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trlProps/ctrlProp7.xml" ContentType="application/vnd.ms-excel.controlproperties+xml"/>
  <Override PartName="/xl/ctrlProps/ctrlProp8.xml" ContentType="application/vnd.ms-excel.controlproperties+xml"/>
  <Override PartName="/xl/drawings/drawing6.xml" ContentType="application/vnd.openxmlformats-officedocument.drawing+xml"/>
  <Override PartName="/xl/drawings/drawing7.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8.xml" ContentType="application/vnd.openxmlformats-officedocument.drawing+xml"/>
  <Override PartName="/xl/ctrlProps/ctrlProp19.xml" ContentType="application/vnd.ms-excel.controlproperties+xml"/>
  <Override PartName="/xl/comments4.xml" ContentType="application/vnd.openxmlformats-officedocument.spreadsheetml.comments+xml"/>
  <Override PartName="/xl/drawings/drawing9.xml" ContentType="application/vnd.openxmlformats-officedocument.drawing+xml"/>
  <Override PartName="/xl/ctrlProps/ctrlProp20.xml" ContentType="application/vnd.ms-excel.controlproperties+xml"/>
  <Override PartName="/xl/comments5.xml" ContentType="application/vnd.openxmlformats-officedocument.spreadsheetml.comments+xml"/>
  <Override PartName="/xl/drawings/drawing10.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drawings/drawing11.xml" ContentType="application/vnd.openxmlformats-officedocument.drawing+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drawings/drawing12.xml" ContentType="application/vnd.openxmlformats-officedocument.drawing+xml"/>
  <Override PartName="/xl/comments6.xml" ContentType="application/vnd.openxmlformats-officedocument.spreadsheetml.comments+xml"/>
  <Override PartName="/xl/customProperty1.bin" ContentType="application/vnd.openxmlformats-officedocument.spreadsheetml.customProperty"/>
  <Override PartName="/xl/drawings/drawing13.xml" ContentType="application/vnd.openxmlformats-officedocument.drawing+xml"/>
  <Override PartName="/xl/drawings/drawing14.xml" ContentType="application/vnd.openxmlformats-officedocument.drawing+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drawings/drawing15.xml" ContentType="application/vnd.openxmlformats-officedocument.drawing+xml"/>
  <Override PartName="/xl/ctrlProps/ctrlProp46.xml" ContentType="application/vnd.ms-excel.controlproperties+xml"/>
  <Override PartName="/xl/charts/chart1.xml" ContentType="application/vnd.openxmlformats-officedocument.drawingml.chart+xml"/>
  <Override PartName="/xl/drawings/drawing16.xml" ContentType="application/vnd.openxmlformats-officedocument.drawing+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drawings/drawing17.xml" ContentType="application/vnd.openxmlformats-officedocument.drawing+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hidePivotFieldList="1"/>
  <workbookProtection workbookPassword="F0F4" lockStructure="1"/>
  <bookViews>
    <workbookView xWindow="-15" yWindow="-15" windowWidth="11940" windowHeight="10650" tabRatio="799" firstSheet="33" activeTab="45"/>
  </bookViews>
  <sheets>
    <sheet name="Cover" sheetId="4" r:id="rId1"/>
    <sheet name="Contents" sheetId="5" r:id="rId2"/>
    <sheet name="Sheet_SC" sheetId="141" r:id="rId3"/>
    <sheet name="Out_Ann_TO" sheetId="37" r:id="rId4"/>
    <sheet name="Screen_Sum_Ann_TO" sheetId="140" r:id="rId5"/>
    <sheet name="Screen_Sum_1_Ann_TO" sheetId="142" r:id="rId6"/>
    <sheet name="Diag_Sum_Ann_TO" sheetId="143" r:id="rId7"/>
    <sheet name="Diag_Sum_1_Ann_TO" sheetId="144" r:id="rId8"/>
    <sheet name="Intv_Sum_Ann_TO" sheetId="145" r:id="rId9"/>
    <sheet name="Intv_Sum_1_Ann_TO" sheetId="151" r:id="rId10"/>
    <sheet name="Intv_2_Sum_Ann_TO" sheetId="146" r:id="rId11"/>
    <sheet name="Intv_2_Sum_1_Ann_TO" sheetId="152" r:id="rId12"/>
    <sheet name="Intv_5_Sum_Ann_TO" sheetId="149" r:id="rId13"/>
    <sheet name="Intv_5_Sum_1_Ann_TO" sheetId="155" r:id="rId14"/>
    <sheet name="Intv_3_Sum_Ann_TO" sheetId="147" r:id="rId15"/>
    <sheet name="Intv_3_Sum_1_Ann_TO" sheetId="153" r:id="rId16"/>
    <sheet name="Intv_4_Sum_Ann_TO" sheetId="148" r:id="rId17"/>
    <sheet name="Intv_4_Sum_1_Ann_TO" sheetId="154" r:id="rId18"/>
    <sheet name="Intv_6_Sum_Ann_TO" sheetId="150" r:id="rId19"/>
    <sheet name="Intv_6_Sum_1_Ann_TO" sheetId="156" r:id="rId20"/>
    <sheet name="Cust_SC" sheetId="6" r:id="rId21"/>
    <sheet name="Team_BA" sheetId="84" r:id="rId22"/>
    <sheet name="Labels_BA" sheetId="42" r:id="rId23"/>
    <sheet name="TS_BA" sheetId="11" r:id="rId24"/>
    <sheet name="Assumptions_SC" sheetId="89" r:id="rId25"/>
    <sheet name="Gen_Assump_SSC" sheetId="90" r:id="rId26"/>
    <sheet name="Plac_Start_Facs_BA" sheetId="15" r:id="rId27"/>
    <sheet name="Reg_Pop_Ann_TA" sheetId="14" r:id="rId28"/>
    <sheet name="Econ_Ann_TA" sheetId="51" r:id="rId29"/>
    <sheet name="Price_List_BA" sheetId="82" r:id="rId30"/>
    <sheet name="Svc_Assump_SSC" sheetId="91" r:id="rId31"/>
    <sheet name="Screen_BA" sheetId="17" r:id="rId32"/>
    <sheet name="Screen_Ann_TA" sheetId="21" r:id="rId33"/>
    <sheet name="Diag_BA" sheetId="29" r:id="rId34"/>
    <sheet name="Diag_Ann_TA" sheetId="30" r:id="rId35"/>
    <sheet name="Intv_BA" sheetId="33" r:id="rId36"/>
    <sheet name="Intv_Ann_TA" sheetId="34" r:id="rId37"/>
    <sheet name="Ann_Ass_SSC" sheetId="135" r:id="rId38"/>
    <sheet name="Oth_Ann_TA" sheetId="110" r:id="rId39"/>
    <sheet name="Outputs_SC" sheetId="41" r:id="rId40"/>
    <sheet name="Raw_Outputs_SSC" sheetId="126" r:id="rId41"/>
    <sheet name="Reg_Pop_Ann_TO" sheetId="20" r:id="rId42"/>
    <sheet name="Screen_Ann_TO" sheetId="19" r:id="rId43"/>
    <sheet name="Diag_Ann_TO" sheetId="31" r:id="rId44"/>
    <sheet name="Intv_Ann_TO" sheetId="35" r:id="rId45"/>
    <sheet name="Oth_Ann_TO" sheetId="111" r:id="rId46"/>
    <sheet name="PLUG_INS_SC" sheetId="106" r:id="rId47"/>
    <sheet name="PLUG_IN_1_P_MS" sheetId="105" r:id="rId48"/>
    <sheet name="PLUG_IN_2_P_MS" sheetId="107" r:id="rId49"/>
    <sheet name="PLUG_IN_3_TRAIN_BA" sheetId="115" r:id="rId50"/>
    <sheet name="PLUG_IN_4_MEET_BA" sheetId="121" r:id="rId51"/>
    <sheet name="PLUG-IN_4_MEET_BO" sheetId="119" r:id="rId52"/>
    <sheet name="App_SC" sheetId="8" r:id="rId53"/>
    <sheet name="LU_SSC" sheetId="12" state="hidden" r:id="rId54"/>
    <sheet name="TS_LU" sheetId="13" state="hidden" r:id="rId55"/>
    <sheet name="Price_LU" sheetId="52" state="hidden" r:id="rId56"/>
    <sheet name="Oth_LU" sheetId="112" state="hidden" r:id="rId57"/>
    <sheet name="Reg_Pop_LU" sheetId="16" state="hidden" r:id="rId58"/>
    <sheet name="Plug_Train_LU" sheetId="114" state="hidden" r:id="rId59"/>
    <sheet name="PLUG_2_LU" sheetId="116" state="hidden" r:id="rId60"/>
    <sheet name="PLUG_3_LU" sheetId="117" state="hidden" r:id="rId61"/>
    <sheet name="PLUG_4_LU" sheetId="118" state="hidden" r:id="rId62"/>
    <sheet name="PLUG_5_LU" sheetId="120" state="hidden" r:id="rId63"/>
    <sheet name="PLUG_7_LU" sheetId="123" state="hidden" r:id="rId64"/>
    <sheet name="PLUG_6_LU" sheetId="122" state="hidden" r:id="rId65"/>
    <sheet name="Screen_LU" sheetId="18" state="hidden" r:id="rId66"/>
    <sheet name="Diag_LU" sheetId="32" state="hidden" r:id="rId67"/>
    <sheet name="Intv_LU" sheetId="36" state="hidden" r:id="rId68"/>
    <sheet name="Out_LU" sheetId="38" state="hidden" r:id="rId69"/>
    <sheet name="Chks_SSC" sheetId="9" r:id="rId70"/>
    <sheet name="Chks_BO" sheetId="10" r:id="rId71"/>
    <sheet name="Overview_SC" sheetId="99" r:id="rId72"/>
    <sheet name="Notes_SSC" sheetId="100" r:id="rId73"/>
    <sheet name="Notes_BO" sheetId="101" r:id="rId74"/>
    <sheet name="Glossary_P_BO" sheetId="104" r:id="rId75"/>
    <sheet name="Keys_SSC" sheetId="102" r:id="rId76"/>
    <sheet name="Keys_BO" sheetId="65" r:id="rId77"/>
  </sheets>
  <definedNames>
    <definedName name="Alt_Chk_1_Hdg" hidden="1">#REF!</definedName>
    <definedName name="Alt_Chk_10_Hdg" hidden="1">Diag_BA!$B$7</definedName>
    <definedName name="Alt_Chk_11_Hdg" hidden="1">Price_List_BA!$B$6</definedName>
    <definedName name="Alt_Chk_12_Hdg" hidden="1">Reg_Pop_Ann_TO!$B$85</definedName>
    <definedName name="Alt_Chk_2_Hdg" hidden="1">Screen_BA!$B$7</definedName>
    <definedName name="Alt_Chk_4_Hdg" hidden="1">Intv_BA!$B$7</definedName>
    <definedName name="Alt_Chk_5_Hdg" hidden="1">Intv_BA!$B$585</definedName>
    <definedName name="Alt_Chk_6_Hdg" hidden="1">Intv_BA!$B$1178</definedName>
    <definedName name="Alt_Chk_7_Hdg" hidden="1">Intv_BA!$B$1765</definedName>
    <definedName name="Alt_Chk_8_Hdg" hidden="1">Intv_BA!$B$2357</definedName>
    <definedName name="Alt_Chk_9_Hdg" hidden="1">Intv_BA!$B$2949</definedName>
    <definedName name="Alt_Chks_Msg">Chks_BO!$I$46</definedName>
    <definedName name="Alt_Chks_Ttl_Areas">Chks_BO!$M$63</definedName>
    <definedName name="Ass_Min_per_Screening_Hr">PLUG_IN_1_P_MS!$Z$16</definedName>
    <definedName name="BA_Alt_Chks" hidden="1">Chks_BO!$37:$63</definedName>
    <definedName name="BA_Err_Chks" hidden="1">Chks_BO!$5:$20</definedName>
    <definedName name="BA_Formats_Styles" hidden="1">Keys_BO!$5:$51</definedName>
    <definedName name="BA_Range_Naming" hidden="1">Keys_BO!$104:$137</definedName>
    <definedName name="BA_Sens_Chks" hidden="1">Chks_BO!$21:$36</definedName>
    <definedName name="BA_Sheet_Naming" hidden="1">Keys_BO!$52:$103</definedName>
    <definedName name="BPMMC1" hidden="1">TS_BA!$5:$16</definedName>
    <definedName name="BPMMC10" hidden="1">Screen_Ann_TO!$10:$397</definedName>
    <definedName name="BPMMC100" hidden="1">Intv_3_Sum_Ann_TO!$10:$106</definedName>
    <definedName name="BPMMC101" hidden="1">Intv_4_Sum_Ann_TO!$10:$106</definedName>
    <definedName name="BPMMC102" hidden="1">Intv_5_Sum_Ann_TO!$10:$106</definedName>
    <definedName name="BPMMC103" hidden="1">Intv_6_Sum_Ann_TO!$10:$106</definedName>
    <definedName name="BPMMC104" hidden="1">Intv_Sum_Ann_TO!$5:$9</definedName>
    <definedName name="BPMMC105" hidden="1">Intv_2_Sum_Ann_TO!$5:$9</definedName>
    <definedName name="BPMMC106" hidden="1">Intv_3_Sum_Ann_TO!$5:$9</definedName>
    <definedName name="BPMMC107" hidden="1">Intv_4_Sum_Ann_TO!$5:$9</definedName>
    <definedName name="BPMMC108" hidden="1">Team_BA!$5:$35</definedName>
    <definedName name="BPMMC109" hidden="1">Intv_5_Sum_Ann_TO!$5:$9</definedName>
    <definedName name="BPMMC11" hidden="1">Screen_Ann_TO!$5:$9</definedName>
    <definedName name="BPMMC110" hidden="1">Intv_6_Sum_Ann_TO!$5:$9</definedName>
    <definedName name="BPMMC111" hidden="1">Intv_Sum_1_Ann_TO!$10:$144</definedName>
    <definedName name="BPMMC112" hidden="1">Intv_2_Sum_1_Ann_TO!$10:$144</definedName>
    <definedName name="BPMMC113" hidden="1">Intv_3_Sum_1_Ann_TO!$10:$144</definedName>
    <definedName name="BPMMC114" hidden="1">Intv_4_Sum_1_Ann_TO!$10:$144</definedName>
    <definedName name="BPMMC115" hidden="1">Plug_Train_LU!$5:$14</definedName>
    <definedName name="BPMMC116" hidden="1">PLUG_IN_3_TRAIN_BA!$5:$152</definedName>
    <definedName name="BPMMC117" hidden="1">PLUG_IN_3_TRAIN_BA!$153:$300</definedName>
    <definedName name="BPMMC118" hidden="1">PLUG_2_LU!$5:$14</definedName>
    <definedName name="BPMMC119" hidden="1">PLUG_IN_3_TRAIN_BA!$301:$448</definedName>
    <definedName name="BPMMC12" hidden="1">Reg_Pop_Ann_TO!$10:$82</definedName>
    <definedName name="BPMMC120" hidden="1">PLUG_3_LU!$5:$14</definedName>
    <definedName name="BPMMC121" hidden="1">PLUG_IN_3_TRAIN_BA!$449:$596</definedName>
    <definedName name="BPMMC122" hidden="1">PLUG_4_LU!$5:$14</definedName>
    <definedName name="BPMMC123" hidden="1">PLUG_IN_4_MEET_BA!$5:$149</definedName>
    <definedName name="BPMMC124" hidden="1">'PLUG-IN_4_MEET_BO'!$5:$18</definedName>
    <definedName name="BPMMC125" hidden="1">PLUG_5_LU!$5:$15</definedName>
    <definedName name="BPMMC126" hidden="1">Intv_5_Sum_1_Ann_TO!$10:$144</definedName>
    <definedName name="BPMMC127" hidden="1">PLUG_IN_4_MEET_BA!$295:$439</definedName>
    <definedName name="BPMMC128" hidden="1">'PLUG-IN_4_MEET_BO'!$33:$46</definedName>
    <definedName name="BPMMC129" hidden="1">PLUG_6_LU!$5:$15</definedName>
    <definedName name="BPMMC13" hidden="1">Reg_Pop_Ann_TO!$5:$9</definedName>
    <definedName name="BPMMC130" hidden="1">PLUG_IN_4_MEET_BA!$150:$294</definedName>
    <definedName name="BPMMC131" hidden="1">'PLUG-IN_4_MEET_BO'!$19:$32</definedName>
    <definedName name="BPMMC132" hidden="1">PLUG_7_LU!$5:$15</definedName>
    <definedName name="BPMMC133" hidden="1">Intv_6_Sum_1_Ann_TO!$10:$144</definedName>
    <definedName name="BPMMC134" hidden="1">Intv_Sum_1_Ann_TO!$5:$9</definedName>
    <definedName name="BPMMC135" hidden="1">Intv_2_Sum_1_Ann_TO!$5:$9</definedName>
    <definedName name="BPMMC136" hidden="1">Intv_3_Sum_1_Ann_TO!$5:$9</definedName>
    <definedName name="BPMMC137" hidden="1">Intv_4_Sum_1_Ann_TO!$5:$9</definedName>
    <definedName name="BPMMC138" hidden="1">Intv_5_Sum_1_Ann_TO!$5:$9</definedName>
    <definedName name="BPMMC139" hidden="1">Intv_6_Sum_1_Ann_TO!$5:$9</definedName>
    <definedName name="BPMMC14" hidden="1">Screen_Ann_TA!$10:$267</definedName>
    <definedName name="BPMMC15" hidden="1">Screen_Ann_TA!$5:$9</definedName>
    <definedName name="BPMMC16" hidden="1">Oth_Ann_TA!$10:$55</definedName>
    <definedName name="BPMMC17" hidden="1">Oth_Ann_TO!$10:$40</definedName>
    <definedName name="BPMMC18" hidden="1">Oth_LU!$5:$29</definedName>
    <definedName name="BPMMC19" hidden="1">Oth_Ann_TA!$5:$9</definedName>
    <definedName name="BPMMC2" hidden="1">TS_LU!$5:$88</definedName>
    <definedName name="BPMMC20" hidden="1">Oth_Ann_TO!$5:$9</definedName>
    <definedName name="BPMMC21" hidden="1">Oth_Ann_TA!$56:$100</definedName>
    <definedName name="BPMMC22" hidden="1">Oth_Ann_TO!$41:$81</definedName>
    <definedName name="BPMMC23" hidden="1">Oth_LU!$30:$122</definedName>
    <definedName name="BPMMC24" hidden="1">Oth_Ann_TA!$101:$183</definedName>
    <definedName name="BPMMC25" hidden="1">Oth_Ann_TO!$175:$255</definedName>
    <definedName name="BPMMC26" hidden="1">Oth_Ann_TO!$82:$136</definedName>
    <definedName name="BPMMC27" hidden="1">Reg_Pop_Ann_TO!$83:$392</definedName>
    <definedName name="BPMMC29" hidden="1">Oth_LU!$123:$148</definedName>
    <definedName name="BPMMC30" hidden="1">Oth_Ann_TA!$184:$257</definedName>
    <definedName name="BPMMC31" hidden="1">Oth_Ann_TO!$256:$327</definedName>
    <definedName name="BPMMC32" hidden="1">Screen_Sum_Ann_TO!$10:$242</definedName>
    <definedName name="BPMMC33" hidden="1">Screen_Sum_Ann_TO!$5:$9</definedName>
    <definedName name="BPMMC34" hidden="1">Screen_Sum_1_Ann_TO!$10:$127</definedName>
    <definedName name="BPMMC35" hidden="1">Diag_BA!$5:$544</definedName>
    <definedName name="BPMMC36" hidden="1">Diag_Ann_TA!$10:$231</definedName>
    <definedName name="BPMMC37" hidden="1">Diag_Ann_TO!$10:$404</definedName>
    <definedName name="BPMMC38" hidden="1">Diag_LU!$5:$451</definedName>
    <definedName name="BPMMC39" hidden="1">Diag_Ann_TA!$5:$9</definedName>
    <definedName name="BPMMC4" hidden="1">Reg_Pop_Ann_TA!$10:$217</definedName>
    <definedName name="BPMMC40" hidden="1">Diag_Ann_TO!$5:$9</definedName>
    <definedName name="BPMMC41" hidden="1">Intv_BA!$5:$582</definedName>
    <definedName name="BPMMC42" hidden="1">Intv_Ann_TA!$10:$204</definedName>
    <definedName name="BPMMC43" hidden="1">Intv_Ann_TO!$10:$416</definedName>
    <definedName name="BPMMC44" hidden="1">Intv_LU!$5:$451</definedName>
    <definedName name="BPMMC45" hidden="1">Intv_Ann_TA!$5:$9</definedName>
    <definedName name="BPMMC46" hidden="1">Intv_Ann_TO!$5:$9</definedName>
    <definedName name="BPMMC47" hidden="1">Out_Ann_TO!$60:$164</definedName>
    <definedName name="BPMMC48" hidden="1">Out_Ann_TO!$5:$9</definedName>
    <definedName name="BPMMC49" hidden="1">Out_Ann_TO!$165:$202</definedName>
    <definedName name="BPMMC5" hidden="1">Reg_Pop_Ann_TA!$5:$9</definedName>
    <definedName name="BPMMC50" hidden="1">Oth_Ann_TO!$137:$156</definedName>
    <definedName name="BPMMC51" hidden="1">Oth_LU!$149:$174</definedName>
    <definedName name="BPMMC52" hidden="1">Oth_Ann_TA!$258:$303</definedName>
    <definedName name="BPMMC53" hidden="1">Oth_Ann_TO!$328:$381</definedName>
    <definedName name="BPMMC54" hidden="1">Out_Ann_TO!$398:$481</definedName>
    <definedName name="BPMMC55" hidden="1">Out_Ann_TO!$10:$59</definedName>
    <definedName name="BPMMC56" hidden="1">Oth_Ann_TO!$157:$174</definedName>
    <definedName name="BPMMC58" hidden="1">Out_Ann_TO!$203:$324</definedName>
    <definedName name="BPMMC59" hidden="1">Out_LU!$5:$21</definedName>
    <definedName name="BPMMC6" hidden="1">Plac_Start_Facs_BA!$5:$29</definedName>
    <definedName name="BPMMC60" hidden="1">Out_Ann_TO!$325:$397</definedName>
    <definedName name="BPMMC61" hidden="1">Intv_BA!$583:$1175</definedName>
    <definedName name="BPMMC62" hidden="1">Intv_Ann_TA!$205:$399</definedName>
    <definedName name="BPMMC63" hidden="1">Intv_Ann_TO!$417:$823</definedName>
    <definedName name="BPMMC64" hidden="1">Intv_LU!$452:$898</definedName>
    <definedName name="BPMMC65" hidden="1">Oth_LU!$175:$191</definedName>
    <definedName name="BPMMC66" hidden="1">Out_LU!$73:$89</definedName>
    <definedName name="BPMMC67" hidden="1">Intv_BA!$1176:$1762</definedName>
    <definedName name="BPMMC68" hidden="1">Intv_Ann_TA!$595:$789</definedName>
    <definedName name="BPMMC69" hidden="1">Intv_Ann_TO!$1231:$1637</definedName>
    <definedName name="BPMMC7" hidden="1">Reg_Pop_LU!$5:$17</definedName>
    <definedName name="BPMMC70" hidden="1">Intv_LU!$899:$1345</definedName>
    <definedName name="BPMMC71" hidden="1">Out_LU!$39:$55</definedName>
    <definedName name="BPMMC72" hidden="1">Out_LU!$22:$38</definedName>
    <definedName name="BPMMC73" hidden="1">Intv_BA!$1763:$2354</definedName>
    <definedName name="BPMMC74" hidden="1">Intv_Ann_TA!$790:$984</definedName>
    <definedName name="BPMMC75" hidden="1">Intv_Ann_TO!$1638:$2044</definedName>
    <definedName name="BPMMC76" hidden="1">Intv_LU!$1346:$1792</definedName>
    <definedName name="BPMMC77" hidden="1">Out_LU!$56:$72</definedName>
    <definedName name="BPMMC78" hidden="1">Out_LU!$90:$106</definedName>
    <definedName name="BPMMC79" hidden="1">Intv_BA!$2355:$2946</definedName>
    <definedName name="BPMMC8" hidden="1">Screen_BA!$5:$523</definedName>
    <definedName name="BPMMC80" hidden="1">Intv_Ann_TA!$400:$594</definedName>
    <definedName name="BPMMC81" hidden="1">Intv_Ann_TO!$824:$1230</definedName>
    <definedName name="BPMMC82" hidden="1">Intv_LU!$1793:$2239</definedName>
    <definedName name="BPMMC83" hidden="1">Labels_BA!$5:$43</definedName>
    <definedName name="BPMMC84" hidden="1">Price_List_BA!$5:$424</definedName>
    <definedName name="BPMMC85" hidden="1">Intv_BA!$2947:$3531</definedName>
    <definedName name="BPMMC86" hidden="1">Intv_Ann_TA!$985:$1179</definedName>
    <definedName name="BPMMC87" hidden="1">Intv_Ann_TO!$2045:$2451</definedName>
    <definedName name="BPMMC88" hidden="1">Intv_LU!$2240:$2686</definedName>
    <definedName name="BPMMC89" hidden="1">Screen_Sum_1_Ann_TO!$5:$9</definedName>
    <definedName name="BPMMC9" hidden="1">Screen_LU!$5:$415</definedName>
    <definedName name="BPMMC90" hidden="1">Econ_Ann_TA!$10:$35</definedName>
    <definedName name="BPMMC91" hidden="1">Econ_Ann_TA!$5:$9</definedName>
    <definedName name="BPMMC92" hidden="1">Price_LU!$5:$13</definedName>
    <definedName name="BPMMC93" hidden="1">Diag_Sum_Ann_TO!$10:$176</definedName>
    <definedName name="BPMMC95" hidden="1">Diag_Sum_Ann_TO!$5:$9</definedName>
    <definedName name="BPMMC96" hidden="1">Diag_Sum_1_Ann_TO!$10:$143</definedName>
    <definedName name="BPMMC97" hidden="1">Diag_Sum_1_Ann_TO!$5:$9</definedName>
    <definedName name="BPMMC98" hidden="1">Intv_Sum_Ann_TO!$10:$106</definedName>
    <definedName name="BPMMC99" hidden="1">Intv_2_Sum_Ann_TO!$10:$106</definedName>
    <definedName name="CA_Alt_Chks">Chks_BO!$K$52:$K$61</definedName>
    <definedName name="CA_Alt_Chks_Area_Names">Chks_BO!$D$52:$D$61</definedName>
    <definedName name="CA_Alt_Chks_Flags">Chks_BO!$M$52:$M$61</definedName>
    <definedName name="CA_Alt_Chks_Inc">Chks_BO!$L$52:$L$61</definedName>
    <definedName name="CA_Err_Chks">Chks_BO!$K$19</definedName>
    <definedName name="CA_Err_Chks_Area_Names">Chks_BO!$D$19</definedName>
    <definedName name="CA_Err_Chks_Flags">Chks_BO!$M$19</definedName>
    <definedName name="CA_Err_Chks_Inc">Chks_BO!$L$19</definedName>
    <definedName name="CA_Sens_Chks">Chks_BO!$K$35</definedName>
    <definedName name="CA_Sens_Chks_Area_Names">Chks_BO!$D$35</definedName>
    <definedName name="CA_Sens_Chks_Flags">Chks_BO!$M$35</definedName>
    <definedName name="CA_Sens_Chks_Inc">Chks_BO!$L$35</definedName>
    <definedName name="CB_Alt_Chks_Show_Msg">Chks_BO!$C$41</definedName>
    <definedName name="CB_Err_Chks_Show_Msg">Chks_BO!$C$9</definedName>
    <definedName name="CB_Sens_Chks_Show_Msg">Chks_BO!$C$25</definedName>
    <definedName name="Country">Cover!$C$16</definedName>
    <definedName name="DD_Comm_Curr">Oth_Ann_TA!$H$105</definedName>
    <definedName name="DD_Init_Inv_Curr">Out_Ann_TO!$H$207</definedName>
    <definedName name="DD_Intro_Costs_Curr">Out_Ann_TO!$H$328</definedName>
    <definedName name="DD_Micro_Curr">Oth_Ann_TA!$H$14</definedName>
    <definedName name="DD_Oth_Curr">Oth_Ann_TA!$H$262</definedName>
    <definedName name="DD_PLUG_2_Train1_Curr">PLUG_IN_3_TRAIN_BA!$I$160</definedName>
    <definedName name="DD_PLUG_3_Train1_Curr">PLUG_IN_3_TRAIN_BA!$I$308</definedName>
    <definedName name="DD_PLUG_4_Train1_Curr">PLUG_IN_3_TRAIN_BA!$I$456</definedName>
    <definedName name="DD_PLUG_5_Meet1_Curr">PLUG_IN_4_MEET_BA!$I$9</definedName>
    <definedName name="DD_PLUG_6_Meet1_Curr">PLUG_IN_4_MEET_BA!$I$299</definedName>
    <definedName name="DD_PLUG_7_Meet1_Curr">PLUG_IN_4_MEET_BA!$I$154</definedName>
    <definedName name="DD_PLUG_Train1_Curr">PLUG_IN_3_TRAIN_BA!$I$12</definedName>
    <definedName name="DD_Recur_Cost_Curr">Out_Ann_TO!$H$402</definedName>
    <definedName name="DD_Serv_Curr">Out_Ann_TO!$H$64</definedName>
    <definedName name="DD_SME_Curr">Oth_Ann_TA!$H$188</definedName>
    <definedName name="DD_Sum_Tbls_Curr">Out_Ann_TO!$H$169</definedName>
    <definedName name="DD_Total_Costs_Curr">Out_Ann_TO!$H$14</definedName>
    <definedName name="DD_Train_Curr">Oth_Ann_TA!$H$60</definedName>
    <definedName name="DD_TS_Denom">TS_BA!$I$15</definedName>
    <definedName name="DD_TS_Fin_Yr_End_Mth">TS_BA!$H$10</definedName>
    <definedName name="Diag_Short_Code">Diag_BA!$G$10</definedName>
    <definedName name="Err_Chk_1_Hdg" hidden="1">#REF!</definedName>
    <definedName name="Err_Chks_Msg">Chks_BO!$I$14</definedName>
    <definedName name="Err_Chks_Ttl_Areas">Chks_BO!$M$20</definedName>
    <definedName name="File_Name">Cover!$H$18</definedName>
    <definedName name="HL_Alt_Chk">Chks_BO!$B$39</definedName>
    <definedName name="HL_Alt_Chk_10" hidden="1">Diag_BA!$I$541</definedName>
    <definedName name="HL_Alt_Chk_11" hidden="1">Price_List_BA!$G$417</definedName>
    <definedName name="HL_Alt_Chk_12" hidden="1">Reg_Pop_Ann_TO!$H$388</definedName>
    <definedName name="HL_Alt_Chk_2" hidden="1">Screen_BA!$I$523</definedName>
    <definedName name="HL_Alt_Chk_4" hidden="1">Intv_BA!$I$579</definedName>
    <definedName name="HL_Alt_Chk_5" hidden="1">Intv_BA!$I$1172</definedName>
    <definedName name="HL_Alt_Chk_6" hidden="1">Intv_BA!$I$1759</definedName>
    <definedName name="HL_Alt_Chk_7" hidden="1">Intv_BA!$I$2351</definedName>
    <definedName name="HL_Alt_Chk_8" hidden="1">Intv_BA!$I$2943</definedName>
    <definedName name="HL_Alt_Chk_9" hidden="1">Intv_BA!$I$3528</definedName>
    <definedName name="HL_Capacity_FACS">Screen_BA!#REF!</definedName>
    <definedName name="HL_Comm_Ass">Oth_Ann_TA!$B$103</definedName>
    <definedName name="HL_Comm_Out">Oth_Ann_TO!$B$177</definedName>
    <definedName name="HL_Comm_Out_Sum">Oth_Ann_TO!$B$84</definedName>
    <definedName name="HL_Cost_Price_List">Price_List_BA!$B$6</definedName>
    <definedName name="HL_Diag_Ann_Ass">Diag_Ann_TA!$B$12</definedName>
    <definedName name="HL_Diag_Ass">Diag_BA!$B$7</definedName>
    <definedName name="HL_Diag_Biopsy_and_Histopathology">Diag_BA!$G$9</definedName>
    <definedName name="HL_Diag_Out">Diag_Ann_TO!$B$12</definedName>
    <definedName name="HL_Diag_Out_Sum">Diag_Sum_Ann_TO!$B$12</definedName>
    <definedName name="HL_Diag_Out_Sum_A">Diag_Sum_1_Ann_TO!$B$12</definedName>
    <definedName name="HL_Eco_Costs">Out_Ann_TO!$C$181</definedName>
    <definedName name="HL_Epi_Assump">Reg_Pop_Ann_TA!$B$33</definedName>
    <definedName name="HL_Equip_CRYP">Intv_BA!$C$130</definedName>
    <definedName name="HL_Equip_HPV_DNA">Screen_BA!#REF!</definedName>
    <definedName name="HL_EquipBIOPH">Diag_BA!$C$100</definedName>
    <definedName name="HL_Equipment_VIA">Screen_BA!$C$109</definedName>
    <definedName name="HL_Err_Chk">Chks_BO!$B$7</definedName>
    <definedName name="HL_Fin_Costs">Out_Ann_TO!$C$171</definedName>
    <definedName name="HL_First_Admin_Div">Labels_BA!$G$9</definedName>
    <definedName name="HL_Home">Contents!$B$1</definedName>
    <definedName name="HL_Intv_2_Ann_Ass">Intv_Ann_TA!$B$207</definedName>
    <definedName name="HL_Intv_2_Ass">Intv_BA!$B$585</definedName>
    <definedName name="HL_Intv_2_Out">Intv_Ann_TO!$B$419</definedName>
    <definedName name="HL_Intv_2_Out_Sum">Intv_2_Sum_Ann_TO!$B$12</definedName>
    <definedName name="HL_Intv_2_Out_Sum_A">Intv_2_Sum_1_Ann_TO!$B$12</definedName>
    <definedName name="HL_Intv_3_Ann_Ass">Intv_Ann_TA!$B$597</definedName>
    <definedName name="HL_Intv_3_Ass">Intv_BA!$B$1178</definedName>
    <definedName name="HL_Intv_3_Out">Intv_Ann_TO!$B$1233</definedName>
    <definedName name="HL_Intv_3_Out_Sum">Intv_3_Sum_Ann_TO!$B$12</definedName>
    <definedName name="HL_Intv_3_Out_Sum_A">Intv_3_Sum_1_Ann_TO!$B$12</definedName>
    <definedName name="HL_Intv_4_Ann_Ass">Intv_Ann_TA!$B$792</definedName>
    <definedName name="HL_Intv_4_Ass">Intv_BA!$B$1765</definedName>
    <definedName name="HL_Intv_4_Out">Intv_Ann_TO!$B$1640</definedName>
    <definedName name="HL_Intv_4_Out_Sum">Intv_4_Sum_Ann_TO!$B$12</definedName>
    <definedName name="HL_Intv_4_Out_Sum_A">Intv_4_Sum_1_Ann_TO!$B$12</definedName>
    <definedName name="HL_Intv_5_Ann_Ass">Intv_Ann_TA!$B$402</definedName>
    <definedName name="HL_Intv_5_Ass">Intv_BA!$B$2357</definedName>
    <definedName name="HL_Intv_5_Out">Intv_Ann_TO!$B$826</definedName>
    <definedName name="HL_Intv_5_Out_Sum">Intv_5_Sum_Ann_TO!$B$12</definedName>
    <definedName name="HL_Intv_5_Out_Sum_A">Intv_5_Sum_1_Ann_TO!$B$12</definedName>
    <definedName name="HL_Intv_6_Ann_Ass">Intv_Ann_TA!$B$987</definedName>
    <definedName name="HL_Intv_6_Ass">Intv_BA!$B$2949</definedName>
    <definedName name="HL_Intv_6_Out">Intv_Ann_TO!$B$2047</definedName>
    <definedName name="HL_Intv_6_Out_Sum">Intv_6_Sum_Ann_TO!$B$12</definedName>
    <definedName name="HL_Intv_6_Out_Sum_A">Intv_6_Sum_1_Ann_TO!$B$12</definedName>
    <definedName name="HL_Intv_Ann_Ass">Intv_Ann_TA!$B$12</definedName>
    <definedName name="HL_Intv_Ass">Intv_BA!$B$7</definedName>
    <definedName name="HL_Intv_Out">Intv_Ann_TO!$B$12</definedName>
    <definedName name="HL_Intv_Out_Sum">Intv_Sum_Ann_TO!$B$12</definedName>
    <definedName name="HL_Intv_Out_Sum_A">Intv_Sum_1_Ann_TO!$B$12</definedName>
    <definedName name="HL_LEEP_Equipment">Intv_BA!$C$720</definedName>
    <definedName name="HL_Micro_Ass">Oth_Ann_TA!$B$12</definedName>
    <definedName name="HL_Micro_Out">Oth_Ann_TO!$B$12</definedName>
    <definedName name="HL_ODC_BIOPH">Diag_BA!$C$117</definedName>
    <definedName name="HL_ODC_CHEMO">Intv_BA!$C$1325</definedName>
    <definedName name="HL_ODC_CRYO">Intv_BA!$C$148</definedName>
    <definedName name="HL_ODC_LEEP">Intv_BA!$C$744</definedName>
    <definedName name="HL_ODC_PALL">Intv_BA!$C$3090</definedName>
    <definedName name="HL_ODC_RADIO">Intv_BA!$C$1920</definedName>
    <definedName name="HL_ODC_SURG">Intv_BA!$C$2510</definedName>
    <definedName name="HL_Oth_Ass">Oth_Ann_TA!$B$260</definedName>
    <definedName name="HL_Oth_Out">Oth_Ann_TO!$B$330</definedName>
    <definedName name="HL_Oth_Out_Sum">Oth_Ann_TO!$B$159</definedName>
    <definedName name="HL_Pers_CRYO">Intv_BA!$C$1254</definedName>
    <definedName name="HL_Personnel_BIOPH">Diag_BA!$C$57</definedName>
    <definedName name="HL_Personnel_CHEMO">Intv_BA!$C$1254</definedName>
    <definedName name="HL_Personnel_CRYO">Intv_BA!$C$84</definedName>
    <definedName name="HL_Personnel_HPVDNA">Screen_BA!#REF!</definedName>
    <definedName name="HL_Personnel_LEEP">Intv_BA!$C$661</definedName>
    <definedName name="HL_Personnel_PALL">Intv_BA!$C$3025</definedName>
    <definedName name="HL_Personnel_RADIO">Intv_BA!$C$1841</definedName>
    <definedName name="HL_Personnel_SURG">Intv_BA!$C$2433</definedName>
    <definedName name="HL_Personnel_VIA">Screen_BA!$C$60</definedName>
    <definedName name="HL_Plan_Ann_Cap_CRYO">Intv_BA!$B$36</definedName>
    <definedName name="HL_Plan_Ann_Cap_FAC_LEEP">Intv_BA!$B$613</definedName>
    <definedName name="HL_Plan_Annual_Service_Capacity">Screen_BA!#REF!</definedName>
    <definedName name="HL_Plan_Attr_Rate_RADIO">Intv_BA!$C$1771</definedName>
    <definedName name="HL_Plan_Attrition_Rate_SURG">Intv_BA!$C$2363</definedName>
    <definedName name="HL_Plan_Demand_Assumptions">Reg_Pop_Ann_TA!$D$14</definedName>
    <definedName name="HL_Plan_Demand_Screening_Inactive">Reg_Pop_Ann_TA!$D$15</definedName>
    <definedName name="HL_Plan_FAC_Inventory">Plac_Start_Facs_BA!#REF!</definedName>
    <definedName name="HL_Plan_Fac_with_Prerequisite_Eligib_CRYO">Intv_BA!#REF!</definedName>
    <definedName name="HL_Plan_Facs_with_Prereq_Elig_LEEP">Intv_BA!#REF!</definedName>
    <definedName name="HL_Plan_Population_Assumptions">Reg_Pop_Ann_TA!$B$124</definedName>
    <definedName name="HL_Plan_Prereq_Infra_PALL">Intv_BA!#REF!</definedName>
    <definedName name="HL_Plan_Prereq_Infra_SURG">Intv_BA!#REF!</definedName>
    <definedName name="HL_Plan_Prog_Start_Year">Plac_Start_Facs_BA!$J$9</definedName>
    <definedName name="HL_Plan_Prop_Elig_Activated_SURG">Intv_Ann_TA!#REF!</definedName>
    <definedName name="HL_Plan_Prop_Elig_FAC_Activated_CHEMO">Intv_Ann_TA!#REF!</definedName>
    <definedName name="HL_Plan_Prop_Elig_FACS_to_be_Activated_RADIO">Intv_Ann_TA!#REF!</definedName>
    <definedName name="HL_Plan_Prop_Elig_to_be_Activated_CRYO">Intv_Ann_TA!#REF!</definedName>
    <definedName name="HL_Plan_Prop_Elig_to_be_Activated_PALL">Intv_Ann_TA!#REF!</definedName>
    <definedName name="HL_Plan_Prop_Elig_to_Provide_CHEMO">Intv_BA!#REF!</definedName>
    <definedName name="HL_Plan_Prop_Elig_to_Provide_RADIO">Intv_BA!#REF!</definedName>
    <definedName name="HL_Plan_Prop_Eligible_Facs_to_be_Activated_LEEP">Intv_Ann_TA!#REF!</definedName>
    <definedName name="HL_Plan_Prop_Eligible_to_be_Activated_BIOPH">Diag_Ann_TA!#REF!</definedName>
    <definedName name="HL_Plan_Prop_FAC_Elig_DIAG">Diag_BA!#REF!</definedName>
    <definedName name="HL_Plan_Prop_FACS_Eligible_for_HPVDNA_Activation">Screen_BA!#REF!</definedName>
    <definedName name="HL_Plan_Prop_FACS_Eligible_for_VIA">Screen_BA!#REF!</definedName>
    <definedName name="HL_Plan_Prop_Facs_VIA">Screen_Ann_TA!#REF!</definedName>
    <definedName name="HL_Plan_Prop_Referred_for_BIOPH">Reg_Pop_Ann_TA!$D$55</definedName>
    <definedName name="HL_Plan_Prop_Screened_Elig_CRYO">Reg_Pop_Ann_TA!$D$58</definedName>
    <definedName name="HL_Plan_Prop_Screened_Elig_for_CHEMO">Reg_Pop_Ann_TA!#REF!</definedName>
    <definedName name="HL_Plan_Prop_Screened_Elig_for_LEEP">Reg_Pop_Ann_TA!#REF!</definedName>
    <definedName name="HL_Plan_Prop_Screened_Elig_for_PALL">Reg_Pop_Ann_TA!#REF!</definedName>
    <definedName name="HL_Plan_Prop_Screened_Elig_for_RADIO">Reg_Pop_Ann_TA!#REF!</definedName>
    <definedName name="HL_Plan_Proportion_Eligible_to_Offer_HPVDNA">Screen_Ann_TA!#REF!</definedName>
    <definedName name="HL_Plan_Ref_Attri_PALL">Intv_BA!$C$2955</definedName>
    <definedName name="HL_Plan_Ref_Attrition_BIOPH">Diag_BA!$C$13</definedName>
    <definedName name="HL_Plan_Ref_Attrition_Rate_CHEMO">Intv_BA!$C$1184</definedName>
    <definedName name="HL_Plan_Ref_Hosp_offering_VIA">Screen_BA!#REF!</definedName>
    <definedName name="HL_PLAN_Referral_Attr_CRYO">Intv_BA!$C$13</definedName>
    <definedName name="HL_Plan_Referral_Attr_for_LEEP">Intv_BA!$C$591</definedName>
    <definedName name="HL_Price_Ass">Price_List_BA!$B$6</definedName>
    <definedName name="HL_Price_Curr_Options">Econ_Ann_TA!$C$11</definedName>
    <definedName name="HL_Reg_Pop_Pop_Out">Reg_Pop_Ann_TO!$B$85</definedName>
    <definedName name="HL_Reg_Pop_Reg_Ass">Plac_Start_Facs_BA!$B$6</definedName>
    <definedName name="HL_Reg_Pop_Reg_Out">Reg_Pop_Ann_TO!$B$12</definedName>
    <definedName name="HL_Screen_Ann_Ass">Screen_Ann_TA!$B$13</definedName>
    <definedName name="HL_Screen_Ass">Screen_BA!$B$7</definedName>
    <definedName name="HL_Screen_Distribute1">Screen_Ann_TA!$D$246</definedName>
    <definedName name="HL_Screen_Out">Screen_Ann_TO!$B$12</definedName>
    <definedName name="HL_Screen_Out_Sum_A">Screen_Sum_Ann_TO!$B$12</definedName>
    <definedName name="HL_Sens_Chk">Chks_BO!$B$23</definedName>
    <definedName name="HL_Serv_Fin_Costs_Total_Includes_Capex">Out_Ann_TO!$I$111</definedName>
    <definedName name="HL_Serv_Total_SD_Econ_Incl_Capex_Annualized">Out_Ann_TO!$I$136</definedName>
    <definedName name="HL_Serv_Total_Service_Delivery_Outputs_and_Costs">Out_Ann_TO!$B$62</definedName>
    <definedName name="HL_Servic_Costs_HPV_DNA">Screen_BA!#REF!</definedName>
    <definedName name="HL_Sheet_Main_10" hidden="1">TS_LU!$A$1</definedName>
    <definedName name="HL_Sheet_Main_11" hidden="1">Reg_Pop_Ann_TA!$A$1</definedName>
    <definedName name="HL_Sheet_Main_12" hidden="1">Plac_Start_Facs_BA!$A$1</definedName>
    <definedName name="HL_Sheet_Main_13" hidden="1">Reg_Pop_LU!$A$1</definedName>
    <definedName name="HL_Sheet_Main_14" hidden="1">Screen_BA!$A$1</definedName>
    <definedName name="HL_Sheet_Main_15" hidden="1">Screen_LU!$A$1</definedName>
    <definedName name="HL_Sheet_Main_16" hidden="1">Screen_Ann_TO!$A$1</definedName>
    <definedName name="HL_Sheet_Main_17" hidden="1">Reg_Pop_Ann_TO!$A$1</definedName>
    <definedName name="HL_Sheet_Main_18" hidden="1">Screen_Ann_TA!$A$1</definedName>
    <definedName name="HL_Sheet_Main_19" hidden="1">Oth_Ann_TA!$A$1</definedName>
    <definedName name="HL_Sheet_Main_2" hidden="1">Contents!$A$1</definedName>
    <definedName name="HL_Sheet_Main_20" hidden="1">Oth_Ann_TO!$A$1</definedName>
    <definedName name="HL_Sheet_Main_21" hidden="1">Oth_LU!$A$1</definedName>
    <definedName name="HL_Sheet_Main_22" hidden="1">Diag_BA!$A$1</definedName>
    <definedName name="HL_Sheet_Main_23" hidden="1">Diag_Ann_TA!$A$1</definedName>
    <definedName name="HL_Sheet_Main_24" hidden="1">Diag_Ann_TO!$A$1</definedName>
    <definedName name="HL_Sheet_Main_25" hidden="1">Diag_LU!$A$1</definedName>
    <definedName name="HL_Sheet_Main_26" hidden="1">Intv_BA!$A$1</definedName>
    <definedName name="HL_Sheet_Main_27" hidden="1">Intv_Ann_TA!$A$1</definedName>
    <definedName name="HL_Sheet_Main_28" hidden="1">Intv_Ann_TO!$A$1</definedName>
    <definedName name="HL_Sheet_Main_29" hidden="1">Intv_LU!$A$1</definedName>
    <definedName name="HL_Sheet_Main_3" hidden="1">Cust_SC!$A$1</definedName>
    <definedName name="HL_Sheet_Main_30" hidden="1">Out_Ann_TO!$A$1</definedName>
    <definedName name="HL_Sheet_Main_31" hidden="1">Out_LU!$A$1</definedName>
    <definedName name="HL_Sheet_Main_33" hidden="1">Ann_Ass_SSC!$A$1</definedName>
    <definedName name="HL_Sheet_Main_34" hidden="1">Outputs_SC!$A$1</definedName>
    <definedName name="HL_Sheet_Main_35" hidden="1">Labels_BA!$A$1</definedName>
    <definedName name="HL_Sheet_Main_38" hidden="1">Svc_Assump_SSC!$A$1</definedName>
    <definedName name="HL_Sheet_Main_40" hidden="1">Econ_Ann_TA!$A$1</definedName>
    <definedName name="HL_Sheet_Main_41" hidden="1">Price_LU!$A$1</definedName>
    <definedName name="HL_Sheet_Main_43" hidden="1">PLUG_INS_SC!$A$1</definedName>
    <definedName name="HL_Sheet_Main_45" hidden="1">Team_BA!$A$1</definedName>
    <definedName name="HL_Sheet_Main_46" hidden="1">Keys_BO!$A$1</definedName>
    <definedName name="HL_Sheet_Main_48" hidden="1">Price_List_BA!$A$1</definedName>
    <definedName name="HL_Sheet_Main_49" hidden="1">Assumptions_SC!$A$1</definedName>
    <definedName name="HL_Sheet_Main_5" hidden="1">App_SC!$A$1</definedName>
    <definedName name="HL_Sheet_Main_50" hidden="1">Gen_Assump_SSC!$A$1</definedName>
    <definedName name="HL_Sheet_Main_53" hidden="1">PLUG_IN_3_TRAIN_BA!$A$1</definedName>
    <definedName name="HL_Sheet_Main_54" hidden="1">Raw_Outputs_SSC!$A$1</definedName>
    <definedName name="HL_Sheet_Main_55" hidden="1">Overview_SC!$A$1</definedName>
    <definedName name="HL_Sheet_Main_56" hidden="1">Notes_SSC!$A$1</definedName>
    <definedName name="HL_Sheet_Main_57" hidden="1">Notes_BO!$A$1</definedName>
    <definedName name="HL_Sheet_Main_58" hidden="1">Keys_SSC!$A$1</definedName>
    <definedName name="HL_Sheet_Main_59" hidden="1">Glossary_P_BO!$A$1</definedName>
    <definedName name="HL_Sheet_Main_6" hidden="1">Chks_SSC!$A$1</definedName>
    <definedName name="HL_Sheet_Main_60" hidden="1">PLUG_IN_1_P_MS!$A$1</definedName>
    <definedName name="HL_Sheet_Main_61" hidden="1">PLUG_IN_2_P_MS!$A$1</definedName>
    <definedName name="HL_Sheet_Main_62" hidden="1">PLUG_2_LU!$A$1</definedName>
    <definedName name="HL_Sheet_Main_63" hidden="1">PLUG_3_LU!$A$1</definedName>
    <definedName name="HL_Sheet_Main_64" hidden="1">Plug_Train_LU!$A$1</definedName>
    <definedName name="HL_Sheet_Main_65" hidden="1">PLUG_4_LU!$A$1</definedName>
    <definedName name="HL_Sheet_Main_66" hidden="1">'PLUG-IN_4_MEET_BO'!$A$1</definedName>
    <definedName name="HL_Sheet_Main_67" hidden="1">PLUG_5_LU!$A$1</definedName>
    <definedName name="HL_Sheet_Main_68" hidden="1">PLUG_IN_4_MEET_BA!$A$1</definedName>
    <definedName name="HL_Sheet_Main_69" hidden="1">PLUG_6_LU!$A$1</definedName>
    <definedName name="HL_Sheet_Main_7" hidden="1">Chks_BO!$A$1</definedName>
    <definedName name="HL_Sheet_Main_70" hidden="1">PLUG_7_LU!$A$1</definedName>
    <definedName name="HL_Sheet_Main_71" hidden="1">#REF!</definedName>
    <definedName name="HL_Sheet_Main_75" hidden="1">Screen_Sum_Ann_TO!$A$1</definedName>
    <definedName name="HL_Sheet_Main_76" hidden="1">Sheet_SC!$A$1</definedName>
    <definedName name="HL_Sheet_Main_77" hidden="1">Screen_Sum_1_Ann_TO!$A$1</definedName>
    <definedName name="HL_Sheet_Main_78" hidden="1">Diag_Sum_Ann_TO!$A$1</definedName>
    <definedName name="HL_Sheet_Main_79" hidden="1">Diag_Sum_1_Ann_TO!$A$1</definedName>
    <definedName name="HL_Sheet_Main_8" hidden="1">TS_BA!$A$1</definedName>
    <definedName name="HL_Sheet_Main_80" hidden="1">Intv_Sum_Ann_TO!$A$1</definedName>
    <definedName name="HL_Sheet_Main_81" hidden="1">Intv_2_Sum_Ann_TO!$A$1</definedName>
    <definedName name="HL_Sheet_Main_82" hidden="1">Intv_3_Sum_Ann_TO!$A$1</definedName>
    <definedName name="HL_Sheet_Main_83" hidden="1">Intv_4_Sum_Ann_TO!$A$1</definedName>
    <definedName name="HL_Sheet_Main_84" hidden="1">Intv_5_Sum_Ann_TO!$A$1</definedName>
    <definedName name="HL_Sheet_Main_85" hidden="1">Intv_6_Sum_Ann_TO!$A$1</definedName>
    <definedName name="HL_Sheet_Main_86" hidden="1">Intv_Sum_1_Ann_TO!$A$1</definedName>
    <definedName name="HL_Sheet_Main_87" hidden="1">Intv_2_Sum_1_Ann_TO!$A$1</definedName>
    <definedName name="HL_Sheet_Main_88" hidden="1">Intv_3_Sum_1_Ann_TO!$A$1</definedName>
    <definedName name="HL_Sheet_Main_89" hidden="1">Intv_4_Sum_1_Ann_TO!$A$1</definedName>
    <definedName name="HL_Sheet_Main_9" hidden="1">LU_SSC!$A$1</definedName>
    <definedName name="HL_Sheet_Main_90" hidden="1">Intv_5_Sum_1_Ann_TO!$A$1</definedName>
    <definedName name="HL_Sheet_Main_91" hidden="1">Intv_6_Sum_1_Ann_TO!$A$1</definedName>
    <definedName name="HL_SME_Ass">Oth_Ann_TA!$B$186</definedName>
    <definedName name="HL_SME_Out">Oth_Ann_TO!$B$258</definedName>
    <definedName name="HL_SME_Out_Sum">Oth_Ann_TO!$B$139</definedName>
    <definedName name="HL_Sum_Tbls_Non_Serv_Del_Econ">Out_Ann_TO!$I$189</definedName>
    <definedName name="HL_Sum_Tbls_Total_Fin_NonService">Out_Ann_TO!$I$179</definedName>
    <definedName name="HL_Supplies_BA">Screen_BA!$C$86</definedName>
    <definedName name="HL_Supplies_BIOPH">Diag_BA!$C$84</definedName>
    <definedName name="HL_Supplies_CHEMO">Intv_BA!$C$1289</definedName>
    <definedName name="HL_Supplies_CRYO">Intv_BA!$C$112</definedName>
    <definedName name="HL_Supplies_HPVDNA">Screen_BA!#REF!</definedName>
    <definedName name="HL_Supplies_LEEP">Intv_BA!$C$691</definedName>
    <definedName name="HL_Supplies_PALL">Intv_BA!$C$3060</definedName>
    <definedName name="HL_Supplies_RADIO">Intv_BA!$C$1880</definedName>
    <definedName name="HL_Supplies_SURG">Intv_BA!$C$2467</definedName>
    <definedName name="HL_TOC_1" hidden="1">Chks_BO!$B$7</definedName>
    <definedName name="HL_TOC_10" hidden="1">Screen_LU!$B$7</definedName>
    <definedName name="HL_TOC_100" hidden="1">Intv_4_Sum_1_Ann_TO!$B$12</definedName>
    <definedName name="HL_TOC_101" hidden="1">Intv_5_Sum_1_Ann_TO!$B$12</definedName>
    <definedName name="HL_TOC_102" hidden="1">Intv_6_Sum_1_Ann_TO!$B$12</definedName>
    <definedName name="HL_TOC_107" hidden="1">Plug_Train_LU!$B$7</definedName>
    <definedName name="HL_TOC_108" hidden="1">PLUG_IN_3_TRAIN_BA!$B$10</definedName>
    <definedName name="HL_TOC_109" hidden="1">PLUG_IN_3_TRAIN_BA!$B$158</definedName>
    <definedName name="HL_TOC_11" hidden="1">Screen_Ann_TO!$B$12</definedName>
    <definedName name="HL_TOC_110" hidden="1">PLUG_2_LU!$B$7</definedName>
    <definedName name="HL_TOC_111" hidden="1">PLUG_IN_3_TRAIN_BA!$B$306</definedName>
    <definedName name="HL_TOC_112" hidden="1">PLUG_3_LU!$B$7</definedName>
    <definedName name="HL_TOC_113" hidden="1">PLUG_IN_3_TRAIN_BA!$B$454</definedName>
    <definedName name="HL_TOC_114" hidden="1">PLUG_4_LU!$B$7</definedName>
    <definedName name="HL_TOC_115" hidden="1">PLUG_IN_4_MEET_BA!$B$7</definedName>
    <definedName name="HL_TOC_116" hidden="1">'PLUG-IN_4_MEET_BO'!$B$7</definedName>
    <definedName name="HL_TOC_117" hidden="1">PLUG_5_LU!$B$7</definedName>
    <definedName name="HL_TOC_118" hidden="1">PLUG_IN_4_MEET_BA!$B$297</definedName>
    <definedName name="HL_TOC_119" hidden="1">'PLUG-IN_4_MEET_BO'!$B$35</definedName>
    <definedName name="HL_TOC_12" hidden="1">Reg_Pop_Ann_TO!$B$12</definedName>
    <definedName name="HL_TOC_120" hidden="1">PLUG_6_LU!$B$7</definedName>
    <definedName name="HL_TOC_121" hidden="1">PLUG_IN_4_MEET_BA!$B$152</definedName>
    <definedName name="HL_TOC_122" hidden="1">'PLUG-IN_4_MEET_BO'!$B$21</definedName>
    <definedName name="HL_TOC_123" hidden="1">PLUG_7_LU!$B$7</definedName>
    <definedName name="HL_TOC_124" hidden="1">Reg_Pop_Ann_TA!$B$23</definedName>
    <definedName name="HL_TOC_125" hidden="1">#REF!</definedName>
    <definedName name="HL_TOC_127" hidden="1">Price_List_BA!$C$12</definedName>
    <definedName name="HL_TOC_128" hidden="1">Reg_Pop_Ann_TA!$C$13</definedName>
    <definedName name="HL_TOC_129" hidden="1">Reg_Pop_Ann_TA!$B$33</definedName>
    <definedName name="HL_TOC_13" hidden="1">Screen_Ann_TA!$B$13</definedName>
    <definedName name="HL_TOC_130" hidden="1">Reg_Pop_Ann_TA!$B$53</definedName>
    <definedName name="HL_TOC_131" hidden="1">Reg_Pop_Ann_TA!$B$98</definedName>
    <definedName name="HL_TOC_132" hidden="1">Reg_Pop_Ann_TA!$B$124</definedName>
    <definedName name="HL_TOC_133" hidden="1">Plac_Start_Facs_BA!$C$9</definedName>
    <definedName name="HL_TOC_134" hidden="1">Plac_Start_Facs_BA!$H$9</definedName>
    <definedName name="HL_TOC_135" hidden="1">Plac_Start_Facs_BA!$J$9</definedName>
    <definedName name="HL_TOC_14" hidden="1">Oth_Ann_TA!$B$12</definedName>
    <definedName name="HL_TOC_15" hidden="1">Oth_Ann_TO!$B$12</definedName>
    <definedName name="HL_TOC_16" hidden="1">Oth_LU!$B$7</definedName>
    <definedName name="HL_TOC_17" hidden="1">Oth_Ann_TA!$B$58</definedName>
    <definedName name="HL_TOC_18" hidden="1">Oth_Ann_TO!$B$43</definedName>
    <definedName name="HL_TOC_19" hidden="1">Oth_LU!$B$32</definedName>
    <definedName name="HL_TOC_2" hidden="1">Chks_BO!$B$23</definedName>
    <definedName name="HL_TOC_20" hidden="1">Oth_Ann_TA!$B$103</definedName>
    <definedName name="HL_TOC_21" hidden="1">Oth_Ann_TO!$B$177</definedName>
    <definedName name="HL_TOC_22" hidden="1">Oth_Ann_TO!$B$84</definedName>
    <definedName name="HL_TOC_23" hidden="1">Reg_Pop_Ann_TO!$B$85</definedName>
    <definedName name="HL_TOC_24" hidden="1">Oth_LU!$B$125</definedName>
    <definedName name="HL_TOC_25" hidden="1">Oth_Ann_TA!$B$186</definedName>
    <definedName name="HL_TOC_26" hidden="1">Oth_Ann_TO!$B$258</definedName>
    <definedName name="HL_TOC_27" hidden="1">Price_List_BA!$C$81</definedName>
    <definedName name="HL_TOC_28" hidden="1">Price_List_BA!$C$208</definedName>
    <definedName name="HL_TOC_29" hidden="1">Price_List_BA!$C$378</definedName>
    <definedName name="HL_TOC_3" hidden="1">Chks_BO!$B$39</definedName>
    <definedName name="HL_TOC_31" hidden="1">Diag_BA!$B$7</definedName>
    <definedName name="HL_TOC_32" hidden="1">Diag_Ann_TA!$B$12</definedName>
    <definedName name="HL_TOC_33" hidden="1">Diag_Ann_TO!$B$12</definedName>
    <definedName name="HL_TOC_34" hidden="1">Diag_LU!$B$7</definedName>
    <definedName name="HL_TOC_35" hidden="1">Intv_BA!$B$7</definedName>
    <definedName name="HL_TOC_36" hidden="1">Intv_Ann_TA!$B$12</definedName>
    <definedName name="HL_TOC_37" hidden="1">Intv_Ann_TO!$B$12</definedName>
    <definedName name="HL_TOC_38" hidden="1">Intv_LU!$B$7</definedName>
    <definedName name="HL_TOC_39" hidden="1">Out_Ann_TO!$B$62</definedName>
    <definedName name="HL_TOC_4" hidden="1">TS_BA!$B$7</definedName>
    <definedName name="HL_TOC_40" hidden="1">Out_Ann_TO!$B$167</definedName>
    <definedName name="HL_TOC_41" hidden="1">Oth_Ann_TO!$B$139</definedName>
    <definedName name="HL_TOC_42" hidden="1">Oth_LU!$B$151</definedName>
    <definedName name="HL_TOC_43" hidden="1">Oth_Ann_TA!$B$260</definedName>
    <definedName name="HL_TOC_44" hidden="1">Oth_Ann_TO!$B$330</definedName>
    <definedName name="HL_TOC_45" hidden="1">Oth_Ann_TO!$B$159</definedName>
    <definedName name="HL_TOC_46" hidden="1">Out_Ann_TO!$B$326</definedName>
    <definedName name="HL_TOC_47" hidden="1">Out_Ann_TO!$B$400</definedName>
    <definedName name="HL_TOC_48" hidden="1">Out_Ann_TO!$B$12</definedName>
    <definedName name="HL_TOC_5" hidden="1">TS_LU!$B$7</definedName>
    <definedName name="HL_TOC_50" hidden="1">Out_Ann_TO!$B$205</definedName>
    <definedName name="HL_TOC_51" hidden="1">Intv_BA!$B$585</definedName>
    <definedName name="HL_TOC_52" hidden="1">Intv_Ann_TA!$B$207</definedName>
    <definedName name="HL_TOC_53" hidden="1">Intv_Ann_TO!$B$419</definedName>
    <definedName name="HL_TOC_54" hidden="1">Intv_LU!$B$454</definedName>
    <definedName name="HL_TOC_55" hidden="1">Intv_BA!$B$1178</definedName>
    <definedName name="HL_TOC_56" hidden="1">Intv_Ann_TA!$B$597</definedName>
    <definedName name="HL_TOC_57" hidden="1">Intv_Ann_TO!$B$1233</definedName>
    <definedName name="HL_TOC_58" hidden="1">Intv_LU!$B$901</definedName>
    <definedName name="HL_TOC_59" hidden="1">Intv_BA!$B$1765</definedName>
    <definedName name="HL_TOC_6" hidden="1">Team_BA!$B$6</definedName>
    <definedName name="HL_TOC_60" hidden="1">Intv_Ann_TA!$B$792</definedName>
    <definedName name="HL_TOC_61" hidden="1">Intv_Ann_TO!$B$1640</definedName>
    <definedName name="HL_TOC_62" hidden="1">Intv_LU!$B$1348</definedName>
    <definedName name="HL_TOC_63" hidden="1">Intv_BA!$B$2357</definedName>
    <definedName name="HL_TOC_64" hidden="1">Intv_Ann_TA!$B$402</definedName>
    <definedName name="HL_TOC_65" hidden="1">Intv_Ann_TO!$B$826</definedName>
    <definedName name="HL_TOC_66" hidden="1">Intv_LU!$B$1795</definedName>
    <definedName name="HL_TOC_67" hidden="1">Intv_BA!$B$2949</definedName>
    <definedName name="HL_TOC_68" hidden="1">Intv_Ann_TA!$B$987</definedName>
    <definedName name="HL_TOC_69" hidden="1">Intv_Ann_TO!$B$2047</definedName>
    <definedName name="HL_TOC_7" hidden="1">Plac_Start_Facs_BA!$B$6</definedName>
    <definedName name="HL_TOC_70" hidden="1">Intv_LU!$B$2242</definedName>
    <definedName name="HL_TOC_71" hidden="1">Out_LU!$B$7</definedName>
    <definedName name="HL_TOC_72" hidden="1">Oth_LU!$B$177</definedName>
    <definedName name="HL_TOC_73" hidden="1">Out_LU!$B$75</definedName>
    <definedName name="HL_TOC_74" hidden="1">Out_LU!$B$41</definedName>
    <definedName name="HL_TOC_75" hidden="1">Out_LU!$B$24</definedName>
    <definedName name="HL_TOC_76" hidden="1">Out_LU!$B$58</definedName>
    <definedName name="HL_TOC_77" hidden="1">Out_LU!$B$92</definedName>
    <definedName name="HL_TOC_78" hidden="1">Labels_BA!$B$8</definedName>
    <definedName name="HL_TOC_79" hidden="1">Price_List_BA!$B$6</definedName>
    <definedName name="HL_TOC_8" hidden="1">Reg_Pop_LU!$B$7</definedName>
    <definedName name="HL_TOC_80" hidden="1">Labels_BA!$B$6</definedName>
    <definedName name="HL_TOC_81" hidden="1">Price_LU!$B$7</definedName>
    <definedName name="HL_TOC_82" hidden="1">Keys_BO!$B$7</definedName>
    <definedName name="HL_TOC_83" hidden="1">Keys_BO!$B$54</definedName>
    <definedName name="HL_TOC_84" hidden="1">Keys_BO!$B$106</definedName>
    <definedName name="HL_TOC_85" hidden="1">Labels_BA!$B$13</definedName>
    <definedName name="HL_TOC_86" hidden="1">Labels_BA!$B$30</definedName>
    <definedName name="HL_TOC_87" hidden="1">Screen_Sum_Ann_TO!$B$12</definedName>
    <definedName name="HL_TOC_88" hidden="1">Screen_Sum_1_Ann_TO!$B$11</definedName>
    <definedName name="HL_TOC_89" hidden="1">Diag_Sum_Ann_TO!$B$12</definedName>
    <definedName name="HL_TOC_9" hidden="1">Screen_BA!$B$7</definedName>
    <definedName name="HL_TOC_90" hidden="1">Diag_Sum_1_Ann_TO!$B$12</definedName>
    <definedName name="HL_TOC_91" hidden="1">Intv_Sum_Ann_TO!$B$12</definedName>
    <definedName name="HL_TOC_92" hidden="1">Intv_2_Sum_Ann_TO!$B$12</definedName>
    <definedName name="HL_TOC_93" hidden="1">Intv_3_Sum_Ann_TO!$B$12</definedName>
    <definedName name="HL_TOC_94" hidden="1">Intv_4_Sum_Ann_TO!$B$12</definedName>
    <definedName name="HL_TOC_95" hidden="1">Intv_5_Sum_Ann_TO!$B$12</definedName>
    <definedName name="HL_TOC_96" hidden="1">Intv_6_Sum_Ann_TO!$B$12</definedName>
    <definedName name="HL_TOC_97" hidden="1">Intv_Sum_1_Ann_TO!$B$12</definedName>
    <definedName name="HL_TOC_98" hidden="1">Intv_2_Sum_1_Ann_TO!$B$12</definedName>
    <definedName name="HL_TOC_99" hidden="1">Intv_3_Sum_1_Ann_TO!$B$12</definedName>
    <definedName name="HL_Total_Costs_Currency">Out_Ann_TO!$C$14</definedName>
    <definedName name="HL_Total_Costs_Fin_Econ">Out_Ann_TO!$B$12</definedName>
    <definedName name="HL_Total_Costs_Fin_Ex_ServiceDlvry_CapEx">Out_Ann_TO!$I$32</definedName>
    <definedName name="HL_Total_Costs_Total_Economic_Costs">Out_Ann_TO!$D$49</definedName>
    <definedName name="HL_Total_Costs_Total_Financial_Costs">Out_Ann_TO!$D$32</definedName>
    <definedName name="HL_Train_Ass">Oth_Ann_TA!$B$58</definedName>
    <definedName name="HL_Train_Out">Oth_Ann_TO!$B$43</definedName>
    <definedName name="HL_VIA_Service_Costs">Screen_BA!$B$35</definedName>
    <definedName name="Intv_2_Name">Intv_BA!$G$587</definedName>
    <definedName name="Intv_2_Short_Code">Intv_BA!$G$588</definedName>
    <definedName name="Intv_3_Name">Intv_BA!$G$1180</definedName>
    <definedName name="Intv_3_Short_Code">Intv_BA!$G$1181</definedName>
    <definedName name="Intv_4_Name">Intv_BA!$G$1767</definedName>
    <definedName name="Intv_4_Short_Code">Intv_BA!$G$1768</definedName>
    <definedName name="Intv_5_Name">Intv_BA!$G$2359</definedName>
    <definedName name="Intv_5_Short_Code">Intv_BA!$G$2360</definedName>
    <definedName name="Intv_6_Name">Intv_BA!$G$2951</definedName>
    <definedName name="Intv_6_Short_Code">Intv_BA!$G$2952</definedName>
    <definedName name="Intv_Name">Intv_BA!$G$9</definedName>
    <definedName name="Intv_Short_Code">Intv_BA!$G$10</definedName>
    <definedName name="Last_Opened">Cover!$H$19</definedName>
    <definedName name="Lbl_Country">Labels_BA!$G$6</definedName>
    <definedName name="Lbl_Facility_1">Labels_BA!$D$15</definedName>
    <definedName name="Lbl_First_Admin_Div">Labels_BA!$G$9</definedName>
    <definedName name="Lbl_Hospital_Facilities">Labels_BA!$D$14</definedName>
    <definedName name="Lbl_Non_Hospital_Health_Facilities">Labels_BA!$G$14</definedName>
    <definedName name="Lbl_Pop_Segment_1">Labels_BA!$D$33</definedName>
    <definedName name="Lbl_Pop_Segment_1A">Labels_BA!$H$32</definedName>
    <definedName name="Lbl_Pop_Segment_1B">Labels_BA!$H$34</definedName>
    <definedName name="Lbl_Pop_Segment_2_A">Labels_BA!$H$37</definedName>
    <definedName name="Lbl_Pop_Segment_2_B">Labels_BA!$H$39</definedName>
    <definedName name="Lbl_Pop_Seqment_2">Labels_BA!$D$38</definedName>
    <definedName name="Lbl_Second_Admin_Div">Labels_BA!$G$10</definedName>
    <definedName name="Lbl_Third_Admin_Div">Labels_BA!$G$11</definedName>
    <definedName name="LU_Comm_Curr">Oth_LU!$D$139:$D$140</definedName>
    <definedName name="LU_Comm_Denom">Oth_LU!$D$145:$D$148</definedName>
    <definedName name="LU_Comm_Num_Act">Oth_LU!$D$130:$D$134</definedName>
    <definedName name="LU_Diag_Curr">Diag_LU!$D$37:$D$38</definedName>
    <definedName name="LU_Diag_Denom">Diag_LU!$D$43:$D$46</definedName>
    <definedName name="LU_Diag_Equip">Diag_LU!$D$292:$D$414</definedName>
    <definedName name="LU_Diag_Lab_Oth">Diag_LU!$D$419:$D$451</definedName>
    <definedName name="LU_Diag_Pers_Hosp">Diag_LU!$D$51:$D$81</definedName>
    <definedName name="LU_Diag_Pers_Oth">Diag_LU!$D$86:$D$116</definedName>
    <definedName name="LU_Diag_Region">Diag_LU!$D$23:$D$32</definedName>
    <definedName name="LU_Diag_Start_Year">Diag_LU!$D$12:$D$18</definedName>
    <definedName name="LU_Diag_Supplies">Diag_LU!$D$121:$D$287</definedName>
    <definedName name="LU_Init_Inv_Curr">Out_LU!$D$29:$D$30</definedName>
    <definedName name="LU_Init_Inv_Denom">Out_LU!$D$35:$D$38</definedName>
    <definedName name="LU_Intro_Costs_Curr">Out_LU!$D$46:$D$47</definedName>
    <definedName name="LU_Intro_Costs_Denom">Out_LU!$D$52:$D$55</definedName>
    <definedName name="LU_Intv_2_Curr">Intv_LU!$D$484:$D$485</definedName>
    <definedName name="LU_Intv_2_Denom">Intv_LU!$D$490:$D$493</definedName>
    <definedName name="LU_Intv_2_Equip">Intv_LU!$D$739:$D$861</definedName>
    <definedName name="LU_Intv_2_Lab_Oth">Intv_LU!$D$866:$D$898</definedName>
    <definedName name="LU_Intv_2_Pers_Hosp">Intv_LU!$D$498:$D$528</definedName>
    <definedName name="LU_Intv_2_Pers_Oth">Intv_LU!$D$533:$D$563</definedName>
    <definedName name="LU_Intv_2_Region">Intv_LU!$D$470:$D$479</definedName>
    <definedName name="LU_Intv_2_Start_Year">Intv_LU!$D$459:$D$465</definedName>
    <definedName name="LU_Intv_2_Supplies">Intv_LU!$D$568:$D$734</definedName>
    <definedName name="LU_Intv_3_Curr">Intv_LU!$D$931:$D$932</definedName>
    <definedName name="LU_Intv_3_Denom">Intv_LU!$D$937:$D$940</definedName>
    <definedName name="LU_Intv_3_Equip">Intv_LU!$D$1186:$D$1308</definedName>
    <definedName name="LU_Intv_3_Lab_Oth">Intv_LU!$D$1313:$D$1345</definedName>
    <definedName name="LU_Intv_3_Pers_Hosp">Intv_LU!$D$945:$D$975</definedName>
    <definedName name="LU_Intv_3_Pers_Oth">Intv_LU!$D$980:$D$1010</definedName>
    <definedName name="LU_Intv_3_Region">Intv_LU!$D$917:$D$926</definedName>
    <definedName name="LU_Intv_3_Start_Year">Intv_LU!$D$906:$D$912</definedName>
    <definedName name="LU_Intv_3_Supplies">Intv_LU!$D$1015:$D$1181</definedName>
    <definedName name="LU_Intv_4_Curr">Intv_LU!$D$1378:$D$1379</definedName>
    <definedName name="LU_Intv_4_Denom">Intv_LU!$D$1384:$D$1387</definedName>
    <definedName name="LU_Intv_4_Equip">Intv_LU!$D$1633:$D$1755</definedName>
    <definedName name="LU_Intv_4_Lab_Oth">Intv_LU!$D$1760:$D$1792</definedName>
    <definedName name="LU_Intv_4_Pers_Hosp">Intv_LU!$D$1392:$D$1422</definedName>
    <definedName name="LU_Intv_4_Pers_Oth">Intv_LU!$D$1427:$D$1457</definedName>
    <definedName name="LU_Intv_4_Region">Intv_LU!$D$1364:$D$1373</definedName>
    <definedName name="LU_Intv_4_Start_Year">Intv_LU!$D$1353:$D$1359</definedName>
    <definedName name="LU_Intv_4_Supplies">Intv_LU!$D$1462:$D$1628</definedName>
    <definedName name="LU_Intv_5_Curr">Intv_LU!$D$1825:$D$1826</definedName>
    <definedName name="LU_Intv_5_Denom">Intv_LU!$D$1831:$D$1834</definedName>
    <definedName name="LU_Intv_5_Equip">Intv_LU!$D$2080:$D$2202</definedName>
    <definedName name="LU_Intv_5_Lab_Oth">Intv_LU!$D$2207:$D$2239</definedName>
    <definedName name="LU_Intv_5_Pers_Hosp">Intv_LU!$D$1839:$D$1869</definedName>
    <definedName name="LU_Intv_5_Pers_Oth">Intv_LU!$D$1874:$D$1904</definedName>
    <definedName name="LU_Intv_5_Region">Intv_LU!$D$1811:$D$1820</definedName>
    <definedName name="LU_Intv_5_Start_Year">Intv_LU!$D$1800:$D$1806</definedName>
    <definedName name="LU_Intv_5_Supplies">Intv_LU!$D$1909:$D$2075</definedName>
    <definedName name="LU_Intv_6_Curr">Intv_LU!$D$2272:$D$2273</definedName>
    <definedName name="LU_Intv_6_Denom">Intv_LU!$D$2278:$D$2281</definedName>
    <definedName name="LU_Intv_6_Equip">Intv_LU!$D$2527:$D$2649</definedName>
    <definedName name="LU_Intv_6_Lab_Oth">Intv_LU!$D$2654:$D$2686</definedName>
    <definedName name="LU_Intv_6_Pers_Hosp">Intv_LU!$D$2286:$D$2316</definedName>
    <definedName name="LU_Intv_6_Pers_Oth">Intv_LU!$D$2321:$D$2351</definedName>
    <definedName name="LU_Intv_6_Region">Intv_LU!$D$2258:$D$2267</definedName>
    <definedName name="LU_Intv_6_Start_Year">Intv_LU!$D$2247:$D$2253</definedName>
    <definedName name="LU_Intv_6_Supplies">Intv_LU!$D$2356:$D$2522</definedName>
    <definedName name="LU_Intv_Curr">Intv_LU!$D$37:$D$38</definedName>
    <definedName name="LU_Intv_Denom">Intv_LU!$D$43:$D$46</definedName>
    <definedName name="LU_Intv_Equip">Intv_LU!$D$292:$D$414</definedName>
    <definedName name="LU_Intv_Lab_Oth">Intv_LU!$D$419:$D$451</definedName>
    <definedName name="LU_Intv_Pers_Hosp">Intv_LU!$D$51:$D$81</definedName>
    <definedName name="LU_Intv_Pers_Oth">Intv_LU!$D$86:$D$116</definedName>
    <definedName name="LU_Intv_Region">Intv_LU!$D$23:$D$32</definedName>
    <definedName name="LU_Intv_Start_Year">Intv_LU!$D$12:$D$18</definedName>
    <definedName name="LU_Intv_Supplies">Intv_LU!$D$121:$D$287</definedName>
    <definedName name="LU_Micro_Curr">Oth_LU!$D$20:$D$21</definedName>
    <definedName name="LU_Micro_Denom">Oth_LU!$D$26:$D$29</definedName>
    <definedName name="LU_Micro_Num_Act">Oth_LU!$D$12:$D$15</definedName>
    <definedName name="LU_Oth_Curr">Oth_LU!$D$182:$D$183</definedName>
    <definedName name="LU_Oth_Denom">Oth_LU!$D$188:$D$191</definedName>
    <definedName name="LU_PLUG_2_Train_Curr">PLUG_2_LU!$D$13:$D$14</definedName>
    <definedName name="LU_PLUG_3_Train_Curr">PLUG_3_LU!$D$13:$D$14</definedName>
    <definedName name="LU_PLUG_4_Train_Curr">PLUG_4_LU!$D$13:$D$14</definedName>
    <definedName name="LU_PLUG_5_Meet_Curr">PLUG_5_LU!$D$14:$D$15</definedName>
    <definedName name="LU_PLUG_6_Meet_Curr">PLUG_6_LU!$D$14:$D$15</definedName>
    <definedName name="LU_PLUG_7_Meet_Curr">PLUG_7_LU!$D$14:$D$15</definedName>
    <definedName name="LU_PLUG_Train_Curr">Plug_Train_LU!$D$13:$D$14</definedName>
    <definedName name="LU_Price_Curr">Price_LU!$D$12:$D$13</definedName>
    <definedName name="LU_Recur_Cost_Curr">Out_LU!$D$63:$D$64</definedName>
    <definedName name="LU_Recur_Cost_Denom">Out_LU!$D$69:$D$72</definedName>
    <definedName name="LU_Reg_Pop_Start_Year">Reg_Pop_LU!$D$12:$D$17</definedName>
    <definedName name="LU_Screen_Curr">Screen_LU!$D$37:$D$38</definedName>
    <definedName name="LU_Screen_Denom">Screen_LU!$D$44:$D$47</definedName>
    <definedName name="LU_Screen_Equip">Screen_LU!$D$293:$D$415</definedName>
    <definedName name="LU_Screen_Pers_Hosp">Screen_LU!$D$52:$D$82</definedName>
    <definedName name="LU_Screen_Pers_Oth">Screen_LU!$D$87:$D$117</definedName>
    <definedName name="LU_Screen_Region">Screen_LU!$D$23:$D$32</definedName>
    <definedName name="LU_Screen_Start_Year">Screen_LU!$D$12:$D$18</definedName>
    <definedName name="LU_Screen_Supplies">Screen_LU!$D$122:$D$288</definedName>
    <definedName name="LU_Serv_Curr">Out_LU!$D$80:$D$81</definedName>
    <definedName name="LU_Serv_Denom">Out_LU!$D$86:$D$89</definedName>
    <definedName name="LU_SME_Curr">Oth_LU!$D$165:$D$166</definedName>
    <definedName name="LU_SME_Denom">Oth_LU!$D$171:$D$174</definedName>
    <definedName name="LU_SME_Num_Act">Oth_LU!$D$156:$D$160</definedName>
    <definedName name="LU_Sum_Tbls_Curr">Out_LU!$D$12:$D$13</definedName>
    <definedName name="LU_Sum_Tbls_Denom">Out_LU!$D$18:$D$21</definedName>
    <definedName name="LU_Total_Costs_Curr">Out_LU!$D$97:$D$98</definedName>
    <definedName name="LU_Total_Costs_Denom">Out_LU!$D$103:$D$106</definedName>
    <definedName name="LU_Train_Curr">Oth_LU!$D$113:$D$114</definedName>
    <definedName name="LU_Train_Denom">Oth_LU!$D$119:$D$122</definedName>
    <definedName name="LU_Train_Num_Act">Oth_LU!$D$37:$D$48</definedName>
    <definedName name="LU_Train_Participants">Oth_LU!$D$53:$D$64</definedName>
    <definedName name="LU_TS_Denom">TS_LU!$D$77:$D$80</definedName>
    <definedName name="LU_TS_Denom_Conv">TS_LU!$D$85:$D$88</definedName>
    <definedName name="LU_TS_Mth_Days">TS_LU!$D$12:$D$42</definedName>
    <definedName name="LU_TS_Mth_Names">TS_LU!$D$47:$D$58</definedName>
    <definedName name="Model_Name">Cover!$C$3</definedName>
    <definedName name="PLUGIN1">PLUG_IN_1_P_MS!$B$1</definedName>
    <definedName name="Price_Appl_Currency">Price_List_BA!$G$10</definedName>
    <definedName name="_xlnm.Print_Area" localSheetId="37">Ann_Ass_SSC!$B$1:$N$30</definedName>
    <definedName name="_xlnm.Print_Area" localSheetId="52">App_SC!$B$1:$N$28</definedName>
    <definedName name="_xlnm.Print_Area" localSheetId="24">Assumptions_SC!$B$1:$N$30</definedName>
    <definedName name="_xlnm.Print_Area" localSheetId="70">Chks_BO!$B$1:$Q$63</definedName>
    <definedName name="_xlnm.Print_Area" localSheetId="69">Chks_SSC!$B$1:$N$28</definedName>
    <definedName name="_xlnm.Print_Area" localSheetId="1">Contents!$B$1:$Q$140</definedName>
    <definedName name="_xlnm.Print_Area" localSheetId="0">Cover!$A$1:$O$27</definedName>
    <definedName name="_xlnm.Print_Area" localSheetId="20">Cust_SC!$B$1:$N$28</definedName>
    <definedName name="_xlnm.Print_Area" localSheetId="34">Diag_Ann_TA!$B$1:$Q$216</definedName>
    <definedName name="_xlnm.Print_Area" localSheetId="43">Diag_Ann_TO!$B$1:$Q$18</definedName>
    <definedName name="_xlnm.Print_Area" localSheetId="33">Diag_BA!$B$1:$Q$76</definedName>
    <definedName name="_xlnm.Print_Area" localSheetId="66">Diag_LU!$B$1:$G$22</definedName>
    <definedName name="_xlnm.Print_Area" localSheetId="7">Diag_Sum_1_Ann_TO!$B$1:$Q$156</definedName>
    <definedName name="_xlnm.Print_Area" localSheetId="6">Diag_Sum_Ann_TO!$B$1:$Q$189</definedName>
    <definedName name="_xlnm.Print_Area" localSheetId="28">Econ_Ann_TA!$B$1:$Q$45</definedName>
    <definedName name="_xlnm.Print_Area" localSheetId="25">Gen_Assump_SSC!$B$1:$N$30</definedName>
    <definedName name="_xlnm.Print_Area" localSheetId="74">Glossary_P_BO!$B$1:$Q$46</definedName>
    <definedName name="_xlnm.Print_Area" localSheetId="11">Intv_2_Sum_1_Ann_TO!$B$1:$Q$157</definedName>
    <definedName name="_xlnm.Print_Area" localSheetId="10">Intv_2_Sum_Ann_TO!$B$1:$Q$119</definedName>
    <definedName name="_xlnm.Print_Area" localSheetId="15">Intv_3_Sum_1_Ann_TO!$B$1:$Q$157</definedName>
    <definedName name="_xlnm.Print_Area" localSheetId="14">Intv_3_Sum_Ann_TO!$B$1:$Q$119</definedName>
    <definedName name="_xlnm.Print_Area" localSheetId="17">Intv_4_Sum_1_Ann_TO!$B$1:$Q$157</definedName>
    <definedName name="_xlnm.Print_Area" localSheetId="16">Intv_4_Sum_Ann_TO!$B$1:$Q$119</definedName>
    <definedName name="_xlnm.Print_Area" localSheetId="13">Intv_5_Sum_1_Ann_TO!$B$1:$Q$157</definedName>
    <definedName name="_xlnm.Print_Area" localSheetId="12">Intv_5_Sum_Ann_TO!$B$1:$Q$119</definedName>
    <definedName name="_xlnm.Print_Area" localSheetId="19">Intv_6_Sum_1_Ann_TO!$B$1:$Q$157</definedName>
    <definedName name="_xlnm.Print_Area" localSheetId="18">Intv_6_Sum_Ann_TO!$B$1:$Q$119</definedName>
    <definedName name="_xlnm.Print_Area" localSheetId="36">Intv_Ann_TA!$B$1:$Q$189</definedName>
    <definedName name="_xlnm.Print_Area" localSheetId="44">Intv_Ann_TO!$B$1:$Q$23</definedName>
    <definedName name="_xlnm.Print_Area" localSheetId="35">Intv_BA!$B$1:$Q$101</definedName>
    <definedName name="_xlnm.Print_Area" localSheetId="67">Intv_LU!$B$1:$G$27</definedName>
    <definedName name="_xlnm.Print_Area" localSheetId="9">Intv_Sum_1_Ann_TO!$B$1:$Q$157</definedName>
    <definedName name="_xlnm.Print_Area" localSheetId="8">Intv_Sum_Ann_TO!$B$1:$Q$119</definedName>
    <definedName name="_xlnm.Print_Area" localSheetId="76">Keys_BO!$B$1:$Q$40</definedName>
    <definedName name="_xlnm.Print_Area" localSheetId="75">Keys_SSC!$B$1:$N$30</definedName>
    <definedName name="_xlnm.Print_Area" localSheetId="22">Labels_BA!$B$1:$P$4</definedName>
    <definedName name="_xlnm.Print_Area" localSheetId="53">LU_SSC!$B$1:$N$28</definedName>
    <definedName name="_xlnm.Print_Area" localSheetId="73">Notes_BO!$B$1:$Q$39</definedName>
    <definedName name="_xlnm.Print_Area" localSheetId="72">Notes_SSC!$B$1:$N$30</definedName>
    <definedName name="_xlnm.Print_Area" localSheetId="38">Oth_Ann_TA!$B$1:$Q$55</definedName>
    <definedName name="_xlnm.Print_Area" localSheetId="45">Oth_Ann_TO!$B$1:$Q$40</definedName>
    <definedName name="_xlnm.Print_Area" localSheetId="56">Oth_LU!$B$1:$G$65</definedName>
    <definedName name="_xlnm.Print_Area" localSheetId="3">Out_Ann_TO!$B$1:$Q$115</definedName>
    <definedName name="_xlnm.Print_Area" localSheetId="68">Out_LU!$B$1:$G$89</definedName>
    <definedName name="_xlnm.Print_Area" localSheetId="39">Outputs_SC!$B$1:$N$28</definedName>
    <definedName name="_xlnm.Print_Area" localSheetId="71">Overview_SC!$B$1:$N$30</definedName>
    <definedName name="_xlnm.Print_Area" localSheetId="26">Plac_Start_Facs_BA!$B$1:$M$29</definedName>
    <definedName name="_xlnm.Print_Area" localSheetId="59">PLUG_2_LU!$B$1:$G$24</definedName>
    <definedName name="_xlnm.Print_Area" localSheetId="60">PLUG_3_LU!$B$1:$G$24</definedName>
    <definedName name="_xlnm.Print_Area" localSheetId="61">PLUG_4_LU!$B$1:$G$24</definedName>
    <definedName name="_xlnm.Print_Area" localSheetId="62">PLUG_5_LU!$B$1:$G$25</definedName>
    <definedName name="_xlnm.Print_Area" localSheetId="64">PLUG_6_LU!$B$1:$G$25</definedName>
    <definedName name="_xlnm.Print_Area" localSheetId="63">PLUG_7_LU!$B$1:$G$25</definedName>
    <definedName name="_xlnm.Print_Area" localSheetId="47">PLUG_IN_1_P_MS!$B$1:$BI$24</definedName>
    <definedName name="_xlnm.Print_Area" localSheetId="48">PLUG_IN_2_P_MS!$B$1:$BI$56</definedName>
    <definedName name="_xlnm.Print_Area" localSheetId="49">PLUG_IN_3_TRAIN_BA!$B$1:$Q$151</definedName>
    <definedName name="_xlnm.Print_Area" localSheetId="50">PLUG_IN_4_MEET_BA!$B$1:$Q$312</definedName>
    <definedName name="_xlnm.Print_Area" localSheetId="46">PLUG_INS_SC!$B$1:$N$30</definedName>
    <definedName name="_xlnm.Print_Area" localSheetId="58">Plug_Train_LU!$B$1:$G$31</definedName>
    <definedName name="_xlnm.Print_Area" localSheetId="51">'PLUG-IN_4_MEET_BO'!$B$1:$Q$18</definedName>
    <definedName name="_xlnm.Print_Area" localSheetId="29">Price_List_BA!$B$1:$Q$442</definedName>
    <definedName name="_xlnm.Print_Area" localSheetId="55">Price_LU!$B$1:$G$30</definedName>
    <definedName name="_xlnm.Print_Area" localSheetId="40">Raw_Outputs_SSC!$B$1:$N$30</definedName>
    <definedName name="_xlnm.Print_Area" localSheetId="27">Reg_Pop_Ann_TA!$B$1:$Q$215</definedName>
    <definedName name="_xlnm.Print_Area" localSheetId="41">Reg_Pop_Ann_TO!$B$1:$Q$81</definedName>
    <definedName name="_xlnm.Print_Area" localSheetId="57">Reg_Pop_LU!$B$1:$G$22</definedName>
    <definedName name="_xlnm.Print_Area" localSheetId="32">Screen_Ann_TA!$B$1:$Q$267</definedName>
    <definedName name="_xlnm.Print_Area" localSheetId="42">Screen_Ann_TO!$B$1:$Q$397</definedName>
    <definedName name="_xlnm.Print_Area" localSheetId="31">Screen_BA!$B$1:$Q$523</definedName>
    <definedName name="_xlnm.Print_Area" localSheetId="65">Screen_LU!$B$1:$G$415</definedName>
    <definedName name="_xlnm.Print_Area" localSheetId="5">Screen_Sum_1_Ann_TO!$B$1:$Q$140</definedName>
    <definedName name="_xlnm.Print_Area" localSheetId="4">Screen_Sum_Ann_TO!$B$1:$Q$244</definedName>
    <definedName name="_xlnm.Print_Area" localSheetId="2">Sheet_SC!$B$1:$N$33</definedName>
    <definedName name="_xlnm.Print_Area" localSheetId="30">Svc_Assump_SSC!$B$1:$N$30</definedName>
    <definedName name="_xlnm.Print_Area" localSheetId="21">Team_BA!$B$1:$Q$38</definedName>
    <definedName name="_xlnm.Print_Area" localSheetId="23">TS_BA!$B$1:$Q$16</definedName>
    <definedName name="_xlnm.Print_Area" localSheetId="54">TS_LU!$B$1:$G$88</definedName>
    <definedName name="_xlnm.Print_Titles" localSheetId="70">Chks_BO!$1:$6</definedName>
    <definedName name="_xlnm.Print_Titles" localSheetId="1">Contents!$1:$7</definedName>
    <definedName name="_xlnm.Print_Titles" localSheetId="34">Diag_Ann_TA!$1:$9</definedName>
    <definedName name="_xlnm.Print_Titles" localSheetId="43">Diag_Ann_TO!$1:$9</definedName>
    <definedName name="_xlnm.Print_Titles" localSheetId="33">Diag_BA!$1:$4</definedName>
    <definedName name="_xlnm.Print_Titles" localSheetId="66">Diag_LU!$1:$4</definedName>
    <definedName name="_xlnm.Print_Titles" localSheetId="7">Diag_Sum_1_Ann_TO!$1:$9</definedName>
    <definedName name="_xlnm.Print_Titles" localSheetId="6">Diag_Sum_Ann_TO!$1:$9</definedName>
    <definedName name="_xlnm.Print_Titles" localSheetId="28">Econ_Ann_TA!$1:$9</definedName>
    <definedName name="_xlnm.Print_Titles" localSheetId="74">Glossary_P_BO!$1:$6</definedName>
    <definedName name="_xlnm.Print_Titles" localSheetId="11">Intv_2_Sum_1_Ann_TO!$1:$9</definedName>
    <definedName name="_xlnm.Print_Titles" localSheetId="10">Intv_2_Sum_Ann_TO!$1:$9</definedName>
    <definedName name="_xlnm.Print_Titles" localSheetId="15">Intv_3_Sum_1_Ann_TO!$1:$9</definedName>
    <definedName name="_xlnm.Print_Titles" localSheetId="14">Intv_3_Sum_Ann_TO!$1:$9</definedName>
    <definedName name="_xlnm.Print_Titles" localSheetId="17">Intv_4_Sum_1_Ann_TO!$1:$9</definedName>
    <definedName name="_xlnm.Print_Titles" localSheetId="16">Intv_4_Sum_Ann_TO!$1:$9</definedName>
    <definedName name="_xlnm.Print_Titles" localSheetId="13">Intv_5_Sum_1_Ann_TO!$1:$9</definedName>
    <definedName name="_xlnm.Print_Titles" localSheetId="12">Intv_5_Sum_Ann_TO!$1:$9</definedName>
    <definedName name="_xlnm.Print_Titles" localSheetId="19">Intv_6_Sum_1_Ann_TO!$1:$9</definedName>
    <definedName name="_xlnm.Print_Titles" localSheetId="18">Intv_6_Sum_Ann_TO!$1:$9</definedName>
    <definedName name="_xlnm.Print_Titles" localSheetId="36">Intv_Ann_TA!$1:$9</definedName>
    <definedName name="_xlnm.Print_Titles" localSheetId="44">Intv_Ann_TO!$1:$9</definedName>
    <definedName name="_xlnm.Print_Titles" localSheetId="35">Intv_BA!$1:$4</definedName>
    <definedName name="_xlnm.Print_Titles" localSheetId="67">Intv_LU!$1:$4</definedName>
    <definedName name="_xlnm.Print_Titles" localSheetId="9">Intv_Sum_1_Ann_TO!$1:$9</definedName>
    <definedName name="_xlnm.Print_Titles" localSheetId="8">Intv_Sum_Ann_TO!$1:$9</definedName>
    <definedName name="_xlnm.Print_Titles" localSheetId="76">Keys_BO!$1:$4</definedName>
    <definedName name="_xlnm.Print_Titles" localSheetId="22">Labels_BA!$1:$4</definedName>
    <definedName name="_xlnm.Print_Titles" localSheetId="73">Notes_BO!$1:$6</definedName>
    <definedName name="_xlnm.Print_Titles" localSheetId="38">Oth_Ann_TA!$1:$9</definedName>
    <definedName name="_xlnm.Print_Titles" localSheetId="45">Oth_Ann_TO!$1:$9</definedName>
    <definedName name="_xlnm.Print_Titles" localSheetId="3">Out_Ann_TO!$1:$9</definedName>
    <definedName name="_xlnm.Print_Titles" localSheetId="68">Out_LU!$1:$4</definedName>
    <definedName name="_xlnm.Print_Titles" localSheetId="26">Plac_Start_Facs_BA!$1:$4</definedName>
    <definedName name="_xlnm.Print_Titles" localSheetId="59">PLUG_2_LU!$1:$4</definedName>
    <definedName name="_xlnm.Print_Titles" localSheetId="60">PLUG_3_LU!$1:$4</definedName>
    <definedName name="_xlnm.Print_Titles" localSheetId="61">PLUG_4_LU!$1:$4</definedName>
    <definedName name="_xlnm.Print_Titles" localSheetId="64">PLUG_6_LU!$1:$4</definedName>
    <definedName name="_xlnm.Print_Titles" localSheetId="63">PLUG_7_LU!$1:$4</definedName>
    <definedName name="_xlnm.Print_Titles" localSheetId="49">PLUG_IN_3_TRAIN_BA!$1:$4</definedName>
    <definedName name="_xlnm.Print_Titles" localSheetId="50">PLUG_IN_4_MEET_BA!$1:$4</definedName>
    <definedName name="_xlnm.Print_Titles" localSheetId="58">Plug_Train_LU!$1:$4</definedName>
    <definedName name="_xlnm.Print_Titles" localSheetId="51">'PLUG-IN_4_MEET_BO'!$1:$4</definedName>
    <definedName name="_xlnm.Print_Titles" localSheetId="29">Price_List_BA!$1:$4</definedName>
    <definedName name="_xlnm.Print_Titles" localSheetId="55">Price_LU!$1:$4</definedName>
    <definedName name="_xlnm.Print_Titles" localSheetId="27">Reg_Pop_Ann_TA!$1:$9</definedName>
    <definedName name="_xlnm.Print_Titles" localSheetId="41">Reg_Pop_Ann_TO!$1:$9</definedName>
    <definedName name="_xlnm.Print_Titles" localSheetId="57">Reg_Pop_LU!$1:$4</definedName>
    <definedName name="_xlnm.Print_Titles" localSheetId="32">Screen_Ann_TA!$1:$9</definedName>
    <definedName name="_xlnm.Print_Titles" localSheetId="42">Screen_Ann_TO!$1:$9</definedName>
    <definedName name="_xlnm.Print_Titles" localSheetId="31">Screen_BA!$1:$4</definedName>
    <definedName name="_xlnm.Print_Titles" localSheetId="65">Screen_LU!$1:$4</definedName>
    <definedName name="_xlnm.Print_Titles" localSheetId="5">Screen_Sum_1_Ann_TO!$1:$9</definedName>
    <definedName name="_xlnm.Print_Titles" localSheetId="4">Screen_Sum_Ann_TO!$1:$9</definedName>
    <definedName name="_xlnm.Print_Titles" localSheetId="21">Team_BA!$1:$4</definedName>
    <definedName name="_xlnm.Print_Titles" localSheetId="23">TS_BA!$1:$4</definedName>
    <definedName name="_xlnm.Print_Titles" localSheetId="54">TS_LU!$1:$4</definedName>
    <definedName name="RA_Reg_Pop_Demand_Inactive_Proportions">Reg_Pop_Ann_TA!$J$15:$O$15</definedName>
    <definedName name="RA_Reg_Pop_Demand_Prop_Active_Areas">Reg_Pop_Ann_TA!$J$14:$O$14</definedName>
    <definedName name="S_FTE_Mins_per_Hr">PLUG_IN_1_P_MS!$Q$48</definedName>
    <definedName name="S_SP_Percent_Allocated_To_SU">PLUG_IN_1_P_MS!$Q$56</definedName>
    <definedName name="S_SP_Working_Days_Per_Month">PLUG_IN_1_P_MS!$Q$46</definedName>
    <definedName name="S_SP_Working_Hrs_Per_Day">PLUG_IN_1_P_MS!$Q$44</definedName>
    <definedName name="SB_Adj_Hrs_Screening_Avail_per_Day">PLUG_IN_1_P_MS!$Q$16</definedName>
    <definedName name="SB_Adj_Min_per_Screening">PLUG_IN_1_P_MS!$Q$10</definedName>
    <definedName name="SB_Adj_Screen_Days_per_Month">PLUG_IN_1_P_MS!$Q$20</definedName>
    <definedName name="SB_Adj_Screen_Days_per_Year">PLUG_IN_1_P_MS!$Q$20</definedName>
    <definedName name="SB_WKSHT_PROP_ELIG_SEEK_SCREEN">PLUG_IN_2_P_MS!$Q$10</definedName>
    <definedName name="Screen_Code1">Screen_BA!$G$10</definedName>
    <definedName name="Screen_Method_1">Screen_BA!$G$9</definedName>
    <definedName name="Screenings_Avail_per_Day">PLUG_IN_1_P_MS!$C$24</definedName>
    <definedName name="Sens_Chks_Msg">Chks_BO!$I$30</definedName>
    <definedName name="Sens_Chks_Ttl_Areas">Chks_BO!$M$36</definedName>
    <definedName name="Serv_Tot_Nmbr_Svcs_1">Out_Ann_TO!$I$70</definedName>
    <definedName name="Serv_Tot_Nmbr_Svcs_2">Out_Ann_TO!$I$74</definedName>
    <definedName name="Serv_Tot_Nmbr_Svcs_3">Out_Ann_TO!$I$79</definedName>
    <definedName name="Serv_Tot_Nmbr_Svcs_4">Out_Ann_TO!$I$86</definedName>
    <definedName name="Serv_Total_Nmbr_Svcs_1">Out_Ann_TO!$D$70</definedName>
    <definedName name="Serv_Total_Nmbr_Svcs_2">Out_Ann_TO!$D$74</definedName>
    <definedName name="Serv_Total_Nmbr_Svcs_3">Out_Ann_TO!$D$79</definedName>
    <definedName name="Serv_Total_Nmbr_Svcs_4">Out_Ann_TO!$D$86</definedName>
    <definedName name="Service_Unit_Max_Capacity_per_Month">PLUG_IN_1_P_MS!$O$24</definedName>
    <definedName name="TBXBST" localSheetId="37" hidden="1">"|B|SSC|B|"</definedName>
    <definedName name="TBXBST" localSheetId="52" hidden="1">"|B|SC|B|"</definedName>
    <definedName name="TBXBST" localSheetId="24" hidden="1">"|B|SC|B|"</definedName>
    <definedName name="TBXBST" localSheetId="70" hidden="1">"|B|BO|B|"</definedName>
    <definedName name="TBXBST" localSheetId="69" hidden="1">"|B|SSC|B|"</definedName>
    <definedName name="TBXBST" localSheetId="1" hidden="1">"|B|Contents|B|"</definedName>
    <definedName name="TBXBST" localSheetId="0" hidden="1">"|B|Cover|B|"</definedName>
    <definedName name="TBXBST" localSheetId="20" hidden="1">"|B|SC|B|"</definedName>
    <definedName name="TBXBST" localSheetId="34" hidden="1">"|B|TA|B||T|All|T||N|1|N||FTSCN|10|FTSCN||TSP|0|TSP|"</definedName>
    <definedName name="TBXBST" localSheetId="43" hidden="1">"|B|TO|B||T|All|T||N|1|N||FTSCN|10|FTSCN||TSP|0|TSP|"</definedName>
    <definedName name="TBXBST" localSheetId="33" hidden="1">"|B|BA|B|"</definedName>
    <definedName name="TBXBST" localSheetId="66" hidden="1">"|B|LU|B|"</definedName>
    <definedName name="TBXBST" localSheetId="7" hidden="1">"|B|TO|B||T|All|T||N|1|N||FTSCN|10|FTSCN||TSP|0|TSP|"</definedName>
    <definedName name="TBXBST" localSheetId="6" hidden="1">"|B|TO|B||T|All|T||N|1|N||FTSCN|10|FTSCN||TSP|0|TSP|"</definedName>
    <definedName name="TBXBST" localSheetId="28" hidden="1">"|B|TA|B||T|All|T||N|1|N||FTSCN|10|FTSCN||TSP|0|TSP|"</definedName>
    <definedName name="TBXBST" localSheetId="25" hidden="1">"|B|SSC|B|"</definedName>
    <definedName name="TBXBST" localSheetId="74" hidden="1">"|B|BO|B||P|"</definedName>
    <definedName name="TBXBST" localSheetId="11" hidden="1">"|B|TO|B||T|All|T||N|1|N||FTSCN|10|FTSCN||TSP|0|TSP|"</definedName>
    <definedName name="TBXBST" localSheetId="10" hidden="1">"|B|TO|B||T|All|T||N|1|N||FTSCN|10|FTSCN||TSP|0|TSP|"</definedName>
    <definedName name="TBXBST" localSheetId="15" hidden="1">"|B|TO|B||T|All|T||N|1|N||FTSCN|10|FTSCN||TSP|0|TSP|"</definedName>
    <definedName name="TBXBST" localSheetId="14" hidden="1">"|B|TO|B||T|All|T||N|1|N||FTSCN|10|FTSCN||TSP|0|TSP|"</definedName>
    <definedName name="TBXBST" localSheetId="17" hidden="1">"|B|TO|B||T|All|T||N|1|N||FTSCN|10|FTSCN||TSP|0|TSP|"</definedName>
    <definedName name="TBXBST" localSheetId="16" hidden="1">"|B|TO|B||T|All|T||N|1|N||FTSCN|10|FTSCN||TSP|0|TSP|"</definedName>
    <definedName name="TBXBST" localSheetId="13" hidden="1">"|B|TO|B||T|All|T||N|1|N||FTSCN|10|FTSCN||TSP|0|TSP|"</definedName>
    <definedName name="TBXBST" localSheetId="12" hidden="1">"|B|TO|B||T|All|T||N|1|N||FTSCN|10|FTSCN||TSP|0|TSP|"</definedName>
    <definedName name="TBXBST" localSheetId="19" hidden="1">"|B|TO|B||T|All|T||N|1|N||FTSCN|10|FTSCN||TSP|0|TSP|"</definedName>
    <definedName name="TBXBST" localSheetId="18" hidden="1">"|B|TO|B||T|All|T||N|1|N||FTSCN|10|FTSCN||TSP|0|TSP|"</definedName>
    <definedName name="TBXBST" localSheetId="36" hidden="1">"|B|TA|B||T|All|T||N|1|N||FTSCN|10|FTSCN||TSP|0|TSP|"</definedName>
    <definedName name="TBXBST" localSheetId="44" hidden="1">"|B|TO|B||T|All|T||N|1|N||FTSCN|10|FTSCN||TSP|0|TSP|"</definedName>
    <definedName name="TBXBST" localSheetId="35" hidden="1">"|B|BA|B|"</definedName>
    <definedName name="TBXBST" localSheetId="67" hidden="1">"|B|LU|B|"</definedName>
    <definedName name="TBXBST" localSheetId="9" hidden="1">"|B|TO|B||T|All|T||N|1|N||FTSCN|10|FTSCN||TSP|0|TSP|"</definedName>
    <definedName name="TBXBST" localSheetId="8" hidden="1">"|B|TO|B||T|All|T||N|1|N||FTSCN|10|FTSCN||TSP|0|TSP|"</definedName>
    <definedName name="TBXBST" localSheetId="76" hidden="1">"|B|BO|B|"</definedName>
    <definedName name="TBXBST" localSheetId="75" hidden="1">"|B|SSC|B|"</definedName>
    <definedName name="TBXBST" localSheetId="22" hidden="1">"|B|BA|B|"</definedName>
    <definedName name="TBXBST" localSheetId="53" hidden="1">"|B|SSC|B|"</definedName>
    <definedName name="TBXBST" localSheetId="73" hidden="1">"|B|BO|B|"</definedName>
    <definedName name="TBXBST" localSheetId="72" hidden="1">"|B|SSC|B|"</definedName>
    <definedName name="TBXBST" localSheetId="38" hidden="1">"|B|TA|B||T|All|T||N|1|N||FTSCN|10|FTSCN||TSP|0|TSP|"</definedName>
    <definedName name="TBXBST" localSheetId="45" hidden="1">"|B|TO|B||T|All|T||N|1|N||FTSCN|10|FTSCN||TSP|0|TSP|"</definedName>
    <definedName name="TBXBST" localSheetId="56" hidden="1">"|B|LU|B|"</definedName>
    <definedName name="TBXBST" localSheetId="3" hidden="1">"|B|TO|B||T|All|T||N|1|N||FTSCN|10|FTSCN||TSP|0|TSP|"</definedName>
    <definedName name="TBXBST" localSheetId="68" hidden="1">"|B|LU|B|"</definedName>
    <definedName name="TBXBST" localSheetId="39" hidden="1">"|B|SC|B|"</definedName>
    <definedName name="TBXBST" localSheetId="71" hidden="1">"|B|SC|B|"</definedName>
    <definedName name="TBXBST" localSheetId="26" hidden="1">"|B|BA|B|"</definedName>
    <definedName name="TBXBST" localSheetId="59" hidden="1">"|B|LU|B|"</definedName>
    <definedName name="TBXBST" localSheetId="60" hidden="1">"|B|LU|B|"</definedName>
    <definedName name="TBXBST" localSheetId="61" hidden="1">"|B|LU|B|"</definedName>
    <definedName name="TBXBST" localSheetId="62" hidden="1">"|B|LU|B|"</definedName>
    <definedName name="TBXBST" localSheetId="64" hidden="1">"|B|LU|B|"</definedName>
    <definedName name="TBXBST" localSheetId="63" hidden="1">"|B|LU|B|"</definedName>
    <definedName name="TBXBST" localSheetId="47" hidden="1">"|B|MS|B||P|"</definedName>
    <definedName name="TBXBST" localSheetId="48" hidden="1">"|B|MS|B||P|"</definedName>
    <definedName name="TBXBST" localSheetId="49" hidden="1">"|B|BA|B|"</definedName>
    <definedName name="TBXBST" localSheetId="50" hidden="1">"|B|BA|B|"</definedName>
    <definedName name="TBXBST" localSheetId="46" hidden="1">"|B|SC|B|"</definedName>
    <definedName name="TBXBST" localSheetId="58" hidden="1">"|B|LU|B|"</definedName>
    <definedName name="TBXBST" localSheetId="51" hidden="1">"|B|BO|B|"</definedName>
    <definedName name="TBXBST" localSheetId="29" hidden="1">"|B|BA|B|"</definedName>
    <definedName name="TBXBST" localSheetId="55" hidden="1">"|B|LU|B|"</definedName>
    <definedName name="TBXBST" localSheetId="40" hidden="1">"|B|SSC|B|"</definedName>
    <definedName name="TBXBST" localSheetId="27" hidden="1">"|B|TA|B||T|All|T||N|1|N||FTSCN|10|FTSCN||TSP|0|TSP|"</definedName>
    <definedName name="TBXBST" localSheetId="41" hidden="1">"|B|TO|B||T|All|T||N|1|N||FTSCN|10|FTSCN||TSP|0|TSP|"</definedName>
    <definedName name="TBXBST" localSheetId="57" hidden="1">"|B|LU|B|"</definedName>
    <definedName name="TBXBST" localSheetId="32" hidden="1">"|B|TA|B||T|All|T||N|1|N||FTSCN|10|FTSCN||TSP|0|TSP|"</definedName>
    <definedName name="TBXBST" localSheetId="42" hidden="1">"|B|TO|B||T|All|T||N|1|N||FTSCN|10|FTSCN||TSP|0|TSP|"</definedName>
    <definedName name="TBXBST" localSheetId="31" hidden="1">"|B|BA|B|"</definedName>
    <definedName name="TBXBST" localSheetId="65" hidden="1">"|B|LU|B|"</definedName>
    <definedName name="TBXBST" localSheetId="5" hidden="1">"|B|TO|B||T|All|T||N|1|N||FTSCN|10|FTSCN||TSP|0|TSP|"</definedName>
    <definedName name="TBXBST" localSheetId="4" hidden="1">"|B|TO|B||T|All|T||N|1|N||FTSCN|10|FTSCN||TSP|0|TSP|"</definedName>
    <definedName name="TBXBST" localSheetId="2" hidden="1">"|B|SC|B|"</definedName>
    <definedName name="TBXBST" localSheetId="30" hidden="1">"|B|SSC|B|"</definedName>
    <definedName name="TBXBST" localSheetId="21" hidden="1">"|B|BA|B|"</definedName>
    <definedName name="TBXBST" localSheetId="23" hidden="1">"|B|BA|B|"</definedName>
    <definedName name="TBXBST" localSheetId="54" hidden="1">"|B|LU|B|"</definedName>
    <definedName name="TOC_Hdg_1" hidden="1">Chks_BO!$B$7</definedName>
    <definedName name="TOC_Hdg_10" hidden="1">Screen_LU!$B$7</definedName>
    <definedName name="TOC_Hdg_100" hidden="1">Intv_4_Sum_1_Ann_TO!$B$12</definedName>
    <definedName name="TOC_Hdg_101" hidden="1">Intv_5_Sum_1_Ann_TO!$B$12</definedName>
    <definedName name="TOC_Hdg_102" hidden="1">Intv_6_Sum_1_Ann_TO!$B$12</definedName>
    <definedName name="TOC_Hdg_107" hidden="1">Plug_Train_LU!$B$7</definedName>
    <definedName name="TOC_Hdg_108" hidden="1">PLUG_IN_3_TRAIN_BA!$B$10</definedName>
    <definedName name="TOC_Hdg_109" hidden="1">PLUG_IN_3_TRAIN_BA!$B$158</definedName>
    <definedName name="TOC_Hdg_11" hidden="1">Screen_Ann_TO!$B$12</definedName>
    <definedName name="TOC_Hdg_110" hidden="1">PLUG_2_LU!$B$7</definedName>
    <definedName name="TOC_Hdg_111" hidden="1">PLUG_IN_3_TRAIN_BA!$B$306</definedName>
    <definedName name="TOC_Hdg_112" hidden="1">PLUG_3_LU!$B$7</definedName>
    <definedName name="TOC_Hdg_113" hidden="1">PLUG_IN_3_TRAIN_BA!$B$454</definedName>
    <definedName name="TOC_Hdg_114" hidden="1">PLUG_4_LU!$B$7</definedName>
    <definedName name="TOC_Hdg_115" hidden="1">PLUG_IN_4_MEET_BA!$B$7</definedName>
    <definedName name="TOC_Hdg_116" hidden="1">'PLUG-IN_4_MEET_BO'!$B$7</definedName>
    <definedName name="TOC_Hdg_117" hidden="1">PLUG_5_LU!$B$7</definedName>
    <definedName name="TOC_Hdg_118" hidden="1">PLUG_IN_4_MEET_BA!$B$297</definedName>
    <definedName name="TOC_Hdg_119" hidden="1">'PLUG-IN_4_MEET_BO'!$B$35</definedName>
    <definedName name="TOC_Hdg_12" hidden="1">Reg_Pop_Ann_TO!$B$12</definedName>
    <definedName name="TOC_Hdg_120" hidden="1">PLUG_6_LU!$B$7</definedName>
    <definedName name="TOC_Hdg_121" hidden="1">PLUG_IN_4_MEET_BA!$B$152</definedName>
    <definedName name="TOC_Hdg_122" hidden="1">'PLUG-IN_4_MEET_BO'!$B$21</definedName>
    <definedName name="TOC_Hdg_123" hidden="1">PLUG_7_LU!$B$7</definedName>
    <definedName name="TOC_Hdg_124" hidden="1">Reg_Pop_Ann_TA!$B$23</definedName>
    <definedName name="TOC_Hdg_125" hidden="1">#REF!</definedName>
    <definedName name="TOC_Hdg_127" hidden="1">Price_List_BA!$C$12</definedName>
    <definedName name="TOC_Hdg_128" hidden="1">Reg_Pop_Ann_TA!$C$13</definedName>
    <definedName name="TOC_Hdg_129" hidden="1">Reg_Pop_Ann_TA!$B$33</definedName>
    <definedName name="TOC_Hdg_13" hidden="1">Screen_Ann_TA!$B$13</definedName>
    <definedName name="TOC_Hdg_130" hidden="1">Reg_Pop_Ann_TA!$B$53</definedName>
    <definedName name="TOC_Hdg_131" hidden="1">Reg_Pop_Ann_TA!$B$98</definedName>
    <definedName name="TOC_Hdg_132" hidden="1">Reg_Pop_Ann_TA!$B$124</definedName>
    <definedName name="TOC_Hdg_133" hidden="1">Plac_Start_Facs_BA!$C$9</definedName>
    <definedName name="TOC_Hdg_134" hidden="1">Plac_Start_Facs_BA!$H$9</definedName>
    <definedName name="TOC_Hdg_135" hidden="1">Plac_Start_Facs_BA!$J$9</definedName>
    <definedName name="TOC_Hdg_14" hidden="1">Oth_Ann_TA!$B$12</definedName>
    <definedName name="TOC_Hdg_15" hidden="1">Oth_Ann_TO!$B$12</definedName>
    <definedName name="TOC_Hdg_16" hidden="1">Oth_LU!$B$7</definedName>
    <definedName name="TOC_Hdg_17" hidden="1">Oth_Ann_TA!$B$58</definedName>
    <definedName name="TOC_Hdg_18" hidden="1">Oth_Ann_TO!$B$43</definedName>
    <definedName name="TOC_Hdg_19" hidden="1">Oth_LU!$B$32</definedName>
    <definedName name="TOC_Hdg_2" hidden="1">Chks_BO!$B$23</definedName>
    <definedName name="TOC_Hdg_20" hidden="1">Oth_Ann_TA!$B$103</definedName>
    <definedName name="TOC_Hdg_21" hidden="1">Oth_Ann_TO!$B$177</definedName>
    <definedName name="TOC_Hdg_22" hidden="1">Oth_Ann_TO!$B$84</definedName>
    <definedName name="TOC_Hdg_23" hidden="1">Reg_Pop_Ann_TO!$B$85</definedName>
    <definedName name="TOC_Hdg_24" hidden="1">Oth_LU!$B$125</definedName>
    <definedName name="TOC_Hdg_25" hidden="1">Oth_Ann_TA!$B$186</definedName>
    <definedName name="TOC_Hdg_26" hidden="1">Oth_Ann_TO!$B$258</definedName>
    <definedName name="TOC_Hdg_27" hidden="1">Price_List_BA!$C$81</definedName>
    <definedName name="TOC_Hdg_28" hidden="1">Price_List_BA!$C$208</definedName>
    <definedName name="TOC_Hdg_29" hidden="1">Price_List_BA!$C$378</definedName>
    <definedName name="TOC_Hdg_3" hidden="1">Chks_BO!$B$39</definedName>
    <definedName name="TOC_Hdg_31" hidden="1">Diag_BA!$B$7</definedName>
    <definedName name="TOC_Hdg_32" hidden="1">Diag_Ann_TA!$B$12</definedName>
    <definedName name="TOC_Hdg_33" hidden="1">Diag_Ann_TO!$B$12</definedName>
    <definedName name="TOC_Hdg_34" hidden="1">Diag_LU!$B$7</definedName>
    <definedName name="TOC_Hdg_35" hidden="1">Intv_BA!$B$7</definedName>
    <definedName name="TOC_Hdg_36" hidden="1">Intv_Ann_TA!$B$12</definedName>
    <definedName name="TOC_Hdg_37" hidden="1">Intv_Ann_TO!$B$12</definedName>
    <definedName name="TOC_Hdg_38" hidden="1">Intv_LU!$B$7</definedName>
    <definedName name="TOC_Hdg_39" hidden="1">Out_Ann_TO!$B$62</definedName>
    <definedName name="TOC_Hdg_4" hidden="1">TS_BA!$B$7</definedName>
    <definedName name="TOC_Hdg_40" hidden="1">Out_Ann_TO!$B$167</definedName>
    <definedName name="TOC_Hdg_41" hidden="1">Oth_Ann_TO!$B$139</definedName>
    <definedName name="TOC_Hdg_42" hidden="1">Oth_LU!$B$151</definedName>
    <definedName name="TOC_Hdg_43" hidden="1">Oth_Ann_TA!$B$260</definedName>
    <definedName name="TOC_Hdg_44" hidden="1">Oth_Ann_TO!$B$330</definedName>
    <definedName name="TOC_Hdg_45" hidden="1">Oth_Ann_TO!$B$159</definedName>
    <definedName name="TOC_Hdg_46" hidden="1">Out_Ann_TO!$B$326</definedName>
    <definedName name="TOC_Hdg_47" hidden="1">Out_Ann_TO!$B$400</definedName>
    <definedName name="TOC_Hdg_48" hidden="1">Out_Ann_TO!$B$12</definedName>
    <definedName name="TOC_Hdg_5" hidden="1">TS_LU!$B$7</definedName>
    <definedName name="TOC_Hdg_50" hidden="1">Out_Ann_TO!$B$205</definedName>
    <definedName name="TOC_Hdg_51" hidden="1">Intv_BA!$B$585</definedName>
    <definedName name="TOC_Hdg_52" hidden="1">Intv_Ann_TA!$B$207</definedName>
    <definedName name="TOC_Hdg_53" hidden="1">Intv_Ann_TO!$B$419</definedName>
    <definedName name="TOC_Hdg_54" hidden="1">Intv_LU!$B$454</definedName>
    <definedName name="TOC_Hdg_55" hidden="1">Intv_BA!$B$1178</definedName>
    <definedName name="TOC_Hdg_56" hidden="1">Intv_Ann_TA!$B$597</definedName>
    <definedName name="TOC_Hdg_57" hidden="1">Intv_Ann_TO!$B$1233</definedName>
    <definedName name="TOC_Hdg_58" hidden="1">Intv_LU!$B$901</definedName>
    <definedName name="TOC_Hdg_59" hidden="1">Intv_BA!$B$1765</definedName>
    <definedName name="TOC_Hdg_6" hidden="1">Team_BA!$B$6</definedName>
    <definedName name="TOC_Hdg_60" hidden="1">Intv_Ann_TA!$B$792</definedName>
    <definedName name="TOC_Hdg_61" hidden="1">Intv_Ann_TO!$B$1640</definedName>
    <definedName name="TOC_Hdg_62" hidden="1">Intv_LU!$B$1348</definedName>
    <definedName name="TOC_Hdg_63" hidden="1">Intv_BA!$B$2357</definedName>
    <definedName name="TOC_Hdg_64" hidden="1">Intv_Ann_TA!$B$402</definedName>
    <definedName name="TOC_Hdg_65" hidden="1">Intv_Ann_TO!$B$826</definedName>
    <definedName name="TOC_Hdg_66" hidden="1">Intv_LU!$B$1795</definedName>
    <definedName name="TOC_Hdg_67" hidden="1">Intv_BA!$B$2949</definedName>
    <definedName name="TOC_Hdg_68" hidden="1">Intv_Ann_TA!$B$987</definedName>
    <definedName name="TOC_Hdg_69" hidden="1">Intv_Ann_TO!$B$2047</definedName>
    <definedName name="TOC_Hdg_7" hidden="1">Plac_Start_Facs_BA!$B$6</definedName>
    <definedName name="TOC_Hdg_70" hidden="1">Intv_LU!$B$2242</definedName>
    <definedName name="TOC_Hdg_71" hidden="1">Out_LU!$B$7</definedName>
    <definedName name="TOC_Hdg_72" hidden="1">Oth_LU!$B$177</definedName>
    <definedName name="TOC_Hdg_73" hidden="1">Out_LU!$B$75</definedName>
    <definedName name="TOC_Hdg_74" hidden="1">Out_LU!$B$41</definedName>
    <definedName name="TOC_Hdg_75" hidden="1">Out_LU!$B$24</definedName>
    <definedName name="TOC_Hdg_76" hidden="1">Out_LU!$B$58</definedName>
    <definedName name="TOC_Hdg_77" hidden="1">Out_LU!$B$92</definedName>
    <definedName name="TOC_Hdg_78" hidden="1">Labels_BA!$B$8</definedName>
    <definedName name="TOC_Hdg_79" hidden="1">Price_List_BA!$B$6</definedName>
    <definedName name="TOC_Hdg_8" hidden="1">Reg_Pop_LU!$B$7</definedName>
    <definedName name="TOC_Hdg_80" hidden="1">Labels_BA!$B$6</definedName>
    <definedName name="TOC_Hdg_81" hidden="1">Price_LU!$B$7</definedName>
    <definedName name="TOC_Hdg_82" hidden="1">Keys_BO!$B$7</definedName>
    <definedName name="TOC_Hdg_83" hidden="1">Keys_BO!$B$54</definedName>
    <definedName name="TOC_Hdg_84" hidden="1">Keys_BO!$B$106</definedName>
    <definedName name="TOC_Hdg_85" hidden="1">Labels_BA!$B$13</definedName>
    <definedName name="TOC_Hdg_86" hidden="1">Labels_BA!$B$30</definedName>
    <definedName name="TOC_Hdg_87" hidden="1">Screen_Sum_Ann_TO!$B$12</definedName>
    <definedName name="TOC_Hdg_88" hidden="1">Screen_Sum_1_Ann_TO!$B$11</definedName>
    <definedName name="TOC_Hdg_89" hidden="1">Diag_Sum_Ann_TO!$B$12</definedName>
    <definedName name="TOC_Hdg_9" hidden="1">Screen_BA!$B$7</definedName>
    <definedName name="TOC_Hdg_90" hidden="1">Diag_Sum_1_Ann_TO!$B$12</definedName>
    <definedName name="TOC_Hdg_91" hidden="1">Intv_Sum_Ann_TO!$B$12</definedName>
    <definedName name="TOC_Hdg_92" hidden="1">Intv_2_Sum_Ann_TO!$B$12</definedName>
    <definedName name="TOC_Hdg_93" hidden="1">Intv_3_Sum_Ann_TO!$B$12</definedName>
    <definedName name="TOC_Hdg_94" hidden="1">Intv_4_Sum_Ann_TO!$B$12</definedName>
    <definedName name="TOC_Hdg_95" hidden="1">Intv_5_Sum_Ann_TO!$B$12</definedName>
    <definedName name="TOC_Hdg_96" hidden="1">Intv_6_Sum_Ann_TO!$B$12</definedName>
    <definedName name="TOC_Hdg_97" hidden="1">Intv_Sum_1_Ann_TO!$B$12</definedName>
    <definedName name="TOC_Hdg_98" hidden="1">Intv_2_Sum_1_Ann_TO!$B$12</definedName>
    <definedName name="TOC_Hdg_99" hidden="1">Intv_3_Sum_1_Ann_TO!$B$12</definedName>
    <definedName name="Total_Costs_Econ_Ex_ServiceDlvry_CapEx">Out_Ann_TO!$I$49</definedName>
    <definedName name="TOTAL_PREDICTED_CX">#REF!</definedName>
    <definedName name="TOTAL_PREDICTED_NORMAL">#REF!</definedName>
    <definedName name="TOTAL_PREDICTED_PRECX">#REF!</definedName>
    <definedName name="TOTAL_TREATED">#REF!</definedName>
    <definedName name="TS_Billion">TS_LU!$D$88</definedName>
    <definedName name="TS_Currency">TS_BA!$H$15</definedName>
    <definedName name="TS_Days_In_Wk">TS_LU!$D$66</definedName>
    <definedName name="TS_Denom_Conv_Fact">TS_BA!$H$16</definedName>
    <definedName name="TS_End_Date">TS_BA!$H$14</definedName>
    <definedName name="TS_First_Fin_Yr">TS_BA!$H$11</definedName>
    <definedName name="TS_Halves_In_Yr">TS_LU!$D$72</definedName>
    <definedName name="TS_Hrs_In_Day">TS_LU!$D$65</definedName>
    <definedName name="TS_Million">TS_LU!$D$87</definedName>
    <definedName name="TS_Mins_In_Hr">TS_LU!$D$64</definedName>
    <definedName name="TS_Mths_In_Half">TS_LU!$D$68</definedName>
    <definedName name="TS_Mths_In_Qtr">TS_LU!$D$67</definedName>
    <definedName name="TS_Mths_In_Yr">TS_LU!$D$69</definedName>
    <definedName name="TS_Qtrs_In_Half">TS_LU!$D$70</definedName>
    <definedName name="TS_Qtrs_In_Yr">TS_LU!$D$71</definedName>
    <definedName name="TS_Secs_In_Min">TS_LU!$D$63</definedName>
    <definedName name="TS_Start_Date">TS_BA!$H$13</definedName>
    <definedName name="TS_Term">TS_BA!$H$12</definedName>
    <definedName name="TS_Thousand">TS_LU!$D$86</definedName>
  </definedNames>
  <calcPr calcId="145621"/>
</workbook>
</file>

<file path=xl/calcChain.xml><?xml version="1.0" encoding="utf-8"?>
<calcChain xmlns="http://schemas.openxmlformats.org/spreadsheetml/2006/main">
  <c r="I140" i="5" l="1"/>
  <c r="I139" i="5"/>
  <c r="I138" i="5"/>
  <c r="H137" i="5"/>
  <c r="F136" i="5"/>
  <c r="H135" i="5"/>
  <c r="H134" i="5"/>
  <c r="F133" i="5"/>
  <c r="D132" i="5"/>
  <c r="I131" i="5"/>
  <c r="I130" i="5"/>
  <c r="I129" i="5"/>
  <c r="H128" i="5"/>
  <c r="F127" i="5"/>
  <c r="D126" i="5"/>
  <c r="I125" i="5"/>
  <c r="I124" i="5"/>
  <c r="I123" i="5"/>
  <c r="H122" i="5"/>
  <c r="I121" i="5"/>
  <c r="I120" i="5"/>
  <c r="I119" i="5"/>
  <c r="H118" i="5"/>
  <c r="I117" i="5"/>
  <c r="I116" i="5"/>
  <c r="I115" i="5"/>
  <c r="I114" i="5"/>
  <c r="H113" i="5"/>
  <c r="H112" i="5"/>
  <c r="H111" i="5"/>
  <c r="D110" i="5"/>
  <c r="I109" i="5"/>
  <c r="I108" i="5"/>
  <c r="I107" i="5"/>
  <c r="I106" i="5"/>
  <c r="I105" i="5"/>
  <c r="I104" i="5"/>
  <c r="I103" i="5"/>
  <c r="I102" i="5"/>
  <c r="H101" i="5"/>
  <c r="I100" i="5"/>
  <c r="I99" i="5"/>
  <c r="I98" i="5"/>
  <c r="I97" i="5"/>
  <c r="I96" i="5"/>
  <c r="I95" i="5"/>
  <c r="H94" i="5"/>
  <c r="H93" i="5"/>
  <c r="H92" i="5"/>
  <c r="I91" i="5"/>
  <c r="I90" i="5"/>
  <c r="H89" i="5"/>
  <c r="F88" i="5"/>
  <c r="D87" i="5"/>
  <c r="I86" i="5"/>
  <c r="I85" i="5"/>
  <c r="I84" i="5"/>
  <c r="I83" i="5"/>
  <c r="I82" i="5"/>
  <c r="H81" i="5"/>
  <c r="F80" i="5"/>
  <c r="I79" i="5"/>
  <c r="I78" i="5"/>
  <c r="I77" i="5"/>
  <c r="I76" i="5"/>
  <c r="I75" i="5"/>
  <c r="I74" i="5"/>
  <c r="H73" i="5"/>
  <c r="I72" i="5"/>
  <c r="I71" i="5"/>
  <c r="I70" i="5"/>
  <c r="I69" i="5"/>
  <c r="I68" i="5"/>
  <c r="I67" i="5"/>
  <c r="H66" i="5"/>
  <c r="H65" i="5"/>
  <c r="H64" i="5"/>
  <c r="H63" i="5"/>
  <c r="H62" i="5"/>
  <c r="F61" i="5"/>
  <c r="I60" i="5"/>
  <c r="I59" i="5"/>
  <c r="I58" i="5"/>
  <c r="I57" i="5"/>
  <c r="I56" i="5"/>
  <c r="H55" i="5"/>
  <c r="H54" i="5"/>
  <c r="I53" i="5"/>
  <c r="I52" i="5"/>
  <c r="I51" i="5"/>
  <c r="I50" i="5"/>
  <c r="I49" i="5"/>
  <c r="I48" i="5"/>
  <c r="H47" i="5"/>
  <c r="I46" i="5"/>
  <c r="I45" i="5"/>
  <c r="I44" i="5"/>
  <c r="I43" i="5"/>
  <c r="H42" i="5"/>
  <c r="F41" i="5"/>
  <c r="D40" i="5"/>
  <c r="H39" i="5"/>
  <c r="I38" i="5"/>
  <c r="I37" i="5"/>
  <c r="I36" i="5"/>
  <c r="I35" i="5"/>
  <c r="H34" i="5"/>
  <c r="H33" i="5"/>
  <c r="D32" i="5"/>
  <c r="H31" i="5"/>
  <c r="H30" i="5"/>
  <c r="H29" i="5"/>
  <c r="H28" i="5"/>
  <c r="H27" i="5"/>
  <c r="H26" i="5"/>
  <c r="H25" i="5"/>
  <c r="H24" i="5"/>
  <c r="H23" i="5"/>
  <c r="H22" i="5"/>
  <c r="H21" i="5"/>
  <c r="H20" i="5"/>
  <c r="H19" i="5"/>
  <c r="H18" i="5"/>
  <c r="H17" i="5"/>
  <c r="H16" i="5"/>
  <c r="I15" i="5"/>
  <c r="I14" i="5"/>
  <c r="I13" i="5"/>
  <c r="I12" i="5"/>
  <c r="I11" i="5"/>
  <c r="I10" i="5"/>
  <c r="H9" i="5"/>
  <c r="D8" i="5"/>
  <c r="J286" i="111"/>
  <c r="K286" i="111"/>
  <c r="L286" i="111"/>
  <c r="M286" i="111"/>
  <c r="N286" i="111"/>
  <c r="O286" i="111"/>
  <c r="J287" i="111"/>
  <c r="K287" i="111"/>
  <c r="L287" i="111"/>
  <c r="M287" i="111"/>
  <c r="N287" i="111"/>
  <c r="O287" i="111"/>
  <c r="J288" i="111"/>
  <c r="K288" i="111"/>
  <c r="L288" i="111"/>
  <c r="M288" i="111"/>
  <c r="N288" i="111"/>
  <c r="O288" i="111"/>
  <c r="J289" i="111"/>
  <c r="K289" i="111"/>
  <c r="L289" i="111"/>
  <c r="M289" i="111"/>
  <c r="N289" i="111"/>
  <c r="O289" i="111"/>
  <c r="J290" i="111"/>
  <c r="K290" i="111"/>
  <c r="L290" i="111"/>
  <c r="M290" i="111"/>
  <c r="N290" i="111"/>
  <c r="O290" i="111"/>
  <c r="J291" i="111"/>
  <c r="K291" i="111"/>
  <c r="L291" i="111"/>
  <c r="M291" i="111"/>
  <c r="N291" i="111"/>
  <c r="O291" i="111"/>
  <c r="J277" i="111"/>
  <c r="K277" i="111"/>
  <c r="L277" i="111"/>
  <c r="M277" i="111"/>
  <c r="N277" i="111"/>
  <c r="O277" i="111"/>
  <c r="J278" i="111"/>
  <c r="K278" i="111"/>
  <c r="L278" i="111"/>
  <c r="M278" i="111"/>
  <c r="N278" i="111"/>
  <c r="O278" i="111"/>
  <c r="J279" i="111"/>
  <c r="K279" i="111"/>
  <c r="L279" i="111"/>
  <c r="M279" i="111"/>
  <c r="N279" i="111"/>
  <c r="O279" i="111"/>
  <c r="J280" i="111"/>
  <c r="K280" i="111"/>
  <c r="L280" i="111"/>
  <c r="M280" i="111"/>
  <c r="N280" i="111"/>
  <c r="O280" i="111"/>
  <c r="J281" i="111"/>
  <c r="K281" i="111"/>
  <c r="L281" i="111"/>
  <c r="M281" i="111"/>
  <c r="N281" i="111"/>
  <c r="O281" i="111"/>
  <c r="J282" i="111"/>
  <c r="K282" i="111"/>
  <c r="L282" i="111"/>
  <c r="M282" i="111"/>
  <c r="N282" i="111"/>
  <c r="O282" i="111"/>
  <c r="H25" i="15"/>
  <c r="J268" i="111"/>
  <c r="K268" i="111"/>
  <c r="L268" i="111"/>
  <c r="M268" i="111"/>
  <c r="N268" i="111"/>
  <c r="O268" i="111"/>
  <c r="J269" i="111"/>
  <c r="K269" i="111"/>
  <c r="L269" i="111"/>
  <c r="M269" i="111"/>
  <c r="N269" i="111"/>
  <c r="O269" i="111"/>
  <c r="J270" i="111"/>
  <c r="K270" i="111"/>
  <c r="L270" i="111"/>
  <c r="M270" i="111"/>
  <c r="N270" i="111"/>
  <c r="O270" i="111"/>
  <c r="J271" i="111"/>
  <c r="K271" i="111"/>
  <c r="L271" i="111"/>
  <c r="M271" i="111"/>
  <c r="N271" i="111"/>
  <c r="O271" i="111"/>
  <c r="J272" i="111"/>
  <c r="K272" i="111"/>
  <c r="L272" i="111"/>
  <c r="M272" i="111"/>
  <c r="N272" i="111"/>
  <c r="O272" i="111"/>
  <c r="J273" i="111"/>
  <c r="K273" i="111"/>
  <c r="L273" i="111"/>
  <c r="M273" i="111"/>
  <c r="N273" i="111"/>
  <c r="O273" i="111"/>
  <c r="D182" i="111"/>
  <c r="D183" i="111"/>
  <c r="D184" i="111"/>
  <c r="D185" i="111"/>
  <c r="D186" i="111"/>
  <c r="D187" i="111"/>
  <c r="D188" i="111"/>
  <c r="J132" i="111"/>
  <c r="K132" i="111"/>
  <c r="L132" i="111"/>
  <c r="M132" i="111"/>
  <c r="N132" i="111"/>
  <c r="O132" i="111"/>
  <c r="J131" i="111"/>
  <c r="K131" i="111"/>
  <c r="L131" i="111"/>
  <c r="M131" i="111"/>
  <c r="N131" i="111"/>
  <c r="O131" i="111"/>
  <c r="J125" i="111"/>
  <c r="K125" i="111"/>
  <c r="L125" i="111"/>
  <c r="M125" i="111"/>
  <c r="N125" i="111"/>
  <c r="O125" i="111"/>
  <c r="J124" i="111"/>
  <c r="K124" i="111"/>
  <c r="L124" i="111"/>
  <c r="M124" i="111"/>
  <c r="N124" i="111"/>
  <c r="O124" i="111"/>
  <c r="D164" i="110"/>
  <c r="D163" i="110"/>
  <c r="D162" i="110"/>
  <c r="D161" i="110"/>
  <c r="D159" i="110"/>
  <c r="D158" i="110"/>
  <c r="D157" i="110"/>
  <c r="D156" i="110"/>
  <c r="D248" i="111"/>
  <c r="D249" i="111"/>
  <c r="D250" i="111"/>
  <c r="D251" i="111"/>
  <c r="D241" i="111"/>
  <c r="D242" i="111"/>
  <c r="D243" i="111"/>
  <c r="D244" i="111"/>
  <c r="D235" i="111"/>
  <c r="D236" i="111"/>
  <c r="D237" i="111"/>
  <c r="D238" i="111"/>
  <c r="D226" i="111"/>
  <c r="D227" i="111"/>
  <c r="D228" i="111"/>
  <c r="D229" i="111"/>
  <c r="D219" i="111"/>
  <c r="D220" i="111"/>
  <c r="D221" i="111"/>
  <c r="D222" i="111"/>
  <c r="D213" i="111"/>
  <c r="D214" i="111"/>
  <c r="D215" i="111"/>
  <c r="D216" i="111"/>
  <c r="J182" i="111"/>
  <c r="K182" i="111"/>
  <c r="L182" i="111"/>
  <c r="M182" i="111"/>
  <c r="N182" i="111"/>
  <c r="O182" i="111"/>
  <c r="J183" i="111"/>
  <c r="K183" i="111"/>
  <c r="L183" i="111"/>
  <c r="M183" i="111"/>
  <c r="N183" i="111"/>
  <c r="O183" i="111"/>
  <c r="J184" i="111"/>
  <c r="K184" i="111"/>
  <c r="L184" i="111"/>
  <c r="M184" i="111"/>
  <c r="N184" i="111"/>
  <c r="O184" i="111"/>
  <c r="J185" i="111"/>
  <c r="K185" i="111"/>
  <c r="L185" i="111"/>
  <c r="M185" i="111"/>
  <c r="N185" i="111"/>
  <c r="O185" i="111"/>
  <c r="J186" i="111"/>
  <c r="K186" i="111"/>
  <c r="L186" i="111"/>
  <c r="M186" i="111"/>
  <c r="N186" i="111"/>
  <c r="O186" i="111"/>
  <c r="J187" i="111"/>
  <c r="K187" i="111"/>
  <c r="L187" i="111"/>
  <c r="M187" i="111"/>
  <c r="N187" i="111"/>
  <c r="O187" i="111"/>
  <c r="J188" i="111"/>
  <c r="K188" i="111"/>
  <c r="L188" i="111"/>
  <c r="M188" i="111"/>
  <c r="N188" i="111"/>
  <c r="O188" i="111"/>
  <c r="J213" i="111"/>
  <c r="K213" i="111"/>
  <c r="L213" i="111"/>
  <c r="M213" i="111"/>
  <c r="N213" i="111"/>
  <c r="O213" i="111"/>
  <c r="J214" i="111"/>
  <c r="K214" i="111"/>
  <c r="L214" i="111"/>
  <c r="M214" i="111"/>
  <c r="N214" i="111"/>
  <c r="O214" i="111"/>
  <c r="J215" i="111"/>
  <c r="K215" i="111"/>
  <c r="L215" i="111"/>
  <c r="M215" i="111"/>
  <c r="N215" i="111"/>
  <c r="O215" i="111"/>
  <c r="J216" i="111"/>
  <c r="K216" i="111"/>
  <c r="L216" i="111"/>
  <c r="M216" i="111"/>
  <c r="N216" i="111"/>
  <c r="O216" i="111"/>
  <c r="D130" i="112"/>
  <c r="D131" i="112"/>
  <c r="D132" i="112"/>
  <c r="D133" i="112"/>
  <c r="D134" i="112"/>
  <c r="J117" i="111"/>
  <c r="K117" i="111"/>
  <c r="L117" i="111"/>
  <c r="M117" i="111"/>
  <c r="N117" i="111"/>
  <c r="O117" i="111"/>
  <c r="J114" i="111"/>
  <c r="K114" i="111"/>
  <c r="L114" i="111"/>
  <c r="M114" i="111"/>
  <c r="N114" i="111"/>
  <c r="O114" i="111"/>
  <c r="J110" i="111"/>
  <c r="K110" i="111"/>
  <c r="L110" i="111"/>
  <c r="M110" i="111"/>
  <c r="N110" i="111"/>
  <c r="O110" i="111"/>
  <c r="J107" i="111"/>
  <c r="K107" i="111"/>
  <c r="L107" i="111"/>
  <c r="M107" i="111"/>
  <c r="N107" i="111"/>
  <c r="O107" i="111"/>
  <c r="J106" i="111"/>
  <c r="K106" i="111"/>
  <c r="L106" i="111"/>
  <c r="M106" i="111"/>
  <c r="N106" i="111"/>
  <c r="O106" i="111"/>
  <c r="J113" i="111"/>
  <c r="K113" i="111"/>
  <c r="L113" i="111"/>
  <c r="M113" i="111"/>
  <c r="N113" i="111"/>
  <c r="O113" i="111"/>
  <c r="D113" i="111"/>
  <c r="D115" i="111" s="1"/>
  <c r="D106" i="111"/>
  <c r="D107" i="111" s="1"/>
  <c r="J100" i="111"/>
  <c r="K100" i="111"/>
  <c r="L100" i="111"/>
  <c r="M100" i="111"/>
  <c r="N100" i="111"/>
  <c r="O100" i="111"/>
  <c r="J97" i="111"/>
  <c r="K97" i="111"/>
  <c r="L97" i="111"/>
  <c r="M97" i="111"/>
  <c r="N97" i="111"/>
  <c r="O97" i="111"/>
  <c r="J93" i="111"/>
  <c r="K93" i="111"/>
  <c r="L93" i="111"/>
  <c r="M93" i="111"/>
  <c r="N93" i="111"/>
  <c r="O93" i="111"/>
  <c r="J96" i="111"/>
  <c r="K96" i="111"/>
  <c r="L96" i="111"/>
  <c r="M96" i="111"/>
  <c r="N96" i="111"/>
  <c r="O96" i="111"/>
  <c r="J90" i="111"/>
  <c r="K90" i="111"/>
  <c r="L90" i="111"/>
  <c r="M90" i="111"/>
  <c r="N90" i="111"/>
  <c r="O90" i="111"/>
  <c r="J89" i="111"/>
  <c r="K89" i="111"/>
  <c r="L89" i="111"/>
  <c r="M89" i="111"/>
  <c r="N89" i="111"/>
  <c r="O89" i="111"/>
  <c r="D200" i="19"/>
  <c r="D87" i="111" s="1"/>
  <c r="D214" i="19"/>
  <c r="D104" i="111" s="1"/>
  <c r="D127" i="110"/>
  <c r="D126" i="110"/>
  <c r="D96" i="111" s="1"/>
  <c r="D100" i="111" s="1"/>
  <c r="D125" i="110"/>
  <c r="D124" i="110"/>
  <c r="D89" i="111" s="1"/>
  <c r="D90" i="111" s="1"/>
  <c r="D201" i="111"/>
  <c r="D202" i="111"/>
  <c r="D203" i="111"/>
  <c r="D204" i="111"/>
  <c r="D205" i="111"/>
  <c r="D206" i="111"/>
  <c r="D207" i="111"/>
  <c r="D191" i="111"/>
  <c r="D192" i="111"/>
  <c r="D193" i="111"/>
  <c r="D194" i="111"/>
  <c r="D195" i="111"/>
  <c r="D196" i="111"/>
  <c r="D197" i="111"/>
  <c r="J48" i="111"/>
  <c r="K48" i="111"/>
  <c r="L48" i="111"/>
  <c r="M48" i="111"/>
  <c r="N48" i="111"/>
  <c r="O48" i="111"/>
  <c r="J49" i="111"/>
  <c r="K49" i="111"/>
  <c r="L49" i="111"/>
  <c r="M49" i="111"/>
  <c r="N49" i="111"/>
  <c r="O49" i="111"/>
  <c r="J50" i="111"/>
  <c r="K50" i="111"/>
  <c r="L50" i="111"/>
  <c r="M50" i="111"/>
  <c r="N50" i="111"/>
  <c r="O50" i="111"/>
  <c r="J51" i="111"/>
  <c r="K51" i="111"/>
  <c r="L51" i="111"/>
  <c r="M51" i="111"/>
  <c r="N51" i="111"/>
  <c r="O51" i="111"/>
  <c r="J52" i="111"/>
  <c r="K52" i="111"/>
  <c r="L52" i="111"/>
  <c r="M52" i="111"/>
  <c r="N52" i="111"/>
  <c r="O52" i="111"/>
  <c r="J53" i="111"/>
  <c r="K53" i="111"/>
  <c r="L53" i="111"/>
  <c r="M53" i="111"/>
  <c r="N53" i="111"/>
  <c r="O53" i="111"/>
  <c r="J54" i="111"/>
  <c r="K54" i="111"/>
  <c r="L54" i="111"/>
  <c r="M54" i="111"/>
  <c r="N54" i="111"/>
  <c r="O54" i="111"/>
  <c r="D85" i="110"/>
  <c r="D86" i="110"/>
  <c r="D87" i="110"/>
  <c r="D88" i="110"/>
  <c r="D89" i="110"/>
  <c r="D90" i="110"/>
  <c r="D91" i="110"/>
  <c r="D75" i="110"/>
  <c r="D76" i="110"/>
  <c r="D77" i="110"/>
  <c r="D78" i="110"/>
  <c r="D79" i="110"/>
  <c r="D80" i="110"/>
  <c r="D81" i="110"/>
  <c r="D53" i="112"/>
  <c r="D54" i="112"/>
  <c r="D55" i="112"/>
  <c r="D56" i="112"/>
  <c r="D57" i="112"/>
  <c r="D58" i="112"/>
  <c r="D59" i="112"/>
  <c r="D60" i="112"/>
  <c r="D61" i="112"/>
  <c r="D62" i="112"/>
  <c r="D63" i="112"/>
  <c r="D64" i="112"/>
  <c r="D37" i="112"/>
  <c r="D38" i="112"/>
  <c r="D39" i="112"/>
  <c r="D40" i="112"/>
  <c r="D41" i="112"/>
  <c r="D42" i="112"/>
  <c r="D43" i="112"/>
  <c r="D44" i="112"/>
  <c r="D45" i="112"/>
  <c r="D46" i="112"/>
  <c r="D47" i="112"/>
  <c r="D48" i="112"/>
  <c r="J17" i="111"/>
  <c r="K17" i="111"/>
  <c r="L17" i="111"/>
  <c r="M17" i="111"/>
  <c r="N17" i="111"/>
  <c r="O17" i="111"/>
  <c r="J18" i="111"/>
  <c r="K18" i="111"/>
  <c r="L18" i="111"/>
  <c r="M18" i="111"/>
  <c r="N18" i="111"/>
  <c r="O18" i="111"/>
  <c r="J19" i="111"/>
  <c r="K19" i="111"/>
  <c r="L19" i="111"/>
  <c r="M19" i="111"/>
  <c r="N19" i="111"/>
  <c r="O19" i="111"/>
  <c r="J20" i="111"/>
  <c r="K20" i="111"/>
  <c r="L20" i="111"/>
  <c r="M20" i="111"/>
  <c r="N20" i="111"/>
  <c r="O20" i="111"/>
  <c r="D45" i="110"/>
  <c r="D46" i="110"/>
  <c r="D47" i="110"/>
  <c r="D48" i="110"/>
  <c r="D39" i="110"/>
  <c r="D40" i="110"/>
  <c r="D41" i="110"/>
  <c r="D42" i="110"/>
  <c r="D12" i="112"/>
  <c r="D13" i="112"/>
  <c r="D14" i="112"/>
  <c r="D15" i="112"/>
  <c r="D61" i="10"/>
  <c r="D52" i="10"/>
  <c r="D117" i="111" l="1"/>
  <c r="D118" i="111"/>
  <c r="D108" i="111"/>
  <c r="D110" i="111"/>
  <c r="D111" i="111"/>
  <c r="D114" i="111"/>
  <c r="D101" i="111"/>
  <c r="D97" i="111"/>
  <c r="D98" i="111"/>
  <c r="D94" i="111"/>
  <c r="D91" i="111"/>
  <c r="D93" i="111"/>
  <c r="C241" i="140"/>
  <c r="D19" i="141"/>
  <c r="C242" i="140" l="1"/>
  <c r="D121" i="156"/>
  <c r="D132" i="156" s="1"/>
  <c r="D121" i="155"/>
  <c r="D132" i="155" s="1"/>
  <c r="D121" i="154"/>
  <c r="D132" i="154" s="1"/>
  <c r="D121" i="153"/>
  <c r="D132" i="153" s="1"/>
  <c r="D121" i="152"/>
  <c r="D132" i="152" s="1"/>
  <c r="D121" i="151"/>
  <c r="D132" i="151" s="1"/>
  <c r="D108" i="156"/>
  <c r="D119" i="156" s="1"/>
  <c r="D108" i="155"/>
  <c r="D119" i="155" s="1"/>
  <c r="D108" i="154"/>
  <c r="D119" i="154" s="1"/>
  <c r="D108" i="153"/>
  <c r="D119" i="153" s="1"/>
  <c r="D108" i="152"/>
  <c r="D119" i="152" s="1"/>
  <c r="D108" i="151"/>
  <c r="D119" i="151" s="1"/>
  <c r="D95" i="156"/>
  <c r="D106" i="156" s="1"/>
  <c r="D95" i="155"/>
  <c r="D106" i="155" s="1"/>
  <c r="D95" i="154"/>
  <c r="D106" i="154" s="1"/>
  <c r="D95" i="153"/>
  <c r="D106" i="153" s="1"/>
  <c r="D95" i="152"/>
  <c r="D106" i="152" s="1"/>
  <c r="D95" i="151"/>
  <c r="D106" i="151" s="1"/>
  <c r="D82" i="156"/>
  <c r="D93" i="156" s="1"/>
  <c r="D82" i="155"/>
  <c r="D93" i="155" s="1"/>
  <c r="D82" i="154"/>
  <c r="D93" i="154" s="1"/>
  <c r="D82" i="153"/>
  <c r="D93" i="153" s="1"/>
  <c r="D82" i="152"/>
  <c r="D93" i="152" s="1"/>
  <c r="D82" i="151"/>
  <c r="D93" i="151" s="1"/>
  <c r="D78" i="156"/>
  <c r="D78" i="155"/>
  <c r="D78" i="154"/>
  <c r="D78" i="153"/>
  <c r="D78" i="152"/>
  <c r="D78" i="151"/>
  <c r="D65" i="156"/>
  <c r="D65" i="155"/>
  <c r="D65" i="154"/>
  <c r="D65" i="153"/>
  <c r="D65" i="152"/>
  <c r="D65" i="151"/>
  <c r="D52" i="156"/>
  <c r="D52" i="155"/>
  <c r="D52" i="154"/>
  <c r="D52" i="153"/>
  <c r="D52" i="152"/>
  <c r="D52" i="151"/>
  <c r="D39" i="156"/>
  <c r="D39" i="155"/>
  <c r="D39" i="154"/>
  <c r="D39" i="153"/>
  <c r="D39" i="152"/>
  <c r="D39" i="151"/>
  <c r="D26" i="156"/>
  <c r="D26" i="155"/>
  <c r="D26" i="154"/>
  <c r="D26" i="153"/>
  <c r="D26" i="152"/>
  <c r="D26" i="151"/>
  <c r="C100" i="150"/>
  <c r="C100" i="149"/>
  <c r="C100" i="148"/>
  <c r="C100" i="147"/>
  <c r="C100" i="146"/>
  <c r="C100" i="145"/>
  <c r="C87" i="150"/>
  <c r="C87" i="149"/>
  <c r="C87" i="148"/>
  <c r="C87" i="147"/>
  <c r="C87" i="146"/>
  <c r="C87" i="145"/>
  <c r="C60" i="150"/>
  <c r="C71" i="150" s="1"/>
  <c r="C60" i="149"/>
  <c r="C71" i="149" s="1"/>
  <c r="C60" i="148"/>
  <c r="C71" i="148" s="1"/>
  <c r="C60" i="147"/>
  <c r="C71" i="147" s="1"/>
  <c r="C60" i="146"/>
  <c r="C71" i="146" s="1"/>
  <c r="C60" i="145"/>
  <c r="C71" i="145" s="1"/>
  <c r="C57" i="150"/>
  <c r="C57" i="149"/>
  <c r="C57" i="148"/>
  <c r="C57" i="147"/>
  <c r="C57" i="146"/>
  <c r="C57" i="145"/>
  <c r="I43" i="150"/>
  <c r="I43" i="149"/>
  <c r="I43" i="148"/>
  <c r="I43" i="147"/>
  <c r="I43" i="146"/>
  <c r="I43" i="145"/>
  <c r="C30" i="150"/>
  <c r="C41" i="150" s="1"/>
  <c r="C30" i="149"/>
  <c r="C41" i="149" s="1"/>
  <c r="C30" i="148"/>
  <c r="C41" i="148" s="1"/>
  <c r="C30" i="147"/>
  <c r="C41" i="147" s="1"/>
  <c r="C30" i="146"/>
  <c r="C41" i="146" s="1"/>
  <c r="C30" i="145"/>
  <c r="C41" i="145" s="1"/>
  <c r="D121" i="144"/>
  <c r="D132" i="144" s="1"/>
  <c r="D108" i="144"/>
  <c r="D119" i="144" s="1"/>
  <c r="D95" i="144"/>
  <c r="D106" i="144" s="1"/>
  <c r="D82" i="144"/>
  <c r="D93" i="144" s="1"/>
  <c r="D78" i="144"/>
  <c r="D65" i="144"/>
  <c r="D52" i="144"/>
  <c r="D39" i="144"/>
  <c r="D26" i="144"/>
  <c r="C118" i="143"/>
  <c r="I159" i="143"/>
  <c r="I146" i="143"/>
  <c r="I133" i="143"/>
  <c r="I120" i="143"/>
  <c r="C103" i="143"/>
  <c r="C58" i="143"/>
  <c r="C73" i="143"/>
  <c r="I43" i="143"/>
  <c r="C30" i="143"/>
  <c r="C41" i="143" s="1"/>
  <c r="C16" i="143"/>
  <c r="C27" i="143" s="1"/>
  <c r="C144" i="156" l="1"/>
  <c r="C144" i="155"/>
  <c r="C144" i="154"/>
  <c r="C144" i="153"/>
  <c r="C144" i="152"/>
  <c r="C144" i="151"/>
  <c r="C142" i="156"/>
  <c r="C142" i="155"/>
  <c r="C142" i="154"/>
  <c r="C142" i="153"/>
  <c r="C142" i="152"/>
  <c r="C142" i="151"/>
  <c r="C104" i="150"/>
  <c r="C104" i="149"/>
  <c r="C104" i="148"/>
  <c r="C104" i="147"/>
  <c r="C104" i="146"/>
  <c r="C104" i="145"/>
  <c r="J8" i="156"/>
  <c r="K8" i="156"/>
  <c r="L8" i="156"/>
  <c r="M8" i="156"/>
  <c r="N8" i="156"/>
  <c r="O8" i="156"/>
  <c r="J8" i="155"/>
  <c r="K8" i="155"/>
  <c r="L8" i="155"/>
  <c r="M8" i="155"/>
  <c r="N8" i="155"/>
  <c r="O8" i="155"/>
  <c r="J8" i="154"/>
  <c r="K8" i="154"/>
  <c r="L8" i="154"/>
  <c r="M8" i="154"/>
  <c r="N8" i="154"/>
  <c r="O8" i="154"/>
  <c r="J8" i="153"/>
  <c r="K8" i="153"/>
  <c r="L8" i="153"/>
  <c r="M8" i="153"/>
  <c r="N8" i="153"/>
  <c r="O8" i="153"/>
  <c r="J8" i="152"/>
  <c r="K8" i="152"/>
  <c r="L8" i="152"/>
  <c r="M8" i="152"/>
  <c r="N8" i="152"/>
  <c r="O8" i="152"/>
  <c r="J8" i="151"/>
  <c r="K8" i="151"/>
  <c r="L8" i="151"/>
  <c r="M8" i="151"/>
  <c r="N8" i="151"/>
  <c r="O8" i="151"/>
  <c r="J8" i="150"/>
  <c r="K8" i="150"/>
  <c r="L8" i="150"/>
  <c r="M8" i="150"/>
  <c r="N8" i="150"/>
  <c r="O8" i="150"/>
  <c r="J8" i="149"/>
  <c r="K8" i="149"/>
  <c r="L8" i="149"/>
  <c r="M8" i="149"/>
  <c r="N8" i="149"/>
  <c r="O8" i="149"/>
  <c r="J8" i="148"/>
  <c r="K8" i="148"/>
  <c r="L8" i="148"/>
  <c r="M8" i="148"/>
  <c r="N8" i="148"/>
  <c r="O8" i="148"/>
  <c r="J8" i="147"/>
  <c r="K8" i="147"/>
  <c r="L8" i="147"/>
  <c r="M8" i="147"/>
  <c r="N8" i="147"/>
  <c r="O8" i="147"/>
  <c r="J8" i="146"/>
  <c r="K8" i="146"/>
  <c r="L8" i="146"/>
  <c r="M8" i="146"/>
  <c r="N8" i="146"/>
  <c r="O8" i="146"/>
  <c r="J8" i="145"/>
  <c r="K8" i="145"/>
  <c r="L8" i="145"/>
  <c r="M8" i="145"/>
  <c r="N8" i="145"/>
  <c r="O8" i="145"/>
  <c r="C143" i="144"/>
  <c r="C142" i="144"/>
  <c r="C141" i="144"/>
  <c r="C175" i="143"/>
  <c r="C174" i="143"/>
  <c r="J8" i="144"/>
  <c r="K8" i="144"/>
  <c r="L8" i="144"/>
  <c r="M8" i="144"/>
  <c r="N8" i="144"/>
  <c r="O8" i="144"/>
  <c r="J8" i="143"/>
  <c r="K8" i="143"/>
  <c r="L8" i="143"/>
  <c r="M8" i="143"/>
  <c r="N8" i="143"/>
  <c r="O8" i="143"/>
  <c r="D106" i="142" l="1"/>
  <c r="D117" i="142" s="1"/>
  <c r="D93" i="142"/>
  <c r="D104" i="142" s="1"/>
  <c r="D80" i="142"/>
  <c r="D91" i="142" s="1"/>
  <c r="D67" i="142"/>
  <c r="D78" i="142" s="1"/>
  <c r="D64" i="142"/>
  <c r="D51" i="142"/>
  <c r="D27" i="142"/>
  <c r="D38" i="142" s="1"/>
  <c r="D25" i="142"/>
  <c r="C127" i="142"/>
  <c r="J8" i="142"/>
  <c r="K8" i="142"/>
  <c r="L8" i="142"/>
  <c r="M8" i="142"/>
  <c r="N8" i="142"/>
  <c r="O8" i="142"/>
  <c r="J133" i="140"/>
  <c r="K133" i="140"/>
  <c r="L133" i="140"/>
  <c r="M133" i="140"/>
  <c r="N133" i="140"/>
  <c r="O133" i="140"/>
  <c r="D133" i="140"/>
  <c r="J132" i="140"/>
  <c r="K132" i="140"/>
  <c r="L132" i="140"/>
  <c r="M132" i="140"/>
  <c r="N132" i="140"/>
  <c r="O132" i="140"/>
  <c r="D132" i="140"/>
  <c r="J131" i="140"/>
  <c r="L131" i="140"/>
  <c r="M131" i="140"/>
  <c r="N131" i="140"/>
  <c r="O131" i="140"/>
  <c r="D131" i="140"/>
  <c r="J130" i="140"/>
  <c r="K130" i="140"/>
  <c r="L130" i="140"/>
  <c r="M130" i="140"/>
  <c r="N130" i="140"/>
  <c r="O130" i="140"/>
  <c r="D130" i="140"/>
  <c r="J234" i="140"/>
  <c r="J235" i="140"/>
  <c r="J233" i="140"/>
  <c r="D146" i="17"/>
  <c r="D187" i="140" s="1"/>
  <c r="D145" i="17"/>
  <c r="D199" i="140" s="1"/>
  <c r="D144" i="17"/>
  <c r="D198" i="140" s="1"/>
  <c r="D143" i="17"/>
  <c r="D184" i="140" s="1"/>
  <c r="D142" i="17"/>
  <c r="D183" i="140" s="1"/>
  <c r="D141" i="17"/>
  <c r="D182" i="140" s="1"/>
  <c r="D140" i="17"/>
  <c r="D181" i="140" s="1"/>
  <c r="D139" i="17"/>
  <c r="D180" i="140" s="1"/>
  <c r="D138" i="17"/>
  <c r="D179" i="140" s="1"/>
  <c r="D137" i="17"/>
  <c r="D178" i="140" s="1"/>
  <c r="D99" i="140"/>
  <c r="D161" i="140"/>
  <c r="D148" i="140"/>
  <c r="D86" i="140"/>
  <c r="D59" i="142" l="1"/>
  <c r="D58" i="142"/>
  <c r="D57" i="142"/>
  <c r="D56" i="142"/>
  <c r="D63" i="142"/>
  <c r="D55" i="142"/>
  <c r="D62" i="142"/>
  <c r="D54" i="142"/>
  <c r="D61" i="142"/>
  <c r="D60" i="142"/>
  <c r="D48" i="142"/>
  <c r="D47" i="142"/>
  <c r="D46" i="142"/>
  <c r="D45" i="142"/>
  <c r="D44" i="142"/>
  <c r="D43" i="142"/>
  <c r="D50" i="142"/>
  <c r="D42" i="142"/>
  <c r="D49" i="142"/>
  <c r="D41" i="142"/>
  <c r="D173" i="140"/>
  <c r="D213" i="140"/>
  <c r="D205" i="140"/>
  <c r="D220" i="140"/>
  <c r="D170" i="140"/>
  <c r="D212" i="140"/>
  <c r="D204" i="140"/>
  <c r="D219" i="140"/>
  <c r="D169" i="140"/>
  <c r="D211" i="140"/>
  <c r="D226" i="140"/>
  <c r="D218" i="140"/>
  <c r="D166" i="140"/>
  <c r="D210" i="140"/>
  <c r="D225" i="140"/>
  <c r="D217" i="140"/>
  <c r="D165" i="140"/>
  <c r="D209" i="140"/>
  <c r="D224" i="140"/>
  <c r="D208" i="140"/>
  <c r="D223" i="140"/>
  <c r="D207" i="140"/>
  <c r="D222" i="140"/>
  <c r="D174" i="140"/>
  <c r="D206" i="140"/>
  <c r="D221" i="140"/>
  <c r="D171" i="140"/>
  <c r="D168" i="140"/>
  <c r="D167" i="140"/>
  <c r="D172" i="140"/>
  <c r="D185" i="140"/>
  <c r="D196" i="140"/>
  <c r="D186" i="140"/>
  <c r="D197" i="140"/>
  <c r="D195" i="140"/>
  <c r="D194" i="140"/>
  <c r="D193" i="140"/>
  <c r="D200" i="140"/>
  <c r="D192" i="140"/>
  <c r="D191" i="140"/>
  <c r="D73" i="140"/>
  <c r="D60" i="140"/>
  <c r="D127" i="140" l="1"/>
  <c r="D103" i="140"/>
  <c r="D114" i="140" s="1"/>
  <c r="C16" i="140"/>
  <c r="D27" i="140" s="1"/>
  <c r="B7" i="17"/>
  <c r="D53" i="10" s="1"/>
  <c r="J8" i="140"/>
  <c r="K8" i="140"/>
  <c r="L8" i="140"/>
  <c r="M8" i="140"/>
  <c r="N8" i="140"/>
  <c r="O8" i="140"/>
  <c r="D150" i="17"/>
  <c r="D37" i="18" s="1"/>
  <c r="D151" i="17"/>
  <c r="D38" i="18" s="1"/>
  <c r="J295" i="110"/>
  <c r="K295" i="110"/>
  <c r="L295" i="110"/>
  <c r="M295" i="110"/>
  <c r="N295" i="110"/>
  <c r="O295" i="110"/>
  <c r="J296" i="110"/>
  <c r="K296" i="110"/>
  <c r="L296" i="110"/>
  <c r="M296" i="110"/>
  <c r="N296" i="110"/>
  <c r="O296" i="110"/>
  <c r="D295" i="110"/>
  <c r="D182" i="112" s="1"/>
  <c r="D296" i="110"/>
  <c r="D183" i="112" s="1"/>
  <c r="J253" i="110"/>
  <c r="K253" i="110"/>
  <c r="L253" i="110"/>
  <c r="M253" i="110"/>
  <c r="N253" i="110"/>
  <c r="O253" i="110"/>
  <c r="J254" i="110"/>
  <c r="K254" i="110"/>
  <c r="L254" i="110"/>
  <c r="M254" i="110"/>
  <c r="N254" i="110"/>
  <c r="O254" i="110"/>
  <c r="D253" i="110"/>
  <c r="D165" i="112" s="1"/>
  <c r="D254" i="110"/>
  <c r="D166" i="112" s="1"/>
  <c r="J179" i="110"/>
  <c r="K179" i="110"/>
  <c r="L179" i="110"/>
  <c r="M179" i="110"/>
  <c r="N179" i="110"/>
  <c r="O179" i="110"/>
  <c r="J180" i="110"/>
  <c r="K180" i="110"/>
  <c r="L180" i="110"/>
  <c r="M180" i="110"/>
  <c r="N180" i="110"/>
  <c r="O180" i="110"/>
  <c r="D179" i="110"/>
  <c r="D139" i="112" s="1"/>
  <c r="D180" i="110"/>
  <c r="D140" i="112" s="1"/>
  <c r="J97" i="110"/>
  <c r="K97" i="110"/>
  <c r="L97" i="110"/>
  <c r="M97" i="110"/>
  <c r="N97" i="110"/>
  <c r="O97" i="110"/>
  <c r="J98" i="110"/>
  <c r="K98" i="110"/>
  <c r="L98" i="110"/>
  <c r="M98" i="110"/>
  <c r="N98" i="110"/>
  <c r="O98" i="110"/>
  <c r="D97" i="110"/>
  <c r="D113" i="112" s="1"/>
  <c r="D98" i="110"/>
  <c r="D114" i="112" s="1"/>
  <c r="J52" i="110"/>
  <c r="K52" i="110"/>
  <c r="L52" i="110"/>
  <c r="M52" i="110"/>
  <c r="N52" i="110"/>
  <c r="O52" i="110"/>
  <c r="J53" i="110"/>
  <c r="K53" i="110"/>
  <c r="L53" i="110"/>
  <c r="M53" i="110"/>
  <c r="N53" i="110"/>
  <c r="O53" i="110"/>
  <c r="D52" i="110"/>
  <c r="D20" i="112" s="1"/>
  <c r="D53" i="110"/>
  <c r="D21" i="112" s="1"/>
  <c r="J1175" i="34"/>
  <c r="K1175" i="34"/>
  <c r="L1175" i="34"/>
  <c r="M1175" i="34"/>
  <c r="N1175" i="34"/>
  <c r="O1175" i="34"/>
  <c r="J1176" i="34"/>
  <c r="K1176" i="34"/>
  <c r="L1176" i="34"/>
  <c r="M1176" i="34"/>
  <c r="N1176" i="34"/>
  <c r="O1176" i="34"/>
  <c r="D1175" i="34"/>
  <c r="D2272" i="36" s="1"/>
  <c r="D1176" i="34"/>
  <c r="D2273" i="36" s="1"/>
  <c r="J980" i="34"/>
  <c r="K980" i="34"/>
  <c r="L980" i="34"/>
  <c r="M980" i="34"/>
  <c r="N980" i="34"/>
  <c r="O980" i="34"/>
  <c r="J981" i="34"/>
  <c r="K981" i="34"/>
  <c r="L981" i="34"/>
  <c r="M981" i="34"/>
  <c r="N981" i="34"/>
  <c r="O981" i="34"/>
  <c r="D980" i="34"/>
  <c r="D1378" i="36" s="1"/>
  <c r="D981" i="34"/>
  <c r="D1379" i="36" s="1"/>
  <c r="J785" i="34"/>
  <c r="K785" i="34"/>
  <c r="L785" i="34"/>
  <c r="M785" i="34"/>
  <c r="N785" i="34"/>
  <c r="O785" i="34"/>
  <c r="J786" i="34"/>
  <c r="K786" i="34"/>
  <c r="L786" i="34"/>
  <c r="M786" i="34"/>
  <c r="N786" i="34"/>
  <c r="O786" i="34"/>
  <c r="D785" i="34"/>
  <c r="D931" i="36" s="1"/>
  <c r="D786" i="34"/>
  <c r="D932" i="36" s="1"/>
  <c r="J590" i="34"/>
  <c r="K590" i="34"/>
  <c r="L590" i="34"/>
  <c r="M590" i="34"/>
  <c r="N590" i="34"/>
  <c r="O590" i="34"/>
  <c r="J591" i="34"/>
  <c r="K591" i="34"/>
  <c r="L591" i="34"/>
  <c r="M591" i="34"/>
  <c r="N591" i="34"/>
  <c r="O591" i="34"/>
  <c r="D590" i="34"/>
  <c r="D1825" i="36" s="1"/>
  <c r="D591" i="34"/>
  <c r="D1826" i="36" s="1"/>
  <c r="J395" i="34"/>
  <c r="K395" i="34"/>
  <c r="L395" i="34"/>
  <c r="M395" i="34"/>
  <c r="N395" i="34"/>
  <c r="O395" i="34"/>
  <c r="J396" i="34"/>
  <c r="K396" i="34"/>
  <c r="L396" i="34"/>
  <c r="M396" i="34"/>
  <c r="N396" i="34"/>
  <c r="O396" i="34"/>
  <c r="D395" i="34"/>
  <c r="D484" i="36" s="1"/>
  <c r="D396" i="34"/>
  <c r="D485" i="36" s="1"/>
  <c r="J200" i="34"/>
  <c r="K200" i="34"/>
  <c r="L200" i="34"/>
  <c r="M200" i="34"/>
  <c r="N200" i="34"/>
  <c r="O200" i="34"/>
  <c r="J201" i="34"/>
  <c r="K201" i="34"/>
  <c r="L201" i="34"/>
  <c r="M201" i="34"/>
  <c r="N201" i="34"/>
  <c r="O201" i="34"/>
  <c r="D200" i="34"/>
  <c r="D37" i="36" s="1"/>
  <c r="D201" i="34"/>
  <c r="D38" i="36" s="1"/>
  <c r="J54" i="37"/>
  <c r="K54" i="37"/>
  <c r="L54" i="37"/>
  <c r="M54" i="37"/>
  <c r="N54" i="37"/>
  <c r="O54" i="37"/>
  <c r="J55" i="37"/>
  <c r="K55" i="37"/>
  <c r="L55" i="37"/>
  <c r="M55" i="37"/>
  <c r="N55" i="37"/>
  <c r="O55" i="37"/>
  <c r="D54" i="37"/>
  <c r="D97" i="38" s="1"/>
  <c r="D55" i="37"/>
  <c r="D98" i="38" s="1"/>
  <c r="J141" i="37"/>
  <c r="K141" i="37"/>
  <c r="L141" i="37"/>
  <c r="M141" i="37"/>
  <c r="N141" i="37"/>
  <c r="O141" i="37"/>
  <c r="J142" i="37"/>
  <c r="K142" i="37"/>
  <c r="L142" i="37"/>
  <c r="M142" i="37"/>
  <c r="N142" i="37"/>
  <c r="O142" i="37"/>
  <c r="D141" i="37"/>
  <c r="D80" i="38" s="1"/>
  <c r="D142" i="37"/>
  <c r="J465" i="37"/>
  <c r="K465" i="37"/>
  <c r="L465" i="37"/>
  <c r="M465" i="37"/>
  <c r="N465" i="37"/>
  <c r="O465" i="37"/>
  <c r="J466" i="37"/>
  <c r="K466" i="37"/>
  <c r="L466" i="37"/>
  <c r="M466" i="37"/>
  <c r="N466" i="37"/>
  <c r="O466" i="37"/>
  <c r="D465" i="37"/>
  <c r="D63" i="38" s="1"/>
  <c r="D466" i="37"/>
  <c r="D64" i="38" s="1"/>
  <c r="J391" i="37"/>
  <c r="K391" i="37"/>
  <c r="L391" i="37"/>
  <c r="M391" i="37"/>
  <c r="N391" i="37"/>
  <c r="O391" i="37"/>
  <c r="J392" i="37"/>
  <c r="K392" i="37"/>
  <c r="L392" i="37"/>
  <c r="M392" i="37"/>
  <c r="N392" i="37"/>
  <c r="O392" i="37"/>
  <c r="D391" i="37"/>
  <c r="D46" i="38" s="1"/>
  <c r="D392" i="37"/>
  <c r="D47" i="38" s="1"/>
  <c r="J309" i="37"/>
  <c r="K309" i="37"/>
  <c r="L309" i="37"/>
  <c r="M309" i="37"/>
  <c r="N309" i="37"/>
  <c r="O309" i="37"/>
  <c r="J310" i="37"/>
  <c r="K310" i="37"/>
  <c r="L310" i="37"/>
  <c r="M310" i="37"/>
  <c r="N310" i="37"/>
  <c r="O310" i="37"/>
  <c r="D309" i="37"/>
  <c r="D310" i="37"/>
  <c r="D30" i="38" s="1"/>
  <c r="J194" i="37"/>
  <c r="K194" i="37"/>
  <c r="L194" i="37"/>
  <c r="M194" i="37"/>
  <c r="N194" i="37"/>
  <c r="O194" i="37"/>
  <c r="J195" i="37"/>
  <c r="K195" i="37"/>
  <c r="L195" i="37"/>
  <c r="M195" i="37"/>
  <c r="N195" i="37"/>
  <c r="O195" i="37"/>
  <c r="D194" i="37"/>
  <c r="D12" i="38" s="1"/>
  <c r="D195" i="37"/>
  <c r="D13" i="38" s="1"/>
  <c r="J438" i="121"/>
  <c r="K438" i="121"/>
  <c r="L438" i="121"/>
  <c r="M438" i="121"/>
  <c r="J439" i="121"/>
  <c r="K439" i="121"/>
  <c r="L439" i="121"/>
  <c r="M439" i="121"/>
  <c r="D438" i="121"/>
  <c r="D14" i="122" s="1"/>
  <c r="D439" i="121"/>
  <c r="U433" i="121" s="1"/>
  <c r="J293" i="121"/>
  <c r="K293" i="121"/>
  <c r="L293" i="121"/>
  <c r="M293" i="121"/>
  <c r="J294" i="121"/>
  <c r="K294" i="121"/>
  <c r="L294" i="121"/>
  <c r="M294" i="121"/>
  <c r="D293" i="121"/>
  <c r="D14" i="123" s="1"/>
  <c r="D294" i="121"/>
  <c r="U288" i="121" s="1"/>
  <c r="J148" i="121"/>
  <c r="K148" i="121"/>
  <c r="L148" i="121"/>
  <c r="M148" i="121"/>
  <c r="J149" i="121"/>
  <c r="K149" i="121"/>
  <c r="L149" i="121"/>
  <c r="M149" i="121"/>
  <c r="D148" i="121"/>
  <c r="D14" i="120" s="1"/>
  <c r="D149" i="121"/>
  <c r="U143" i="121" s="1"/>
  <c r="J595" i="115"/>
  <c r="K595" i="115"/>
  <c r="L595" i="115"/>
  <c r="M595" i="115"/>
  <c r="J596" i="115"/>
  <c r="K596" i="115"/>
  <c r="L596" i="115"/>
  <c r="M596" i="115"/>
  <c r="D595" i="115"/>
  <c r="D13" i="118" s="1"/>
  <c r="D596" i="115"/>
  <c r="D14" i="118" s="1"/>
  <c r="J447" i="115"/>
  <c r="K447" i="115"/>
  <c r="L447" i="115"/>
  <c r="M447" i="115"/>
  <c r="J448" i="115"/>
  <c r="K448" i="115"/>
  <c r="L448" i="115"/>
  <c r="M448" i="115"/>
  <c r="D447" i="115"/>
  <c r="D13" i="117" s="1"/>
  <c r="D448" i="115"/>
  <c r="D14" i="117" s="1"/>
  <c r="J299" i="115"/>
  <c r="K299" i="115"/>
  <c r="L299" i="115"/>
  <c r="M299" i="115"/>
  <c r="J300" i="115"/>
  <c r="K300" i="115"/>
  <c r="L300" i="115"/>
  <c r="M300" i="115"/>
  <c r="D299" i="115"/>
  <c r="D13" i="116" s="1"/>
  <c r="D300" i="115"/>
  <c r="D14" i="116" s="1"/>
  <c r="J151" i="115"/>
  <c r="K151" i="115"/>
  <c r="L151" i="115"/>
  <c r="M151" i="115"/>
  <c r="J152" i="115"/>
  <c r="K152" i="115"/>
  <c r="L152" i="115"/>
  <c r="M152" i="115"/>
  <c r="D151" i="115"/>
  <c r="D13" i="114" s="1"/>
  <c r="D152" i="115"/>
  <c r="D12" i="52"/>
  <c r="D13" i="52"/>
  <c r="G416" i="82"/>
  <c r="G21" i="17"/>
  <c r="D208" i="21"/>
  <c r="D187" i="21"/>
  <c r="D166" i="21"/>
  <c r="D145" i="21"/>
  <c r="D124" i="21"/>
  <c r="D103" i="21"/>
  <c r="D82" i="21"/>
  <c r="D61" i="21"/>
  <c r="D40" i="21"/>
  <c r="D18" i="21"/>
  <c r="G32" i="17"/>
  <c r="G31" i="17"/>
  <c r="G30" i="17"/>
  <c r="G29" i="17"/>
  <c r="G28" i="17"/>
  <c r="G27" i="17"/>
  <c r="G26" i="17"/>
  <c r="G23" i="17"/>
  <c r="G22" i="17"/>
  <c r="D251" i="21"/>
  <c r="H801" i="35"/>
  <c r="H802" i="35"/>
  <c r="H803" i="35"/>
  <c r="H804" i="35"/>
  <c r="H805" i="35"/>
  <c r="H806" i="35"/>
  <c r="H807" i="35"/>
  <c r="H808" i="35"/>
  <c r="H809" i="35"/>
  <c r="H810" i="35"/>
  <c r="H789" i="35"/>
  <c r="H790" i="35"/>
  <c r="H791" i="35"/>
  <c r="H792" i="35"/>
  <c r="H793" i="35"/>
  <c r="H794" i="35"/>
  <c r="H795" i="35"/>
  <c r="H796" i="35"/>
  <c r="H797" i="35"/>
  <c r="H798" i="35"/>
  <c r="H776" i="35"/>
  <c r="H777" i="35"/>
  <c r="H778" i="35"/>
  <c r="H779" i="35"/>
  <c r="H780" i="35"/>
  <c r="H781" i="35"/>
  <c r="H782" i="35"/>
  <c r="H783" i="35"/>
  <c r="H784" i="35"/>
  <c r="H785" i="35"/>
  <c r="H764" i="35"/>
  <c r="H765" i="35"/>
  <c r="H766" i="35"/>
  <c r="H767" i="35"/>
  <c r="H768" i="35"/>
  <c r="H769" i="35"/>
  <c r="H770" i="35"/>
  <c r="H771" i="35"/>
  <c r="H772" i="35"/>
  <c r="H773" i="35"/>
  <c r="H681" i="35"/>
  <c r="H237" i="20" s="1"/>
  <c r="H682" i="35"/>
  <c r="H238" i="20" s="1"/>
  <c r="H683" i="35"/>
  <c r="H239" i="20" s="1"/>
  <c r="H684" i="35"/>
  <c r="H240" i="20" s="1"/>
  <c r="H685" i="35"/>
  <c r="H241" i="20" s="1"/>
  <c r="H686" i="35"/>
  <c r="H242" i="20" s="1"/>
  <c r="H687" i="35"/>
  <c r="H243" i="20" s="1"/>
  <c r="H688" i="35"/>
  <c r="H244" i="20" s="1"/>
  <c r="H689" i="35"/>
  <c r="H245" i="20" s="1"/>
  <c r="H690" i="35"/>
  <c r="H246" i="20" s="1"/>
  <c r="H668" i="35"/>
  <c r="H669" i="35"/>
  <c r="H670" i="35"/>
  <c r="H671" i="35"/>
  <c r="H672" i="35"/>
  <c r="H673" i="35"/>
  <c r="H674" i="35"/>
  <c r="H675" i="35"/>
  <c r="H676" i="35"/>
  <c r="H677" i="35"/>
  <c r="H654" i="35"/>
  <c r="H655" i="35"/>
  <c r="H656" i="35"/>
  <c r="H657" i="35"/>
  <c r="H658" i="35"/>
  <c r="H659" i="35"/>
  <c r="H660" i="35"/>
  <c r="H661" i="35"/>
  <c r="H662" i="35"/>
  <c r="H663" i="35"/>
  <c r="H641" i="35"/>
  <c r="H642" i="35"/>
  <c r="H643" i="35"/>
  <c r="H644" i="35"/>
  <c r="H645" i="35"/>
  <c r="H646" i="35"/>
  <c r="H647" i="35"/>
  <c r="H648" i="35"/>
  <c r="H649" i="35"/>
  <c r="H650" i="35"/>
  <c r="H627" i="35"/>
  <c r="H628" i="35"/>
  <c r="H629" i="35"/>
  <c r="H630" i="35"/>
  <c r="H631" i="35"/>
  <c r="H632" i="35"/>
  <c r="H633" i="35"/>
  <c r="H634" i="35"/>
  <c r="H635" i="35"/>
  <c r="H636" i="35"/>
  <c r="H613" i="35"/>
  <c r="H614" i="35"/>
  <c r="H615" i="35"/>
  <c r="H616" i="35"/>
  <c r="H617" i="35"/>
  <c r="H618" i="35"/>
  <c r="H619" i="35"/>
  <c r="H620" i="35"/>
  <c r="H621" i="35"/>
  <c r="H622" i="35"/>
  <c r="H599" i="35"/>
  <c r="H600" i="35"/>
  <c r="H601" i="35"/>
  <c r="H602" i="35"/>
  <c r="H603" i="35"/>
  <c r="H604" i="35"/>
  <c r="H605" i="35"/>
  <c r="H606" i="35"/>
  <c r="H607" i="35"/>
  <c r="H608" i="35"/>
  <c r="J579" i="35"/>
  <c r="K579" i="35"/>
  <c r="L579" i="35"/>
  <c r="M579" i="35"/>
  <c r="N579" i="35"/>
  <c r="O579" i="35"/>
  <c r="J580" i="35"/>
  <c r="K580" i="35"/>
  <c r="L580" i="35"/>
  <c r="M580" i="35"/>
  <c r="N580" i="35"/>
  <c r="O580" i="35"/>
  <c r="J581" i="35"/>
  <c r="K581" i="35"/>
  <c r="L581" i="35"/>
  <c r="M581" i="35"/>
  <c r="N581" i="35"/>
  <c r="O581" i="35"/>
  <c r="J582" i="35"/>
  <c r="K582" i="35"/>
  <c r="L582" i="35"/>
  <c r="M582" i="35"/>
  <c r="N582" i="35"/>
  <c r="O582" i="35"/>
  <c r="J583" i="35"/>
  <c r="K583" i="35"/>
  <c r="L583" i="35"/>
  <c r="M583" i="35"/>
  <c r="N583" i="35"/>
  <c r="O583" i="35"/>
  <c r="J584" i="35"/>
  <c r="K584" i="35"/>
  <c r="L584" i="35"/>
  <c r="M584" i="35"/>
  <c r="N584" i="35"/>
  <c r="O584" i="35"/>
  <c r="J585" i="35"/>
  <c r="K585" i="35"/>
  <c r="L585" i="35"/>
  <c r="M585" i="35"/>
  <c r="N585" i="35"/>
  <c r="O585" i="35"/>
  <c r="J586" i="35"/>
  <c r="K586" i="35"/>
  <c r="L586" i="35"/>
  <c r="M586" i="35"/>
  <c r="N586" i="35"/>
  <c r="O586" i="35"/>
  <c r="J587" i="35"/>
  <c r="K587" i="35"/>
  <c r="L587" i="35"/>
  <c r="M587" i="35"/>
  <c r="N587" i="35"/>
  <c r="O587" i="35"/>
  <c r="J588" i="35"/>
  <c r="K588" i="35"/>
  <c r="L588" i="35"/>
  <c r="M588" i="35"/>
  <c r="N588" i="35"/>
  <c r="O588" i="35"/>
  <c r="J370" i="34"/>
  <c r="K370" i="34"/>
  <c r="L370" i="34"/>
  <c r="M370" i="34"/>
  <c r="N370" i="34"/>
  <c r="O370" i="34"/>
  <c r="J562" i="35"/>
  <c r="K562" i="35"/>
  <c r="L562" i="35"/>
  <c r="M562" i="35"/>
  <c r="N562" i="35"/>
  <c r="O562" i="35"/>
  <c r="J563" i="35"/>
  <c r="K563" i="35"/>
  <c r="L563" i="35"/>
  <c r="M563" i="35"/>
  <c r="N563" i="35"/>
  <c r="O563" i="35"/>
  <c r="J564" i="35"/>
  <c r="K564" i="35"/>
  <c r="L564" i="35"/>
  <c r="M564" i="35"/>
  <c r="N564" i="35"/>
  <c r="O564" i="35"/>
  <c r="J565" i="35"/>
  <c r="K565" i="35"/>
  <c r="L565" i="35"/>
  <c r="M565" i="35"/>
  <c r="N565" i="35"/>
  <c r="O565" i="35"/>
  <c r="J566" i="35"/>
  <c r="K566" i="35"/>
  <c r="L566" i="35"/>
  <c r="M566" i="35"/>
  <c r="N566" i="35"/>
  <c r="O566" i="35"/>
  <c r="J567" i="35"/>
  <c r="K567" i="35"/>
  <c r="L567" i="35"/>
  <c r="M567" i="35"/>
  <c r="N567" i="35"/>
  <c r="O567" i="35"/>
  <c r="J568" i="35"/>
  <c r="K568" i="35"/>
  <c r="L568" i="35"/>
  <c r="M568" i="35"/>
  <c r="N568" i="35"/>
  <c r="O568" i="35"/>
  <c r="J569" i="35"/>
  <c r="K569" i="35"/>
  <c r="L569" i="35"/>
  <c r="M569" i="35"/>
  <c r="N569" i="35"/>
  <c r="O569" i="35"/>
  <c r="J570" i="35"/>
  <c r="K570" i="35"/>
  <c r="L570" i="35"/>
  <c r="M570" i="35"/>
  <c r="N570" i="35"/>
  <c r="O570" i="35"/>
  <c r="J571" i="35"/>
  <c r="K571" i="35"/>
  <c r="L571" i="35"/>
  <c r="M571" i="35"/>
  <c r="N571" i="35"/>
  <c r="O571" i="35"/>
  <c r="J354" i="34"/>
  <c r="K354" i="34"/>
  <c r="L354" i="34"/>
  <c r="M354" i="34"/>
  <c r="N354" i="34"/>
  <c r="O354" i="34"/>
  <c r="J545" i="35"/>
  <c r="K545" i="35"/>
  <c r="L545" i="35"/>
  <c r="M545" i="35"/>
  <c r="N545" i="35"/>
  <c r="O545" i="35"/>
  <c r="J546" i="35"/>
  <c r="K546" i="35"/>
  <c r="L546" i="35"/>
  <c r="M546" i="35"/>
  <c r="N546" i="35"/>
  <c r="O546" i="35"/>
  <c r="J547" i="35"/>
  <c r="K547" i="35"/>
  <c r="L547" i="35"/>
  <c r="M547" i="35"/>
  <c r="N547" i="35"/>
  <c r="O547" i="35"/>
  <c r="J548" i="35"/>
  <c r="K548" i="35"/>
  <c r="L548" i="35"/>
  <c r="M548" i="35"/>
  <c r="N548" i="35"/>
  <c r="O548" i="35"/>
  <c r="J549" i="35"/>
  <c r="K549" i="35"/>
  <c r="L549" i="35"/>
  <c r="M549" i="35"/>
  <c r="N549" i="35"/>
  <c r="O549" i="35"/>
  <c r="J550" i="35"/>
  <c r="K550" i="35"/>
  <c r="L550" i="35"/>
  <c r="M550" i="35"/>
  <c r="N550" i="35"/>
  <c r="O550" i="35"/>
  <c r="J551" i="35"/>
  <c r="K551" i="35"/>
  <c r="L551" i="35"/>
  <c r="M551" i="35"/>
  <c r="N551" i="35"/>
  <c r="O551" i="35"/>
  <c r="J552" i="35"/>
  <c r="K552" i="35"/>
  <c r="L552" i="35"/>
  <c r="M552" i="35"/>
  <c r="N552" i="35"/>
  <c r="O552" i="35"/>
  <c r="J553" i="35"/>
  <c r="K553" i="35"/>
  <c r="L553" i="35"/>
  <c r="M553" i="35"/>
  <c r="N553" i="35"/>
  <c r="O553" i="35"/>
  <c r="J554" i="35"/>
  <c r="K554" i="35"/>
  <c r="L554" i="35"/>
  <c r="M554" i="35"/>
  <c r="N554" i="35"/>
  <c r="O554" i="35"/>
  <c r="J338" i="34"/>
  <c r="K338" i="34"/>
  <c r="L338" i="34"/>
  <c r="M338" i="34"/>
  <c r="N338" i="34"/>
  <c r="O338" i="34"/>
  <c r="J528" i="35"/>
  <c r="K528" i="35"/>
  <c r="L528" i="35"/>
  <c r="M528" i="35"/>
  <c r="N528" i="35"/>
  <c r="O528" i="35"/>
  <c r="J529" i="35"/>
  <c r="K529" i="35"/>
  <c r="L529" i="35"/>
  <c r="M529" i="35"/>
  <c r="N529" i="35"/>
  <c r="O529" i="35"/>
  <c r="J530" i="35"/>
  <c r="K530" i="35"/>
  <c r="L530" i="35"/>
  <c r="M530" i="35"/>
  <c r="N530" i="35"/>
  <c r="O530" i="35"/>
  <c r="J531" i="35"/>
  <c r="K531" i="35"/>
  <c r="L531" i="35"/>
  <c r="M531" i="35"/>
  <c r="N531" i="35"/>
  <c r="O531" i="35"/>
  <c r="J532" i="35"/>
  <c r="K532" i="35"/>
  <c r="L532" i="35"/>
  <c r="M532" i="35"/>
  <c r="N532" i="35"/>
  <c r="O532" i="35"/>
  <c r="J533" i="35"/>
  <c r="K533" i="35"/>
  <c r="L533" i="35"/>
  <c r="M533" i="35"/>
  <c r="N533" i="35"/>
  <c r="O533" i="35"/>
  <c r="J534" i="35"/>
  <c r="K534" i="35"/>
  <c r="L534" i="35"/>
  <c r="M534" i="35"/>
  <c r="N534" i="35"/>
  <c r="O534" i="35"/>
  <c r="J535" i="35"/>
  <c r="K535" i="35"/>
  <c r="L535" i="35"/>
  <c r="M535" i="35"/>
  <c r="N535" i="35"/>
  <c r="O535" i="35"/>
  <c r="J536" i="35"/>
  <c r="K536" i="35"/>
  <c r="L536" i="35"/>
  <c r="M536" i="35"/>
  <c r="N536" i="35"/>
  <c r="O536" i="35"/>
  <c r="J537" i="35"/>
  <c r="K537" i="35"/>
  <c r="L537" i="35"/>
  <c r="M537" i="35"/>
  <c r="N537" i="35"/>
  <c r="O537" i="35"/>
  <c r="J322" i="34"/>
  <c r="K322" i="34"/>
  <c r="L322" i="34"/>
  <c r="M322" i="34"/>
  <c r="N322" i="34"/>
  <c r="O322" i="34"/>
  <c r="J511" i="35"/>
  <c r="K511" i="35"/>
  <c r="L511" i="35"/>
  <c r="M511" i="35"/>
  <c r="N511" i="35"/>
  <c r="O511" i="35"/>
  <c r="J512" i="35"/>
  <c r="K512" i="35"/>
  <c r="L512" i="35"/>
  <c r="M512" i="35"/>
  <c r="N512" i="35"/>
  <c r="O512" i="35"/>
  <c r="J513" i="35"/>
  <c r="K513" i="35"/>
  <c r="L513" i="35"/>
  <c r="M513" i="35"/>
  <c r="N513" i="35"/>
  <c r="O513" i="35"/>
  <c r="J514" i="35"/>
  <c r="K514" i="35"/>
  <c r="L514" i="35"/>
  <c r="M514" i="35"/>
  <c r="N514" i="35"/>
  <c r="O514" i="35"/>
  <c r="J515" i="35"/>
  <c r="K515" i="35"/>
  <c r="L515" i="35"/>
  <c r="M515" i="35"/>
  <c r="N515" i="35"/>
  <c r="O515" i="35"/>
  <c r="J516" i="35"/>
  <c r="K516" i="35"/>
  <c r="L516" i="35"/>
  <c r="M516" i="35"/>
  <c r="N516" i="35"/>
  <c r="O516" i="35"/>
  <c r="J517" i="35"/>
  <c r="K517" i="35"/>
  <c r="L517" i="35"/>
  <c r="M517" i="35"/>
  <c r="N517" i="35"/>
  <c r="O517" i="35"/>
  <c r="J518" i="35"/>
  <c r="K518" i="35"/>
  <c r="L518" i="35"/>
  <c r="M518" i="35"/>
  <c r="N518" i="35"/>
  <c r="O518" i="35"/>
  <c r="J519" i="35"/>
  <c r="K519" i="35"/>
  <c r="L519" i="35"/>
  <c r="M519" i="35"/>
  <c r="N519" i="35"/>
  <c r="O519" i="35"/>
  <c r="J520" i="35"/>
  <c r="K520" i="35"/>
  <c r="L520" i="35"/>
  <c r="M520" i="35"/>
  <c r="N520" i="35"/>
  <c r="O520" i="35"/>
  <c r="J306" i="34"/>
  <c r="K306" i="34"/>
  <c r="L306" i="34"/>
  <c r="M306" i="34"/>
  <c r="N306" i="34"/>
  <c r="O306" i="34"/>
  <c r="J494" i="35"/>
  <c r="K494" i="35"/>
  <c r="L494" i="35"/>
  <c r="M494" i="35"/>
  <c r="N494" i="35"/>
  <c r="O494" i="35"/>
  <c r="J495" i="35"/>
  <c r="K495" i="35"/>
  <c r="L495" i="35"/>
  <c r="M495" i="35"/>
  <c r="N495" i="35"/>
  <c r="O495" i="35"/>
  <c r="J496" i="35"/>
  <c r="K496" i="35"/>
  <c r="L496" i="35"/>
  <c r="M496" i="35"/>
  <c r="N496" i="35"/>
  <c r="O496" i="35"/>
  <c r="J497" i="35"/>
  <c r="K497" i="35"/>
  <c r="L497" i="35"/>
  <c r="M497" i="35"/>
  <c r="N497" i="35"/>
  <c r="O497" i="35"/>
  <c r="J498" i="35"/>
  <c r="K498" i="35"/>
  <c r="L498" i="35"/>
  <c r="M498" i="35"/>
  <c r="N498" i="35"/>
  <c r="O498" i="35"/>
  <c r="J499" i="35"/>
  <c r="K499" i="35"/>
  <c r="L499" i="35"/>
  <c r="M499" i="35"/>
  <c r="N499" i="35"/>
  <c r="O499" i="35"/>
  <c r="J500" i="35"/>
  <c r="K500" i="35"/>
  <c r="L500" i="35"/>
  <c r="M500" i="35"/>
  <c r="N500" i="35"/>
  <c r="O500" i="35"/>
  <c r="J501" i="35"/>
  <c r="K501" i="35"/>
  <c r="L501" i="35"/>
  <c r="M501" i="35"/>
  <c r="N501" i="35"/>
  <c r="O501" i="35"/>
  <c r="J502" i="35"/>
  <c r="K502" i="35"/>
  <c r="L502" i="35"/>
  <c r="M502" i="35"/>
  <c r="N502" i="35"/>
  <c r="O502" i="35"/>
  <c r="J503" i="35"/>
  <c r="K503" i="35"/>
  <c r="L503" i="35"/>
  <c r="M503" i="35"/>
  <c r="N503" i="35"/>
  <c r="O503" i="35"/>
  <c r="J290" i="34"/>
  <c r="K290" i="34"/>
  <c r="L290" i="34"/>
  <c r="M290" i="34"/>
  <c r="N290" i="34"/>
  <c r="O290" i="34"/>
  <c r="J477" i="35"/>
  <c r="K477" i="35"/>
  <c r="L477" i="35"/>
  <c r="M477" i="35"/>
  <c r="N477" i="35"/>
  <c r="O477" i="35"/>
  <c r="J478" i="35"/>
  <c r="K478" i="35"/>
  <c r="L478" i="35"/>
  <c r="M478" i="35"/>
  <c r="N478" i="35"/>
  <c r="O478" i="35"/>
  <c r="J479" i="35"/>
  <c r="K479" i="35"/>
  <c r="L479" i="35"/>
  <c r="M479" i="35"/>
  <c r="N479" i="35"/>
  <c r="O479" i="35"/>
  <c r="J480" i="35"/>
  <c r="K480" i="35"/>
  <c r="L480" i="35"/>
  <c r="M480" i="35"/>
  <c r="N480" i="35"/>
  <c r="O480" i="35"/>
  <c r="J481" i="35"/>
  <c r="K481" i="35"/>
  <c r="L481" i="35"/>
  <c r="M481" i="35"/>
  <c r="N481" i="35"/>
  <c r="O481" i="35"/>
  <c r="J482" i="35"/>
  <c r="K482" i="35"/>
  <c r="L482" i="35"/>
  <c r="M482" i="35"/>
  <c r="N482" i="35"/>
  <c r="O482" i="35"/>
  <c r="J483" i="35"/>
  <c r="K483" i="35"/>
  <c r="L483" i="35"/>
  <c r="M483" i="35"/>
  <c r="N483" i="35"/>
  <c r="O483" i="35"/>
  <c r="J484" i="35"/>
  <c r="K484" i="35"/>
  <c r="L484" i="35"/>
  <c r="M484" i="35"/>
  <c r="N484" i="35"/>
  <c r="O484" i="35"/>
  <c r="J485" i="35"/>
  <c r="K485" i="35"/>
  <c r="L485" i="35"/>
  <c r="M485" i="35"/>
  <c r="N485" i="35"/>
  <c r="O485" i="35"/>
  <c r="J486" i="35"/>
  <c r="K486" i="35"/>
  <c r="L486" i="35"/>
  <c r="M486" i="35"/>
  <c r="N486" i="35"/>
  <c r="O486" i="35"/>
  <c r="J274" i="34"/>
  <c r="K274" i="34"/>
  <c r="L274" i="34"/>
  <c r="M274" i="34"/>
  <c r="N274" i="34"/>
  <c r="O274" i="34"/>
  <c r="J460" i="35"/>
  <c r="K460" i="35"/>
  <c r="L460" i="35"/>
  <c r="M460" i="35"/>
  <c r="N460" i="35"/>
  <c r="O460" i="35"/>
  <c r="J461" i="35"/>
  <c r="K461" i="35"/>
  <c r="L461" i="35"/>
  <c r="M461" i="35"/>
  <c r="N461" i="35"/>
  <c r="O461" i="35"/>
  <c r="J462" i="35"/>
  <c r="K462" i="35"/>
  <c r="L462" i="35"/>
  <c r="M462" i="35"/>
  <c r="N462" i="35"/>
  <c r="O462" i="35"/>
  <c r="J463" i="35"/>
  <c r="K463" i="35"/>
  <c r="L463" i="35"/>
  <c r="M463" i="35"/>
  <c r="N463" i="35"/>
  <c r="O463" i="35"/>
  <c r="J464" i="35"/>
  <c r="K464" i="35"/>
  <c r="L464" i="35"/>
  <c r="M464" i="35"/>
  <c r="N464" i="35"/>
  <c r="O464" i="35"/>
  <c r="J465" i="35"/>
  <c r="K465" i="35"/>
  <c r="L465" i="35"/>
  <c r="M465" i="35"/>
  <c r="N465" i="35"/>
  <c r="O465" i="35"/>
  <c r="J466" i="35"/>
  <c r="K466" i="35"/>
  <c r="L466" i="35"/>
  <c r="M466" i="35"/>
  <c r="N466" i="35"/>
  <c r="O466" i="35"/>
  <c r="J467" i="35"/>
  <c r="K467" i="35"/>
  <c r="L467" i="35"/>
  <c r="M467" i="35"/>
  <c r="N467" i="35"/>
  <c r="O467" i="35"/>
  <c r="J468" i="35"/>
  <c r="K468" i="35"/>
  <c r="L468" i="35"/>
  <c r="M468" i="35"/>
  <c r="N468" i="35"/>
  <c r="O468" i="35"/>
  <c r="J469" i="35"/>
  <c r="K469" i="35"/>
  <c r="L469" i="35"/>
  <c r="M469" i="35"/>
  <c r="N469" i="35"/>
  <c r="O469" i="35"/>
  <c r="J258" i="34"/>
  <c r="K258" i="34"/>
  <c r="L258" i="34"/>
  <c r="M258" i="34"/>
  <c r="N258" i="34"/>
  <c r="O258" i="34"/>
  <c r="J443" i="35"/>
  <c r="K443" i="35"/>
  <c r="L443" i="35"/>
  <c r="M443" i="35"/>
  <c r="N443" i="35"/>
  <c r="O443" i="35"/>
  <c r="J444" i="35"/>
  <c r="K444" i="35"/>
  <c r="L444" i="35"/>
  <c r="M444" i="35"/>
  <c r="N444" i="35"/>
  <c r="O444" i="35"/>
  <c r="J445" i="35"/>
  <c r="K445" i="35"/>
  <c r="L445" i="35"/>
  <c r="M445" i="35"/>
  <c r="N445" i="35"/>
  <c r="O445" i="35"/>
  <c r="J446" i="35"/>
  <c r="K446" i="35"/>
  <c r="L446" i="35"/>
  <c r="M446" i="35"/>
  <c r="N446" i="35"/>
  <c r="O446" i="35"/>
  <c r="J447" i="35"/>
  <c r="K447" i="35"/>
  <c r="L447" i="35"/>
  <c r="M447" i="35"/>
  <c r="N447" i="35"/>
  <c r="O447" i="35"/>
  <c r="J448" i="35"/>
  <c r="K448" i="35"/>
  <c r="L448" i="35"/>
  <c r="M448" i="35"/>
  <c r="N448" i="35"/>
  <c r="O448" i="35"/>
  <c r="J449" i="35"/>
  <c r="K449" i="35"/>
  <c r="L449" i="35"/>
  <c r="M449" i="35"/>
  <c r="N449" i="35"/>
  <c r="O449" i="35"/>
  <c r="J450" i="35"/>
  <c r="K450" i="35"/>
  <c r="L450" i="35"/>
  <c r="M450" i="35"/>
  <c r="N450" i="35"/>
  <c r="O450" i="35"/>
  <c r="J451" i="35"/>
  <c r="K451" i="35"/>
  <c r="L451" i="35"/>
  <c r="M451" i="35"/>
  <c r="N451" i="35"/>
  <c r="O451" i="35"/>
  <c r="J452" i="35"/>
  <c r="K452" i="35"/>
  <c r="L452" i="35"/>
  <c r="M452" i="35"/>
  <c r="N452" i="35"/>
  <c r="O452" i="35"/>
  <c r="J242" i="34"/>
  <c r="K242" i="34"/>
  <c r="L242" i="34"/>
  <c r="M242" i="34"/>
  <c r="N242" i="34"/>
  <c r="O242" i="34"/>
  <c r="J426" i="35"/>
  <c r="K426" i="35"/>
  <c r="L426" i="35"/>
  <c r="M426" i="35"/>
  <c r="N426" i="35"/>
  <c r="O426" i="35"/>
  <c r="J427" i="35"/>
  <c r="K427" i="35"/>
  <c r="L427" i="35"/>
  <c r="M427" i="35"/>
  <c r="N427" i="35"/>
  <c r="O427" i="35"/>
  <c r="J428" i="35"/>
  <c r="K428" i="35"/>
  <c r="L428" i="35"/>
  <c r="M428" i="35"/>
  <c r="N428" i="35"/>
  <c r="O428" i="35"/>
  <c r="J429" i="35"/>
  <c r="K429" i="35"/>
  <c r="L429" i="35"/>
  <c r="M429" i="35"/>
  <c r="N429" i="35"/>
  <c r="O429" i="35"/>
  <c r="J430" i="35"/>
  <c r="K430" i="35"/>
  <c r="L430" i="35"/>
  <c r="M430" i="35"/>
  <c r="N430" i="35"/>
  <c r="O430" i="35"/>
  <c r="J431" i="35"/>
  <c r="K431" i="35"/>
  <c r="L431" i="35"/>
  <c r="M431" i="35"/>
  <c r="N431" i="35"/>
  <c r="O431" i="35"/>
  <c r="J432" i="35"/>
  <c r="K432" i="35"/>
  <c r="L432" i="35"/>
  <c r="M432" i="35"/>
  <c r="N432" i="35"/>
  <c r="O432" i="35"/>
  <c r="J433" i="35"/>
  <c r="K433" i="35"/>
  <c r="L433" i="35"/>
  <c r="M433" i="35"/>
  <c r="N433" i="35"/>
  <c r="O433" i="35"/>
  <c r="J434" i="35"/>
  <c r="K434" i="35"/>
  <c r="L434" i="35"/>
  <c r="M434" i="35"/>
  <c r="N434" i="35"/>
  <c r="O434" i="35"/>
  <c r="J435" i="35"/>
  <c r="K435" i="35"/>
  <c r="L435" i="35"/>
  <c r="M435" i="35"/>
  <c r="N435" i="35"/>
  <c r="O435" i="35"/>
  <c r="J226" i="34"/>
  <c r="K226" i="34"/>
  <c r="L226" i="34"/>
  <c r="M226" i="34"/>
  <c r="N226" i="34"/>
  <c r="O226" i="34"/>
  <c r="D758" i="33"/>
  <c r="D789" i="35" s="1"/>
  <c r="D109" i="152" s="1"/>
  <c r="D759" i="33"/>
  <c r="D802" i="35" s="1"/>
  <c r="D123" i="152" s="1"/>
  <c r="D760" i="33"/>
  <c r="D803" i="35" s="1"/>
  <c r="D124" i="152" s="1"/>
  <c r="D761" i="33"/>
  <c r="D473" i="36" s="1"/>
  <c r="D762" i="33"/>
  <c r="D780" i="35" s="1"/>
  <c r="D100" i="152" s="1"/>
  <c r="D763" i="33"/>
  <c r="D781" i="35" s="1"/>
  <c r="D101" i="152" s="1"/>
  <c r="D764" i="33"/>
  <c r="D782" i="35" s="1"/>
  <c r="D102" i="152" s="1"/>
  <c r="D765" i="33"/>
  <c r="D796" i="35" s="1"/>
  <c r="D116" i="152" s="1"/>
  <c r="D766" i="33"/>
  <c r="D797" i="35" s="1"/>
  <c r="D117" i="152" s="1"/>
  <c r="D767" i="33"/>
  <c r="D810" i="35" s="1"/>
  <c r="D131" i="152" s="1"/>
  <c r="C124" i="142" l="1"/>
  <c r="C238" i="140"/>
  <c r="Q38" i="119"/>
  <c r="Q24" i="119"/>
  <c r="Q10" i="119"/>
  <c r="O10" i="119"/>
  <c r="U590" i="115"/>
  <c r="W590" i="115"/>
  <c r="O24" i="119"/>
  <c r="Q138" i="115"/>
  <c r="S94" i="115"/>
  <c r="S53" i="115"/>
  <c r="Q32" i="115"/>
  <c r="S128" i="115"/>
  <c r="Q100" i="115"/>
  <c r="S45" i="115"/>
  <c r="Q24" i="115"/>
  <c r="Q128" i="115"/>
  <c r="Q94" i="115"/>
  <c r="Q61" i="115"/>
  <c r="Q16" i="115"/>
  <c r="S117" i="115"/>
  <c r="S82" i="115"/>
  <c r="Q53" i="115"/>
  <c r="S110" i="115"/>
  <c r="S74" i="115"/>
  <c r="Q45" i="115"/>
  <c r="S146" i="115"/>
  <c r="Q117" i="115"/>
  <c r="Q82" i="115"/>
  <c r="S32" i="115"/>
  <c r="Q146" i="115"/>
  <c r="Q110" i="115"/>
  <c r="Q74" i="115"/>
  <c r="S24" i="115"/>
  <c r="S138" i="115"/>
  <c r="S100" i="115"/>
  <c r="S61" i="115"/>
  <c r="S16" i="115"/>
  <c r="Q425" i="121"/>
  <c r="S381" i="121"/>
  <c r="S340" i="121"/>
  <c r="Q319" i="121"/>
  <c r="S415" i="121"/>
  <c r="Q387" i="121"/>
  <c r="S332" i="121"/>
  <c r="Q311" i="121"/>
  <c r="Q415" i="121"/>
  <c r="Q381" i="121"/>
  <c r="Q348" i="121"/>
  <c r="Q303" i="121"/>
  <c r="L38" i="119"/>
  <c r="S404" i="121"/>
  <c r="S369" i="121"/>
  <c r="Q340" i="121"/>
  <c r="J38" i="119"/>
  <c r="S397" i="121"/>
  <c r="S361" i="121"/>
  <c r="Q332" i="121"/>
  <c r="S433" i="121"/>
  <c r="Q404" i="121"/>
  <c r="Q369" i="121"/>
  <c r="S319" i="121"/>
  <c r="Q433" i="121"/>
  <c r="Q397" i="121"/>
  <c r="Q361" i="121"/>
  <c r="S311" i="121"/>
  <c r="S425" i="121"/>
  <c r="S387" i="121"/>
  <c r="S348" i="121"/>
  <c r="S303" i="121"/>
  <c r="S406" i="115"/>
  <c r="S370" i="115"/>
  <c r="Q341" i="115"/>
  <c r="S442" i="115"/>
  <c r="Q413" i="115"/>
  <c r="Q378" i="115"/>
  <c r="S328" i="115"/>
  <c r="Q442" i="115"/>
  <c r="Q406" i="115"/>
  <c r="Q370" i="115"/>
  <c r="S320" i="115"/>
  <c r="S434" i="115"/>
  <c r="S396" i="115"/>
  <c r="S357" i="115"/>
  <c r="S312" i="115"/>
  <c r="Q434" i="115"/>
  <c r="S390" i="115"/>
  <c r="S349" i="115"/>
  <c r="Q328" i="115"/>
  <c r="S424" i="115"/>
  <c r="Q396" i="115"/>
  <c r="S341" i="115"/>
  <c r="Q320" i="115"/>
  <c r="Q424" i="115"/>
  <c r="Q390" i="115"/>
  <c r="Q357" i="115"/>
  <c r="Q312" i="115"/>
  <c r="S413" i="115"/>
  <c r="S378" i="115"/>
  <c r="Q349" i="115"/>
  <c r="U146" i="115"/>
  <c r="D14" i="114"/>
  <c r="W146" i="115"/>
  <c r="Q572" i="115"/>
  <c r="Q538" i="115"/>
  <c r="Q505" i="115"/>
  <c r="Q460" i="115"/>
  <c r="S561" i="115"/>
  <c r="S526" i="115"/>
  <c r="Q497" i="115"/>
  <c r="S554" i="115"/>
  <c r="S518" i="115"/>
  <c r="Q489" i="115"/>
  <c r="S590" i="115"/>
  <c r="Q561" i="115"/>
  <c r="Q526" i="115"/>
  <c r="S476" i="115"/>
  <c r="Q590" i="115"/>
  <c r="Q554" i="115"/>
  <c r="Q518" i="115"/>
  <c r="S468" i="115"/>
  <c r="S582" i="115"/>
  <c r="S544" i="115"/>
  <c r="S505" i="115"/>
  <c r="S460" i="115"/>
  <c r="Q582" i="115"/>
  <c r="S538" i="115"/>
  <c r="S497" i="115"/>
  <c r="Q476" i="115"/>
  <c r="S572" i="115"/>
  <c r="Q544" i="115"/>
  <c r="S489" i="115"/>
  <c r="Q468" i="115"/>
  <c r="D18" i="38"/>
  <c r="D19" i="38"/>
  <c r="D20" i="38"/>
  <c r="D21" i="38"/>
  <c r="Q280" i="121"/>
  <c r="S236" i="121"/>
  <c r="S195" i="121"/>
  <c r="Q174" i="121"/>
  <c r="S270" i="121"/>
  <c r="Q242" i="121"/>
  <c r="S187" i="121"/>
  <c r="Q166" i="121"/>
  <c r="Q270" i="121"/>
  <c r="Q236" i="121"/>
  <c r="Q203" i="121"/>
  <c r="Q158" i="121"/>
  <c r="L24" i="119"/>
  <c r="S259" i="121"/>
  <c r="S224" i="121"/>
  <c r="Q195" i="121"/>
  <c r="J24" i="119"/>
  <c r="S252" i="121"/>
  <c r="S216" i="121"/>
  <c r="Q187" i="121"/>
  <c r="S288" i="121"/>
  <c r="Q259" i="121"/>
  <c r="Q224" i="121"/>
  <c r="S174" i="121"/>
  <c r="Q288" i="121"/>
  <c r="Q252" i="121"/>
  <c r="Q216" i="121"/>
  <c r="S166" i="121"/>
  <c r="S280" i="121"/>
  <c r="S242" i="121"/>
  <c r="S203" i="121"/>
  <c r="S158" i="121"/>
  <c r="Q294" i="115"/>
  <c r="Q258" i="115"/>
  <c r="Q222" i="115"/>
  <c r="S172" i="115"/>
  <c r="S286" i="115"/>
  <c r="S248" i="115"/>
  <c r="S209" i="115"/>
  <c r="S164" i="115"/>
  <c r="Q286" i="115"/>
  <c r="S242" i="115"/>
  <c r="S201" i="115"/>
  <c r="Q180" i="115"/>
  <c r="S276" i="115"/>
  <c r="Q248" i="115"/>
  <c r="S193" i="115"/>
  <c r="Q172" i="115"/>
  <c r="Q276" i="115"/>
  <c r="Q242" i="115"/>
  <c r="Q209" i="115"/>
  <c r="Q164" i="115"/>
  <c r="S265" i="115"/>
  <c r="S230" i="115"/>
  <c r="Q201" i="115"/>
  <c r="S258" i="115"/>
  <c r="S222" i="115"/>
  <c r="Q193" i="115"/>
  <c r="S294" i="115"/>
  <c r="Q265" i="115"/>
  <c r="Q230" i="115"/>
  <c r="S180" i="115"/>
  <c r="Q135" i="121"/>
  <c r="S91" i="121"/>
  <c r="S50" i="121"/>
  <c r="Q29" i="121"/>
  <c r="S125" i="121"/>
  <c r="Q97" i="121"/>
  <c r="S42" i="121"/>
  <c r="Q21" i="121"/>
  <c r="Q125" i="121"/>
  <c r="Q91" i="121"/>
  <c r="Q58" i="121"/>
  <c r="Q13" i="121"/>
  <c r="L10" i="119"/>
  <c r="S114" i="121"/>
  <c r="S79" i="121"/>
  <c r="Q50" i="121"/>
  <c r="J10" i="119"/>
  <c r="S107" i="121"/>
  <c r="S71" i="121"/>
  <c r="Q42" i="121"/>
  <c r="S143" i="121"/>
  <c r="Q114" i="121"/>
  <c r="Q79" i="121"/>
  <c r="S29" i="121"/>
  <c r="Q143" i="121"/>
  <c r="Q107" i="121"/>
  <c r="Q71" i="121"/>
  <c r="S21" i="121"/>
  <c r="S135" i="121"/>
  <c r="S97" i="121"/>
  <c r="S58" i="121"/>
  <c r="S13" i="121"/>
  <c r="W143" i="121"/>
  <c r="W288" i="121"/>
  <c r="W433" i="121"/>
  <c r="D191" i="112"/>
  <c r="I354" i="111"/>
  <c r="H354" i="111"/>
  <c r="H284" i="110"/>
  <c r="I266" i="110"/>
  <c r="D188" i="112"/>
  <c r="H266" i="110"/>
  <c r="D189" i="112"/>
  <c r="D190" i="112"/>
  <c r="O38" i="119"/>
  <c r="D86" i="38"/>
  <c r="D87" i="38"/>
  <c r="D88" i="38"/>
  <c r="D89" i="38"/>
  <c r="D173" i="112"/>
  <c r="D174" i="112"/>
  <c r="I234" i="110"/>
  <c r="H234" i="110"/>
  <c r="I217" i="110"/>
  <c r="H217" i="110"/>
  <c r="D171" i="112"/>
  <c r="I192" i="110"/>
  <c r="D172" i="112"/>
  <c r="H192" i="110"/>
  <c r="D145" i="112"/>
  <c r="D146" i="112"/>
  <c r="D147" i="112"/>
  <c r="D148" i="112"/>
  <c r="I143" i="110"/>
  <c r="H143" i="110"/>
  <c r="I109" i="110"/>
  <c r="H109" i="110"/>
  <c r="U442" i="115"/>
  <c r="D15" i="120"/>
  <c r="D15" i="123"/>
  <c r="D15" i="122"/>
  <c r="W442" i="115"/>
  <c r="D71" i="38"/>
  <c r="D72" i="38"/>
  <c r="D69" i="38"/>
  <c r="D70" i="38"/>
  <c r="D119" i="112"/>
  <c r="D120" i="112"/>
  <c r="D121" i="112"/>
  <c r="D122" i="112"/>
  <c r="J64" i="110"/>
  <c r="I64" i="110"/>
  <c r="U294" i="115"/>
  <c r="D28" i="112"/>
  <c r="D29" i="112"/>
  <c r="I18" i="110"/>
  <c r="H18" i="110"/>
  <c r="D26" i="112"/>
  <c r="D27" i="112"/>
  <c r="W294" i="115"/>
  <c r="D29" i="38"/>
  <c r="D54" i="38"/>
  <c r="D55" i="38"/>
  <c r="D52" i="38"/>
  <c r="D53" i="38"/>
  <c r="D103" i="38"/>
  <c r="D104" i="38"/>
  <c r="D105" i="38"/>
  <c r="D106" i="38"/>
  <c r="D81" i="38"/>
  <c r="M602" i="35"/>
  <c r="M20" i="146" s="1"/>
  <c r="L608" i="35"/>
  <c r="D367" i="34"/>
  <c r="D303" i="34"/>
  <c r="D808" i="35"/>
  <c r="D129" i="152" s="1"/>
  <c r="D314" i="34"/>
  <c r="D535" i="35"/>
  <c r="D472" i="36"/>
  <c r="D368" i="34"/>
  <c r="D547" i="35"/>
  <c r="D607" i="35"/>
  <c r="C25" i="146" s="1"/>
  <c r="D240" i="34"/>
  <c r="D382" i="34"/>
  <c r="C49" i="146" s="1"/>
  <c r="D606" i="35"/>
  <c r="C24" i="146" s="1"/>
  <c r="D239" i="34"/>
  <c r="D468" i="35"/>
  <c r="D711" i="35"/>
  <c r="D70" i="152" s="1"/>
  <c r="D250" i="34"/>
  <c r="D467" i="35"/>
  <c r="D755" i="35"/>
  <c r="D49" i="152" s="1"/>
  <c r="D304" i="34"/>
  <c r="D479" i="35"/>
  <c r="D766" i="35"/>
  <c r="D85" i="152" s="1"/>
  <c r="D536" i="35"/>
  <c r="D222" i="34"/>
  <c r="D286" i="34"/>
  <c r="D350" i="34"/>
  <c r="D449" i="35"/>
  <c r="D517" i="35"/>
  <c r="D585" i="35"/>
  <c r="D741" i="35"/>
  <c r="D795" i="35"/>
  <c r="D115" i="152" s="1"/>
  <c r="M453" i="35"/>
  <c r="M521" i="35"/>
  <c r="D221" i="34"/>
  <c r="D285" i="34"/>
  <c r="D349" i="34"/>
  <c r="D448" i="35"/>
  <c r="D516" i="35"/>
  <c r="D584" i="35"/>
  <c r="D740" i="35"/>
  <c r="D794" i="35"/>
  <c r="D114" i="152" s="1"/>
  <c r="D756" i="35"/>
  <c r="D50" i="152" s="1"/>
  <c r="D809" i="35"/>
  <c r="D130" i="152" s="1"/>
  <c r="J608" i="35"/>
  <c r="D232" i="34"/>
  <c r="D296" i="34"/>
  <c r="D360" i="34"/>
  <c r="D460" i="35"/>
  <c r="D528" i="35"/>
  <c r="D599" i="35"/>
  <c r="C17" i="146" s="1"/>
  <c r="D748" i="35"/>
  <c r="D42" i="152" s="1"/>
  <c r="D801" i="35"/>
  <c r="D122" i="152" s="1"/>
  <c r="M606" i="35"/>
  <c r="O504" i="35"/>
  <c r="K538" i="35"/>
  <c r="O572" i="35"/>
  <c r="D257" i="34"/>
  <c r="D321" i="34"/>
  <c r="D389" i="34"/>
  <c r="C56" i="146" s="1"/>
  <c r="D486" i="35"/>
  <c r="D554" i="35"/>
  <c r="D718" i="35"/>
  <c r="D77" i="152" s="1"/>
  <c r="D773" i="35"/>
  <c r="D92" i="152" s="1"/>
  <c r="D479" i="36"/>
  <c r="N436" i="35"/>
  <c r="O521" i="35"/>
  <c r="M589" i="35"/>
  <c r="O589" i="35"/>
  <c r="D249" i="34"/>
  <c r="D313" i="34"/>
  <c r="D381" i="34"/>
  <c r="C48" i="146" s="1"/>
  <c r="D478" i="35"/>
  <c r="D546" i="35"/>
  <c r="D710" i="35"/>
  <c r="D69" i="152" s="1"/>
  <c r="D765" i="35"/>
  <c r="D84" i="152" s="1"/>
  <c r="D471" i="36"/>
  <c r="O599" i="35"/>
  <c r="K601" i="35"/>
  <c r="K19" i="146" s="1"/>
  <c r="K470" i="35"/>
  <c r="K602" i="35"/>
  <c r="K20" i="146" s="1"/>
  <c r="D220" i="34"/>
  <c r="D238" i="34"/>
  <c r="D256" i="34"/>
  <c r="D248" i="34"/>
  <c r="D266" i="34"/>
  <c r="D284" i="34"/>
  <c r="D302" i="34"/>
  <c r="D320" i="34"/>
  <c r="D312" i="34"/>
  <c r="D330" i="34"/>
  <c r="D348" i="34"/>
  <c r="D366" i="34"/>
  <c r="D388" i="34"/>
  <c r="C55" i="146" s="1"/>
  <c r="D380" i="34"/>
  <c r="C47" i="146" s="1"/>
  <c r="D428" i="35"/>
  <c r="D447" i="35"/>
  <c r="D466" i="35"/>
  <c r="D485" i="35"/>
  <c r="D477" i="35"/>
  <c r="D496" i="35"/>
  <c r="D515" i="35"/>
  <c r="D534" i="35"/>
  <c r="D553" i="35"/>
  <c r="D545" i="35"/>
  <c r="D564" i="35"/>
  <c r="D583" i="35"/>
  <c r="D605" i="35"/>
  <c r="C23" i="146" s="1"/>
  <c r="D717" i="35"/>
  <c r="D76" i="152" s="1"/>
  <c r="D709" i="35"/>
  <c r="D68" i="152" s="1"/>
  <c r="D724" i="35"/>
  <c r="D18" i="152" s="1"/>
  <c r="D739" i="35"/>
  <c r="D754" i="35"/>
  <c r="D48" i="152" s="1"/>
  <c r="D772" i="35"/>
  <c r="D91" i="152" s="1"/>
  <c r="D764" i="35"/>
  <c r="D83" i="152" s="1"/>
  <c r="D778" i="35"/>
  <c r="D98" i="152" s="1"/>
  <c r="D793" i="35"/>
  <c r="D113" i="152" s="1"/>
  <c r="D807" i="35"/>
  <c r="D128" i="152" s="1"/>
  <c r="D478" i="36"/>
  <c r="D470" i="36"/>
  <c r="N608" i="35"/>
  <c r="L607" i="35"/>
  <c r="L25" i="146" s="1"/>
  <c r="J606" i="35"/>
  <c r="J24" i="146" s="1"/>
  <c r="N604" i="35"/>
  <c r="N22" i="146" s="1"/>
  <c r="L603" i="35"/>
  <c r="J602" i="35"/>
  <c r="N600" i="35"/>
  <c r="L599" i="35"/>
  <c r="N453" i="35"/>
  <c r="J487" i="35"/>
  <c r="L504" i="35"/>
  <c r="N521" i="35"/>
  <c r="J555" i="35"/>
  <c r="L572" i="35"/>
  <c r="N589" i="35"/>
  <c r="D267" i="34"/>
  <c r="D331" i="34"/>
  <c r="O604" i="35"/>
  <c r="M436" i="35"/>
  <c r="M599" i="35"/>
  <c r="O453" i="35"/>
  <c r="M504" i="35"/>
  <c r="M572" i="35"/>
  <c r="D219" i="34"/>
  <c r="D237" i="34"/>
  <c r="D255" i="34"/>
  <c r="D273" i="34"/>
  <c r="D265" i="34"/>
  <c r="D283" i="34"/>
  <c r="D301" i="34"/>
  <c r="D319" i="34"/>
  <c r="D337" i="34"/>
  <c r="D329" i="34"/>
  <c r="D347" i="34"/>
  <c r="D365" i="34"/>
  <c r="D387" i="34"/>
  <c r="C54" i="146" s="1"/>
  <c r="D435" i="35"/>
  <c r="D427" i="35"/>
  <c r="D446" i="35"/>
  <c r="D465" i="35"/>
  <c r="D484" i="35"/>
  <c r="D503" i="35"/>
  <c r="D495" i="35"/>
  <c r="D514" i="35"/>
  <c r="D533" i="35"/>
  <c r="D552" i="35"/>
  <c r="D571" i="35"/>
  <c r="D563" i="35"/>
  <c r="D582" i="35"/>
  <c r="D604" i="35"/>
  <c r="C22" i="146" s="1"/>
  <c r="D716" i="35"/>
  <c r="D75" i="152" s="1"/>
  <c r="D731" i="35"/>
  <c r="D25" i="152" s="1"/>
  <c r="D723" i="35"/>
  <c r="D17" i="152" s="1"/>
  <c r="D738" i="35"/>
  <c r="D753" i="35"/>
  <c r="D47" i="152" s="1"/>
  <c r="D771" i="35"/>
  <c r="D90" i="152" s="1"/>
  <c r="D785" i="35"/>
  <c r="D105" i="152" s="1"/>
  <c r="D777" i="35"/>
  <c r="D97" i="152" s="1"/>
  <c r="D792" i="35"/>
  <c r="D112" i="152" s="1"/>
  <c r="D806" i="35"/>
  <c r="D127" i="152" s="1"/>
  <c r="D477" i="36"/>
  <c r="M608" i="35"/>
  <c r="K607" i="35"/>
  <c r="K25" i="146" s="1"/>
  <c r="O605" i="35"/>
  <c r="M604" i="35"/>
  <c r="K603" i="35"/>
  <c r="K21" i="146" s="1"/>
  <c r="O601" i="35"/>
  <c r="O19" i="146" s="1"/>
  <c r="M600" i="35"/>
  <c r="M18" i="146" s="1"/>
  <c r="K599" i="35"/>
  <c r="K17" i="146" s="1"/>
  <c r="O470" i="35"/>
  <c r="K504" i="35"/>
  <c r="O538" i="35"/>
  <c r="K572" i="35"/>
  <c r="D497" i="35"/>
  <c r="D565" i="35"/>
  <c r="D779" i="35"/>
  <c r="D99" i="152" s="1"/>
  <c r="K606" i="35"/>
  <c r="K24" i="146" s="1"/>
  <c r="D218" i="34"/>
  <c r="D236" i="34"/>
  <c r="D254" i="34"/>
  <c r="D272" i="34"/>
  <c r="D264" i="34"/>
  <c r="D282" i="34"/>
  <c r="D300" i="34"/>
  <c r="D318" i="34"/>
  <c r="D336" i="34"/>
  <c r="D328" i="34"/>
  <c r="D346" i="34"/>
  <c r="D364" i="34"/>
  <c r="D386" i="34"/>
  <c r="C53" i="146" s="1"/>
  <c r="D434" i="35"/>
  <c r="D426" i="35"/>
  <c r="D445" i="35"/>
  <c r="D464" i="35"/>
  <c r="D483" i="35"/>
  <c r="D502" i="35"/>
  <c r="D494" i="35"/>
  <c r="D513" i="35"/>
  <c r="D532" i="35"/>
  <c r="D551" i="35"/>
  <c r="D570" i="35"/>
  <c r="D562" i="35"/>
  <c r="D581" i="35"/>
  <c r="D603" i="35"/>
  <c r="C21" i="146" s="1"/>
  <c r="D715" i="35"/>
  <c r="D74" i="152" s="1"/>
  <c r="D730" i="35"/>
  <c r="D24" i="152" s="1"/>
  <c r="D722" i="35"/>
  <c r="D16" i="152" s="1"/>
  <c r="D737" i="35"/>
  <c r="D752" i="35"/>
  <c r="D46" i="152" s="1"/>
  <c r="D770" i="35"/>
  <c r="D89" i="152" s="1"/>
  <c r="D784" i="35"/>
  <c r="D104" i="152" s="1"/>
  <c r="D776" i="35"/>
  <c r="D96" i="152" s="1"/>
  <c r="D791" i="35"/>
  <c r="D111" i="152" s="1"/>
  <c r="D805" i="35"/>
  <c r="D126" i="152" s="1"/>
  <c r="D476" i="36"/>
  <c r="N605" i="35"/>
  <c r="L604" i="35"/>
  <c r="L22" i="146" s="1"/>
  <c r="J603" i="35"/>
  <c r="N601" i="35"/>
  <c r="L600" i="35"/>
  <c r="J599" i="35"/>
  <c r="J436" i="35"/>
  <c r="L453" i="35"/>
  <c r="N470" i="35"/>
  <c r="J504" i="35"/>
  <c r="L521" i="35"/>
  <c r="N538" i="35"/>
  <c r="J572" i="35"/>
  <c r="L589" i="35"/>
  <c r="O607" i="35"/>
  <c r="D429" i="35"/>
  <c r="M607" i="35"/>
  <c r="M25" i="146" s="1"/>
  <c r="K436" i="35"/>
  <c r="D225" i="34"/>
  <c r="D217" i="34"/>
  <c r="D235" i="34"/>
  <c r="D253" i="34"/>
  <c r="D271" i="34"/>
  <c r="D289" i="34"/>
  <c r="D281" i="34"/>
  <c r="D299" i="34"/>
  <c r="D317" i="34"/>
  <c r="D335" i="34"/>
  <c r="D353" i="34"/>
  <c r="D345" i="34"/>
  <c r="D363" i="34"/>
  <c r="D385" i="34"/>
  <c r="C52" i="146" s="1"/>
  <c r="D433" i="35"/>
  <c r="D452" i="35"/>
  <c r="D444" i="35"/>
  <c r="D463" i="35"/>
  <c r="D482" i="35"/>
  <c r="D501" i="35"/>
  <c r="D520" i="35"/>
  <c r="D512" i="35"/>
  <c r="D531" i="35"/>
  <c r="D550" i="35"/>
  <c r="D569" i="35"/>
  <c r="D588" i="35"/>
  <c r="D580" i="35"/>
  <c r="D602" i="35"/>
  <c r="C20" i="146" s="1"/>
  <c r="D714" i="35"/>
  <c r="D73" i="152" s="1"/>
  <c r="D729" i="35"/>
  <c r="D23" i="152" s="1"/>
  <c r="D744" i="35"/>
  <c r="D736" i="35"/>
  <c r="D751" i="35"/>
  <c r="D45" i="152" s="1"/>
  <c r="D769" i="35"/>
  <c r="D88" i="152" s="1"/>
  <c r="D783" i="35"/>
  <c r="D103" i="152" s="1"/>
  <c r="D798" i="35"/>
  <c r="D118" i="152" s="1"/>
  <c r="D790" i="35"/>
  <c r="D110" i="152" s="1"/>
  <c r="D804" i="35"/>
  <c r="D125" i="152" s="1"/>
  <c r="D475" i="36"/>
  <c r="K608" i="35"/>
  <c r="K26" i="146" s="1"/>
  <c r="O606" i="35"/>
  <c r="O24" i="146" s="1"/>
  <c r="M605" i="35"/>
  <c r="K604" i="35"/>
  <c r="K22" i="146" s="1"/>
  <c r="O602" i="35"/>
  <c r="M601" i="35"/>
  <c r="K600" i="35"/>
  <c r="K18" i="146" s="1"/>
  <c r="K453" i="35"/>
  <c r="M470" i="35"/>
  <c r="O487" i="35"/>
  <c r="K521" i="35"/>
  <c r="M538" i="35"/>
  <c r="O555" i="35"/>
  <c r="K589" i="35"/>
  <c r="J607" i="35"/>
  <c r="J25" i="146" s="1"/>
  <c r="D725" i="35"/>
  <c r="D19" i="152" s="1"/>
  <c r="M603" i="35"/>
  <c r="M21" i="146" s="1"/>
  <c r="K487" i="35"/>
  <c r="D224" i="34"/>
  <c r="D216" i="34"/>
  <c r="D234" i="34"/>
  <c r="D252" i="34"/>
  <c r="D270" i="34"/>
  <c r="D288" i="34"/>
  <c r="D280" i="34"/>
  <c r="D298" i="34"/>
  <c r="D316" i="34"/>
  <c r="D334" i="34"/>
  <c r="D352" i="34"/>
  <c r="D344" i="34"/>
  <c r="D362" i="34"/>
  <c r="D384" i="34"/>
  <c r="C51" i="146" s="1"/>
  <c r="D432" i="35"/>
  <c r="D451" i="35"/>
  <c r="D443" i="35"/>
  <c r="D462" i="35"/>
  <c r="D481" i="35"/>
  <c r="D500" i="35"/>
  <c r="D519" i="35"/>
  <c r="D511" i="35"/>
  <c r="D530" i="35"/>
  <c r="D549" i="35"/>
  <c r="D568" i="35"/>
  <c r="D587" i="35"/>
  <c r="D579" i="35"/>
  <c r="D601" i="35"/>
  <c r="C19" i="146" s="1"/>
  <c r="D713" i="35"/>
  <c r="D72" i="152" s="1"/>
  <c r="D728" i="35"/>
  <c r="D22" i="152" s="1"/>
  <c r="D743" i="35"/>
  <c r="D735" i="35"/>
  <c r="D750" i="35"/>
  <c r="D44" i="152" s="1"/>
  <c r="D768" i="35"/>
  <c r="D87" i="152" s="1"/>
  <c r="D474" i="36"/>
  <c r="N606" i="35"/>
  <c r="N24" i="146" s="1"/>
  <c r="L605" i="35"/>
  <c r="J604" i="35"/>
  <c r="N602" i="35"/>
  <c r="L601" i="35"/>
  <c r="J600" i="35"/>
  <c r="J453" i="35"/>
  <c r="L470" i="35"/>
  <c r="N487" i="35"/>
  <c r="J521" i="35"/>
  <c r="L538" i="35"/>
  <c r="N555" i="35"/>
  <c r="J589" i="35"/>
  <c r="O608" i="35"/>
  <c r="O600" i="35"/>
  <c r="K555" i="35"/>
  <c r="D223" i="34"/>
  <c r="D241" i="34"/>
  <c r="D233" i="34"/>
  <c r="D251" i="34"/>
  <c r="D269" i="34"/>
  <c r="D287" i="34"/>
  <c r="D305" i="34"/>
  <c r="D297" i="34"/>
  <c r="D315" i="34"/>
  <c r="D333" i="34"/>
  <c r="D351" i="34"/>
  <c r="D369" i="34"/>
  <c r="D361" i="34"/>
  <c r="D383" i="34"/>
  <c r="C50" i="146" s="1"/>
  <c r="D431" i="35"/>
  <c r="D450" i="35"/>
  <c r="D469" i="35"/>
  <c r="D461" i="35"/>
  <c r="D480" i="35"/>
  <c r="D499" i="35"/>
  <c r="D518" i="35"/>
  <c r="D537" i="35"/>
  <c r="D529" i="35"/>
  <c r="D548" i="35"/>
  <c r="D567" i="35"/>
  <c r="D586" i="35"/>
  <c r="D608" i="35"/>
  <c r="C26" i="146" s="1"/>
  <c r="D600" i="35"/>
  <c r="C18" i="146" s="1"/>
  <c r="D712" i="35"/>
  <c r="D71" i="152" s="1"/>
  <c r="D727" i="35"/>
  <c r="D21" i="152" s="1"/>
  <c r="D742" i="35"/>
  <c r="D757" i="35"/>
  <c r="D51" i="152" s="1"/>
  <c r="D749" i="35"/>
  <c r="D43" i="152" s="1"/>
  <c r="D767" i="35"/>
  <c r="D86" i="152" s="1"/>
  <c r="O436" i="35"/>
  <c r="M487" i="35"/>
  <c r="M555" i="35"/>
  <c r="K605" i="35"/>
  <c r="K23" i="146" s="1"/>
  <c r="D268" i="34"/>
  <c r="D332" i="34"/>
  <c r="D430" i="35"/>
  <c r="D498" i="35"/>
  <c r="D566" i="35"/>
  <c r="D726" i="35"/>
  <c r="D20" i="152" s="1"/>
  <c r="N607" i="35"/>
  <c r="L606" i="35"/>
  <c r="J605" i="35"/>
  <c r="N603" i="35"/>
  <c r="L602" i="35"/>
  <c r="L20" i="146" s="1"/>
  <c r="J601" i="35"/>
  <c r="N599" i="35"/>
  <c r="N17" i="146" s="1"/>
  <c r="J470" i="35"/>
  <c r="L487" i="35"/>
  <c r="N504" i="35"/>
  <c r="J538" i="35"/>
  <c r="L555" i="35"/>
  <c r="N572" i="35"/>
  <c r="L436" i="35"/>
  <c r="O603" i="35"/>
  <c r="M616" i="35" l="1"/>
  <c r="D32" i="152"/>
  <c r="D58" i="152"/>
  <c r="D29" i="152"/>
  <c r="D55" i="152"/>
  <c r="D37" i="152"/>
  <c r="D63" i="152"/>
  <c r="D33" i="152"/>
  <c r="D59" i="152"/>
  <c r="D36" i="152"/>
  <c r="D62" i="152"/>
  <c r="D30" i="152"/>
  <c r="D56" i="152"/>
  <c r="D35" i="152"/>
  <c r="D61" i="152"/>
  <c r="D31" i="152"/>
  <c r="D57" i="152"/>
  <c r="D34" i="152"/>
  <c r="D60" i="152"/>
  <c r="D38" i="152"/>
  <c r="D64" i="152"/>
  <c r="D643" i="35"/>
  <c r="C63" i="146" s="1"/>
  <c r="D663" i="35"/>
  <c r="D628" i="35"/>
  <c r="D682" i="35" s="1"/>
  <c r="L615" i="35"/>
  <c r="L19" i="146"/>
  <c r="J617" i="35"/>
  <c r="J21" i="146"/>
  <c r="M622" i="35"/>
  <c r="M26" i="146"/>
  <c r="J616" i="35"/>
  <c r="J20" i="146"/>
  <c r="O613" i="35"/>
  <c r="O17" i="146"/>
  <c r="M620" i="35"/>
  <c r="M24" i="146"/>
  <c r="N616" i="35"/>
  <c r="N20" i="146"/>
  <c r="K27" i="146"/>
  <c r="L617" i="35"/>
  <c r="L21" i="146"/>
  <c r="J622" i="35"/>
  <c r="J26" i="146"/>
  <c r="O617" i="35"/>
  <c r="O21" i="146"/>
  <c r="J618" i="35"/>
  <c r="J22" i="146"/>
  <c r="N619" i="35"/>
  <c r="N23" i="146"/>
  <c r="M613" i="35"/>
  <c r="M17" i="146"/>
  <c r="J615" i="35"/>
  <c r="J19" i="146"/>
  <c r="L619" i="35"/>
  <c r="L23" i="146"/>
  <c r="L620" i="35"/>
  <c r="L24" i="146"/>
  <c r="N617" i="35"/>
  <c r="N21" i="146"/>
  <c r="M615" i="35"/>
  <c r="M19" i="146"/>
  <c r="O621" i="35"/>
  <c r="O25" i="146"/>
  <c r="O618" i="35"/>
  <c r="O22" i="146"/>
  <c r="L622" i="35"/>
  <c r="L26" i="146"/>
  <c r="J619" i="35"/>
  <c r="J23" i="146"/>
  <c r="O616" i="35"/>
  <c r="O20" i="146"/>
  <c r="J613" i="35"/>
  <c r="J17" i="146"/>
  <c r="M618" i="35"/>
  <c r="M22" i="146"/>
  <c r="N622" i="35"/>
  <c r="N26" i="146"/>
  <c r="O614" i="35"/>
  <c r="O18" i="146"/>
  <c r="L614" i="35"/>
  <c r="L18" i="146"/>
  <c r="O619" i="35"/>
  <c r="O23" i="146"/>
  <c r="L613" i="35"/>
  <c r="L17" i="146"/>
  <c r="N621" i="35"/>
  <c r="N25" i="146"/>
  <c r="O622" i="35"/>
  <c r="O26" i="146"/>
  <c r="J614" i="35"/>
  <c r="J18" i="146"/>
  <c r="M619" i="35"/>
  <c r="M23" i="146"/>
  <c r="N615" i="35"/>
  <c r="N19" i="146"/>
  <c r="N614" i="35"/>
  <c r="N18" i="146"/>
  <c r="K622" i="35"/>
  <c r="K620" i="35"/>
  <c r="K613" i="35"/>
  <c r="K614" i="35"/>
  <c r="K617" i="35"/>
  <c r="K619" i="35"/>
  <c r="K618" i="35"/>
  <c r="K615" i="35"/>
  <c r="D696" i="35"/>
  <c r="C92" i="146" s="1"/>
  <c r="D629" i="35"/>
  <c r="D615" i="35"/>
  <c r="D656" i="35"/>
  <c r="D622" i="35"/>
  <c r="D650" i="35"/>
  <c r="C70" i="146" s="1"/>
  <c r="D37" i="38"/>
  <c r="D38" i="38"/>
  <c r="D35" i="38"/>
  <c r="D36" i="38"/>
  <c r="D655" i="35"/>
  <c r="D695" i="35"/>
  <c r="C91" i="146" s="1"/>
  <c r="D636" i="35"/>
  <c r="D642" i="35"/>
  <c r="C62" i="146" s="1"/>
  <c r="D614" i="35"/>
  <c r="D703" i="35"/>
  <c r="C99" i="146" s="1"/>
  <c r="D698" i="35"/>
  <c r="C94" i="146" s="1"/>
  <c r="D645" i="35"/>
  <c r="C65" i="146" s="1"/>
  <c r="D631" i="35"/>
  <c r="C35" i="146" s="1"/>
  <c r="D617" i="35"/>
  <c r="D658" i="35"/>
  <c r="D662" i="35"/>
  <c r="D621" i="35"/>
  <c r="D702" i="35"/>
  <c r="C98" i="146" s="1"/>
  <c r="D649" i="35"/>
  <c r="C69" i="146" s="1"/>
  <c r="D635" i="35"/>
  <c r="C39" i="146" s="1"/>
  <c r="N609" i="35"/>
  <c r="N263" i="37" s="1"/>
  <c r="L616" i="35"/>
  <c r="D644" i="35"/>
  <c r="C64" i="146" s="1"/>
  <c r="D697" i="35"/>
  <c r="C93" i="146" s="1"/>
  <c r="D630" i="35"/>
  <c r="C34" i="146" s="1"/>
  <c r="D616" i="35"/>
  <c r="D657" i="35"/>
  <c r="M617" i="35"/>
  <c r="D700" i="35"/>
  <c r="C96" i="146" s="1"/>
  <c r="D647" i="35"/>
  <c r="C67" i="146" s="1"/>
  <c r="D633" i="35"/>
  <c r="C37" i="146" s="1"/>
  <c r="D619" i="35"/>
  <c r="D660" i="35"/>
  <c r="L621" i="35"/>
  <c r="O615" i="35"/>
  <c r="N613" i="35"/>
  <c r="J609" i="35"/>
  <c r="J263" i="37" s="1"/>
  <c r="K609" i="35"/>
  <c r="K263" i="37" s="1"/>
  <c r="N618" i="35"/>
  <c r="O609" i="35"/>
  <c r="O263" i="37" s="1"/>
  <c r="J621" i="35"/>
  <c r="D701" i="35"/>
  <c r="C97" i="146" s="1"/>
  <c r="D661" i="35"/>
  <c r="D648" i="35"/>
  <c r="C68" i="146" s="1"/>
  <c r="D634" i="35"/>
  <c r="C38" i="146" s="1"/>
  <c r="D620" i="35"/>
  <c r="M609" i="35"/>
  <c r="M263" i="37" s="1"/>
  <c r="D659" i="35"/>
  <c r="D646" i="35"/>
  <c r="C66" i="146" s="1"/>
  <c r="D699" i="35"/>
  <c r="C95" i="146" s="1"/>
  <c r="D632" i="35"/>
  <c r="C36" i="146" s="1"/>
  <c r="D618" i="35"/>
  <c r="L609" i="35"/>
  <c r="L263" i="37" s="1"/>
  <c r="N620" i="35"/>
  <c r="K621" i="35"/>
  <c r="O620" i="35"/>
  <c r="M621" i="35"/>
  <c r="L618" i="35"/>
  <c r="J620" i="35"/>
  <c r="D654" i="35"/>
  <c r="D641" i="35"/>
  <c r="C61" i="146" s="1"/>
  <c r="D613" i="35"/>
  <c r="D694" i="35"/>
  <c r="C90" i="146" s="1"/>
  <c r="D627" i="35"/>
  <c r="C31" i="146" s="1"/>
  <c r="K616" i="35"/>
  <c r="M614" i="35"/>
  <c r="D669" i="35" l="1"/>
  <c r="D238" i="20"/>
  <c r="C78" i="146"/>
  <c r="C32" i="146"/>
  <c r="D690" i="35"/>
  <c r="C40" i="146"/>
  <c r="D683" i="35"/>
  <c r="C33" i="146"/>
  <c r="L27" i="146"/>
  <c r="N27" i="146"/>
  <c r="M27" i="146"/>
  <c r="J27" i="146"/>
  <c r="O27" i="146"/>
  <c r="D670" i="35"/>
  <c r="H249" i="37"/>
  <c r="H226" i="37"/>
  <c r="D677" i="35"/>
  <c r="D687" i="35"/>
  <c r="D674" i="35"/>
  <c r="D689" i="35"/>
  <c r="D676" i="35"/>
  <c r="D686" i="35"/>
  <c r="D673" i="35"/>
  <c r="D688" i="35"/>
  <c r="D675" i="35"/>
  <c r="D681" i="35"/>
  <c r="D668" i="35"/>
  <c r="D671" i="35"/>
  <c r="D684" i="35"/>
  <c r="D685" i="35"/>
  <c r="D672" i="35"/>
  <c r="J157" i="30"/>
  <c r="K157" i="30"/>
  <c r="L157" i="30"/>
  <c r="M157" i="30"/>
  <c r="N157" i="30"/>
  <c r="O157" i="30"/>
  <c r="D245" i="20" l="1"/>
  <c r="C85" i="146"/>
  <c r="D243" i="20"/>
  <c r="C83" i="146"/>
  <c r="D239" i="20"/>
  <c r="C79" i="146"/>
  <c r="D244" i="20"/>
  <c r="C84" i="146"/>
  <c r="D241" i="20"/>
  <c r="C81" i="146"/>
  <c r="D242" i="20"/>
  <c r="C82" i="146"/>
  <c r="D240" i="20"/>
  <c r="C80" i="146"/>
  <c r="D246" i="20"/>
  <c r="C86" i="146"/>
  <c r="D237" i="20"/>
  <c r="C77" i="146"/>
  <c r="H2429" i="35"/>
  <c r="H2430" i="35"/>
  <c r="H2431" i="35"/>
  <c r="H2432" i="35"/>
  <c r="H2433" i="35"/>
  <c r="H2434" i="35"/>
  <c r="H2435" i="35"/>
  <c r="H2436" i="35"/>
  <c r="H2437" i="35"/>
  <c r="H2438" i="35"/>
  <c r="H2417" i="35"/>
  <c r="H2418" i="35"/>
  <c r="H2419" i="35"/>
  <c r="H2420" i="35"/>
  <c r="H2421" i="35"/>
  <c r="H2422" i="35"/>
  <c r="H2423" i="35"/>
  <c r="H2424" i="35"/>
  <c r="H2425" i="35"/>
  <c r="H2426" i="35"/>
  <c r="H2404" i="35"/>
  <c r="H2405" i="35"/>
  <c r="H2406" i="35"/>
  <c r="H2407" i="35"/>
  <c r="H2408" i="35"/>
  <c r="H2409" i="35"/>
  <c r="H2410" i="35"/>
  <c r="H2411" i="35"/>
  <c r="H2412" i="35"/>
  <c r="H2413" i="35"/>
  <c r="H2392" i="35"/>
  <c r="H2393" i="35"/>
  <c r="H2394" i="35"/>
  <c r="H2395" i="35"/>
  <c r="H2396" i="35"/>
  <c r="H2397" i="35"/>
  <c r="H2398" i="35"/>
  <c r="H2399" i="35"/>
  <c r="H2400" i="35"/>
  <c r="H2401" i="35"/>
  <c r="H2309" i="35"/>
  <c r="H277" i="20" s="1"/>
  <c r="H2310" i="35"/>
  <c r="H278" i="20" s="1"/>
  <c r="H2311" i="35"/>
  <c r="H279" i="20" s="1"/>
  <c r="H2312" i="35"/>
  <c r="H280" i="20" s="1"/>
  <c r="H2313" i="35"/>
  <c r="H281" i="20" s="1"/>
  <c r="H2314" i="35"/>
  <c r="H282" i="20" s="1"/>
  <c r="H2315" i="35"/>
  <c r="H283" i="20" s="1"/>
  <c r="H2316" i="35"/>
  <c r="H284" i="20" s="1"/>
  <c r="H2317" i="35"/>
  <c r="H285" i="20" s="1"/>
  <c r="H2318" i="35"/>
  <c r="H286" i="20" s="1"/>
  <c r="H2296" i="35"/>
  <c r="H2297" i="35"/>
  <c r="H2298" i="35"/>
  <c r="H2299" i="35"/>
  <c r="H2300" i="35"/>
  <c r="H2301" i="35"/>
  <c r="H2302" i="35"/>
  <c r="H2303" i="35"/>
  <c r="H2304" i="35"/>
  <c r="H2305" i="35"/>
  <c r="H2282" i="35"/>
  <c r="H2283" i="35"/>
  <c r="H2284" i="35"/>
  <c r="H2285" i="35"/>
  <c r="H2286" i="35"/>
  <c r="H2287" i="35"/>
  <c r="H2288" i="35"/>
  <c r="H2289" i="35"/>
  <c r="H2290" i="35"/>
  <c r="H2291" i="35"/>
  <c r="H2269" i="35"/>
  <c r="H2270" i="35"/>
  <c r="H2271" i="35"/>
  <c r="H2272" i="35"/>
  <c r="H2273" i="35"/>
  <c r="H2274" i="35"/>
  <c r="H2275" i="35"/>
  <c r="H2276" i="35"/>
  <c r="H2277" i="35"/>
  <c r="H2278" i="35"/>
  <c r="H2255" i="35"/>
  <c r="H2256" i="35"/>
  <c r="H2257" i="35"/>
  <c r="H2258" i="35"/>
  <c r="H2259" i="35"/>
  <c r="H2260" i="35"/>
  <c r="H2261" i="35"/>
  <c r="H2262" i="35"/>
  <c r="H2263" i="35"/>
  <c r="H2264" i="35"/>
  <c r="H2241" i="35"/>
  <c r="H2242" i="35"/>
  <c r="H2243" i="35"/>
  <c r="H2244" i="35"/>
  <c r="H2245" i="35"/>
  <c r="H2246" i="35"/>
  <c r="H2247" i="35"/>
  <c r="H2248" i="35"/>
  <c r="H2249" i="35"/>
  <c r="H2250" i="35"/>
  <c r="H2227" i="35"/>
  <c r="H2228" i="35"/>
  <c r="H2229" i="35"/>
  <c r="H2230" i="35"/>
  <c r="H2231" i="35"/>
  <c r="H2232" i="35"/>
  <c r="H2233" i="35"/>
  <c r="H2234" i="35"/>
  <c r="H2235" i="35"/>
  <c r="H2236" i="35"/>
  <c r="J2207" i="35"/>
  <c r="K2207" i="35"/>
  <c r="L2207" i="35"/>
  <c r="M2207" i="35"/>
  <c r="N2207" i="35"/>
  <c r="O2207" i="35"/>
  <c r="J2208" i="35"/>
  <c r="K2208" i="35"/>
  <c r="L2208" i="35"/>
  <c r="M2208" i="35"/>
  <c r="N2208" i="35"/>
  <c r="O2208" i="35"/>
  <c r="J2209" i="35"/>
  <c r="K2209" i="35"/>
  <c r="L2209" i="35"/>
  <c r="M2209" i="35"/>
  <c r="N2209" i="35"/>
  <c r="O2209" i="35"/>
  <c r="J2210" i="35"/>
  <c r="K2210" i="35"/>
  <c r="L2210" i="35"/>
  <c r="M2210" i="35"/>
  <c r="N2210" i="35"/>
  <c r="O2210" i="35"/>
  <c r="J2211" i="35"/>
  <c r="K2211" i="35"/>
  <c r="L2211" i="35"/>
  <c r="M2211" i="35"/>
  <c r="N2211" i="35"/>
  <c r="O2211" i="35"/>
  <c r="J2212" i="35"/>
  <c r="K2212" i="35"/>
  <c r="L2212" i="35"/>
  <c r="M2212" i="35"/>
  <c r="N2212" i="35"/>
  <c r="O2212" i="35"/>
  <c r="J2213" i="35"/>
  <c r="K2213" i="35"/>
  <c r="L2213" i="35"/>
  <c r="M2213" i="35"/>
  <c r="N2213" i="35"/>
  <c r="O2213" i="35"/>
  <c r="J2214" i="35"/>
  <c r="K2214" i="35"/>
  <c r="L2214" i="35"/>
  <c r="M2214" i="35"/>
  <c r="N2214" i="35"/>
  <c r="O2214" i="35"/>
  <c r="J2215" i="35"/>
  <c r="K2215" i="35"/>
  <c r="L2215" i="35"/>
  <c r="M2215" i="35"/>
  <c r="N2215" i="35"/>
  <c r="O2215" i="35"/>
  <c r="J2216" i="35"/>
  <c r="K2216" i="35"/>
  <c r="L2216" i="35"/>
  <c r="M2216" i="35"/>
  <c r="N2216" i="35"/>
  <c r="O2216" i="35"/>
  <c r="J1150" i="34"/>
  <c r="K1150" i="34"/>
  <c r="L1150" i="34"/>
  <c r="M1150" i="34"/>
  <c r="N1150" i="34"/>
  <c r="O1150" i="34"/>
  <c r="J2190" i="35"/>
  <c r="K2190" i="35"/>
  <c r="L2190" i="35"/>
  <c r="M2190" i="35"/>
  <c r="N2190" i="35"/>
  <c r="O2190" i="35"/>
  <c r="J2191" i="35"/>
  <c r="K2191" i="35"/>
  <c r="L2191" i="35"/>
  <c r="M2191" i="35"/>
  <c r="N2191" i="35"/>
  <c r="O2191" i="35"/>
  <c r="J2192" i="35"/>
  <c r="K2192" i="35"/>
  <c r="L2192" i="35"/>
  <c r="M2192" i="35"/>
  <c r="N2192" i="35"/>
  <c r="O2192" i="35"/>
  <c r="J2193" i="35"/>
  <c r="K2193" i="35"/>
  <c r="L2193" i="35"/>
  <c r="M2193" i="35"/>
  <c r="N2193" i="35"/>
  <c r="O2193" i="35"/>
  <c r="J2194" i="35"/>
  <c r="K2194" i="35"/>
  <c r="L2194" i="35"/>
  <c r="M2194" i="35"/>
  <c r="N2194" i="35"/>
  <c r="O2194" i="35"/>
  <c r="J2195" i="35"/>
  <c r="K2195" i="35"/>
  <c r="L2195" i="35"/>
  <c r="M2195" i="35"/>
  <c r="N2195" i="35"/>
  <c r="O2195" i="35"/>
  <c r="J2196" i="35"/>
  <c r="K2196" i="35"/>
  <c r="L2196" i="35"/>
  <c r="M2196" i="35"/>
  <c r="N2196" i="35"/>
  <c r="O2196" i="35"/>
  <c r="J2197" i="35"/>
  <c r="K2197" i="35"/>
  <c r="L2197" i="35"/>
  <c r="M2197" i="35"/>
  <c r="N2197" i="35"/>
  <c r="O2197" i="35"/>
  <c r="J2198" i="35"/>
  <c r="K2198" i="35"/>
  <c r="L2198" i="35"/>
  <c r="M2198" i="35"/>
  <c r="N2198" i="35"/>
  <c r="O2198" i="35"/>
  <c r="J2199" i="35"/>
  <c r="K2199" i="35"/>
  <c r="L2199" i="35"/>
  <c r="M2199" i="35"/>
  <c r="N2199" i="35"/>
  <c r="O2199" i="35"/>
  <c r="J1134" i="34"/>
  <c r="K1134" i="34"/>
  <c r="L1134" i="34"/>
  <c r="M1134" i="34"/>
  <c r="N1134" i="34"/>
  <c r="O1134" i="34"/>
  <c r="J2173" i="35"/>
  <c r="K2173" i="35"/>
  <c r="L2173" i="35"/>
  <c r="M2173" i="35"/>
  <c r="N2173" i="35"/>
  <c r="O2173" i="35"/>
  <c r="J2174" i="35"/>
  <c r="K2174" i="35"/>
  <c r="L2174" i="35"/>
  <c r="M2174" i="35"/>
  <c r="N2174" i="35"/>
  <c r="O2174" i="35"/>
  <c r="J2175" i="35"/>
  <c r="K2175" i="35"/>
  <c r="L2175" i="35"/>
  <c r="M2175" i="35"/>
  <c r="N2175" i="35"/>
  <c r="O2175" i="35"/>
  <c r="J2176" i="35"/>
  <c r="K2176" i="35"/>
  <c r="L2176" i="35"/>
  <c r="M2176" i="35"/>
  <c r="N2176" i="35"/>
  <c r="O2176" i="35"/>
  <c r="J2177" i="35"/>
  <c r="K2177" i="35"/>
  <c r="L2177" i="35"/>
  <c r="M2177" i="35"/>
  <c r="N2177" i="35"/>
  <c r="O2177" i="35"/>
  <c r="J2178" i="35"/>
  <c r="K2178" i="35"/>
  <c r="L2178" i="35"/>
  <c r="M2178" i="35"/>
  <c r="N2178" i="35"/>
  <c r="O2178" i="35"/>
  <c r="J2179" i="35"/>
  <c r="K2179" i="35"/>
  <c r="L2179" i="35"/>
  <c r="M2179" i="35"/>
  <c r="N2179" i="35"/>
  <c r="O2179" i="35"/>
  <c r="J2180" i="35"/>
  <c r="K2180" i="35"/>
  <c r="L2180" i="35"/>
  <c r="M2180" i="35"/>
  <c r="N2180" i="35"/>
  <c r="O2180" i="35"/>
  <c r="J2181" i="35"/>
  <c r="K2181" i="35"/>
  <c r="L2181" i="35"/>
  <c r="M2181" i="35"/>
  <c r="N2181" i="35"/>
  <c r="O2181" i="35"/>
  <c r="J2182" i="35"/>
  <c r="K2182" i="35"/>
  <c r="L2182" i="35"/>
  <c r="M2182" i="35"/>
  <c r="N2182" i="35"/>
  <c r="O2182" i="35"/>
  <c r="J1118" i="34"/>
  <c r="K1118" i="34"/>
  <c r="L1118" i="34"/>
  <c r="M1118" i="34"/>
  <c r="N1118" i="34"/>
  <c r="O1118" i="34"/>
  <c r="J2156" i="35"/>
  <c r="K2156" i="35"/>
  <c r="L2156" i="35"/>
  <c r="M2156" i="35"/>
  <c r="N2156" i="35"/>
  <c r="O2156" i="35"/>
  <c r="J2157" i="35"/>
  <c r="K2157" i="35"/>
  <c r="L2157" i="35"/>
  <c r="M2157" i="35"/>
  <c r="N2157" i="35"/>
  <c r="O2157" i="35"/>
  <c r="J2158" i="35"/>
  <c r="K2158" i="35"/>
  <c r="L2158" i="35"/>
  <c r="M2158" i="35"/>
  <c r="N2158" i="35"/>
  <c r="O2158" i="35"/>
  <c r="J2159" i="35"/>
  <c r="K2159" i="35"/>
  <c r="L2159" i="35"/>
  <c r="M2159" i="35"/>
  <c r="N2159" i="35"/>
  <c r="O2159" i="35"/>
  <c r="J2160" i="35"/>
  <c r="K2160" i="35"/>
  <c r="L2160" i="35"/>
  <c r="M2160" i="35"/>
  <c r="N2160" i="35"/>
  <c r="O2160" i="35"/>
  <c r="J2161" i="35"/>
  <c r="K2161" i="35"/>
  <c r="L2161" i="35"/>
  <c r="M2161" i="35"/>
  <c r="N2161" i="35"/>
  <c r="O2161" i="35"/>
  <c r="J2162" i="35"/>
  <c r="K2162" i="35"/>
  <c r="L2162" i="35"/>
  <c r="M2162" i="35"/>
  <c r="N2162" i="35"/>
  <c r="O2162" i="35"/>
  <c r="J2163" i="35"/>
  <c r="K2163" i="35"/>
  <c r="L2163" i="35"/>
  <c r="M2163" i="35"/>
  <c r="N2163" i="35"/>
  <c r="O2163" i="35"/>
  <c r="J2164" i="35"/>
  <c r="K2164" i="35"/>
  <c r="L2164" i="35"/>
  <c r="M2164" i="35"/>
  <c r="N2164" i="35"/>
  <c r="O2164" i="35"/>
  <c r="J2165" i="35"/>
  <c r="K2165" i="35"/>
  <c r="L2165" i="35"/>
  <c r="M2165" i="35"/>
  <c r="N2165" i="35"/>
  <c r="O2165" i="35"/>
  <c r="J1102" i="34"/>
  <c r="K1102" i="34"/>
  <c r="L1102" i="34"/>
  <c r="M1102" i="34"/>
  <c r="N1102" i="34"/>
  <c r="O1102" i="34"/>
  <c r="J2139" i="35"/>
  <c r="K2139" i="35"/>
  <c r="L2139" i="35"/>
  <c r="M2139" i="35"/>
  <c r="N2139" i="35"/>
  <c r="O2139" i="35"/>
  <c r="J2140" i="35"/>
  <c r="K2140" i="35"/>
  <c r="L2140" i="35"/>
  <c r="M2140" i="35"/>
  <c r="N2140" i="35"/>
  <c r="O2140" i="35"/>
  <c r="J2141" i="35"/>
  <c r="K2141" i="35"/>
  <c r="L2141" i="35"/>
  <c r="M2141" i="35"/>
  <c r="N2141" i="35"/>
  <c r="O2141" i="35"/>
  <c r="J2142" i="35"/>
  <c r="K2142" i="35"/>
  <c r="L2142" i="35"/>
  <c r="M2142" i="35"/>
  <c r="N2142" i="35"/>
  <c r="O2142" i="35"/>
  <c r="J2143" i="35"/>
  <c r="K2143" i="35"/>
  <c r="L2143" i="35"/>
  <c r="M2143" i="35"/>
  <c r="N2143" i="35"/>
  <c r="O2143" i="35"/>
  <c r="J2144" i="35"/>
  <c r="K2144" i="35"/>
  <c r="L2144" i="35"/>
  <c r="M2144" i="35"/>
  <c r="N2144" i="35"/>
  <c r="O2144" i="35"/>
  <c r="J2145" i="35"/>
  <c r="K2145" i="35"/>
  <c r="L2145" i="35"/>
  <c r="M2145" i="35"/>
  <c r="N2145" i="35"/>
  <c r="O2145" i="35"/>
  <c r="J2146" i="35"/>
  <c r="K2146" i="35"/>
  <c r="L2146" i="35"/>
  <c r="M2146" i="35"/>
  <c r="N2146" i="35"/>
  <c r="O2146" i="35"/>
  <c r="J2147" i="35"/>
  <c r="K2147" i="35"/>
  <c r="L2147" i="35"/>
  <c r="M2147" i="35"/>
  <c r="N2147" i="35"/>
  <c r="O2147" i="35"/>
  <c r="J2148" i="35"/>
  <c r="K2148" i="35"/>
  <c r="L2148" i="35"/>
  <c r="M2148" i="35"/>
  <c r="N2148" i="35"/>
  <c r="O2148" i="35"/>
  <c r="J1086" i="34"/>
  <c r="K1086" i="34"/>
  <c r="L1086" i="34"/>
  <c r="M1086" i="34"/>
  <c r="N1086" i="34"/>
  <c r="O1086" i="34"/>
  <c r="J2122" i="35"/>
  <c r="K2122" i="35"/>
  <c r="L2122" i="35"/>
  <c r="M2122" i="35"/>
  <c r="N2122" i="35"/>
  <c r="O2122" i="35"/>
  <c r="J2123" i="35"/>
  <c r="K2123" i="35"/>
  <c r="L2123" i="35"/>
  <c r="M2123" i="35"/>
  <c r="N2123" i="35"/>
  <c r="O2123" i="35"/>
  <c r="J2124" i="35"/>
  <c r="K2124" i="35"/>
  <c r="L2124" i="35"/>
  <c r="M2124" i="35"/>
  <c r="N2124" i="35"/>
  <c r="O2124" i="35"/>
  <c r="J2125" i="35"/>
  <c r="K2125" i="35"/>
  <c r="L2125" i="35"/>
  <c r="M2125" i="35"/>
  <c r="N2125" i="35"/>
  <c r="O2125" i="35"/>
  <c r="J2126" i="35"/>
  <c r="K2126" i="35"/>
  <c r="L2126" i="35"/>
  <c r="M2126" i="35"/>
  <c r="N2126" i="35"/>
  <c r="O2126" i="35"/>
  <c r="J2127" i="35"/>
  <c r="K2127" i="35"/>
  <c r="L2127" i="35"/>
  <c r="M2127" i="35"/>
  <c r="N2127" i="35"/>
  <c r="O2127" i="35"/>
  <c r="J2128" i="35"/>
  <c r="K2128" i="35"/>
  <c r="L2128" i="35"/>
  <c r="M2128" i="35"/>
  <c r="N2128" i="35"/>
  <c r="O2128" i="35"/>
  <c r="J2129" i="35"/>
  <c r="K2129" i="35"/>
  <c r="L2129" i="35"/>
  <c r="M2129" i="35"/>
  <c r="N2129" i="35"/>
  <c r="O2129" i="35"/>
  <c r="J2130" i="35"/>
  <c r="K2130" i="35"/>
  <c r="L2130" i="35"/>
  <c r="M2130" i="35"/>
  <c r="N2130" i="35"/>
  <c r="O2130" i="35"/>
  <c r="J2131" i="35"/>
  <c r="K2131" i="35"/>
  <c r="L2131" i="35"/>
  <c r="M2131" i="35"/>
  <c r="N2131" i="35"/>
  <c r="O2131" i="35"/>
  <c r="J1070" i="34"/>
  <c r="K1070" i="34"/>
  <c r="L1070" i="34"/>
  <c r="M1070" i="34"/>
  <c r="N1070" i="34"/>
  <c r="O1070" i="34"/>
  <c r="J2105" i="35"/>
  <c r="K2105" i="35"/>
  <c r="L2105" i="35"/>
  <c r="M2105" i="35"/>
  <c r="N2105" i="35"/>
  <c r="O2105" i="35"/>
  <c r="J2106" i="35"/>
  <c r="K2106" i="35"/>
  <c r="L2106" i="35"/>
  <c r="M2106" i="35"/>
  <c r="N2106" i="35"/>
  <c r="O2106" i="35"/>
  <c r="J2107" i="35"/>
  <c r="K2107" i="35"/>
  <c r="L2107" i="35"/>
  <c r="M2107" i="35"/>
  <c r="N2107" i="35"/>
  <c r="O2107" i="35"/>
  <c r="J2108" i="35"/>
  <c r="K2108" i="35"/>
  <c r="L2108" i="35"/>
  <c r="M2108" i="35"/>
  <c r="N2108" i="35"/>
  <c r="O2108" i="35"/>
  <c r="J2109" i="35"/>
  <c r="K2109" i="35"/>
  <c r="L2109" i="35"/>
  <c r="M2109" i="35"/>
  <c r="N2109" i="35"/>
  <c r="O2109" i="35"/>
  <c r="J2110" i="35"/>
  <c r="K2110" i="35"/>
  <c r="L2110" i="35"/>
  <c r="M2110" i="35"/>
  <c r="N2110" i="35"/>
  <c r="O2110" i="35"/>
  <c r="J2111" i="35"/>
  <c r="K2111" i="35"/>
  <c r="L2111" i="35"/>
  <c r="M2111" i="35"/>
  <c r="N2111" i="35"/>
  <c r="O2111" i="35"/>
  <c r="J2112" i="35"/>
  <c r="K2112" i="35"/>
  <c r="L2112" i="35"/>
  <c r="M2112" i="35"/>
  <c r="N2112" i="35"/>
  <c r="O2112" i="35"/>
  <c r="J2113" i="35"/>
  <c r="K2113" i="35"/>
  <c r="L2113" i="35"/>
  <c r="M2113" i="35"/>
  <c r="N2113" i="35"/>
  <c r="O2113" i="35"/>
  <c r="J2114" i="35"/>
  <c r="K2114" i="35"/>
  <c r="L2114" i="35"/>
  <c r="M2114" i="35"/>
  <c r="N2114" i="35"/>
  <c r="O2114" i="35"/>
  <c r="J1054" i="34"/>
  <c r="K1054" i="34"/>
  <c r="L1054" i="34"/>
  <c r="M1054" i="34"/>
  <c r="N1054" i="34"/>
  <c r="O1054" i="34"/>
  <c r="J2088" i="35"/>
  <c r="K2088" i="35"/>
  <c r="L2088" i="35"/>
  <c r="M2088" i="35"/>
  <c r="N2088" i="35"/>
  <c r="O2088" i="35"/>
  <c r="J2089" i="35"/>
  <c r="K2089" i="35"/>
  <c r="L2089" i="35"/>
  <c r="M2089" i="35"/>
  <c r="N2089" i="35"/>
  <c r="O2089" i="35"/>
  <c r="J2090" i="35"/>
  <c r="K2090" i="35"/>
  <c r="L2090" i="35"/>
  <c r="M2090" i="35"/>
  <c r="N2090" i="35"/>
  <c r="O2090" i="35"/>
  <c r="J2091" i="35"/>
  <c r="K2091" i="35"/>
  <c r="L2091" i="35"/>
  <c r="M2091" i="35"/>
  <c r="N2091" i="35"/>
  <c r="O2091" i="35"/>
  <c r="J2092" i="35"/>
  <c r="K2092" i="35"/>
  <c r="L2092" i="35"/>
  <c r="M2092" i="35"/>
  <c r="N2092" i="35"/>
  <c r="O2092" i="35"/>
  <c r="J2093" i="35"/>
  <c r="K2093" i="35"/>
  <c r="L2093" i="35"/>
  <c r="M2093" i="35"/>
  <c r="N2093" i="35"/>
  <c r="O2093" i="35"/>
  <c r="J2094" i="35"/>
  <c r="K2094" i="35"/>
  <c r="L2094" i="35"/>
  <c r="M2094" i="35"/>
  <c r="N2094" i="35"/>
  <c r="O2094" i="35"/>
  <c r="J2095" i="35"/>
  <c r="K2095" i="35"/>
  <c r="L2095" i="35"/>
  <c r="M2095" i="35"/>
  <c r="N2095" i="35"/>
  <c r="O2095" i="35"/>
  <c r="J2096" i="35"/>
  <c r="K2096" i="35"/>
  <c r="L2096" i="35"/>
  <c r="M2096" i="35"/>
  <c r="N2096" i="35"/>
  <c r="O2096" i="35"/>
  <c r="J2097" i="35"/>
  <c r="K2097" i="35"/>
  <c r="L2097" i="35"/>
  <c r="M2097" i="35"/>
  <c r="N2097" i="35"/>
  <c r="O2097" i="35"/>
  <c r="J1038" i="34"/>
  <c r="K1038" i="34"/>
  <c r="L1038" i="34"/>
  <c r="M1038" i="34"/>
  <c r="N1038" i="34"/>
  <c r="O1038" i="34"/>
  <c r="J2071" i="35"/>
  <c r="K2071" i="35"/>
  <c r="L2071" i="35"/>
  <c r="M2071" i="35"/>
  <c r="N2071" i="35"/>
  <c r="O2071" i="35"/>
  <c r="J2072" i="35"/>
  <c r="K2072" i="35"/>
  <c r="L2072" i="35"/>
  <c r="M2072" i="35"/>
  <c r="N2072" i="35"/>
  <c r="O2072" i="35"/>
  <c r="J2073" i="35"/>
  <c r="K2073" i="35"/>
  <c r="L2073" i="35"/>
  <c r="M2073" i="35"/>
  <c r="N2073" i="35"/>
  <c r="O2073" i="35"/>
  <c r="J2074" i="35"/>
  <c r="K2074" i="35"/>
  <c r="L2074" i="35"/>
  <c r="M2074" i="35"/>
  <c r="N2074" i="35"/>
  <c r="O2074" i="35"/>
  <c r="J2075" i="35"/>
  <c r="K2075" i="35"/>
  <c r="L2075" i="35"/>
  <c r="M2075" i="35"/>
  <c r="N2075" i="35"/>
  <c r="O2075" i="35"/>
  <c r="J2076" i="35"/>
  <c r="K2076" i="35"/>
  <c r="L2076" i="35"/>
  <c r="M2076" i="35"/>
  <c r="N2076" i="35"/>
  <c r="O2076" i="35"/>
  <c r="J2077" i="35"/>
  <c r="K2077" i="35"/>
  <c r="L2077" i="35"/>
  <c r="M2077" i="35"/>
  <c r="N2077" i="35"/>
  <c r="O2077" i="35"/>
  <c r="J2078" i="35"/>
  <c r="K2078" i="35"/>
  <c r="L2078" i="35"/>
  <c r="M2078" i="35"/>
  <c r="N2078" i="35"/>
  <c r="O2078" i="35"/>
  <c r="J2079" i="35"/>
  <c r="K2079" i="35"/>
  <c r="L2079" i="35"/>
  <c r="M2079" i="35"/>
  <c r="N2079" i="35"/>
  <c r="O2079" i="35"/>
  <c r="J2080" i="35"/>
  <c r="K2080" i="35"/>
  <c r="L2080" i="35"/>
  <c r="M2080" i="35"/>
  <c r="N2080" i="35"/>
  <c r="O2080" i="35"/>
  <c r="J1022" i="34"/>
  <c r="K1022" i="34"/>
  <c r="L1022" i="34"/>
  <c r="M1022" i="34"/>
  <c r="N1022" i="34"/>
  <c r="O1022" i="34"/>
  <c r="J2054" i="35"/>
  <c r="K2054" i="35"/>
  <c r="L2054" i="35"/>
  <c r="M2054" i="35"/>
  <c r="N2054" i="35"/>
  <c r="O2054" i="35"/>
  <c r="J2055" i="35"/>
  <c r="K2055" i="35"/>
  <c r="L2055" i="35"/>
  <c r="M2055" i="35"/>
  <c r="N2055" i="35"/>
  <c r="O2055" i="35"/>
  <c r="J2056" i="35"/>
  <c r="K2056" i="35"/>
  <c r="L2056" i="35"/>
  <c r="M2056" i="35"/>
  <c r="N2056" i="35"/>
  <c r="O2056" i="35"/>
  <c r="J2057" i="35"/>
  <c r="K2057" i="35"/>
  <c r="L2057" i="35"/>
  <c r="M2057" i="35"/>
  <c r="N2057" i="35"/>
  <c r="O2057" i="35"/>
  <c r="J2058" i="35"/>
  <c r="K2058" i="35"/>
  <c r="L2058" i="35"/>
  <c r="M2058" i="35"/>
  <c r="N2058" i="35"/>
  <c r="O2058" i="35"/>
  <c r="J2059" i="35"/>
  <c r="K2059" i="35"/>
  <c r="L2059" i="35"/>
  <c r="M2059" i="35"/>
  <c r="N2059" i="35"/>
  <c r="O2059" i="35"/>
  <c r="J2060" i="35"/>
  <c r="K2060" i="35"/>
  <c r="L2060" i="35"/>
  <c r="M2060" i="35"/>
  <c r="N2060" i="35"/>
  <c r="O2060" i="35"/>
  <c r="J2061" i="35"/>
  <c r="K2061" i="35"/>
  <c r="L2061" i="35"/>
  <c r="M2061" i="35"/>
  <c r="N2061" i="35"/>
  <c r="O2061" i="35"/>
  <c r="J2062" i="35"/>
  <c r="K2062" i="35"/>
  <c r="L2062" i="35"/>
  <c r="M2062" i="35"/>
  <c r="N2062" i="35"/>
  <c r="O2062" i="35"/>
  <c r="J2063" i="35"/>
  <c r="K2063" i="35"/>
  <c r="L2063" i="35"/>
  <c r="M2063" i="35"/>
  <c r="N2063" i="35"/>
  <c r="O2063" i="35"/>
  <c r="J1006" i="34"/>
  <c r="K1006" i="34"/>
  <c r="L1006" i="34"/>
  <c r="M1006" i="34"/>
  <c r="N1006" i="34"/>
  <c r="O1006" i="34"/>
  <c r="D3114" i="33"/>
  <c r="D2392" i="35" s="1"/>
  <c r="D83" i="156" s="1"/>
  <c r="D3115" i="33"/>
  <c r="D2259" i="36" s="1"/>
  <c r="D3116" i="33"/>
  <c r="D2431" i="35" s="1"/>
  <c r="D124" i="156" s="1"/>
  <c r="D3117" i="33"/>
  <c r="D2176" i="35" s="1"/>
  <c r="D3118" i="33"/>
  <c r="D2341" i="35" s="1"/>
  <c r="D72" i="156" s="1"/>
  <c r="D3119" i="33"/>
  <c r="D3120" i="33"/>
  <c r="D2356" i="35" s="1"/>
  <c r="D22" i="156" s="1"/>
  <c r="D3121" i="33"/>
  <c r="D2180" i="35" s="1"/>
  <c r="D3122" i="33"/>
  <c r="D2266" i="36" s="1"/>
  <c r="D3123" i="33"/>
  <c r="D2182" i="35" s="1"/>
  <c r="H2022" i="35"/>
  <c r="H2023" i="35"/>
  <c r="H2024" i="35"/>
  <c r="H2025" i="35"/>
  <c r="H2026" i="35"/>
  <c r="H2027" i="35"/>
  <c r="H2028" i="35"/>
  <c r="H2029" i="35"/>
  <c r="H2030" i="35"/>
  <c r="H2031" i="35"/>
  <c r="H2010" i="35"/>
  <c r="H2011" i="35"/>
  <c r="H2012" i="35"/>
  <c r="H2013" i="35"/>
  <c r="H2014" i="35"/>
  <c r="H2015" i="35"/>
  <c r="H2016" i="35"/>
  <c r="H2017" i="35"/>
  <c r="H2018" i="35"/>
  <c r="H2019" i="35"/>
  <c r="H1997" i="35"/>
  <c r="H1998" i="35"/>
  <c r="H1999" i="35"/>
  <c r="H2000" i="35"/>
  <c r="H2001" i="35"/>
  <c r="H2002" i="35"/>
  <c r="H2003" i="35"/>
  <c r="H2004" i="35"/>
  <c r="H2005" i="35"/>
  <c r="H2006" i="35"/>
  <c r="H1985" i="35"/>
  <c r="H1986" i="35"/>
  <c r="H1987" i="35"/>
  <c r="H1988" i="35"/>
  <c r="H1989" i="35"/>
  <c r="H1990" i="35"/>
  <c r="H1991" i="35"/>
  <c r="H1992" i="35"/>
  <c r="H1993" i="35"/>
  <c r="H1994" i="35"/>
  <c r="H1902" i="35"/>
  <c r="H267" i="20" s="1"/>
  <c r="H1903" i="35"/>
  <c r="H268" i="20" s="1"/>
  <c r="H1904" i="35"/>
  <c r="H269" i="20" s="1"/>
  <c r="H1905" i="35"/>
  <c r="H270" i="20" s="1"/>
  <c r="H1906" i="35"/>
  <c r="H271" i="20" s="1"/>
  <c r="H1907" i="35"/>
  <c r="H272" i="20" s="1"/>
  <c r="H1908" i="35"/>
  <c r="H273" i="20" s="1"/>
  <c r="H1909" i="35"/>
  <c r="H274" i="20" s="1"/>
  <c r="H1910" i="35"/>
  <c r="H275" i="20" s="1"/>
  <c r="H1911" i="35"/>
  <c r="H276" i="20" s="1"/>
  <c r="H1889" i="35"/>
  <c r="H1890" i="35"/>
  <c r="H1891" i="35"/>
  <c r="H1892" i="35"/>
  <c r="H1893" i="35"/>
  <c r="H1894" i="35"/>
  <c r="H1895" i="35"/>
  <c r="H1896" i="35"/>
  <c r="H1897" i="35"/>
  <c r="H1898" i="35"/>
  <c r="H1875" i="35"/>
  <c r="H1876" i="35"/>
  <c r="H1877" i="35"/>
  <c r="H1878" i="35"/>
  <c r="H1879" i="35"/>
  <c r="H1880" i="35"/>
  <c r="H1881" i="35"/>
  <c r="H1882" i="35"/>
  <c r="H1883" i="35"/>
  <c r="H1884" i="35"/>
  <c r="H1862" i="35"/>
  <c r="H1863" i="35"/>
  <c r="H1864" i="35"/>
  <c r="H1865" i="35"/>
  <c r="H1866" i="35"/>
  <c r="H1867" i="35"/>
  <c r="H1868" i="35"/>
  <c r="H1869" i="35"/>
  <c r="H1870" i="35"/>
  <c r="H1871" i="35"/>
  <c r="H1848" i="35"/>
  <c r="H1849" i="35"/>
  <c r="H1850" i="35"/>
  <c r="H1851" i="35"/>
  <c r="H1852" i="35"/>
  <c r="H1853" i="35"/>
  <c r="H1854" i="35"/>
  <c r="H1855" i="35"/>
  <c r="H1856" i="35"/>
  <c r="H1857" i="35"/>
  <c r="H1834" i="35"/>
  <c r="H1835" i="35"/>
  <c r="H1836" i="35"/>
  <c r="H1837" i="35"/>
  <c r="H1838" i="35"/>
  <c r="H1839" i="35"/>
  <c r="H1840" i="35"/>
  <c r="H1841" i="35"/>
  <c r="H1842" i="35"/>
  <c r="H1843" i="35"/>
  <c r="H1820" i="35"/>
  <c r="H1821" i="35"/>
  <c r="H1822" i="35"/>
  <c r="H1823" i="35"/>
  <c r="H1824" i="35"/>
  <c r="H1825" i="35"/>
  <c r="H1826" i="35"/>
  <c r="H1827" i="35"/>
  <c r="H1828" i="35"/>
  <c r="H1829" i="35"/>
  <c r="J1800" i="35"/>
  <c r="K1800" i="35"/>
  <c r="L1800" i="35"/>
  <c r="M1800" i="35"/>
  <c r="N1800" i="35"/>
  <c r="O1800" i="35"/>
  <c r="J1801" i="35"/>
  <c r="K1801" i="35"/>
  <c r="L1801" i="35"/>
  <c r="M1801" i="35"/>
  <c r="N1801" i="35"/>
  <c r="O1801" i="35"/>
  <c r="J1802" i="35"/>
  <c r="K1802" i="35"/>
  <c r="L1802" i="35"/>
  <c r="M1802" i="35"/>
  <c r="N1802" i="35"/>
  <c r="O1802" i="35"/>
  <c r="J1803" i="35"/>
  <c r="K1803" i="35"/>
  <c r="L1803" i="35"/>
  <c r="M1803" i="35"/>
  <c r="N1803" i="35"/>
  <c r="O1803" i="35"/>
  <c r="J1804" i="35"/>
  <c r="K1804" i="35"/>
  <c r="L1804" i="35"/>
  <c r="M1804" i="35"/>
  <c r="N1804" i="35"/>
  <c r="O1804" i="35"/>
  <c r="J1805" i="35"/>
  <c r="K1805" i="35"/>
  <c r="L1805" i="35"/>
  <c r="M1805" i="35"/>
  <c r="N1805" i="35"/>
  <c r="O1805" i="35"/>
  <c r="J1806" i="35"/>
  <c r="K1806" i="35"/>
  <c r="L1806" i="35"/>
  <c r="M1806" i="35"/>
  <c r="N1806" i="35"/>
  <c r="O1806" i="35"/>
  <c r="J1807" i="35"/>
  <c r="K1807" i="35"/>
  <c r="L1807" i="35"/>
  <c r="M1807" i="35"/>
  <c r="N1807" i="35"/>
  <c r="O1807" i="35"/>
  <c r="J1808" i="35"/>
  <c r="K1808" i="35"/>
  <c r="L1808" i="35"/>
  <c r="M1808" i="35"/>
  <c r="N1808" i="35"/>
  <c r="O1808" i="35"/>
  <c r="J1809" i="35"/>
  <c r="K1809" i="35"/>
  <c r="L1809" i="35"/>
  <c r="M1809" i="35"/>
  <c r="N1809" i="35"/>
  <c r="O1809" i="35"/>
  <c r="J955" i="34"/>
  <c r="K955" i="34"/>
  <c r="L955" i="34"/>
  <c r="M955" i="34"/>
  <c r="N955" i="34"/>
  <c r="O955" i="34"/>
  <c r="J1783" i="35"/>
  <c r="K1783" i="35"/>
  <c r="L1783" i="35"/>
  <c r="M1783" i="35"/>
  <c r="N1783" i="35"/>
  <c r="O1783" i="35"/>
  <c r="J1784" i="35"/>
  <c r="K1784" i="35"/>
  <c r="L1784" i="35"/>
  <c r="M1784" i="35"/>
  <c r="N1784" i="35"/>
  <c r="O1784" i="35"/>
  <c r="J1785" i="35"/>
  <c r="K1785" i="35"/>
  <c r="L1785" i="35"/>
  <c r="M1785" i="35"/>
  <c r="N1785" i="35"/>
  <c r="O1785" i="35"/>
  <c r="J1786" i="35"/>
  <c r="K1786" i="35"/>
  <c r="L1786" i="35"/>
  <c r="M1786" i="35"/>
  <c r="N1786" i="35"/>
  <c r="O1786" i="35"/>
  <c r="J1787" i="35"/>
  <c r="K1787" i="35"/>
  <c r="L1787" i="35"/>
  <c r="M1787" i="35"/>
  <c r="N1787" i="35"/>
  <c r="O1787" i="35"/>
  <c r="J1788" i="35"/>
  <c r="K1788" i="35"/>
  <c r="L1788" i="35"/>
  <c r="M1788" i="35"/>
  <c r="N1788" i="35"/>
  <c r="O1788" i="35"/>
  <c r="J1789" i="35"/>
  <c r="K1789" i="35"/>
  <c r="L1789" i="35"/>
  <c r="M1789" i="35"/>
  <c r="N1789" i="35"/>
  <c r="O1789" i="35"/>
  <c r="J1790" i="35"/>
  <c r="K1790" i="35"/>
  <c r="L1790" i="35"/>
  <c r="M1790" i="35"/>
  <c r="N1790" i="35"/>
  <c r="O1790" i="35"/>
  <c r="J1791" i="35"/>
  <c r="K1791" i="35"/>
  <c r="L1791" i="35"/>
  <c r="M1791" i="35"/>
  <c r="N1791" i="35"/>
  <c r="O1791" i="35"/>
  <c r="J1792" i="35"/>
  <c r="K1792" i="35"/>
  <c r="L1792" i="35"/>
  <c r="M1792" i="35"/>
  <c r="N1792" i="35"/>
  <c r="O1792" i="35"/>
  <c r="J939" i="34"/>
  <c r="K939" i="34"/>
  <c r="L939" i="34"/>
  <c r="M939" i="34"/>
  <c r="N939" i="34"/>
  <c r="O939" i="34"/>
  <c r="J1766" i="35"/>
  <c r="K1766" i="35"/>
  <c r="L1766" i="35"/>
  <c r="M1766" i="35"/>
  <c r="N1766" i="35"/>
  <c r="O1766" i="35"/>
  <c r="J1767" i="35"/>
  <c r="K1767" i="35"/>
  <c r="L1767" i="35"/>
  <c r="M1767" i="35"/>
  <c r="N1767" i="35"/>
  <c r="O1767" i="35"/>
  <c r="J1768" i="35"/>
  <c r="K1768" i="35"/>
  <c r="L1768" i="35"/>
  <c r="M1768" i="35"/>
  <c r="N1768" i="35"/>
  <c r="O1768" i="35"/>
  <c r="J1769" i="35"/>
  <c r="K1769" i="35"/>
  <c r="L1769" i="35"/>
  <c r="M1769" i="35"/>
  <c r="N1769" i="35"/>
  <c r="O1769" i="35"/>
  <c r="J1770" i="35"/>
  <c r="K1770" i="35"/>
  <c r="L1770" i="35"/>
  <c r="M1770" i="35"/>
  <c r="N1770" i="35"/>
  <c r="O1770" i="35"/>
  <c r="J1771" i="35"/>
  <c r="K1771" i="35"/>
  <c r="L1771" i="35"/>
  <c r="M1771" i="35"/>
  <c r="N1771" i="35"/>
  <c r="O1771" i="35"/>
  <c r="J1772" i="35"/>
  <c r="K1772" i="35"/>
  <c r="L1772" i="35"/>
  <c r="M1772" i="35"/>
  <c r="N1772" i="35"/>
  <c r="O1772" i="35"/>
  <c r="J1773" i="35"/>
  <c r="K1773" i="35"/>
  <c r="L1773" i="35"/>
  <c r="M1773" i="35"/>
  <c r="N1773" i="35"/>
  <c r="O1773" i="35"/>
  <c r="J1774" i="35"/>
  <c r="K1774" i="35"/>
  <c r="L1774" i="35"/>
  <c r="M1774" i="35"/>
  <c r="N1774" i="35"/>
  <c r="O1774" i="35"/>
  <c r="J1775" i="35"/>
  <c r="K1775" i="35"/>
  <c r="L1775" i="35"/>
  <c r="M1775" i="35"/>
  <c r="N1775" i="35"/>
  <c r="O1775" i="35"/>
  <c r="J923" i="34"/>
  <c r="K923" i="34"/>
  <c r="L923" i="34"/>
  <c r="M923" i="34"/>
  <c r="N923" i="34"/>
  <c r="O923" i="34"/>
  <c r="J1749" i="35"/>
  <c r="K1749" i="35"/>
  <c r="L1749" i="35"/>
  <c r="M1749" i="35"/>
  <c r="N1749" i="35"/>
  <c r="O1749" i="35"/>
  <c r="J1750" i="35"/>
  <c r="K1750" i="35"/>
  <c r="L1750" i="35"/>
  <c r="M1750" i="35"/>
  <c r="N1750" i="35"/>
  <c r="O1750" i="35"/>
  <c r="J1751" i="35"/>
  <c r="K1751" i="35"/>
  <c r="L1751" i="35"/>
  <c r="M1751" i="35"/>
  <c r="N1751" i="35"/>
  <c r="O1751" i="35"/>
  <c r="J1752" i="35"/>
  <c r="K1752" i="35"/>
  <c r="L1752" i="35"/>
  <c r="M1752" i="35"/>
  <c r="N1752" i="35"/>
  <c r="O1752" i="35"/>
  <c r="J1753" i="35"/>
  <c r="K1753" i="35"/>
  <c r="L1753" i="35"/>
  <c r="M1753" i="35"/>
  <c r="N1753" i="35"/>
  <c r="O1753" i="35"/>
  <c r="J1754" i="35"/>
  <c r="K1754" i="35"/>
  <c r="L1754" i="35"/>
  <c r="M1754" i="35"/>
  <c r="N1754" i="35"/>
  <c r="O1754" i="35"/>
  <c r="J1755" i="35"/>
  <c r="K1755" i="35"/>
  <c r="L1755" i="35"/>
  <c r="M1755" i="35"/>
  <c r="N1755" i="35"/>
  <c r="O1755" i="35"/>
  <c r="J1756" i="35"/>
  <c r="K1756" i="35"/>
  <c r="L1756" i="35"/>
  <c r="M1756" i="35"/>
  <c r="N1756" i="35"/>
  <c r="O1756" i="35"/>
  <c r="J1757" i="35"/>
  <c r="K1757" i="35"/>
  <c r="L1757" i="35"/>
  <c r="M1757" i="35"/>
  <c r="N1757" i="35"/>
  <c r="O1757" i="35"/>
  <c r="J1758" i="35"/>
  <c r="K1758" i="35"/>
  <c r="L1758" i="35"/>
  <c r="M1758" i="35"/>
  <c r="N1758" i="35"/>
  <c r="O1758" i="35"/>
  <c r="J907" i="34"/>
  <c r="K907" i="34"/>
  <c r="L907" i="34"/>
  <c r="M907" i="34"/>
  <c r="N907" i="34"/>
  <c r="O907" i="34"/>
  <c r="J1732" i="35"/>
  <c r="K1732" i="35"/>
  <c r="L1732" i="35"/>
  <c r="M1732" i="35"/>
  <c r="N1732" i="35"/>
  <c r="O1732" i="35"/>
  <c r="J1733" i="35"/>
  <c r="K1733" i="35"/>
  <c r="L1733" i="35"/>
  <c r="M1733" i="35"/>
  <c r="N1733" i="35"/>
  <c r="O1733" i="35"/>
  <c r="J1734" i="35"/>
  <c r="K1734" i="35"/>
  <c r="L1734" i="35"/>
  <c r="M1734" i="35"/>
  <c r="N1734" i="35"/>
  <c r="O1734" i="35"/>
  <c r="J1735" i="35"/>
  <c r="K1735" i="35"/>
  <c r="L1735" i="35"/>
  <c r="M1735" i="35"/>
  <c r="N1735" i="35"/>
  <c r="O1735" i="35"/>
  <c r="J1736" i="35"/>
  <c r="K1736" i="35"/>
  <c r="L1736" i="35"/>
  <c r="M1736" i="35"/>
  <c r="N1736" i="35"/>
  <c r="O1736" i="35"/>
  <c r="J1737" i="35"/>
  <c r="K1737" i="35"/>
  <c r="L1737" i="35"/>
  <c r="M1737" i="35"/>
  <c r="N1737" i="35"/>
  <c r="O1737" i="35"/>
  <c r="J1738" i="35"/>
  <c r="K1738" i="35"/>
  <c r="L1738" i="35"/>
  <c r="M1738" i="35"/>
  <c r="N1738" i="35"/>
  <c r="O1738" i="35"/>
  <c r="J1739" i="35"/>
  <c r="K1739" i="35"/>
  <c r="L1739" i="35"/>
  <c r="M1739" i="35"/>
  <c r="N1739" i="35"/>
  <c r="O1739" i="35"/>
  <c r="J1740" i="35"/>
  <c r="K1740" i="35"/>
  <c r="L1740" i="35"/>
  <c r="M1740" i="35"/>
  <c r="N1740" i="35"/>
  <c r="O1740" i="35"/>
  <c r="J1741" i="35"/>
  <c r="K1741" i="35"/>
  <c r="L1741" i="35"/>
  <c r="M1741" i="35"/>
  <c r="N1741" i="35"/>
  <c r="O1741" i="35"/>
  <c r="J891" i="34"/>
  <c r="K891" i="34"/>
  <c r="L891" i="34"/>
  <c r="M891" i="34"/>
  <c r="N891" i="34"/>
  <c r="O891" i="34"/>
  <c r="J1715" i="35"/>
  <c r="K1715" i="35"/>
  <c r="L1715" i="35"/>
  <c r="M1715" i="35"/>
  <c r="N1715" i="35"/>
  <c r="O1715" i="35"/>
  <c r="J1716" i="35"/>
  <c r="K1716" i="35"/>
  <c r="L1716" i="35"/>
  <c r="M1716" i="35"/>
  <c r="N1716" i="35"/>
  <c r="O1716" i="35"/>
  <c r="J1717" i="35"/>
  <c r="K1717" i="35"/>
  <c r="L1717" i="35"/>
  <c r="M1717" i="35"/>
  <c r="N1717" i="35"/>
  <c r="O1717" i="35"/>
  <c r="J1718" i="35"/>
  <c r="K1718" i="35"/>
  <c r="L1718" i="35"/>
  <c r="M1718" i="35"/>
  <c r="N1718" i="35"/>
  <c r="O1718" i="35"/>
  <c r="J1719" i="35"/>
  <c r="K1719" i="35"/>
  <c r="L1719" i="35"/>
  <c r="M1719" i="35"/>
  <c r="N1719" i="35"/>
  <c r="O1719" i="35"/>
  <c r="J1720" i="35"/>
  <c r="K1720" i="35"/>
  <c r="L1720" i="35"/>
  <c r="M1720" i="35"/>
  <c r="N1720" i="35"/>
  <c r="O1720" i="35"/>
  <c r="J1721" i="35"/>
  <c r="K1721" i="35"/>
  <c r="L1721" i="35"/>
  <c r="M1721" i="35"/>
  <c r="N1721" i="35"/>
  <c r="O1721" i="35"/>
  <c r="J1722" i="35"/>
  <c r="K1722" i="35"/>
  <c r="L1722" i="35"/>
  <c r="M1722" i="35"/>
  <c r="N1722" i="35"/>
  <c r="O1722" i="35"/>
  <c r="J1723" i="35"/>
  <c r="K1723" i="35"/>
  <c r="L1723" i="35"/>
  <c r="M1723" i="35"/>
  <c r="N1723" i="35"/>
  <c r="O1723" i="35"/>
  <c r="J1724" i="35"/>
  <c r="K1724" i="35"/>
  <c r="L1724" i="35"/>
  <c r="M1724" i="35"/>
  <c r="N1724" i="35"/>
  <c r="O1724" i="35"/>
  <c r="J875" i="34"/>
  <c r="K875" i="34"/>
  <c r="L875" i="34"/>
  <c r="M875" i="34"/>
  <c r="N875" i="34"/>
  <c r="O875" i="34"/>
  <c r="J1698" i="35"/>
  <c r="K1698" i="35"/>
  <c r="L1698" i="35"/>
  <c r="M1698" i="35"/>
  <c r="N1698" i="35"/>
  <c r="O1698" i="35"/>
  <c r="J1699" i="35"/>
  <c r="K1699" i="35"/>
  <c r="L1699" i="35"/>
  <c r="M1699" i="35"/>
  <c r="N1699" i="35"/>
  <c r="O1699" i="35"/>
  <c r="J1700" i="35"/>
  <c r="K1700" i="35"/>
  <c r="L1700" i="35"/>
  <c r="M1700" i="35"/>
  <c r="N1700" i="35"/>
  <c r="O1700" i="35"/>
  <c r="J1701" i="35"/>
  <c r="K1701" i="35"/>
  <c r="L1701" i="35"/>
  <c r="M1701" i="35"/>
  <c r="N1701" i="35"/>
  <c r="O1701" i="35"/>
  <c r="J1702" i="35"/>
  <c r="K1702" i="35"/>
  <c r="L1702" i="35"/>
  <c r="M1702" i="35"/>
  <c r="N1702" i="35"/>
  <c r="O1702" i="35"/>
  <c r="J1703" i="35"/>
  <c r="K1703" i="35"/>
  <c r="L1703" i="35"/>
  <c r="M1703" i="35"/>
  <c r="N1703" i="35"/>
  <c r="O1703" i="35"/>
  <c r="J1704" i="35"/>
  <c r="K1704" i="35"/>
  <c r="L1704" i="35"/>
  <c r="M1704" i="35"/>
  <c r="N1704" i="35"/>
  <c r="O1704" i="35"/>
  <c r="J1705" i="35"/>
  <c r="K1705" i="35"/>
  <c r="L1705" i="35"/>
  <c r="M1705" i="35"/>
  <c r="N1705" i="35"/>
  <c r="O1705" i="35"/>
  <c r="J1706" i="35"/>
  <c r="K1706" i="35"/>
  <c r="L1706" i="35"/>
  <c r="M1706" i="35"/>
  <c r="N1706" i="35"/>
  <c r="O1706" i="35"/>
  <c r="J1707" i="35"/>
  <c r="K1707" i="35"/>
  <c r="L1707" i="35"/>
  <c r="M1707" i="35"/>
  <c r="N1707" i="35"/>
  <c r="O1707" i="35"/>
  <c r="J859" i="34"/>
  <c r="K859" i="34"/>
  <c r="L859" i="34"/>
  <c r="M859" i="34"/>
  <c r="N859" i="34"/>
  <c r="O859" i="34"/>
  <c r="J1681" i="35"/>
  <c r="K1681" i="35"/>
  <c r="L1681" i="35"/>
  <c r="M1681" i="35"/>
  <c r="N1681" i="35"/>
  <c r="O1681" i="35"/>
  <c r="J1682" i="35"/>
  <c r="K1682" i="35"/>
  <c r="L1682" i="35"/>
  <c r="M1682" i="35"/>
  <c r="N1682" i="35"/>
  <c r="O1682" i="35"/>
  <c r="J1683" i="35"/>
  <c r="K1683" i="35"/>
  <c r="L1683" i="35"/>
  <c r="M1683" i="35"/>
  <c r="N1683" i="35"/>
  <c r="O1683" i="35"/>
  <c r="J1684" i="35"/>
  <c r="K1684" i="35"/>
  <c r="L1684" i="35"/>
  <c r="M1684" i="35"/>
  <c r="N1684" i="35"/>
  <c r="O1684" i="35"/>
  <c r="J1685" i="35"/>
  <c r="K1685" i="35"/>
  <c r="L1685" i="35"/>
  <c r="M1685" i="35"/>
  <c r="N1685" i="35"/>
  <c r="O1685" i="35"/>
  <c r="J1686" i="35"/>
  <c r="K1686" i="35"/>
  <c r="L1686" i="35"/>
  <c r="M1686" i="35"/>
  <c r="N1686" i="35"/>
  <c r="O1686" i="35"/>
  <c r="J1687" i="35"/>
  <c r="K1687" i="35"/>
  <c r="L1687" i="35"/>
  <c r="M1687" i="35"/>
  <c r="N1687" i="35"/>
  <c r="O1687" i="35"/>
  <c r="J1688" i="35"/>
  <c r="K1688" i="35"/>
  <c r="L1688" i="35"/>
  <c r="M1688" i="35"/>
  <c r="N1688" i="35"/>
  <c r="O1688" i="35"/>
  <c r="J1689" i="35"/>
  <c r="K1689" i="35"/>
  <c r="L1689" i="35"/>
  <c r="M1689" i="35"/>
  <c r="N1689" i="35"/>
  <c r="O1689" i="35"/>
  <c r="J1690" i="35"/>
  <c r="K1690" i="35"/>
  <c r="L1690" i="35"/>
  <c r="M1690" i="35"/>
  <c r="N1690" i="35"/>
  <c r="O1690" i="35"/>
  <c r="J843" i="34"/>
  <c r="K843" i="34"/>
  <c r="L843" i="34"/>
  <c r="M843" i="34"/>
  <c r="N843" i="34"/>
  <c r="O843" i="34"/>
  <c r="J1664" i="35"/>
  <c r="K1664" i="35"/>
  <c r="L1664" i="35"/>
  <c r="M1664" i="35"/>
  <c r="N1664" i="35"/>
  <c r="O1664" i="35"/>
  <c r="J1665" i="35"/>
  <c r="K1665" i="35"/>
  <c r="L1665" i="35"/>
  <c r="M1665" i="35"/>
  <c r="N1665" i="35"/>
  <c r="O1665" i="35"/>
  <c r="J1666" i="35"/>
  <c r="K1666" i="35"/>
  <c r="L1666" i="35"/>
  <c r="M1666" i="35"/>
  <c r="N1666" i="35"/>
  <c r="O1666" i="35"/>
  <c r="J1667" i="35"/>
  <c r="K1667" i="35"/>
  <c r="L1667" i="35"/>
  <c r="M1667" i="35"/>
  <c r="N1667" i="35"/>
  <c r="O1667" i="35"/>
  <c r="J1668" i="35"/>
  <c r="K1668" i="35"/>
  <c r="L1668" i="35"/>
  <c r="M1668" i="35"/>
  <c r="N1668" i="35"/>
  <c r="O1668" i="35"/>
  <c r="J1669" i="35"/>
  <c r="K1669" i="35"/>
  <c r="L1669" i="35"/>
  <c r="M1669" i="35"/>
  <c r="N1669" i="35"/>
  <c r="O1669" i="35"/>
  <c r="J1670" i="35"/>
  <c r="K1670" i="35"/>
  <c r="L1670" i="35"/>
  <c r="M1670" i="35"/>
  <c r="N1670" i="35"/>
  <c r="O1670" i="35"/>
  <c r="J1671" i="35"/>
  <c r="K1671" i="35"/>
  <c r="L1671" i="35"/>
  <c r="M1671" i="35"/>
  <c r="N1671" i="35"/>
  <c r="O1671" i="35"/>
  <c r="J1672" i="35"/>
  <c r="K1672" i="35"/>
  <c r="L1672" i="35"/>
  <c r="M1672" i="35"/>
  <c r="N1672" i="35"/>
  <c r="O1672" i="35"/>
  <c r="J1673" i="35"/>
  <c r="K1673" i="35"/>
  <c r="L1673" i="35"/>
  <c r="M1673" i="35"/>
  <c r="N1673" i="35"/>
  <c r="O1673" i="35"/>
  <c r="J827" i="34"/>
  <c r="K827" i="34"/>
  <c r="L827" i="34"/>
  <c r="M827" i="34"/>
  <c r="N827" i="34"/>
  <c r="O827" i="34"/>
  <c r="J1647" i="35"/>
  <c r="K1647" i="35"/>
  <c r="L1647" i="35"/>
  <c r="M1647" i="35"/>
  <c r="N1647" i="35"/>
  <c r="O1647" i="35"/>
  <c r="J1648" i="35"/>
  <c r="K1648" i="35"/>
  <c r="L1648" i="35"/>
  <c r="M1648" i="35"/>
  <c r="N1648" i="35"/>
  <c r="O1648" i="35"/>
  <c r="J1649" i="35"/>
  <c r="K1649" i="35"/>
  <c r="L1649" i="35"/>
  <c r="M1649" i="35"/>
  <c r="N1649" i="35"/>
  <c r="O1649" i="35"/>
  <c r="J1650" i="35"/>
  <c r="K1650" i="35"/>
  <c r="L1650" i="35"/>
  <c r="M1650" i="35"/>
  <c r="N1650" i="35"/>
  <c r="O1650" i="35"/>
  <c r="J1651" i="35"/>
  <c r="K1651" i="35"/>
  <c r="L1651" i="35"/>
  <c r="M1651" i="35"/>
  <c r="N1651" i="35"/>
  <c r="O1651" i="35"/>
  <c r="J1652" i="35"/>
  <c r="K1652" i="35"/>
  <c r="L1652" i="35"/>
  <c r="M1652" i="35"/>
  <c r="N1652" i="35"/>
  <c r="O1652" i="35"/>
  <c r="J1653" i="35"/>
  <c r="K1653" i="35"/>
  <c r="L1653" i="35"/>
  <c r="M1653" i="35"/>
  <c r="N1653" i="35"/>
  <c r="O1653" i="35"/>
  <c r="J1654" i="35"/>
  <c r="K1654" i="35"/>
  <c r="L1654" i="35"/>
  <c r="M1654" i="35"/>
  <c r="N1654" i="35"/>
  <c r="O1654" i="35"/>
  <c r="J1655" i="35"/>
  <c r="K1655" i="35"/>
  <c r="L1655" i="35"/>
  <c r="M1655" i="35"/>
  <c r="N1655" i="35"/>
  <c r="O1655" i="35"/>
  <c r="J1656" i="35"/>
  <c r="K1656" i="35"/>
  <c r="L1656" i="35"/>
  <c r="M1656" i="35"/>
  <c r="N1656" i="35"/>
  <c r="O1656" i="35"/>
  <c r="J811" i="34"/>
  <c r="K811" i="34"/>
  <c r="L811" i="34"/>
  <c r="M811" i="34"/>
  <c r="N811" i="34"/>
  <c r="O811" i="34"/>
  <c r="D1937" i="33"/>
  <c r="D1997" i="35" s="1"/>
  <c r="D96" i="154" s="1"/>
  <c r="D1938" i="33"/>
  <c r="D2011" i="35" s="1"/>
  <c r="D110" i="154" s="1"/>
  <c r="D1939" i="33"/>
  <c r="D1999" i="35" s="1"/>
  <c r="D98" i="154" s="1"/>
  <c r="D1940" i="33"/>
  <c r="D2025" i="35" s="1"/>
  <c r="D125" i="154" s="1"/>
  <c r="D1941" i="33"/>
  <c r="D2026" i="35" s="1"/>
  <c r="D126" i="154" s="1"/>
  <c r="D1942" i="33"/>
  <c r="D1369" i="36" s="1"/>
  <c r="D1943" i="33"/>
  <c r="D2028" i="35" s="1"/>
  <c r="D128" i="154" s="1"/>
  <c r="D1944" i="33"/>
  <c r="D2004" i="35" s="1"/>
  <c r="D103" i="154" s="1"/>
  <c r="D1945" i="33"/>
  <c r="D2005" i="35" s="1"/>
  <c r="D104" i="154" s="1"/>
  <c r="D1946" i="33"/>
  <c r="D2019" i="35" s="1"/>
  <c r="D118" i="154" s="1"/>
  <c r="H1615" i="35"/>
  <c r="H1616" i="35"/>
  <c r="H1617" i="35"/>
  <c r="H1618" i="35"/>
  <c r="H1619" i="35"/>
  <c r="H1620" i="35"/>
  <c r="H1621" i="35"/>
  <c r="H1622" i="35"/>
  <c r="H1623" i="35"/>
  <c r="H1624" i="35"/>
  <c r="H1603" i="35"/>
  <c r="H1604" i="35"/>
  <c r="H1605" i="35"/>
  <c r="H1606" i="35"/>
  <c r="H1607" i="35"/>
  <c r="H1608" i="35"/>
  <c r="H1609" i="35"/>
  <c r="H1610" i="35"/>
  <c r="H1611" i="35"/>
  <c r="H1612" i="35"/>
  <c r="H1590" i="35"/>
  <c r="H1591" i="35"/>
  <c r="H1592" i="35"/>
  <c r="H1593" i="35"/>
  <c r="H1594" i="35"/>
  <c r="H1595" i="35"/>
  <c r="H1596" i="35"/>
  <c r="H1597" i="35"/>
  <c r="H1598" i="35"/>
  <c r="H1599" i="35"/>
  <c r="H1578" i="35"/>
  <c r="H1579" i="35"/>
  <c r="H1580" i="35"/>
  <c r="H1581" i="35"/>
  <c r="H1582" i="35"/>
  <c r="H1583" i="35"/>
  <c r="H1584" i="35"/>
  <c r="H1585" i="35"/>
  <c r="H1586" i="35"/>
  <c r="H1587" i="35"/>
  <c r="H1495" i="35"/>
  <c r="H257" i="20" s="1"/>
  <c r="H1496" i="35"/>
  <c r="H258" i="20" s="1"/>
  <c r="H1497" i="35"/>
  <c r="H259" i="20" s="1"/>
  <c r="H1498" i="35"/>
  <c r="H260" i="20" s="1"/>
  <c r="H1499" i="35"/>
  <c r="H261" i="20" s="1"/>
  <c r="H1500" i="35"/>
  <c r="H262" i="20" s="1"/>
  <c r="H1501" i="35"/>
  <c r="H263" i="20" s="1"/>
  <c r="H1502" i="35"/>
  <c r="H264" i="20" s="1"/>
  <c r="H1503" i="35"/>
  <c r="H265" i="20" s="1"/>
  <c r="H1504" i="35"/>
  <c r="H266" i="20" s="1"/>
  <c r="H1482" i="35"/>
  <c r="H1483" i="35"/>
  <c r="H1484" i="35"/>
  <c r="H1485" i="35"/>
  <c r="H1486" i="35"/>
  <c r="H1487" i="35"/>
  <c r="H1488" i="35"/>
  <c r="H1489" i="35"/>
  <c r="H1490" i="35"/>
  <c r="H1491" i="35"/>
  <c r="H1468" i="35"/>
  <c r="H1469" i="35"/>
  <c r="H1470" i="35"/>
  <c r="H1471" i="35"/>
  <c r="H1472" i="35"/>
  <c r="H1473" i="35"/>
  <c r="H1474" i="35"/>
  <c r="H1475" i="35"/>
  <c r="H1476" i="35"/>
  <c r="H1477" i="35"/>
  <c r="H1455" i="35"/>
  <c r="H1456" i="35"/>
  <c r="H1457" i="35"/>
  <c r="H1458" i="35"/>
  <c r="H1459" i="35"/>
  <c r="H1460" i="35"/>
  <c r="H1461" i="35"/>
  <c r="H1462" i="35"/>
  <c r="H1463" i="35"/>
  <c r="H1464" i="35"/>
  <c r="H1441" i="35"/>
  <c r="H1442" i="35"/>
  <c r="H1443" i="35"/>
  <c r="H1444" i="35"/>
  <c r="H1445" i="35"/>
  <c r="H1446" i="35"/>
  <c r="H1447" i="35"/>
  <c r="H1448" i="35"/>
  <c r="H1449" i="35"/>
  <c r="H1450" i="35"/>
  <c r="H1427" i="35"/>
  <c r="H1428" i="35"/>
  <c r="H1429" i="35"/>
  <c r="H1430" i="35"/>
  <c r="H1431" i="35"/>
  <c r="H1432" i="35"/>
  <c r="H1433" i="35"/>
  <c r="H1434" i="35"/>
  <c r="H1435" i="35"/>
  <c r="H1436" i="35"/>
  <c r="H1413" i="35"/>
  <c r="H1414" i="35"/>
  <c r="H1415" i="35"/>
  <c r="H1416" i="35"/>
  <c r="H1417" i="35"/>
  <c r="H1418" i="35"/>
  <c r="H1419" i="35"/>
  <c r="H1420" i="35"/>
  <c r="H1421" i="35"/>
  <c r="H1422" i="35"/>
  <c r="J1393" i="35"/>
  <c r="K1393" i="35"/>
  <c r="L1393" i="35"/>
  <c r="M1393" i="35"/>
  <c r="N1393" i="35"/>
  <c r="O1393" i="35"/>
  <c r="J1394" i="35"/>
  <c r="K1394" i="35"/>
  <c r="L1394" i="35"/>
  <c r="M1394" i="35"/>
  <c r="N1394" i="35"/>
  <c r="O1394" i="35"/>
  <c r="J1395" i="35"/>
  <c r="K1395" i="35"/>
  <c r="L1395" i="35"/>
  <c r="M1395" i="35"/>
  <c r="N1395" i="35"/>
  <c r="O1395" i="35"/>
  <c r="J1396" i="35"/>
  <c r="K1396" i="35"/>
  <c r="L1396" i="35"/>
  <c r="M1396" i="35"/>
  <c r="N1396" i="35"/>
  <c r="O1396" i="35"/>
  <c r="J1397" i="35"/>
  <c r="K1397" i="35"/>
  <c r="L1397" i="35"/>
  <c r="M1397" i="35"/>
  <c r="N1397" i="35"/>
  <c r="O1397" i="35"/>
  <c r="J1398" i="35"/>
  <c r="K1398" i="35"/>
  <c r="L1398" i="35"/>
  <c r="M1398" i="35"/>
  <c r="N1398" i="35"/>
  <c r="O1398" i="35"/>
  <c r="J1399" i="35"/>
  <c r="K1399" i="35"/>
  <c r="L1399" i="35"/>
  <c r="M1399" i="35"/>
  <c r="N1399" i="35"/>
  <c r="O1399" i="35"/>
  <c r="J1400" i="35"/>
  <c r="K1400" i="35"/>
  <c r="L1400" i="35"/>
  <c r="M1400" i="35"/>
  <c r="N1400" i="35"/>
  <c r="O1400" i="35"/>
  <c r="J1401" i="35"/>
  <c r="K1401" i="35"/>
  <c r="L1401" i="35"/>
  <c r="M1401" i="35"/>
  <c r="N1401" i="35"/>
  <c r="O1401" i="35"/>
  <c r="J1402" i="35"/>
  <c r="K1402" i="35"/>
  <c r="L1402" i="35"/>
  <c r="M1402" i="35"/>
  <c r="N1402" i="35"/>
  <c r="O1402" i="35"/>
  <c r="J760" i="34"/>
  <c r="K760" i="34"/>
  <c r="L760" i="34"/>
  <c r="M760" i="34"/>
  <c r="N760" i="34"/>
  <c r="O760" i="34"/>
  <c r="J1376" i="35"/>
  <c r="K1376" i="35"/>
  <c r="L1376" i="35"/>
  <c r="M1376" i="35"/>
  <c r="N1376" i="35"/>
  <c r="O1376" i="35"/>
  <c r="J1377" i="35"/>
  <c r="K1377" i="35"/>
  <c r="L1377" i="35"/>
  <c r="M1377" i="35"/>
  <c r="N1377" i="35"/>
  <c r="O1377" i="35"/>
  <c r="J1378" i="35"/>
  <c r="K1378" i="35"/>
  <c r="L1378" i="35"/>
  <c r="M1378" i="35"/>
  <c r="N1378" i="35"/>
  <c r="O1378" i="35"/>
  <c r="J1379" i="35"/>
  <c r="K1379" i="35"/>
  <c r="L1379" i="35"/>
  <c r="M1379" i="35"/>
  <c r="N1379" i="35"/>
  <c r="O1379" i="35"/>
  <c r="J1380" i="35"/>
  <c r="K1380" i="35"/>
  <c r="L1380" i="35"/>
  <c r="M1380" i="35"/>
  <c r="N1380" i="35"/>
  <c r="O1380" i="35"/>
  <c r="J1381" i="35"/>
  <c r="K1381" i="35"/>
  <c r="L1381" i="35"/>
  <c r="M1381" i="35"/>
  <c r="N1381" i="35"/>
  <c r="O1381" i="35"/>
  <c r="J1382" i="35"/>
  <c r="K1382" i="35"/>
  <c r="L1382" i="35"/>
  <c r="M1382" i="35"/>
  <c r="N1382" i="35"/>
  <c r="O1382" i="35"/>
  <c r="J1383" i="35"/>
  <c r="K1383" i="35"/>
  <c r="L1383" i="35"/>
  <c r="M1383" i="35"/>
  <c r="N1383" i="35"/>
  <c r="O1383" i="35"/>
  <c r="J1384" i="35"/>
  <c r="K1384" i="35"/>
  <c r="L1384" i="35"/>
  <c r="M1384" i="35"/>
  <c r="N1384" i="35"/>
  <c r="O1384" i="35"/>
  <c r="J1385" i="35"/>
  <c r="K1385" i="35"/>
  <c r="L1385" i="35"/>
  <c r="M1385" i="35"/>
  <c r="N1385" i="35"/>
  <c r="O1385" i="35"/>
  <c r="J744" i="34"/>
  <c r="K744" i="34"/>
  <c r="L744" i="34"/>
  <c r="M744" i="34"/>
  <c r="N744" i="34"/>
  <c r="O744" i="34"/>
  <c r="J1359" i="35"/>
  <c r="K1359" i="35"/>
  <c r="L1359" i="35"/>
  <c r="M1359" i="35"/>
  <c r="N1359" i="35"/>
  <c r="O1359" i="35"/>
  <c r="J1360" i="35"/>
  <c r="K1360" i="35"/>
  <c r="L1360" i="35"/>
  <c r="M1360" i="35"/>
  <c r="N1360" i="35"/>
  <c r="O1360" i="35"/>
  <c r="J1361" i="35"/>
  <c r="K1361" i="35"/>
  <c r="L1361" i="35"/>
  <c r="M1361" i="35"/>
  <c r="N1361" i="35"/>
  <c r="O1361" i="35"/>
  <c r="J1362" i="35"/>
  <c r="K1362" i="35"/>
  <c r="L1362" i="35"/>
  <c r="M1362" i="35"/>
  <c r="N1362" i="35"/>
  <c r="O1362" i="35"/>
  <c r="J1363" i="35"/>
  <c r="K1363" i="35"/>
  <c r="L1363" i="35"/>
  <c r="M1363" i="35"/>
  <c r="N1363" i="35"/>
  <c r="O1363" i="35"/>
  <c r="J1364" i="35"/>
  <c r="K1364" i="35"/>
  <c r="L1364" i="35"/>
  <c r="M1364" i="35"/>
  <c r="N1364" i="35"/>
  <c r="O1364" i="35"/>
  <c r="J1365" i="35"/>
  <c r="K1365" i="35"/>
  <c r="L1365" i="35"/>
  <c r="M1365" i="35"/>
  <c r="N1365" i="35"/>
  <c r="O1365" i="35"/>
  <c r="J1366" i="35"/>
  <c r="K1366" i="35"/>
  <c r="L1366" i="35"/>
  <c r="M1366" i="35"/>
  <c r="N1366" i="35"/>
  <c r="O1366" i="35"/>
  <c r="J1367" i="35"/>
  <c r="K1367" i="35"/>
  <c r="L1367" i="35"/>
  <c r="M1367" i="35"/>
  <c r="N1367" i="35"/>
  <c r="O1367" i="35"/>
  <c r="J1368" i="35"/>
  <c r="K1368" i="35"/>
  <c r="L1368" i="35"/>
  <c r="M1368" i="35"/>
  <c r="N1368" i="35"/>
  <c r="O1368" i="35"/>
  <c r="J728" i="34"/>
  <c r="K728" i="34"/>
  <c r="L728" i="34"/>
  <c r="M728" i="34"/>
  <c r="N728" i="34"/>
  <c r="O728" i="34"/>
  <c r="J1342" i="35"/>
  <c r="K1342" i="35"/>
  <c r="L1342" i="35"/>
  <c r="M1342" i="35"/>
  <c r="N1342" i="35"/>
  <c r="O1342" i="35"/>
  <c r="J1343" i="35"/>
  <c r="K1343" i="35"/>
  <c r="L1343" i="35"/>
  <c r="M1343" i="35"/>
  <c r="N1343" i="35"/>
  <c r="O1343" i="35"/>
  <c r="J1344" i="35"/>
  <c r="K1344" i="35"/>
  <c r="L1344" i="35"/>
  <c r="M1344" i="35"/>
  <c r="N1344" i="35"/>
  <c r="O1344" i="35"/>
  <c r="J1345" i="35"/>
  <c r="K1345" i="35"/>
  <c r="L1345" i="35"/>
  <c r="M1345" i="35"/>
  <c r="N1345" i="35"/>
  <c r="O1345" i="35"/>
  <c r="J1346" i="35"/>
  <c r="K1346" i="35"/>
  <c r="L1346" i="35"/>
  <c r="M1346" i="35"/>
  <c r="N1346" i="35"/>
  <c r="O1346" i="35"/>
  <c r="J1347" i="35"/>
  <c r="K1347" i="35"/>
  <c r="L1347" i="35"/>
  <c r="M1347" i="35"/>
  <c r="N1347" i="35"/>
  <c r="O1347" i="35"/>
  <c r="J1348" i="35"/>
  <c r="K1348" i="35"/>
  <c r="L1348" i="35"/>
  <c r="M1348" i="35"/>
  <c r="N1348" i="35"/>
  <c r="O1348" i="35"/>
  <c r="J1349" i="35"/>
  <c r="K1349" i="35"/>
  <c r="L1349" i="35"/>
  <c r="M1349" i="35"/>
  <c r="N1349" i="35"/>
  <c r="O1349" i="35"/>
  <c r="J1350" i="35"/>
  <c r="K1350" i="35"/>
  <c r="L1350" i="35"/>
  <c r="M1350" i="35"/>
  <c r="N1350" i="35"/>
  <c r="O1350" i="35"/>
  <c r="J1351" i="35"/>
  <c r="K1351" i="35"/>
  <c r="L1351" i="35"/>
  <c r="M1351" i="35"/>
  <c r="N1351" i="35"/>
  <c r="O1351" i="35"/>
  <c r="J712" i="34"/>
  <c r="K712" i="34"/>
  <c r="L712" i="34"/>
  <c r="M712" i="34"/>
  <c r="N712" i="34"/>
  <c r="O712" i="34"/>
  <c r="J1325" i="35"/>
  <c r="K1325" i="35"/>
  <c r="L1325" i="35"/>
  <c r="M1325" i="35"/>
  <c r="N1325" i="35"/>
  <c r="O1325" i="35"/>
  <c r="J1326" i="35"/>
  <c r="K1326" i="35"/>
  <c r="L1326" i="35"/>
  <c r="M1326" i="35"/>
  <c r="N1326" i="35"/>
  <c r="O1326" i="35"/>
  <c r="J1327" i="35"/>
  <c r="K1327" i="35"/>
  <c r="L1327" i="35"/>
  <c r="M1327" i="35"/>
  <c r="N1327" i="35"/>
  <c r="O1327" i="35"/>
  <c r="J1328" i="35"/>
  <c r="K1328" i="35"/>
  <c r="L1328" i="35"/>
  <c r="M1328" i="35"/>
  <c r="N1328" i="35"/>
  <c r="O1328" i="35"/>
  <c r="J1329" i="35"/>
  <c r="K1329" i="35"/>
  <c r="L1329" i="35"/>
  <c r="M1329" i="35"/>
  <c r="N1329" i="35"/>
  <c r="O1329" i="35"/>
  <c r="J1330" i="35"/>
  <c r="K1330" i="35"/>
  <c r="L1330" i="35"/>
  <c r="M1330" i="35"/>
  <c r="N1330" i="35"/>
  <c r="O1330" i="35"/>
  <c r="J1331" i="35"/>
  <c r="K1331" i="35"/>
  <c r="L1331" i="35"/>
  <c r="M1331" i="35"/>
  <c r="N1331" i="35"/>
  <c r="O1331" i="35"/>
  <c r="J1332" i="35"/>
  <c r="K1332" i="35"/>
  <c r="L1332" i="35"/>
  <c r="M1332" i="35"/>
  <c r="N1332" i="35"/>
  <c r="O1332" i="35"/>
  <c r="J1333" i="35"/>
  <c r="K1333" i="35"/>
  <c r="L1333" i="35"/>
  <c r="M1333" i="35"/>
  <c r="N1333" i="35"/>
  <c r="O1333" i="35"/>
  <c r="J1334" i="35"/>
  <c r="K1334" i="35"/>
  <c r="L1334" i="35"/>
  <c r="M1334" i="35"/>
  <c r="N1334" i="35"/>
  <c r="O1334" i="35"/>
  <c r="J696" i="34"/>
  <c r="K696" i="34"/>
  <c r="L696" i="34"/>
  <c r="M696" i="34"/>
  <c r="N696" i="34"/>
  <c r="O696" i="34"/>
  <c r="J1308" i="35"/>
  <c r="K1308" i="35"/>
  <c r="L1308" i="35"/>
  <c r="M1308" i="35"/>
  <c r="N1308" i="35"/>
  <c r="O1308" i="35"/>
  <c r="J1309" i="35"/>
  <c r="K1309" i="35"/>
  <c r="L1309" i="35"/>
  <c r="M1309" i="35"/>
  <c r="N1309" i="35"/>
  <c r="O1309" i="35"/>
  <c r="J1310" i="35"/>
  <c r="K1310" i="35"/>
  <c r="L1310" i="35"/>
  <c r="M1310" i="35"/>
  <c r="N1310" i="35"/>
  <c r="O1310" i="35"/>
  <c r="J1311" i="35"/>
  <c r="K1311" i="35"/>
  <c r="L1311" i="35"/>
  <c r="M1311" i="35"/>
  <c r="N1311" i="35"/>
  <c r="O1311" i="35"/>
  <c r="J1312" i="35"/>
  <c r="K1312" i="35"/>
  <c r="L1312" i="35"/>
  <c r="M1312" i="35"/>
  <c r="N1312" i="35"/>
  <c r="O1312" i="35"/>
  <c r="J1313" i="35"/>
  <c r="K1313" i="35"/>
  <c r="L1313" i="35"/>
  <c r="M1313" i="35"/>
  <c r="N1313" i="35"/>
  <c r="O1313" i="35"/>
  <c r="J1314" i="35"/>
  <c r="K1314" i="35"/>
  <c r="L1314" i="35"/>
  <c r="M1314" i="35"/>
  <c r="N1314" i="35"/>
  <c r="O1314" i="35"/>
  <c r="J1315" i="35"/>
  <c r="K1315" i="35"/>
  <c r="L1315" i="35"/>
  <c r="M1315" i="35"/>
  <c r="N1315" i="35"/>
  <c r="O1315" i="35"/>
  <c r="J1316" i="35"/>
  <c r="K1316" i="35"/>
  <c r="L1316" i="35"/>
  <c r="M1316" i="35"/>
  <c r="N1316" i="35"/>
  <c r="O1316" i="35"/>
  <c r="J1317" i="35"/>
  <c r="K1317" i="35"/>
  <c r="L1317" i="35"/>
  <c r="M1317" i="35"/>
  <c r="N1317" i="35"/>
  <c r="O1317" i="35"/>
  <c r="J680" i="34"/>
  <c r="K680" i="34"/>
  <c r="L680" i="34"/>
  <c r="M680" i="34"/>
  <c r="N680" i="34"/>
  <c r="O680" i="34"/>
  <c r="J1291" i="35"/>
  <c r="K1291" i="35"/>
  <c r="L1291" i="35"/>
  <c r="M1291" i="35"/>
  <c r="N1291" i="35"/>
  <c r="O1291" i="35"/>
  <c r="J1292" i="35"/>
  <c r="K1292" i="35"/>
  <c r="L1292" i="35"/>
  <c r="M1292" i="35"/>
  <c r="N1292" i="35"/>
  <c r="O1292" i="35"/>
  <c r="J1293" i="35"/>
  <c r="K1293" i="35"/>
  <c r="L1293" i="35"/>
  <c r="M1293" i="35"/>
  <c r="N1293" i="35"/>
  <c r="O1293" i="35"/>
  <c r="J1294" i="35"/>
  <c r="K1294" i="35"/>
  <c r="L1294" i="35"/>
  <c r="M1294" i="35"/>
  <c r="N1294" i="35"/>
  <c r="O1294" i="35"/>
  <c r="J1295" i="35"/>
  <c r="K1295" i="35"/>
  <c r="L1295" i="35"/>
  <c r="M1295" i="35"/>
  <c r="N1295" i="35"/>
  <c r="O1295" i="35"/>
  <c r="J1296" i="35"/>
  <c r="K1296" i="35"/>
  <c r="L1296" i="35"/>
  <c r="M1296" i="35"/>
  <c r="N1296" i="35"/>
  <c r="O1296" i="35"/>
  <c r="J1297" i="35"/>
  <c r="K1297" i="35"/>
  <c r="L1297" i="35"/>
  <c r="M1297" i="35"/>
  <c r="N1297" i="35"/>
  <c r="O1297" i="35"/>
  <c r="J1298" i="35"/>
  <c r="K1298" i="35"/>
  <c r="L1298" i="35"/>
  <c r="M1298" i="35"/>
  <c r="N1298" i="35"/>
  <c r="O1298" i="35"/>
  <c r="J1299" i="35"/>
  <c r="K1299" i="35"/>
  <c r="L1299" i="35"/>
  <c r="M1299" i="35"/>
  <c r="N1299" i="35"/>
  <c r="O1299" i="35"/>
  <c r="J1300" i="35"/>
  <c r="K1300" i="35"/>
  <c r="L1300" i="35"/>
  <c r="M1300" i="35"/>
  <c r="N1300" i="35"/>
  <c r="O1300" i="35"/>
  <c r="J664" i="34"/>
  <c r="K664" i="34"/>
  <c r="L664" i="34"/>
  <c r="M664" i="34"/>
  <c r="N664" i="34"/>
  <c r="O664" i="34"/>
  <c r="J1274" i="35"/>
  <c r="K1274" i="35"/>
  <c r="L1274" i="35"/>
  <c r="M1274" i="35"/>
  <c r="N1274" i="35"/>
  <c r="O1274" i="35"/>
  <c r="J1275" i="35"/>
  <c r="K1275" i="35"/>
  <c r="L1275" i="35"/>
  <c r="M1275" i="35"/>
  <c r="N1275" i="35"/>
  <c r="O1275" i="35"/>
  <c r="J1276" i="35"/>
  <c r="K1276" i="35"/>
  <c r="L1276" i="35"/>
  <c r="M1276" i="35"/>
  <c r="N1276" i="35"/>
  <c r="O1276" i="35"/>
  <c r="J1277" i="35"/>
  <c r="K1277" i="35"/>
  <c r="L1277" i="35"/>
  <c r="M1277" i="35"/>
  <c r="N1277" i="35"/>
  <c r="O1277" i="35"/>
  <c r="J1278" i="35"/>
  <c r="K1278" i="35"/>
  <c r="L1278" i="35"/>
  <c r="M1278" i="35"/>
  <c r="N1278" i="35"/>
  <c r="O1278" i="35"/>
  <c r="J1279" i="35"/>
  <c r="K1279" i="35"/>
  <c r="L1279" i="35"/>
  <c r="M1279" i="35"/>
  <c r="N1279" i="35"/>
  <c r="O1279" i="35"/>
  <c r="J1280" i="35"/>
  <c r="K1280" i="35"/>
  <c r="L1280" i="35"/>
  <c r="M1280" i="35"/>
  <c r="N1280" i="35"/>
  <c r="O1280" i="35"/>
  <c r="J1281" i="35"/>
  <c r="K1281" i="35"/>
  <c r="L1281" i="35"/>
  <c r="M1281" i="35"/>
  <c r="N1281" i="35"/>
  <c r="O1281" i="35"/>
  <c r="J1282" i="35"/>
  <c r="K1282" i="35"/>
  <c r="L1282" i="35"/>
  <c r="M1282" i="35"/>
  <c r="N1282" i="35"/>
  <c r="O1282" i="35"/>
  <c r="J1283" i="35"/>
  <c r="K1283" i="35"/>
  <c r="L1283" i="35"/>
  <c r="M1283" i="35"/>
  <c r="N1283" i="35"/>
  <c r="O1283" i="35"/>
  <c r="J648" i="34"/>
  <c r="K648" i="34"/>
  <c r="L648" i="34"/>
  <c r="M648" i="34"/>
  <c r="N648" i="34"/>
  <c r="O648" i="34"/>
  <c r="J1257" i="35"/>
  <c r="K1257" i="35"/>
  <c r="L1257" i="35"/>
  <c r="M1257" i="35"/>
  <c r="N1257" i="35"/>
  <c r="O1257" i="35"/>
  <c r="J1258" i="35"/>
  <c r="K1258" i="35"/>
  <c r="L1258" i="35"/>
  <c r="M1258" i="35"/>
  <c r="N1258" i="35"/>
  <c r="O1258" i="35"/>
  <c r="J1259" i="35"/>
  <c r="K1259" i="35"/>
  <c r="L1259" i="35"/>
  <c r="M1259" i="35"/>
  <c r="N1259" i="35"/>
  <c r="O1259" i="35"/>
  <c r="J1260" i="35"/>
  <c r="K1260" i="35"/>
  <c r="L1260" i="35"/>
  <c r="M1260" i="35"/>
  <c r="N1260" i="35"/>
  <c r="O1260" i="35"/>
  <c r="J1261" i="35"/>
  <c r="K1261" i="35"/>
  <c r="L1261" i="35"/>
  <c r="M1261" i="35"/>
  <c r="N1261" i="35"/>
  <c r="O1261" i="35"/>
  <c r="J1262" i="35"/>
  <c r="K1262" i="35"/>
  <c r="L1262" i="35"/>
  <c r="M1262" i="35"/>
  <c r="N1262" i="35"/>
  <c r="O1262" i="35"/>
  <c r="J1263" i="35"/>
  <c r="K1263" i="35"/>
  <c r="L1263" i="35"/>
  <c r="M1263" i="35"/>
  <c r="N1263" i="35"/>
  <c r="O1263" i="35"/>
  <c r="J1264" i="35"/>
  <c r="K1264" i="35"/>
  <c r="L1264" i="35"/>
  <c r="M1264" i="35"/>
  <c r="N1264" i="35"/>
  <c r="O1264" i="35"/>
  <c r="J1265" i="35"/>
  <c r="K1265" i="35"/>
  <c r="L1265" i="35"/>
  <c r="M1265" i="35"/>
  <c r="N1265" i="35"/>
  <c r="O1265" i="35"/>
  <c r="J1266" i="35"/>
  <c r="K1266" i="35"/>
  <c r="L1266" i="35"/>
  <c r="M1266" i="35"/>
  <c r="N1266" i="35"/>
  <c r="O1266" i="35"/>
  <c r="J632" i="34"/>
  <c r="K632" i="34"/>
  <c r="L632" i="34"/>
  <c r="M632" i="34"/>
  <c r="N632" i="34"/>
  <c r="O632" i="34"/>
  <c r="J1240" i="35"/>
  <c r="K1240" i="35"/>
  <c r="L1240" i="35"/>
  <c r="M1240" i="35"/>
  <c r="N1240" i="35"/>
  <c r="O1240" i="35"/>
  <c r="J1241" i="35"/>
  <c r="K1241" i="35"/>
  <c r="L1241" i="35"/>
  <c r="M1241" i="35"/>
  <c r="N1241" i="35"/>
  <c r="O1241" i="35"/>
  <c r="J1242" i="35"/>
  <c r="K1242" i="35"/>
  <c r="L1242" i="35"/>
  <c r="M1242" i="35"/>
  <c r="N1242" i="35"/>
  <c r="O1242" i="35"/>
  <c r="J1243" i="35"/>
  <c r="K1243" i="35"/>
  <c r="L1243" i="35"/>
  <c r="M1243" i="35"/>
  <c r="N1243" i="35"/>
  <c r="O1243" i="35"/>
  <c r="J1244" i="35"/>
  <c r="K1244" i="35"/>
  <c r="L1244" i="35"/>
  <c r="M1244" i="35"/>
  <c r="N1244" i="35"/>
  <c r="O1244" i="35"/>
  <c r="J1245" i="35"/>
  <c r="K1245" i="35"/>
  <c r="L1245" i="35"/>
  <c r="M1245" i="35"/>
  <c r="N1245" i="35"/>
  <c r="O1245" i="35"/>
  <c r="J1246" i="35"/>
  <c r="K1246" i="35"/>
  <c r="L1246" i="35"/>
  <c r="M1246" i="35"/>
  <c r="N1246" i="35"/>
  <c r="O1246" i="35"/>
  <c r="J1247" i="35"/>
  <c r="K1247" i="35"/>
  <c r="L1247" i="35"/>
  <c r="M1247" i="35"/>
  <c r="N1247" i="35"/>
  <c r="O1247" i="35"/>
  <c r="J1248" i="35"/>
  <c r="K1248" i="35"/>
  <c r="L1248" i="35"/>
  <c r="M1248" i="35"/>
  <c r="N1248" i="35"/>
  <c r="O1248" i="35"/>
  <c r="J1249" i="35"/>
  <c r="K1249" i="35"/>
  <c r="L1249" i="35"/>
  <c r="M1249" i="35"/>
  <c r="N1249" i="35"/>
  <c r="O1249" i="35"/>
  <c r="J616" i="34"/>
  <c r="K616" i="34"/>
  <c r="L616" i="34"/>
  <c r="M616" i="34"/>
  <c r="N616" i="34"/>
  <c r="O616" i="34"/>
  <c r="D1345" i="33"/>
  <c r="D1603" i="35" s="1"/>
  <c r="D109" i="153" s="1"/>
  <c r="D1346" i="33"/>
  <c r="D1616" i="35" s="1"/>
  <c r="D123" i="153" s="1"/>
  <c r="D1347" i="33"/>
  <c r="D656" i="34" s="1"/>
  <c r="D1348" i="33"/>
  <c r="D1311" i="35" s="1"/>
  <c r="D1349" i="33"/>
  <c r="D921" i="36" s="1"/>
  <c r="D1350" i="33"/>
  <c r="D1595" i="35" s="1"/>
  <c r="D101" i="153" s="1"/>
  <c r="D1351" i="33"/>
  <c r="D660" i="34" s="1"/>
  <c r="D1352" i="33"/>
  <c r="D1420" i="35" s="1"/>
  <c r="C24" i="147" s="1"/>
  <c r="D1353" i="33"/>
  <c r="D1611" i="35" s="1"/>
  <c r="D117" i="153" s="1"/>
  <c r="D1354" i="33"/>
  <c r="D1624" i="35" s="1"/>
  <c r="D131" i="153" s="1"/>
  <c r="D33" i="156" l="1"/>
  <c r="D59" i="156"/>
  <c r="N1420" i="35"/>
  <c r="N24" i="147" s="1"/>
  <c r="J1418" i="35"/>
  <c r="J22" i="147" s="1"/>
  <c r="N1416" i="35"/>
  <c r="N20" i="147" s="1"/>
  <c r="L1415" i="35"/>
  <c r="L19" i="147" s="1"/>
  <c r="D1366" i="36"/>
  <c r="N1829" i="35"/>
  <c r="L1828" i="35"/>
  <c r="N1419" i="35"/>
  <c r="J1417" i="35"/>
  <c r="N1415" i="35"/>
  <c r="N19" i="147" s="1"/>
  <c r="J1413" i="35"/>
  <c r="L1413" i="35"/>
  <c r="L1417" i="35"/>
  <c r="L21" i="147" s="1"/>
  <c r="D971" i="34"/>
  <c r="C53" i="148" s="1"/>
  <c r="D2365" i="35"/>
  <c r="D839" i="34"/>
  <c r="D1932" i="35"/>
  <c r="D70" i="154" s="1"/>
  <c r="D1098" i="34"/>
  <c r="D2111" i="35"/>
  <c r="D2229" i="35"/>
  <c r="C19" i="150" s="1"/>
  <c r="D2394" i="35"/>
  <c r="D85" i="156" s="1"/>
  <c r="K2149" i="35"/>
  <c r="M2166" i="35"/>
  <c r="O2183" i="35"/>
  <c r="K2217" i="35"/>
  <c r="D903" i="34"/>
  <c r="D1991" i="35"/>
  <c r="D89" i="154" s="1"/>
  <c r="D1094" i="34"/>
  <c r="D2107" i="35"/>
  <c r="D2339" i="35"/>
  <c r="D70" i="156" s="1"/>
  <c r="D2410" i="35"/>
  <c r="D102" i="156" s="1"/>
  <c r="N2115" i="35"/>
  <c r="J2149" i="35"/>
  <c r="L2166" i="35"/>
  <c r="N2183" i="35"/>
  <c r="J2217" i="35"/>
  <c r="D692" i="34"/>
  <c r="D899" i="34"/>
  <c r="D1370" i="36"/>
  <c r="D1002" i="34"/>
  <c r="D1130" i="34"/>
  <c r="D2145" i="35"/>
  <c r="D2352" i="35"/>
  <c r="D18" i="156" s="1"/>
  <c r="D2406" i="35"/>
  <c r="D98" i="156" s="1"/>
  <c r="K2098" i="35"/>
  <c r="M2115" i="35"/>
  <c r="O2132" i="35"/>
  <c r="K2166" i="35"/>
  <c r="M2183" i="35"/>
  <c r="O2200" i="35"/>
  <c r="D688" i="34"/>
  <c r="D998" i="34"/>
  <c r="D1126" i="34"/>
  <c r="D2141" i="35"/>
  <c r="D2369" i="35"/>
  <c r="D2423" i="35"/>
  <c r="D115" i="156" s="1"/>
  <c r="L2115" i="35"/>
  <c r="N2132" i="35"/>
  <c r="J2166" i="35"/>
  <c r="L2183" i="35"/>
  <c r="N2200" i="35"/>
  <c r="D1704" i="35"/>
  <c r="D1034" i="34"/>
  <c r="D1166" i="34"/>
  <c r="C53" i="150" s="1"/>
  <c r="D2179" i="35"/>
  <c r="D2435" i="35"/>
  <c r="D128" i="156" s="1"/>
  <c r="M2132" i="35"/>
  <c r="O2149" i="35"/>
  <c r="K2183" i="35"/>
  <c r="M2200" i="35"/>
  <c r="O2217" i="35"/>
  <c r="D1700" i="35"/>
  <c r="D1030" i="34"/>
  <c r="D1162" i="34"/>
  <c r="C49" i="150" s="1"/>
  <c r="D2175" i="35"/>
  <c r="D2382" i="35"/>
  <c r="D48" i="156" s="1"/>
  <c r="D2260" i="36"/>
  <c r="J2115" i="35"/>
  <c r="L2132" i="35"/>
  <c r="N2149" i="35"/>
  <c r="J2183" i="35"/>
  <c r="L2200" i="35"/>
  <c r="N2217" i="35"/>
  <c r="D1772" i="35"/>
  <c r="D1066" i="34"/>
  <c r="D2077" i="35"/>
  <c r="D2213" i="35"/>
  <c r="D2378" i="35"/>
  <c r="D44" i="156" s="1"/>
  <c r="M2081" i="35"/>
  <c r="O2098" i="35"/>
  <c r="K2132" i="35"/>
  <c r="M2149" i="35"/>
  <c r="O2166" i="35"/>
  <c r="K2200" i="35"/>
  <c r="M2217" i="35"/>
  <c r="D1936" i="35"/>
  <c r="D74" i="154" s="1"/>
  <c r="D1062" i="34"/>
  <c r="D2073" i="35"/>
  <c r="D2209" i="35"/>
  <c r="D2398" i="35"/>
  <c r="D89" i="156" s="1"/>
  <c r="J2132" i="35"/>
  <c r="L2149" i="35"/>
  <c r="N2166" i="35"/>
  <c r="J2200" i="35"/>
  <c r="L2217" i="35"/>
  <c r="D1579" i="35"/>
  <c r="D84" i="153" s="1"/>
  <c r="D926" i="36"/>
  <c r="D779" i="34"/>
  <c r="C56" i="147" s="1"/>
  <c r="D871" i="34"/>
  <c r="D1670" i="35"/>
  <c r="D1806" i="35"/>
  <c r="D2016" i="35"/>
  <c r="D115" i="154" s="1"/>
  <c r="M1776" i="35"/>
  <c r="O1793" i="35"/>
  <c r="D1004" i="34"/>
  <c r="D996" i="34"/>
  <c r="D1014" i="34"/>
  <c r="D1032" i="34"/>
  <c r="D1050" i="34"/>
  <c r="D1068" i="34"/>
  <c r="D1060" i="34"/>
  <c r="D1078" i="34"/>
  <c r="D1096" i="34"/>
  <c r="D1114" i="34"/>
  <c r="D1132" i="34"/>
  <c r="D1124" i="34"/>
  <c r="D1142" i="34"/>
  <c r="D1164" i="34"/>
  <c r="C51" i="150" s="1"/>
  <c r="D2060" i="35"/>
  <c r="D2079" i="35"/>
  <c r="D2071" i="35"/>
  <c r="D2090" i="35"/>
  <c r="D2109" i="35"/>
  <c r="D2128" i="35"/>
  <c r="D2147" i="35"/>
  <c r="D2139" i="35"/>
  <c r="D2158" i="35"/>
  <c r="D2177" i="35"/>
  <c r="D2196" i="35"/>
  <c r="D2215" i="35"/>
  <c r="D2207" i="35"/>
  <c r="D2228" i="35"/>
  <c r="C18" i="150" s="1"/>
  <c r="D2338" i="35"/>
  <c r="D69" i="156" s="1"/>
  <c r="D2350" i="35"/>
  <c r="D16" i="156" s="1"/>
  <c r="D2363" i="35"/>
  <c r="D2401" i="35"/>
  <c r="D92" i="156" s="1"/>
  <c r="D2412" i="35"/>
  <c r="D104" i="156" s="1"/>
  <c r="D2425" i="35"/>
  <c r="D117" i="156" s="1"/>
  <c r="D2436" i="35"/>
  <c r="D129" i="156" s="1"/>
  <c r="D2264" i="36"/>
  <c r="K2236" i="35"/>
  <c r="K26" i="150" s="1"/>
  <c r="O2234" i="35"/>
  <c r="O24" i="150" s="1"/>
  <c r="M2233" i="35"/>
  <c r="M23" i="150" s="1"/>
  <c r="K2232" i="35"/>
  <c r="K22" i="150" s="1"/>
  <c r="O2230" i="35"/>
  <c r="M2229" i="35"/>
  <c r="M19" i="150" s="1"/>
  <c r="K2228" i="35"/>
  <c r="K18" i="150" s="1"/>
  <c r="K2081" i="35"/>
  <c r="M2098" i="35"/>
  <c r="O2115" i="35"/>
  <c r="D867" i="34"/>
  <c r="D1666" i="35"/>
  <c r="D1802" i="35"/>
  <c r="D2012" i="35"/>
  <c r="D111" i="154" s="1"/>
  <c r="D2434" i="35"/>
  <c r="D127" i="156" s="1"/>
  <c r="D2381" i="35"/>
  <c r="D47" i="156" s="1"/>
  <c r="D2232" i="35"/>
  <c r="C22" i="150" s="1"/>
  <c r="D2409" i="35"/>
  <c r="D101" i="156" s="1"/>
  <c r="D2355" i="35"/>
  <c r="D21" i="156" s="1"/>
  <c r="D1003" i="34"/>
  <c r="D1021" i="34"/>
  <c r="D1013" i="34"/>
  <c r="D1031" i="34"/>
  <c r="D1049" i="34"/>
  <c r="D1067" i="34"/>
  <c r="D1085" i="34"/>
  <c r="D1077" i="34"/>
  <c r="D1095" i="34"/>
  <c r="D1113" i="34"/>
  <c r="D1131" i="34"/>
  <c r="D1149" i="34"/>
  <c r="D1141" i="34"/>
  <c r="D1163" i="34"/>
  <c r="C50" i="150" s="1"/>
  <c r="D2059" i="35"/>
  <c r="D2078" i="35"/>
  <c r="D2097" i="35"/>
  <c r="D2089" i="35"/>
  <c r="D2108" i="35"/>
  <c r="D2127" i="35"/>
  <c r="D2146" i="35"/>
  <c r="D2165" i="35"/>
  <c r="D2157" i="35"/>
  <c r="D2195" i="35"/>
  <c r="D2214" i="35"/>
  <c r="D2236" i="35"/>
  <c r="C26" i="150" s="1"/>
  <c r="D2227" i="35"/>
  <c r="C17" i="150" s="1"/>
  <c r="D2337" i="35"/>
  <c r="D68" i="156" s="1"/>
  <c r="D2372" i="35"/>
  <c r="D2384" i="35"/>
  <c r="D50" i="156" s="1"/>
  <c r="D2400" i="35"/>
  <c r="D91" i="156" s="1"/>
  <c r="D2411" i="35"/>
  <c r="D103" i="156" s="1"/>
  <c r="D2263" i="36"/>
  <c r="J2236" i="35"/>
  <c r="N2234" i="35"/>
  <c r="L2233" i="35"/>
  <c r="J2232" i="35"/>
  <c r="J22" i="150" s="1"/>
  <c r="N2230" i="35"/>
  <c r="N20" i="150" s="1"/>
  <c r="L2229" i="35"/>
  <c r="J2228" i="35"/>
  <c r="J2081" i="35"/>
  <c r="L2098" i="35"/>
  <c r="D1292" i="35"/>
  <c r="D1020" i="34"/>
  <c r="D1012" i="34"/>
  <c r="D1048" i="34"/>
  <c r="D1084" i="34"/>
  <c r="D1076" i="34"/>
  <c r="D1112" i="34"/>
  <c r="D1148" i="34"/>
  <c r="D1140" i="34"/>
  <c r="D2058" i="35"/>
  <c r="D2096" i="35"/>
  <c r="D2088" i="35"/>
  <c r="D2126" i="35"/>
  <c r="D2164" i="35"/>
  <c r="D2156" i="35"/>
  <c r="D2194" i="35"/>
  <c r="D2235" i="35"/>
  <c r="C25" i="150" s="1"/>
  <c r="D2346" i="35"/>
  <c r="D77" i="156" s="1"/>
  <c r="D2358" i="35"/>
  <c r="D24" i="156" s="1"/>
  <c r="D2371" i="35"/>
  <c r="D2383" i="35"/>
  <c r="D49" i="156" s="1"/>
  <c r="D2422" i="35"/>
  <c r="D114" i="156" s="1"/>
  <c r="D2433" i="35"/>
  <c r="D126" i="156" s="1"/>
  <c r="D2262" i="36"/>
  <c r="D2420" i="35"/>
  <c r="D112" i="156" s="1"/>
  <c r="D2366" i="35"/>
  <c r="D2261" i="36"/>
  <c r="D2395" i="35"/>
  <c r="D86" i="156" s="1"/>
  <c r="D2340" i="35"/>
  <c r="D71" i="156" s="1"/>
  <c r="D1001" i="34"/>
  <c r="D1019" i="34"/>
  <c r="D1037" i="34"/>
  <c r="D1029" i="34"/>
  <c r="D1047" i="34"/>
  <c r="D1065" i="34"/>
  <c r="D1083" i="34"/>
  <c r="D1101" i="34"/>
  <c r="D1093" i="34"/>
  <c r="D1111" i="34"/>
  <c r="D1129" i="34"/>
  <c r="D1147" i="34"/>
  <c r="D1169" i="34"/>
  <c r="C56" i="150" s="1"/>
  <c r="D1161" i="34"/>
  <c r="C48" i="150" s="1"/>
  <c r="D2057" i="35"/>
  <c r="D2076" i="35"/>
  <c r="D2095" i="35"/>
  <c r="D2114" i="35"/>
  <c r="D2106" i="35"/>
  <c r="D2125" i="35"/>
  <c r="D2144" i="35"/>
  <c r="D2163" i="35"/>
  <c r="D2174" i="35"/>
  <c r="D2193" i="35"/>
  <c r="D2212" i="35"/>
  <c r="D2234" i="35"/>
  <c r="C24" i="150" s="1"/>
  <c r="D2345" i="35"/>
  <c r="D76" i="156" s="1"/>
  <c r="D2357" i="35"/>
  <c r="D23" i="156" s="1"/>
  <c r="D2397" i="35"/>
  <c r="D88" i="156" s="1"/>
  <c r="D2408" i="35"/>
  <c r="D100" i="156" s="1"/>
  <c r="D2421" i="35"/>
  <c r="D113" i="156" s="1"/>
  <c r="D2432" i="35"/>
  <c r="D125" i="156" s="1"/>
  <c r="N2235" i="35"/>
  <c r="L2234" i="35"/>
  <c r="J2233" i="35"/>
  <c r="N2231" i="35"/>
  <c r="L2230" i="35"/>
  <c r="J2229" i="35"/>
  <c r="N2227" i="35"/>
  <c r="N2064" i="35"/>
  <c r="J2098" i="35"/>
  <c r="D771" i="34"/>
  <c r="C48" i="147" s="1"/>
  <c r="D607" i="34"/>
  <c r="D1360" i="35"/>
  <c r="D628" i="34"/>
  <c r="D1532" i="35"/>
  <c r="D77" i="153" s="1"/>
  <c r="D807" i="34"/>
  <c r="D935" i="34"/>
  <c r="D1738" i="35"/>
  <c r="D1962" i="35"/>
  <c r="K1793" i="35"/>
  <c r="M1810" i="35"/>
  <c r="D1000" i="34"/>
  <c r="D1018" i="34"/>
  <c r="D1036" i="34"/>
  <c r="D1028" i="34"/>
  <c r="D1046" i="34"/>
  <c r="D1064" i="34"/>
  <c r="D1082" i="34"/>
  <c r="D1100" i="34"/>
  <c r="D1092" i="34"/>
  <c r="D1110" i="34"/>
  <c r="D1128" i="34"/>
  <c r="D1146" i="34"/>
  <c r="D1168" i="34"/>
  <c r="C55" i="150" s="1"/>
  <c r="D1160" i="34"/>
  <c r="C47" i="150" s="1"/>
  <c r="D2056" i="35"/>
  <c r="D2075" i="35"/>
  <c r="D2094" i="35"/>
  <c r="D2113" i="35"/>
  <c r="D2105" i="35"/>
  <c r="D2124" i="35"/>
  <c r="D2143" i="35"/>
  <c r="D2162" i="35"/>
  <c r="D2181" i="35"/>
  <c r="D2173" i="35"/>
  <c r="D2192" i="35"/>
  <c r="D2211" i="35"/>
  <c r="D2233" i="35"/>
  <c r="C23" i="150" s="1"/>
  <c r="D2343" i="35"/>
  <c r="D74" i="156" s="1"/>
  <c r="D2368" i="35"/>
  <c r="D2380" i="35"/>
  <c r="D46" i="156" s="1"/>
  <c r="D2396" i="35"/>
  <c r="D87" i="156" s="1"/>
  <c r="D2407" i="35"/>
  <c r="D99" i="156" s="1"/>
  <c r="D2419" i="35"/>
  <c r="D111" i="156" s="1"/>
  <c r="O2236" i="35"/>
  <c r="M2235" i="35"/>
  <c r="K2234" i="35"/>
  <c r="K24" i="150" s="1"/>
  <c r="O2232" i="35"/>
  <c r="M2231" i="35"/>
  <c r="K2230" i="35"/>
  <c r="K20" i="150" s="1"/>
  <c r="O2228" i="35"/>
  <c r="M2227" i="35"/>
  <c r="M2064" i="35"/>
  <c r="O2081" i="35"/>
  <c r="K2115" i="35"/>
  <c r="D639" i="34"/>
  <c r="D1587" i="35"/>
  <c r="D92" i="153" s="1"/>
  <c r="D803" i="34"/>
  <c r="D931" i="34"/>
  <c r="D1734" i="35"/>
  <c r="D1958" i="35"/>
  <c r="D2413" i="35"/>
  <c r="D105" i="156" s="1"/>
  <c r="D2359" i="35"/>
  <c r="D25" i="156" s="1"/>
  <c r="D2438" i="35"/>
  <c r="D131" i="156" s="1"/>
  <c r="D2385" i="35"/>
  <c r="D51" i="156" s="1"/>
  <c r="D2405" i="35"/>
  <c r="D97" i="156" s="1"/>
  <c r="D2351" i="35"/>
  <c r="D17" i="156" s="1"/>
  <c r="D2430" i="35"/>
  <c r="D123" i="156" s="1"/>
  <c r="D2377" i="35"/>
  <c r="D43" i="156" s="1"/>
  <c r="D999" i="34"/>
  <c r="D1017" i="34"/>
  <c r="D1035" i="34"/>
  <c r="D1053" i="34"/>
  <c r="D1045" i="34"/>
  <c r="D1063" i="34"/>
  <c r="D1081" i="34"/>
  <c r="D1099" i="34"/>
  <c r="D1117" i="34"/>
  <c r="D1109" i="34"/>
  <c r="D1127" i="34"/>
  <c r="D1145" i="34"/>
  <c r="D1167" i="34"/>
  <c r="C54" i="150" s="1"/>
  <c r="D2063" i="35"/>
  <c r="D2055" i="35"/>
  <c r="D2074" i="35"/>
  <c r="D2093" i="35"/>
  <c r="D2112" i="35"/>
  <c r="D2131" i="35"/>
  <c r="D2123" i="35"/>
  <c r="D2142" i="35"/>
  <c r="D2161" i="35"/>
  <c r="D2199" i="35"/>
  <c r="D2191" i="35"/>
  <c r="D2210" i="35"/>
  <c r="D2231" i="35"/>
  <c r="C21" i="150" s="1"/>
  <c r="D2342" i="35"/>
  <c r="D73" i="156" s="1"/>
  <c r="D2354" i="35"/>
  <c r="D20" i="156" s="1"/>
  <c r="D2367" i="35"/>
  <c r="D2379" i="35"/>
  <c r="D45" i="156" s="1"/>
  <c r="D2418" i="35"/>
  <c r="D110" i="156" s="1"/>
  <c r="D2429" i="35"/>
  <c r="D122" i="156" s="1"/>
  <c r="D2258" i="36"/>
  <c r="N2236" i="35"/>
  <c r="L2235" i="35"/>
  <c r="J2234" i="35"/>
  <c r="N2232" i="35"/>
  <c r="L2231" i="35"/>
  <c r="J2230" i="35"/>
  <c r="N2228" i="35"/>
  <c r="L2227" i="35"/>
  <c r="L2064" i="35"/>
  <c r="N2081" i="35"/>
  <c r="D1016" i="34"/>
  <c r="D1052" i="34"/>
  <c r="D1044" i="34"/>
  <c r="D1080" i="34"/>
  <c r="D1116" i="34"/>
  <c r="D1108" i="34"/>
  <c r="D1144" i="34"/>
  <c r="D2062" i="35"/>
  <c r="D2054" i="35"/>
  <c r="D2092" i="35"/>
  <c r="D2130" i="35"/>
  <c r="D2122" i="35"/>
  <c r="D2160" i="35"/>
  <c r="D2198" i="35"/>
  <c r="D2190" i="35"/>
  <c r="D2230" i="35"/>
  <c r="C20" i="150" s="1"/>
  <c r="D2353" i="35"/>
  <c r="D19" i="156" s="1"/>
  <c r="D2393" i="35"/>
  <c r="D84" i="156" s="1"/>
  <c r="D2404" i="35"/>
  <c r="D96" i="156" s="1"/>
  <c r="D2417" i="35"/>
  <c r="D109" i="156" s="1"/>
  <c r="D2267" i="36"/>
  <c r="D835" i="34"/>
  <c r="D967" i="34"/>
  <c r="C49" i="148" s="1"/>
  <c r="D1768" i="35"/>
  <c r="D1987" i="35"/>
  <c r="D85" i="154" s="1"/>
  <c r="D2265" i="36"/>
  <c r="D2399" i="35"/>
  <c r="D90" i="156" s="1"/>
  <c r="D2344" i="35"/>
  <c r="D75" i="156" s="1"/>
  <c r="D2424" i="35"/>
  <c r="D116" i="156" s="1"/>
  <c r="D2370" i="35"/>
  <c r="D1005" i="34"/>
  <c r="D997" i="34"/>
  <c r="D1015" i="34"/>
  <c r="D1033" i="34"/>
  <c r="D1051" i="34"/>
  <c r="D1069" i="34"/>
  <c r="D1061" i="34"/>
  <c r="D1079" i="34"/>
  <c r="D1097" i="34"/>
  <c r="D1115" i="34"/>
  <c r="D1133" i="34"/>
  <c r="D1125" i="34"/>
  <c r="D1143" i="34"/>
  <c r="D1165" i="34"/>
  <c r="C52" i="150" s="1"/>
  <c r="D2061" i="35"/>
  <c r="D2080" i="35"/>
  <c r="D2072" i="35"/>
  <c r="D2091" i="35"/>
  <c r="D2110" i="35"/>
  <c r="D2129" i="35"/>
  <c r="D2148" i="35"/>
  <c r="D2140" i="35"/>
  <c r="D2159" i="35"/>
  <c r="D2178" i="35"/>
  <c r="D2197" i="35"/>
  <c r="D2216" i="35"/>
  <c r="D2208" i="35"/>
  <c r="D2364" i="35"/>
  <c r="D2376" i="35"/>
  <c r="D42" i="156" s="1"/>
  <c r="D2426" i="35"/>
  <c r="D118" i="156" s="1"/>
  <c r="D2437" i="35"/>
  <c r="D130" i="156" s="1"/>
  <c r="L2236" i="35"/>
  <c r="L26" i="150" s="1"/>
  <c r="J2235" i="35"/>
  <c r="J25" i="150" s="1"/>
  <c r="N2233" i="35"/>
  <c r="L2232" i="35"/>
  <c r="J2231" i="35"/>
  <c r="J21" i="150" s="1"/>
  <c r="N2229" i="35"/>
  <c r="L2228" i="35"/>
  <c r="J2064" i="35"/>
  <c r="J2227" i="35"/>
  <c r="L2081" i="35"/>
  <c r="N2098" i="35"/>
  <c r="O2064" i="35"/>
  <c r="M2236" i="35"/>
  <c r="M26" i="150" s="1"/>
  <c r="K2235" i="35"/>
  <c r="K25" i="150" s="1"/>
  <c r="O2233" i="35"/>
  <c r="O23" i="150" s="1"/>
  <c r="M2232" i="35"/>
  <c r="M22" i="150" s="1"/>
  <c r="K2231" i="35"/>
  <c r="K21" i="150" s="1"/>
  <c r="O2229" i="35"/>
  <c r="M2228" i="35"/>
  <c r="K2227" i="35"/>
  <c r="K17" i="150" s="1"/>
  <c r="K2064" i="35"/>
  <c r="O2235" i="35"/>
  <c r="O25" i="150" s="1"/>
  <c r="M2234" i="35"/>
  <c r="M24" i="150" s="1"/>
  <c r="K2233" i="35"/>
  <c r="K23" i="150" s="1"/>
  <c r="O2231" i="35"/>
  <c r="O21" i="150" s="1"/>
  <c r="M2230" i="35"/>
  <c r="M20" i="150" s="1"/>
  <c r="K2229" i="35"/>
  <c r="K19" i="150" s="1"/>
  <c r="O2227" i="35"/>
  <c r="O17" i="150" s="1"/>
  <c r="D615" i="34"/>
  <c r="D675" i="34"/>
  <c r="D778" i="34"/>
  <c r="C55" i="147" s="1"/>
  <c r="D1524" i="35"/>
  <c r="D69" i="153" s="1"/>
  <c r="D614" i="34"/>
  <c r="D646" i="34"/>
  <c r="D674" i="34"/>
  <c r="D702" i="34"/>
  <c r="D774" i="34"/>
  <c r="C51" i="147" s="1"/>
  <c r="D1300" i="35"/>
  <c r="D1349" i="35"/>
  <c r="D1539" i="35"/>
  <c r="D19" i="153" s="1"/>
  <c r="D809" i="34"/>
  <c r="D801" i="34"/>
  <c r="D819" i="34"/>
  <c r="D837" i="34"/>
  <c r="D855" i="34"/>
  <c r="D873" i="34"/>
  <c r="D865" i="34"/>
  <c r="D883" i="34"/>
  <c r="D901" i="34"/>
  <c r="D919" i="34"/>
  <c r="D937" i="34"/>
  <c r="D929" i="34"/>
  <c r="D947" i="34"/>
  <c r="D969" i="34"/>
  <c r="C51" i="148" s="1"/>
  <c r="D1653" i="35"/>
  <c r="D1672" i="35"/>
  <c r="D1664" i="35"/>
  <c r="D1683" i="35"/>
  <c r="D1702" i="35"/>
  <c r="D1721" i="35"/>
  <c r="D1740" i="35"/>
  <c r="D1732" i="35"/>
  <c r="D1751" i="35"/>
  <c r="D1770" i="35"/>
  <c r="D1789" i="35"/>
  <c r="D1808" i="35"/>
  <c r="D1800" i="35"/>
  <c r="D1822" i="35"/>
  <c r="C19" i="148" s="1"/>
  <c r="D1934" i="35"/>
  <c r="D72" i="154" s="1"/>
  <c r="D1949" i="35"/>
  <c r="D22" i="154" s="1"/>
  <c r="D1964" i="35"/>
  <c r="D1956" i="35"/>
  <c r="D1971" i="35"/>
  <c r="D44" i="154" s="1"/>
  <c r="D1989" i="35"/>
  <c r="D87" i="154" s="1"/>
  <c r="D2003" i="35"/>
  <c r="D102" i="154" s="1"/>
  <c r="D2018" i="35"/>
  <c r="D117" i="154" s="1"/>
  <c r="D2010" i="35"/>
  <c r="D109" i="154" s="1"/>
  <c r="D2024" i="35"/>
  <c r="D124" i="154" s="1"/>
  <c r="D1368" i="36"/>
  <c r="N1827" i="35"/>
  <c r="L1826" i="35"/>
  <c r="L23" i="148" s="1"/>
  <c r="J1825" i="35"/>
  <c r="J22" i="148" s="1"/>
  <c r="N1823" i="35"/>
  <c r="L1822" i="35"/>
  <c r="J1821" i="35"/>
  <c r="J18" i="148" s="1"/>
  <c r="J1674" i="35"/>
  <c r="L1691" i="35"/>
  <c r="N1708" i="35"/>
  <c r="J1742" i="35"/>
  <c r="L1759" i="35"/>
  <c r="N1776" i="35"/>
  <c r="J1810" i="35"/>
  <c r="D611" i="34"/>
  <c r="D642" i="34"/>
  <c r="D670" i="34"/>
  <c r="D721" i="34"/>
  <c r="D1299" i="35"/>
  <c r="D1368" i="35"/>
  <c r="D1554" i="35"/>
  <c r="D808" i="34"/>
  <c r="D826" i="34"/>
  <c r="D818" i="34"/>
  <c r="D836" i="34"/>
  <c r="D854" i="34"/>
  <c r="D872" i="34"/>
  <c r="D890" i="34"/>
  <c r="D882" i="34"/>
  <c r="D900" i="34"/>
  <c r="D918" i="34"/>
  <c r="D936" i="34"/>
  <c r="D954" i="34"/>
  <c r="D946" i="34"/>
  <c r="D968" i="34"/>
  <c r="C50" i="148" s="1"/>
  <c r="D1652" i="35"/>
  <c r="D1671" i="35"/>
  <c r="D1690" i="35"/>
  <c r="D1682" i="35"/>
  <c r="D1701" i="35"/>
  <c r="D1720" i="35"/>
  <c r="D1739" i="35"/>
  <c r="D1758" i="35"/>
  <c r="D1750" i="35"/>
  <c r="D1769" i="35"/>
  <c r="D1788" i="35"/>
  <c r="D1807" i="35"/>
  <c r="D1829" i="35"/>
  <c r="C26" i="148" s="1"/>
  <c r="D1821" i="35"/>
  <c r="C18" i="148" s="1"/>
  <c r="D1933" i="35"/>
  <c r="D71" i="154" s="1"/>
  <c r="D1948" i="35"/>
  <c r="D21" i="154" s="1"/>
  <c r="D1963" i="35"/>
  <c r="D1978" i="35"/>
  <c r="D51" i="154" s="1"/>
  <c r="D1970" i="35"/>
  <c r="D43" i="154" s="1"/>
  <c r="D1988" i="35"/>
  <c r="D86" i="154" s="1"/>
  <c r="D2002" i="35"/>
  <c r="D101" i="154" s="1"/>
  <c r="D2017" i="35"/>
  <c r="D116" i="154" s="1"/>
  <c r="D2031" i="35"/>
  <c r="D131" i="154" s="1"/>
  <c r="D2023" i="35"/>
  <c r="D123" i="154" s="1"/>
  <c r="D1367" i="36"/>
  <c r="O1828" i="35"/>
  <c r="O25" i="148" s="1"/>
  <c r="M1827" i="35"/>
  <c r="K1826" i="35"/>
  <c r="K23" i="148" s="1"/>
  <c r="O1824" i="35"/>
  <c r="M1823" i="35"/>
  <c r="K1822" i="35"/>
  <c r="K19" i="148" s="1"/>
  <c r="O1820" i="35"/>
  <c r="O1657" i="35"/>
  <c r="K1691" i="35"/>
  <c r="M1708" i="35"/>
  <c r="O1725" i="35"/>
  <c r="K1759" i="35"/>
  <c r="J1829" i="35"/>
  <c r="D742" i="34"/>
  <c r="D770" i="34"/>
  <c r="C47" i="147" s="1"/>
  <c r="D1295" i="35"/>
  <c r="D825" i="34"/>
  <c r="D817" i="34"/>
  <c r="D853" i="34"/>
  <c r="D889" i="34"/>
  <c r="D881" i="34"/>
  <c r="D917" i="34"/>
  <c r="D953" i="34"/>
  <c r="D945" i="34"/>
  <c r="D1651" i="35"/>
  <c r="D1689" i="35"/>
  <c r="D1681" i="35"/>
  <c r="D1719" i="35"/>
  <c r="D1757" i="35"/>
  <c r="D1749" i="35"/>
  <c r="D1787" i="35"/>
  <c r="D1828" i="35"/>
  <c r="C25" i="148" s="1"/>
  <c r="D1820" i="35"/>
  <c r="C17" i="148" s="1"/>
  <c r="D1947" i="35"/>
  <c r="D20" i="154" s="1"/>
  <c r="D1977" i="35"/>
  <c r="D50" i="154" s="1"/>
  <c r="D1969" i="35"/>
  <c r="D42" i="154" s="1"/>
  <c r="D2001" i="35"/>
  <c r="D100" i="154" s="1"/>
  <c r="D2030" i="35"/>
  <c r="D130" i="154" s="1"/>
  <c r="D2022" i="35"/>
  <c r="D122" i="154" s="1"/>
  <c r="N1828" i="35"/>
  <c r="N25" i="148" s="1"/>
  <c r="L1827" i="35"/>
  <c r="J1826" i="35"/>
  <c r="N1824" i="35"/>
  <c r="L1823" i="35"/>
  <c r="J1822" i="35"/>
  <c r="N1820" i="35"/>
  <c r="N1657" i="35"/>
  <c r="J1691" i="35"/>
  <c r="L1708" i="35"/>
  <c r="N1725" i="35"/>
  <c r="J1759" i="35"/>
  <c r="L1776" i="35"/>
  <c r="N1793" i="35"/>
  <c r="D638" i="34"/>
  <c r="D739" i="34"/>
  <c r="D1243" i="35"/>
  <c r="L1352" i="35"/>
  <c r="D806" i="34"/>
  <c r="D824" i="34"/>
  <c r="D842" i="34"/>
  <c r="D834" i="34"/>
  <c r="D852" i="34"/>
  <c r="D870" i="34"/>
  <c r="D888" i="34"/>
  <c r="D906" i="34"/>
  <c r="D898" i="34"/>
  <c r="D916" i="34"/>
  <c r="D934" i="34"/>
  <c r="D952" i="34"/>
  <c r="D974" i="34"/>
  <c r="C56" i="148" s="1"/>
  <c r="D966" i="34"/>
  <c r="C48" i="148" s="1"/>
  <c r="D1650" i="35"/>
  <c r="D1669" i="35"/>
  <c r="D1688" i="35"/>
  <c r="D1707" i="35"/>
  <c r="D1699" i="35"/>
  <c r="D1718" i="35"/>
  <c r="D1737" i="35"/>
  <c r="D1756" i="35"/>
  <c r="D1775" i="35"/>
  <c r="D1767" i="35"/>
  <c r="D1786" i="35"/>
  <c r="D1805" i="35"/>
  <c r="D1827" i="35"/>
  <c r="C24" i="148" s="1"/>
  <c r="D1939" i="35"/>
  <c r="D77" i="154" s="1"/>
  <c r="D1931" i="35"/>
  <c r="D69" i="154" s="1"/>
  <c r="D1946" i="35"/>
  <c r="D19" i="154" s="1"/>
  <c r="D1961" i="35"/>
  <c r="D1976" i="35"/>
  <c r="D49" i="154" s="1"/>
  <c r="D1994" i="35"/>
  <c r="D92" i="154" s="1"/>
  <c r="D1986" i="35"/>
  <c r="D84" i="154" s="1"/>
  <c r="D2000" i="35"/>
  <c r="D99" i="154" s="1"/>
  <c r="D2015" i="35"/>
  <c r="D114" i="154" s="1"/>
  <c r="D2029" i="35"/>
  <c r="D129" i="154" s="1"/>
  <c r="D1373" i="36"/>
  <c r="D1365" i="36"/>
  <c r="O1829" i="35"/>
  <c r="M1828" i="35"/>
  <c r="K1827" i="35"/>
  <c r="K24" i="148" s="1"/>
  <c r="O1825" i="35"/>
  <c r="M1824" i="35"/>
  <c r="K1823" i="35"/>
  <c r="K20" i="148" s="1"/>
  <c r="O1821" i="35"/>
  <c r="M1820" i="35"/>
  <c r="M1657" i="35"/>
  <c r="O1674" i="35"/>
  <c r="K1708" i="35"/>
  <c r="M1725" i="35"/>
  <c r="O1742" i="35"/>
  <c r="K1776" i="35"/>
  <c r="M1793" i="35"/>
  <c r="O1810" i="35"/>
  <c r="D1379" i="35"/>
  <c r="L1284" i="35"/>
  <c r="D606" i="34"/>
  <c r="D711" i="34"/>
  <c r="D738" i="34"/>
  <c r="D1265" i="35"/>
  <c r="D1291" i="35"/>
  <c r="D1398" i="35"/>
  <c r="D1593" i="35"/>
  <c r="D99" i="153" s="1"/>
  <c r="J1422" i="35"/>
  <c r="D805" i="34"/>
  <c r="D823" i="34"/>
  <c r="D841" i="34"/>
  <c r="D833" i="34"/>
  <c r="D851" i="34"/>
  <c r="D869" i="34"/>
  <c r="D887" i="34"/>
  <c r="D905" i="34"/>
  <c r="D897" i="34"/>
  <c r="D915" i="34"/>
  <c r="D933" i="34"/>
  <c r="D951" i="34"/>
  <c r="D973" i="34"/>
  <c r="C55" i="148" s="1"/>
  <c r="D965" i="34"/>
  <c r="C47" i="148" s="1"/>
  <c r="D1649" i="35"/>
  <c r="D1668" i="35"/>
  <c r="D1687" i="35"/>
  <c r="D1706" i="35"/>
  <c r="D1698" i="35"/>
  <c r="D1717" i="35"/>
  <c r="D1736" i="35"/>
  <c r="D1755" i="35"/>
  <c r="D1774" i="35"/>
  <c r="D1766" i="35"/>
  <c r="D1785" i="35"/>
  <c r="D1804" i="35"/>
  <c r="D1826" i="35"/>
  <c r="C23" i="148" s="1"/>
  <c r="D1938" i="35"/>
  <c r="D76" i="154" s="1"/>
  <c r="D1930" i="35"/>
  <c r="D68" i="154" s="1"/>
  <c r="D1945" i="35"/>
  <c r="D18" i="154" s="1"/>
  <c r="D1960" i="35"/>
  <c r="D1975" i="35"/>
  <c r="D48" i="154" s="1"/>
  <c r="D1993" i="35"/>
  <c r="D91" i="154" s="1"/>
  <c r="D1985" i="35"/>
  <c r="D83" i="154" s="1"/>
  <c r="D2014" i="35"/>
  <c r="D113" i="154" s="1"/>
  <c r="D1372" i="36"/>
  <c r="D1364" i="36"/>
  <c r="J1827" i="35"/>
  <c r="N1825" i="35"/>
  <c r="L1824" i="35"/>
  <c r="J1823" i="35"/>
  <c r="N1821" i="35"/>
  <c r="L1820" i="35"/>
  <c r="L17" i="148" s="1"/>
  <c r="N1674" i="35"/>
  <c r="J1708" i="35"/>
  <c r="L1725" i="35"/>
  <c r="N1742" i="35"/>
  <c r="J1776" i="35"/>
  <c r="L1793" i="35"/>
  <c r="N1810" i="35"/>
  <c r="D610" i="34"/>
  <c r="D629" i="34"/>
  <c r="D657" i="34"/>
  <c r="D710" i="34"/>
  <c r="D734" i="34"/>
  <c r="D1262" i="35"/>
  <c r="D1608" i="35"/>
  <c r="D114" i="153" s="1"/>
  <c r="D804" i="34"/>
  <c r="D822" i="34"/>
  <c r="D840" i="34"/>
  <c r="D858" i="34"/>
  <c r="D850" i="34"/>
  <c r="D868" i="34"/>
  <c r="D886" i="34"/>
  <c r="D904" i="34"/>
  <c r="D922" i="34"/>
  <c r="D914" i="34"/>
  <c r="D932" i="34"/>
  <c r="D950" i="34"/>
  <c r="D972" i="34"/>
  <c r="C54" i="148" s="1"/>
  <c r="D1656" i="35"/>
  <c r="D1648" i="35"/>
  <c r="D1667" i="35"/>
  <c r="D1686" i="35"/>
  <c r="D1705" i="35"/>
  <c r="D1724" i="35"/>
  <c r="D1716" i="35"/>
  <c r="D1735" i="35"/>
  <c r="D1754" i="35"/>
  <c r="D1773" i="35"/>
  <c r="D1792" i="35"/>
  <c r="D1784" i="35"/>
  <c r="D1803" i="35"/>
  <c r="D1825" i="35"/>
  <c r="C22" i="148" s="1"/>
  <c r="D1937" i="35"/>
  <c r="D75" i="154" s="1"/>
  <c r="D1952" i="35"/>
  <c r="D25" i="154" s="1"/>
  <c r="D1944" i="35"/>
  <c r="D17" i="154" s="1"/>
  <c r="D1959" i="35"/>
  <c r="D1974" i="35"/>
  <c r="D47" i="154" s="1"/>
  <c r="D1992" i="35"/>
  <c r="D90" i="154" s="1"/>
  <c r="D2006" i="35"/>
  <c r="D105" i="154" s="1"/>
  <c r="D1998" i="35"/>
  <c r="D97" i="154" s="1"/>
  <c r="D2013" i="35"/>
  <c r="D112" i="154" s="1"/>
  <c r="D2027" i="35"/>
  <c r="D127" i="154" s="1"/>
  <c r="D1371" i="36"/>
  <c r="M1829" i="35"/>
  <c r="M26" i="148" s="1"/>
  <c r="K1828" i="35"/>
  <c r="K25" i="148" s="1"/>
  <c r="O1826" i="35"/>
  <c r="M1825" i="35"/>
  <c r="K1824" i="35"/>
  <c r="K21" i="148" s="1"/>
  <c r="O1822" i="35"/>
  <c r="M1821" i="35"/>
  <c r="K1657" i="35"/>
  <c r="K1820" i="35"/>
  <c r="K17" i="148" s="1"/>
  <c r="M1674" i="35"/>
  <c r="O1691" i="35"/>
  <c r="K1725" i="35"/>
  <c r="M1742" i="35"/>
  <c r="O1759" i="35"/>
  <c r="D678" i="34"/>
  <c r="O1250" i="35"/>
  <c r="M1415" i="35"/>
  <c r="K1413" i="35"/>
  <c r="K17" i="147" s="1"/>
  <c r="D821" i="34"/>
  <c r="D857" i="34"/>
  <c r="D849" i="34"/>
  <c r="D885" i="34"/>
  <c r="D921" i="34"/>
  <c r="D913" i="34"/>
  <c r="D949" i="34"/>
  <c r="D1655" i="35"/>
  <c r="D1647" i="35"/>
  <c r="D1685" i="35"/>
  <c r="D1723" i="35"/>
  <c r="D1715" i="35"/>
  <c r="D1753" i="35"/>
  <c r="D1791" i="35"/>
  <c r="D1783" i="35"/>
  <c r="D1824" i="35"/>
  <c r="C21" i="148" s="1"/>
  <c r="D1951" i="35"/>
  <c r="D24" i="154" s="1"/>
  <c r="D1943" i="35"/>
  <c r="D16" i="154" s="1"/>
  <c r="D1973" i="35"/>
  <c r="D46" i="154" s="1"/>
  <c r="L1829" i="35"/>
  <c r="L26" i="148" s="1"/>
  <c r="J1828" i="35"/>
  <c r="J25" i="148" s="1"/>
  <c r="N1826" i="35"/>
  <c r="L1825" i="35"/>
  <c r="J1824" i="35"/>
  <c r="J21" i="148" s="1"/>
  <c r="N1822" i="35"/>
  <c r="L1821" i="35"/>
  <c r="J1657" i="35"/>
  <c r="J1820" i="35"/>
  <c r="L1674" i="35"/>
  <c r="N1691" i="35"/>
  <c r="J1725" i="35"/>
  <c r="L1742" i="35"/>
  <c r="N1759" i="35"/>
  <c r="J1793" i="35"/>
  <c r="L1810" i="35"/>
  <c r="D706" i="34"/>
  <c r="D1261" i="35"/>
  <c r="D1330" i="35"/>
  <c r="D647" i="34"/>
  <c r="D703" i="34"/>
  <c r="D1257" i="35"/>
  <c r="D1329" i="35"/>
  <c r="D918" i="36"/>
  <c r="N1267" i="35"/>
  <c r="J1301" i="35"/>
  <c r="N1335" i="35"/>
  <c r="J1369" i="35"/>
  <c r="N1403" i="35"/>
  <c r="D810" i="34"/>
  <c r="D802" i="34"/>
  <c r="D820" i="34"/>
  <c r="D838" i="34"/>
  <c r="D856" i="34"/>
  <c r="D874" i="34"/>
  <c r="D866" i="34"/>
  <c r="D884" i="34"/>
  <c r="D902" i="34"/>
  <c r="D920" i="34"/>
  <c r="D938" i="34"/>
  <c r="D930" i="34"/>
  <c r="D948" i="34"/>
  <c r="D970" i="34"/>
  <c r="C52" i="148" s="1"/>
  <c r="D1654" i="35"/>
  <c r="D1673" i="35"/>
  <c r="D1665" i="35"/>
  <c r="D1684" i="35"/>
  <c r="D1703" i="35"/>
  <c r="D1722" i="35"/>
  <c r="D1741" i="35"/>
  <c r="D1733" i="35"/>
  <c r="D1752" i="35"/>
  <c r="D1771" i="35"/>
  <c r="D1790" i="35"/>
  <c r="D1809" i="35"/>
  <c r="D1801" i="35"/>
  <c r="D1823" i="35"/>
  <c r="C20" i="148" s="1"/>
  <c r="D1935" i="35"/>
  <c r="D73" i="154" s="1"/>
  <c r="D1950" i="35"/>
  <c r="D23" i="154" s="1"/>
  <c r="D1965" i="35"/>
  <c r="D1957" i="35"/>
  <c r="D1972" i="35"/>
  <c r="D45" i="154" s="1"/>
  <c r="D1990" i="35"/>
  <c r="D88" i="154" s="1"/>
  <c r="K1829" i="35"/>
  <c r="K26" i="148" s="1"/>
  <c r="O1827" i="35"/>
  <c r="O24" i="148" s="1"/>
  <c r="M1826" i="35"/>
  <c r="K1825" i="35"/>
  <c r="K22" i="148" s="1"/>
  <c r="O1823" i="35"/>
  <c r="O20" i="148" s="1"/>
  <c r="M1822" i="35"/>
  <c r="K1821" i="35"/>
  <c r="K18" i="148" s="1"/>
  <c r="K1674" i="35"/>
  <c r="M1691" i="35"/>
  <c r="O1708" i="35"/>
  <c r="K1742" i="35"/>
  <c r="M1759" i="35"/>
  <c r="O1776" i="35"/>
  <c r="K1810" i="35"/>
  <c r="L1657" i="35"/>
  <c r="O1422" i="35"/>
  <c r="M1417" i="35"/>
  <c r="D1610" i="35"/>
  <c r="D116" i="153" s="1"/>
  <c r="D1556" i="35"/>
  <c r="D1400" i="35"/>
  <c r="D1332" i="35"/>
  <c r="D1264" i="35"/>
  <c r="D741" i="34"/>
  <c r="D677" i="34"/>
  <c r="D1597" i="35"/>
  <c r="D103" i="153" s="1"/>
  <c r="D1543" i="35"/>
  <c r="D23" i="153" s="1"/>
  <c r="D1383" i="35"/>
  <c r="D1315" i="35"/>
  <c r="D1247" i="35"/>
  <c r="D725" i="34"/>
  <c r="D661" i="34"/>
  <c r="D924" i="36"/>
  <c r="D1585" i="35"/>
  <c r="D90" i="153" s="1"/>
  <c r="D1530" i="35"/>
  <c r="D75" i="153" s="1"/>
  <c r="D1366" i="35"/>
  <c r="D1298" i="35"/>
  <c r="D777" i="34"/>
  <c r="C54" i="147" s="1"/>
  <c r="D709" i="34"/>
  <c r="D645" i="34"/>
  <c r="D613" i="34"/>
  <c r="D624" i="34"/>
  <c r="D1569" i="35"/>
  <c r="D49" i="153" s="1"/>
  <c r="O1419" i="35"/>
  <c r="K1417" i="35"/>
  <c r="K21" i="147" s="1"/>
  <c r="K1416" i="35"/>
  <c r="K20" i="147" s="1"/>
  <c r="D1596" i="35"/>
  <c r="D102" i="153" s="1"/>
  <c r="D1542" i="35"/>
  <c r="D22" i="153" s="1"/>
  <c r="D1382" i="35"/>
  <c r="D1314" i="35"/>
  <c r="D1246" i="35"/>
  <c r="D724" i="34"/>
  <c r="D923" i="36"/>
  <c r="D1584" i="35"/>
  <c r="D89" i="153" s="1"/>
  <c r="D1529" i="35"/>
  <c r="D74" i="153" s="1"/>
  <c r="D1365" i="35"/>
  <c r="D1297" i="35"/>
  <c r="D776" i="34"/>
  <c r="C53" i="147" s="1"/>
  <c r="D708" i="34"/>
  <c r="D644" i="34"/>
  <c r="D1621" i="35"/>
  <c r="D128" i="153" s="1"/>
  <c r="D1568" i="35"/>
  <c r="D48" i="153" s="1"/>
  <c r="D1419" i="35"/>
  <c r="C23" i="147" s="1"/>
  <c r="D1348" i="35"/>
  <c r="D1280" i="35"/>
  <c r="D756" i="34"/>
  <c r="D1609" i="35"/>
  <c r="D115" i="153" s="1"/>
  <c r="D1555" i="35"/>
  <c r="D1399" i="35"/>
  <c r="D1331" i="35"/>
  <c r="D1263" i="35"/>
  <c r="D740" i="34"/>
  <c r="D676" i="34"/>
  <c r="D612" i="34"/>
  <c r="K1420" i="35"/>
  <c r="K24" i="147" s="1"/>
  <c r="D757" i="34"/>
  <c r="K1422" i="35"/>
  <c r="K26" i="147" s="1"/>
  <c r="M1419" i="35"/>
  <c r="O1416" i="35"/>
  <c r="O1418" i="35"/>
  <c r="O22" i="147" s="1"/>
  <c r="D920" i="36"/>
  <c r="D1581" i="35"/>
  <c r="D86" i="153" s="1"/>
  <c r="D1526" i="35"/>
  <c r="D71" i="153" s="1"/>
  <c r="D1362" i="35"/>
  <c r="D1294" i="35"/>
  <c r="D773" i="34"/>
  <c r="C50" i="147" s="1"/>
  <c r="D705" i="34"/>
  <c r="D1618" i="35"/>
  <c r="D125" i="153" s="1"/>
  <c r="D1565" i="35"/>
  <c r="D45" i="153" s="1"/>
  <c r="D1416" i="35"/>
  <c r="C20" i="147" s="1"/>
  <c r="D1345" i="35"/>
  <c r="D1277" i="35"/>
  <c r="D753" i="34"/>
  <c r="D689" i="34"/>
  <c r="D625" i="34"/>
  <c r="D1606" i="35"/>
  <c r="D112" i="153" s="1"/>
  <c r="D1552" i="35"/>
  <c r="D1396" i="35"/>
  <c r="D1328" i="35"/>
  <c r="D1260" i="35"/>
  <c r="D737" i="34"/>
  <c r="D673" i="34"/>
  <c r="D609" i="34"/>
  <c r="D641" i="34"/>
  <c r="M1413" i="35"/>
  <c r="M17" i="147" s="1"/>
  <c r="M1250" i="35"/>
  <c r="D1617" i="35"/>
  <c r="D124" i="153" s="1"/>
  <c r="D1564" i="35"/>
  <c r="D44" i="153" s="1"/>
  <c r="D1415" i="35"/>
  <c r="C19" i="147" s="1"/>
  <c r="D1344" i="35"/>
  <c r="D1276" i="35"/>
  <c r="D752" i="34"/>
  <c r="D1605" i="35"/>
  <c r="D111" i="153" s="1"/>
  <c r="D1551" i="35"/>
  <c r="D1395" i="35"/>
  <c r="D1327" i="35"/>
  <c r="D1259" i="35"/>
  <c r="D736" i="34"/>
  <c r="D672" i="34"/>
  <c r="D608" i="34"/>
  <c r="D720" i="34"/>
  <c r="D1592" i="35"/>
  <c r="D98" i="153" s="1"/>
  <c r="D1538" i="35"/>
  <c r="D18" i="153" s="1"/>
  <c r="D1378" i="35"/>
  <c r="D1310" i="35"/>
  <c r="D1242" i="35"/>
  <c r="D919" i="36"/>
  <c r="D1580" i="35"/>
  <c r="D85" i="153" s="1"/>
  <c r="D1525" i="35"/>
  <c r="D70" i="153" s="1"/>
  <c r="D1361" i="35"/>
  <c r="D1293" i="35"/>
  <c r="D772" i="34"/>
  <c r="C49" i="147" s="1"/>
  <c r="D704" i="34"/>
  <c r="D640" i="34"/>
  <c r="D693" i="34"/>
  <c r="D1281" i="35"/>
  <c r="D1622" i="35"/>
  <c r="D129" i="153" s="1"/>
  <c r="M1421" i="35"/>
  <c r="O1414" i="35"/>
  <c r="O1267" i="35"/>
  <c r="K1301" i="35"/>
  <c r="M1318" i="35"/>
  <c r="O1335" i="35"/>
  <c r="K1369" i="35"/>
  <c r="M1386" i="35"/>
  <c r="O1403" i="35"/>
  <c r="D630" i="34"/>
  <c r="D622" i="34"/>
  <c r="D658" i="34"/>
  <c r="D694" i="34"/>
  <c r="D686" i="34"/>
  <c r="D722" i="34"/>
  <c r="D758" i="34"/>
  <c r="D750" i="34"/>
  <c r="D1244" i="35"/>
  <c r="D1282" i="35"/>
  <c r="D1274" i="35"/>
  <c r="D1312" i="35"/>
  <c r="D1350" i="35"/>
  <c r="D1342" i="35"/>
  <c r="D1380" i="35"/>
  <c r="D1421" i="35"/>
  <c r="C25" i="147" s="1"/>
  <c r="D1413" i="35"/>
  <c r="C17" i="147" s="1"/>
  <c r="D1540" i="35"/>
  <c r="D20" i="153" s="1"/>
  <c r="D1570" i="35"/>
  <c r="D50" i="153" s="1"/>
  <c r="D1562" i="35"/>
  <c r="D42" i="153" s="1"/>
  <c r="D1594" i="35"/>
  <c r="D100" i="153" s="1"/>
  <c r="D1623" i="35"/>
  <c r="D130" i="153" s="1"/>
  <c r="D1615" i="35"/>
  <c r="D122" i="153" s="1"/>
  <c r="N1421" i="35"/>
  <c r="L1420" i="35"/>
  <c r="J1419" i="35"/>
  <c r="N1417" i="35"/>
  <c r="L1416" i="35"/>
  <c r="L20" i="147" s="1"/>
  <c r="J1415" i="35"/>
  <c r="J19" i="147" s="1"/>
  <c r="N1413" i="35"/>
  <c r="J1284" i="35"/>
  <c r="L1301" i="35"/>
  <c r="N1318" i="35"/>
  <c r="J1352" i="35"/>
  <c r="L1369" i="35"/>
  <c r="N1386" i="35"/>
  <c r="D1367" i="35"/>
  <c r="D1359" i="35"/>
  <c r="D1397" i="35"/>
  <c r="D1531" i="35"/>
  <c r="D76" i="153" s="1"/>
  <c r="D1523" i="35"/>
  <c r="D68" i="153" s="1"/>
  <c r="D1553" i="35"/>
  <c r="D1586" i="35"/>
  <c r="D91" i="153" s="1"/>
  <c r="D1578" i="35"/>
  <c r="D83" i="153" s="1"/>
  <c r="D1607" i="35"/>
  <c r="D113" i="153" s="1"/>
  <c r="D925" i="36"/>
  <c r="D917" i="36"/>
  <c r="L1318" i="35"/>
  <c r="L1386" i="35"/>
  <c r="N1250" i="35"/>
  <c r="L1421" i="35"/>
  <c r="L25" i="147" s="1"/>
  <c r="N1434" i="35"/>
  <c r="D627" i="34"/>
  <c r="D663" i="34"/>
  <c r="D655" i="34"/>
  <c r="D691" i="34"/>
  <c r="D727" i="34"/>
  <c r="D719" i="34"/>
  <c r="D755" i="34"/>
  <c r="D1249" i="35"/>
  <c r="D1241" i="35"/>
  <c r="D1279" i="35"/>
  <c r="D1317" i="35"/>
  <c r="D1309" i="35"/>
  <c r="D1347" i="35"/>
  <c r="D1385" i="35"/>
  <c r="D1377" i="35"/>
  <c r="D1418" i="35"/>
  <c r="C22" i="147" s="1"/>
  <c r="D1545" i="35"/>
  <c r="D25" i="153" s="1"/>
  <c r="D1537" i="35"/>
  <c r="D17" i="153" s="1"/>
  <c r="D1567" i="35"/>
  <c r="D47" i="153" s="1"/>
  <c r="D1599" i="35"/>
  <c r="D105" i="153" s="1"/>
  <c r="D1591" i="35"/>
  <c r="D97" i="153" s="1"/>
  <c r="D1620" i="35"/>
  <c r="D127" i="153" s="1"/>
  <c r="K1250" i="35"/>
  <c r="M1267" i="35"/>
  <c r="O1284" i="35"/>
  <c r="K1318" i="35"/>
  <c r="M1335" i="35"/>
  <c r="O1352" i="35"/>
  <c r="K1386" i="35"/>
  <c r="M1403" i="35"/>
  <c r="K1421" i="35"/>
  <c r="K25" i="147" s="1"/>
  <c r="L1419" i="35"/>
  <c r="N1414" i="35"/>
  <c r="N18" i="147" s="1"/>
  <c r="D626" i="34"/>
  <c r="D662" i="34"/>
  <c r="D654" i="34"/>
  <c r="D690" i="34"/>
  <c r="D726" i="34"/>
  <c r="D718" i="34"/>
  <c r="D754" i="34"/>
  <c r="D1248" i="35"/>
  <c r="D1240" i="35"/>
  <c r="D1278" i="35"/>
  <c r="D1316" i="35"/>
  <c r="D1308" i="35"/>
  <c r="D1346" i="35"/>
  <c r="D1384" i="35"/>
  <c r="D1376" i="35"/>
  <c r="D1417" i="35"/>
  <c r="C21" i="147" s="1"/>
  <c r="D1544" i="35"/>
  <c r="D24" i="153" s="1"/>
  <c r="D1536" i="35"/>
  <c r="D16" i="153" s="1"/>
  <c r="D1566" i="35"/>
  <c r="D46" i="153" s="1"/>
  <c r="D1598" i="35"/>
  <c r="D104" i="153" s="1"/>
  <c r="D1590" i="35"/>
  <c r="D96" i="153" s="1"/>
  <c r="D1619" i="35"/>
  <c r="D126" i="153" s="1"/>
  <c r="N1429" i="35"/>
  <c r="J1250" i="35"/>
  <c r="L1267" i="35"/>
  <c r="N1284" i="35"/>
  <c r="J1318" i="35"/>
  <c r="L1335" i="35"/>
  <c r="N1352" i="35"/>
  <c r="J1386" i="35"/>
  <c r="L1403" i="35"/>
  <c r="L1250" i="35"/>
  <c r="J1421" i="35"/>
  <c r="N1418" i="35"/>
  <c r="M1414" i="35"/>
  <c r="D643" i="34"/>
  <c r="D679" i="34"/>
  <c r="D671" i="34"/>
  <c r="D707" i="34"/>
  <c r="D743" i="34"/>
  <c r="D735" i="34"/>
  <c r="D775" i="34"/>
  <c r="C52" i="147" s="1"/>
  <c r="D1266" i="35"/>
  <c r="D1258" i="35"/>
  <c r="D1296" i="35"/>
  <c r="D1334" i="35"/>
  <c r="D1326" i="35"/>
  <c r="D1364" i="35"/>
  <c r="D1402" i="35"/>
  <c r="D1394" i="35"/>
  <c r="D1528" i="35"/>
  <c r="D73" i="153" s="1"/>
  <c r="D1558" i="35"/>
  <c r="D1550" i="35"/>
  <c r="D1583" i="35"/>
  <c r="D88" i="153" s="1"/>
  <c r="D1612" i="35"/>
  <c r="D118" i="153" s="1"/>
  <c r="D1604" i="35"/>
  <c r="D110" i="153" s="1"/>
  <c r="D922" i="36"/>
  <c r="K1267" i="35"/>
  <c r="M1284" i="35"/>
  <c r="O1301" i="35"/>
  <c r="K1335" i="35"/>
  <c r="M1352" i="35"/>
  <c r="O1369" i="35"/>
  <c r="K1403" i="35"/>
  <c r="N1422" i="35"/>
  <c r="N26" i="147" s="1"/>
  <c r="O1420" i="35"/>
  <c r="M1418" i="35"/>
  <c r="L1414" i="35"/>
  <c r="L18" i="147" s="1"/>
  <c r="D1333" i="35"/>
  <c r="D1325" i="35"/>
  <c r="D1363" i="35"/>
  <c r="D1401" i="35"/>
  <c r="D1393" i="35"/>
  <c r="D1527" i="35"/>
  <c r="D72" i="153" s="1"/>
  <c r="D1557" i="35"/>
  <c r="D1549" i="35"/>
  <c r="D1582" i="35"/>
  <c r="D87" i="153" s="1"/>
  <c r="J1432" i="35"/>
  <c r="N1430" i="35"/>
  <c r="L1429" i="35"/>
  <c r="J1267" i="35"/>
  <c r="N1301" i="35"/>
  <c r="J1335" i="35"/>
  <c r="N1369" i="35"/>
  <c r="J1403" i="35"/>
  <c r="M1422" i="35"/>
  <c r="M26" i="147" s="1"/>
  <c r="L1418" i="35"/>
  <c r="J1416" i="35"/>
  <c r="K1414" i="35"/>
  <c r="K18" i="147" s="1"/>
  <c r="D631" i="34"/>
  <c r="D623" i="34"/>
  <c r="D659" i="34"/>
  <c r="D695" i="34"/>
  <c r="D687" i="34"/>
  <c r="D723" i="34"/>
  <c r="D759" i="34"/>
  <c r="D751" i="34"/>
  <c r="D1245" i="35"/>
  <c r="D1283" i="35"/>
  <c r="D1275" i="35"/>
  <c r="D1313" i="35"/>
  <c r="D1351" i="35"/>
  <c r="D1343" i="35"/>
  <c r="D1381" i="35"/>
  <c r="D1422" i="35"/>
  <c r="C26" i="147" s="1"/>
  <c r="D1414" i="35"/>
  <c r="C18" i="147" s="1"/>
  <c r="D1541" i="35"/>
  <c r="D21" i="153" s="1"/>
  <c r="D1571" i="35"/>
  <c r="D51" i="153" s="1"/>
  <c r="D1563" i="35"/>
  <c r="D43" i="153" s="1"/>
  <c r="O1421" i="35"/>
  <c r="M1420" i="35"/>
  <c r="K1419" i="35"/>
  <c r="K23" i="147" s="1"/>
  <c r="O1417" i="35"/>
  <c r="O21" i="147" s="1"/>
  <c r="M1416" i="35"/>
  <c r="K1415" i="35"/>
  <c r="K19" i="147" s="1"/>
  <c r="O1413" i="35"/>
  <c r="O17" i="147" s="1"/>
  <c r="K1284" i="35"/>
  <c r="M1301" i="35"/>
  <c r="O1318" i="35"/>
  <c r="K1352" i="35"/>
  <c r="M1369" i="35"/>
  <c r="O1386" i="35"/>
  <c r="L1422" i="35"/>
  <c r="J1420" i="35"/>
  <c r="J24" i="147" s="1"/>
  <c r="K1418" i="35"/>
  <c r="K22" i="147" s="1"/>
  <c r="O1415" i="35"/>
  <c r="O19" i="147" s="1"/>
  <c r="J1414" i="35"/>
  <c r="J18" i="147" s="1"/>
  <c r="J203" i="14"/>
  <c r="K203" i="14"/>
  <c r="L203" i="14"/>
  <c r="M203" i="14"/>
  <c r="N203" i="14"/>
  <c r="O203" i="14"/>
  <c r="J103" i="20"/>
  <c r="K103" i="20"/>
  <c r="L103" i="20"/>
  <c r="M103" i="20"/>
  <c r="N103" i="20"/>
  <c r="O103" i="20"/>
  <c r="J104" i="20"/>
  <c r="K104" i="20"/>
  <c r="L104" i="20"/>
  <c r="M104" i="20"/>
  <c r="N104" i="20"/>
  <c r="O104" i="20"/>
  <c r="J105" i="20"/>
  <c r="K105" i="20"/>
  <c r="L105" i="20"/>
  <c r="M105" i="20"/>
  <c r="N105" i="20"/>
  <c r="O105" i="20"/>
  <c r="J106" i="20"/>
  <c r="K106" i="20"/>
  <c r="L106" i="20"/>
  <c r="M106" i="20"/>
  <c r="N106" i="20"/>
  <c r="O106" i="20"/>
  <c r="J107" i="20"/>
  <c r="K107" i="20"/>
  <c r="L107" i="20"/>
  <c r="M107" i="20"/>
  <c r="N107" i="20"/>
  <c r="O107" i="20"/>
  <c r="J108" i="20"/>
  <c r="K108" i="20"/>
  <c r="L108" i="20"/>
  <c r="M108" i="20"/>
  <c r="N108" i="20"/>
  <c r="O108" i="20"/>
  <c r="J109" i="20"/>
  <c r="K109" i="20"/>
  <c r="L109" i="20"/>
  <c r="M109" i="20"/>
  <c r="N109" i="20"/>
  <c r="O109" i="20"/>
  <c r="J110" i="20"/>
  <c r="K110" i="20"/>
  <c r="L110" i="20"/>
  <c r="M110" i="20"/>
  <c r="N110" i="20"/>
  <c r="O110" i="20"/>
  <c r="J111" i="20"/>
  <c r="K111" i="20"/>
  <c r="L111" i="20"/>
  <c r="M111" i="20"/>
  <c r="N111" i="20"/>
  <c r="O111" i="20"/>
  <c r="J112" i="20"/>
  <c r="K112" i="20"/>
  <c r="L112" i="20"/>
  <c r="M112" i="20"/>
  <c r="N112" i="20"/>
  <c r="O112" i="20"/>
  <c r="J183" i="14"/>
  <c r="K183" i="14"/>
  <c r="L183" i="14"/>
  <c r="M183" i="14"/>
  <c r="N183" i="14"/>
  <c r="O183" i="14"/>
  <c r="J162" i="14"/>
  <c r="K162" i="14"/>
  <c r="L162" i="14"/>
  <c r="M162" i="14"/>
  <c r="N162" i="14"/>
  <c r="O162" i="14"/>
  <c r="H193" i="14"/>
  <c r="H194" i="14"/>
  <c r="H195" i="14"/>
  <c r="H196" i="14"/>
  <c r="H197" i="14"/>
  <c r="H198" i="14"/>
  <c r="H199" i="14"/>
  <c r="H200" i="14"/>
  <c r="H201" i="14"/>
  <c r="H202" i="14"/>
  <c r="J90" i="20"/>
  <c r="K90" i="20"/>
  <c r="L90" i="20"/>
  <c r="M90" i="20"/>
  <c r="N90" i="20"/>
  <c r="O90" i="20"/>
  <c r="J91" i="20"/>
  <c r="K91" i="20"/>
  <c r="L91" i="20"/>
  <c r="M91" i="20"/>
  <c r="N91" i="20"/>
  <c r="O91" i="20"/>
  <c r="J92" i="20"/>
  <c r="K92" i="20"/>
  <c r="L92" i="20"/>
  <c r="M92" i="20"/>
  <c r="N92" i="20"/>
  <c r="O92" i="20"/>
  <c r="J93" i="20"/>
  <c r="K93" i="20"/>
  <c r="L93" i="20"/>
  <c r="M93" i="20"/>
  <c r="N93" i="20"/>
  <c r="O93" i="20"/>
  <c r="J94" i="20"/>
  <c r="K94" i="20"/>
  <c r="L94" i="20"/>
  <c r="M94" i="20"/>
  <c r="N94" i="20"/>
  <c r="O94" i="20"/>
  <c r="J95" i="20"/>
  <c r="K95" i="20"/>
  <c r="L95" i="20"/>
  <c r="M95" i="20"/>
  <c r="N95" i="20"/>
  <c r="O95" i="20"/>
  <c r="J96" i="20"/>
  <c r="K96" i="20"/>
  <c r="L96" i="20"/>
  <c r="M96" i="20"/>
  <c r="N96" i="20"/>
  <c r="O96" i="20"/>
  <c r="J97" i="20"/>
  <c r="K97" i="20"/>
  <c r="L97" i="20"/>
  <c r="M97" i="20"/>
  <c r="N97" i="20"/>
  <c r="O97" i="20"/>
  <c r="J98" i="20"/>
  <c r="K98" i="20"/>
  <c r="L98" i="20"/>
  <c r="M98" i="20"/>
  <c r="N98" i="20"/>
  <c r="O98" i="20"/>
  <c r="J99" i="20"/>
  <c r="K99" i="20"/>
  <c r="L99" i="20"/>
  <c r="M99" i="20"/>
  <c r="N99" i="20"/>
  <c r="O99" i="20"/>
  <c r="J141" i="14"/>
  <c r="K141" i="14"/>
  <c r="L141" i="14"/>
  <c r="M141" i="14"/>
  <c r="N141" i="14"/>
  <c r="O141" i="14"/>
  <c r="H173" i="14"/>
  <c r="H174" i="14"/>
  <c r="H175" i="14"/>
  <c r="H176" i="14"/>
  <c r="H177" i="14"/>
  <c r="H178" i="14"/>
  <c r="H179" i="14"/>
  <c r="H180" i="14"/>
  <c r="H181" i="14"/>
  <c r="H182" i="14"/>
  <c r="H20" i="15"/>
  <c r="D291" i="20"/>
  <c r="D292" i="20"/>
  <c r="D293" i="20"/>
  <c r="D294" i="20"/>
  <c r="D295" i="20"/>
  <c r="D296" i="20"/>
  <c r="D297" i="20"/>
  <c r="D298" i="20"/>
  <c r="D299" i="20"/>
  <c r="D300" i="20"/>
  <c r="D203" i="20"/>
  <c r="D204" i="20"/>
  <c r="D205" i="20"/>
  <c r="D206" i="20"/>
  <c r="D207" i="20"/>
  <c r="D208" i="20"/>
  <c r="D209" i="20"/>
  <c r="D210" i="20"/>
  <c r="D211" i="20"/>
  <c r="D212" i="20"/>
  <c r="D36" i="20"/>
  <c r="D53" i="20" s="1"/>
  <c r="D37" i="20"/>
  <c r="D54" i="20" s="1"/>
  <c r="D38" i="20"/>
  <c r="D55" i="20" s="1"/>
  <c r="D39" i="20"/>
  <c r="D56" i="20" s="1"/>
  <c r="D40" i="20"/>
  <c r="D57" i="20" s="1"/>
  <c r="D41" i="20"/>
  <c r="D58" i="20" s="1"/>
  <c r="D42" i="20"/>
  <c r="D59" i="20" s="1"/>
  <c r="D43" i="20"/>
  <c r="D60" i="20" s="1"/>
  <c r="D44" i="20"/>
  <c r="D61" i="20" s="1"/>
  <c r="D45" i="20"/>
  <c r="D62" i="20" s="1"/>
  <c r="D17" i="20"/>
  <c r="D70" i="20" s="1"/>
  <c r="D18" i="20"/>
  <c r="D71" i="20" s="1"/>
  <c r="D19" i="20"/>
  <c r="D72" i="20" s="1"/>
  <c r="D20" i="20"/>
  <c r="D73" i="20" s="1"/>
  <c r="D21" i="20"/>
  <c r="D74" i="20" s="1"/>
  <c r="D22" i="20"/>
  <c r="D75" i="20" s="1"/>
  <c r="D23" i="20"/>
  <c r="D76" i="20" s="1"/>
  <c r="D24" i="20"/>
  <c r="D77" i="20" s="1"/>
  <c r="D25" i="20"/>
  <c r="D78" i="20" s="1"/>
  <c r="D26" i="20"/>
  <c r="D79" i="20" s="1"/>
  <c r="D152" i="14"/>
  <c r="D173" i="14" s="1"/>
  <c r="D193" i="14" s="1"/>
  <c r="D153" i="14"/>
  <c r="D174" i="14" s="1"/>
  <c r="D194" i="14" s="1"/>
  <c r="D154" i="14"/>
  <c r="D175" i="14" s="1"/>
  <c r="D195" i="14" s="1"/>
  <c r="D155" i="14"/>
  <c r="D176" i="14" s="1"/>
  <c r="D196" i="14" s="1"/>
  <c r="D156" i="14"/>
  <c r="D177" i="14" s="1"/>
  <c r="D197" i="14" s="1"/>
  <c r="D157" i="14"/>
  <c r="D178" i="14" s="1"/>
  <c r="D198" i="14" s="1"/>
  <c r="D158" i="14"/>
  <c r="D179" i="14" s="1"/>
  <c r="D199" i="14" s="1"/>
  <c r="D159" i="14"/>
  <c r="D180" i="14" s="1"/>
  <c r="D200" i="14" s="1"/>
  <c r="D160" i="14"/>
  <c r="D181" i="14" s="1"/>
  <c r="D201" i="14" s="1"/>
  <c r="D161" i="14"/>
  <c r="D182" i="14" s="1"/>
  <c r="D202" i="14" s="1"/>
  <c r="D131" i="14"/>
  <c r="D361" i="20" s="1"/>
  <c r="D132" i="14"/>
  <c r="D362" i="20" s="1"/>
  <c r="D133" i="14"/>
  <c r="D376" i="20" s="1"/>
  <c r="D134" i="14"/>
  <c r="D377" i="20" s="1"/>
  <c r="D135" i="14"/>
  <c r="D308" i="20" s="1"/>
  <c r="D80" i="140" s="1"/>
  <c r="D136" i="14"/>
  <c r="D309" i="20" s="1"/>
  <c r="D81" i="140" s="1"/>
  <c r="D137" i="14"/>
  <c r="D339" i="20" s="1"/>
  <c r="D138" i="14"/>
  <c r="D340" i="20" s="1"/>
  <c r="D139" i="14"/>
  <c r="D369" i="20" s="1"/>
  <c r="D140" i="14"/>
  <c r="D370" i="20" s="1"/>
  <c r="H285" i="19"/>
  <c r="H286" i="19"/>
  <c r="H287" i="19"/>
  <c r="H288" i="19"/>
  <c r="H289" i="19"/>
  <c r="H290" i="19"/>
  <c r="H291" i="19"/>
  <c r="H292" i="19"/>
  <c r="H293" i="19"/>
  <c r="H294" i="19"/>
  <c r="H273" i="19"/>
  <c r="H151" i="140" s="1"/>
  <c r="H274" i="19"/>
  <c r="H152" i="140" s="1"/>
  <c r="H275" i="19"/>
  <c r="H153" i="140" s="1"/>
  <c r="H276" i="19"/>
  <c r="H154" i="140" s="1"/>
  <c r="H277" i="19"/>
  <c r="H155" i="140" s="1"/>
  <c r="H278" i="19"/>
  <c r="H156" i="140" s="1"/>
  <c r="H279" i="19"/>
  <c r="H157" i="140" s="1"/>
  <c r="H280" i="19"/>
  <c r="H158" i="140" s="1"/>
  <c r="H281" i="19"/>
  <c r="H159" i="140" s="1"/>
  <c r="H282" i="19"/>
  <c r="H160" i="140" s="1"/>
  <c r="H260" i="19"/>
  <c r="H138" i="140" s="1"/>
  <c r="H261" i="19"/>
  <c r="H139" i="140" s="1"/>
  <c r="H262" i="19"/>
  <c r="H140" i="140" s="1"/>
  <c r="H263" i="19"/>
  <c r="H141" i="140" s="1"/>
  <c r="H264" i="19"/>
  <c r="H142" i="140" s="1"/>
  <c r="H265" i="19"/>
  <c r="H143" i="140" s="1"/>
  <c r="H266" i="19"/>
  <c r="H144" i="140" s="1"/>
  <c r="H267" i="19"/>
  <c r="H145" i="140" s="1"/>
  <c r="H268" i="19"/>
  <c r="H146" i="140" s="1"/>
  <c r="H269" i="19"/>
  <c r="H147" i="140" s="1"/>
  <c r="H152" i="19"/>
  <c r="H153" i="19"/>
  <c r="H154" i="19"/>
  <c r="H155" i="19"/>
  <c r="H156" i="19"/>
  <c r="H157" i="19"/>
  <c r="H158" i="19"/>
  <c r="H159" i="19"/>
  <c r="H160" i="19"/>
  <c r="H161" i="19"/>
  <c r="H137" i="19"/>
  <c r="H138" i="19"/>
  <c r="H139" i="19"/>
  <c r="H140" i="19"/>
  <c r="H141" i="19"/>
  <c r="H142" i="19"/>
  <c r="H143" i="19"/>
  <c r="H144" i="19"/>
  <c r="H145" i="19"/>
  <c r="H146" i="19"/>
  <c r="H122" i="19"/>
  <c r="H123" i="19"/>
  <c r="H124" i="19"/>
  <c r="H125" i="19"/>
  <c r="H126" i="19"/>
  <c r="H127" i="19"/>
  <c r="H128" i="19"/>
  <c r="H129" i="19"/>
  <c r="H130" i="19"/>
  <c r="H131" i="19"/>
  <c r="H107" i="19"/>
  <c r="H108" i="19"/>
  <c r="H109" i="19"/>
  <c r="H110" i="19"/>
  <c r="H111" i="19"/>
  <c r="H112" i="19"/>
  <c r="H113" i="19"/>
  <c r="H114" i="19"/>
  <c r="H115" i="19"/>
  <c r="H116" i="19"/>
  <c r="H92" i="19"/>
  <c r="H93" i="19"/>
  <c r="H94" i="19"/>
  <c r="H95" i="19"/>
  <c r="H96" i="19"/>
  <c r="H97" i="19"/>
  <c r="H98" i="19"/>
  <c r="H99" i="19"/>
  <c r="H100" i="19"/>
  <c r="H101" i="19"/>
  <c r="H77" i="19"/>
  <c r="H78" i="19"/>
  <c r="H79" i="19"/>
  <c r="H80" i="19"/>
  <c r="H81" i="19"/>
  <c r="H82" i="19"/>
  <c r="H83" i="19"/>
  <c r="H84" i="19"/>
  <c r="H85" i="19"/>
  <c r="H86" i="19"/>
  <c r="H62" i="19"/>
  <c r="H63" i="19"/>
  <c r="H64" i="19"/>
  <c r="H65" i="19"/>
  <c r="H66" i="19"/>
  <c r="H67" i="19"/>
  <c r="H68" i="19"/>
  <c r="H69" i="19"/>
  <c r="H70" i="19"/>
  <c r="H71" i="19"/>
  <c r="H47" i="19"/>
  <c r="H48" i="19"/>
  <c r="H49" i="19"/>
  <c r="H50" i="19"/>
  <c r="H51" i="19"/>
  <c r="H52" i="19"/>
  <c r="H53" i="19"/>
  <c r="H54" i="19"/>
  <c r="H55" i="19"/>
  <c r="H56" i="19"/>
  <c r="H32" i="19"/>
  <c r="H33" i="19"/>
  <c r="H34" i="19"/>
  <c r="H35" i="19"/>
  <c r="H36" i="19"/>
  <c r="H37" i="19"/>
  <c r="H38" i="19"/>
  <c r="H39" i="19"/>
  <c r="H40" i="19"/>
  <c r="H41" i="19"/>
  <c r="H17" i="19"/>
  <c r="H18" i="19"/>
  <c r="H19" i="19"/>
  <c r="H20" i="19"/>
  <c r="H21" i="19"/>
  <c r="H22" i="19"/>
  <c r="H23" i="19"/>
  <c r="H24" i="19"/>
  <c r="H25" i="19"/>
  <c r="H26" i="19"/>
  <c r="J152" i="19"/>
  <c r="K152" i="19"/>
  <c r="L152" i="19"/>
  <c r="M152" i="19"/>
  <c r="N152" i="19"/>
  <c r="O152" i="19"/>
  <c r="J153" i="19"/>
  <c r="I153" i="19" s="1"/>
  <c r="K153" i="19"/>
  <c r="L153" i="19"/>
  <c r="M153" i="19"/>
  <c r="N153" i="19"/>
  <c r="O153" i="19"/>
  <c r="J154" i="19"/>
  <c r="I154" i="19" s="1"/>
  <c r="K154" i="19"/>
  <c r="L154" i="19"/>
  <c r="M154" i="19"/>
  <c r="N154" i="19"/>
  <c r="O154" i="19"/>
  <c r="J155" i="19"/>
  <c r="I155" i="19" s="1"/>
  <c r="K155" i="19"/>
  <c r="L155" i="19"/>
  <c r="M155" i="19"/>
  <c r="N155" i="19"/>
  <c r="O155" i="19"/>
  <c r="J156" i="19"/>
  <c r="I156" i="19" s="1"/>
  <c r="K156" i="19"/>
  <c r="L156" i="19"/>
  <c r="M156" i="19"/>
  <c r="N156" i="19"/>
  <c r="O156" i="19"/>
  <c r="J157" i="19"/>
  <c r="I157" i="19" s="1"/>
  <c r="K157" i="19"/>
  <c r="L157" i="19"/>
  <c r="M157" i="19"/>
  <c r="N157" i="19"/>
  <c r="O157" i="19"/>
  <c r="J158" i="19"/>
  <c r="I158" i="19" s="1"/>
  <c r="K158" i="19"/>
  <c r="L158" i="19"/>
  <c r="M158" i="19"/>
  <c r="N158" i="19"/>
  <c r="O158" i="19"/>
  <c r="J159" i="19"/>
  <c r="I159" i="19" s="1"/>
  <c r="K159" i="19"/>
  <c r="L159" i="19"/>
  <c r="M159" i="19"/>
  <c r="N159" i="19"/>
  <c r="O159" i="19"/>
  <c r="J160" i="19"/>
  <c r="I160" i="19" s="1"/>
  <c r="K160" i="19"/>
  <c r="L160" i="19"/>
  <c r="M160" i="19"/>
  <c r="N160" i="19"/>
  <c r="O160" i="19"/>
  <c r="J161" i="19"/>
  <c r="I161" i="19" s="1"/>
  <c r="K161" i="19"/>
  <c r="L161" i="19"/>
  <c r="M161" i="19"/>
  <c r="N161" i="19"/>
  <c r="O161" i="19"/>
  <c r="J220" i="21"/>
  <c r="K220" i="21"/>
  <c r="L220" i="21"/>
  <c r="M220" i="21"/>
  <c r="N220" i="21"/>
  <c r="O220" i="21"/>
  <c r="J137" i="19"/>
  <c r="K137" i="19"/>
  <c r="L137" i="19"/>
  <c r="M137" i="19"/>
  <c r="N137" i="19"/>
  <c r="O137" i="19"/>
  <c r="J138" i="19"/>
  <c r="I138" i="19" s="1"/>
  <c r="K138" i="19"/>
  <c r="L138" i="19"/>
  <c r="M138" i="19"/>
  <c r="N138" i="19"/>
  <c r="O138" i="19"/>
  <c r="J139" i="19"/>
  <c r="I139" i="19" s="1"/>
  <c r="K139" i="19"/>
  <c r="L139" i="19"/>
  <c r="M139" i="19"/>
  <c r="N139" i="19"/>
  <c r="O139" i="19"/>
  <c r="J140" i="19"/>
  <c r="I140" i="19" s="1"/>
  <c r="K140" i="19"/>
  <c r="L140" i="19"/>
  <c r="M140" i="19"/>
  <c r="N140" i="19"/>
  <c r="O140" i="19"/>
  <c r="J141" i="19"/>
  <c r="I141" i="19" s="1"/>
  <c r="K141" i="19"/>
  <c r="L141" i="19"/>
  <c r="M141" i="19"/>
  <c r="N141" i="19"/>
  <c r="O141" i="19"/>
  <c r="J142" i="19"/>
  <c r="I142" i="19" s="1"/>
  <c r="K142" i="19"/>
  <c r="L142" i="19"/>
  <c r="M142" i="19"/>
  <c r="N142" i="19"/>
  <c r="O142" i="19"/>
  <c r="J143" i="19"/>
  <c r="I143" i="19" s="1"/>
  <c r="K143" i="19"/>
  <c r="L143" i="19"/>
  <c r="M143" i="19"/>
  <c r="N143" i="19"/>
  <c r="O143" i="19"/>
  <c r="J144" i="19"/>
  <c r="I144" i="19" s="1"/>
  <c r="K144" i="19"/>
  <c r="L144" i="19"/>
  <c r="M144" i="19"/>
  <c r="N144" i="19"/>
  <c r="O144" i="19"/>
  <c r="J145" i="19"/>
  <c r="I145" i="19" s="1"/>
  <c r="K145" i="19"/>
  <c r="L145" i="19"/>
  <c r="M145" i="19"/>
  <c r="N145" i="19"/>
  <c r="O145" i="19"/>
  <c r="J146" i="19"/>
  <c r="I146" i="19" s="1"/>
  <c r="K146" i="19"/>
  <c r="L146" i="19"/>
  <c r="M146" i="19"/>
  <c r="N146" i="19"/>
  <c r="O146" i="19"/>
  <c r="J199" i="21"/>
  <c r="K199" i="21"/>
  <c r="L199" i="21"/>
  <c r="M199" i="21"/>
  <c r="N199" i="21"/>
  <c r="O199" i="21"/>
  <c r="J122" i="19"/>
  <c r="K122" i="19"/>
  <c r="L122" i="19"/>
  <c r="M122" i="19"/>
  <c r="N122" i="19"/>
  <c r="O122" i="19"/>
  <c r="J123" i="19"/>
  <c r="I123" i="19" s="1"/>
  <c r="K123" i="19"/>
  <c r="L123" i="19"/>
  <c r="M123" i="19"/>
  <c r="N123" i="19"/>
  <c r="O123" i="19"/>
  <c r="J124" i="19"/>
  <c r="I124" i="19" s="1"/>
  <c r="K124" i="19"/>
  <c r="L124" i="19"/>
  <c r="M124" i="19"/>
  <c r="N124" i="19"/>
  <c r="O124" i="19"/>
  <c r="J125" i="19"/>
  <c r="I125" i="19" s="1"/>
  <c r="K125" i="19"/>
  <c r="L125" i="19"/>
  <c r="M125" i="19"/>
  <c r="N125" i="19"/>
  <c r="O125" i="19"/>
  <c r="J126" i="19"/>
  <c r="I126" i="19" s="1"/>
  <c r="K126" i="19"/>
  <c r="L126" i="19"/>
  <c r="M126" i="19"/>
  <c r="N126" i="19"/>
  <c r="O126" i="19"/>
  <c r="J127" i="19"/>
  <c r="I127" i="19" s="1"/>
  <c r="K127" i="19"/>
  <c r="L127" i="19"/>
  <c r="M127" i="19"/>
  <c r="N127" i="19"/>
  <c r="O127" i="19"/>
  <c r="J128" i="19"/>
  <c r="I128" i="19" s="1"/>
  <c r="K128" i="19"/>
  <c r="L128" i="19"/>
  <c r="M128" i="19"/>
  <c r="N128" i="19"/>
  <c r="O128" i="19"/>
  <c r="J129" i="19"/>
  <c r="I129" i="19" s="1"/>
  <c r="K129" i="19"/>
  <c r="L129" i="19"/>
  <c r="M129" i="19"/>
  <c r="N129" i="19"/>
  <c r="O129" i="19"/>
  <c r="J130" i="19"/>
  <c r="I130" i="19" s="1"/>
  <c r="K130" i="19"/>
  <c r="L130" i="19"/>
  <c r="M130" i="19"/>
  <c r="N130" i="19"/>
  <c r="O130" i="19"/>
  <c r="J131" i="19"/>
  <c r="I131" i="19" s="1"/>
  <c r="K131" i="19"/>
  <c r="L131" i="19"/>
  <c r="M131" i="19"/>
  <c r="N131" i="19"/>
  <c r="O131" i="19"/>
  <c r="J178" i="21"/>
  <c r="K178" i="21"/>
  <c r="L178" i="21"/>
  <c r="M178" i="21"/>
  <c r="N178" i="21"/>
  <c r="O178" i="21"/>
  <c r="J107" i="19"/>
  <c r="K107" i="19"/>
  <c r="L107" i="19"/>
  <c r="M107" i="19"/>
  <c r="N107" i="19"/>
  <c r="O107" i="19"/>
  <c r="J108" i="19"/>
  <c r="I108" i="19" s="1"/>
  <c r="K108" i="19"/>
  <c r="L108" i="19"/>
  <c r="M108" i="19"/>
  <c r="N108" i="19"/>
  <c r="O108" i="19"/>
  <c r="J109" i="19"/>
  <c r="I109" i="19" s="1"/>
  <c r="K109" i="19"/>
  <c r="L109" i="19"/>
  <c r="M109" i="19"/>
  <c r="N109" i="19"/>
  <c r="O109" i="19"/>
  <c r="J110" i="19"/>
  <c r="I110" i="19" s="1"/>
  <c r="K110" i="19"/>
  <c r="L110" i="19"/>
  <c r="M110" i="19"/>
  <c r="N110" i="19"/>
  <c r="O110" i="19"/>
  <c r="J111" i="19"/>
  <c r="I111" i="19" s="1"/>
  <c r="K111" i="19"/>
  <c r="L111" i="19"/>
  <c r="M111" i="19"/>
  <c r="N111" i="19"/>
  <c r="O111" i="19"/>
  <c r="J112" i="19"/>
  <c r="I112" i="19" s="1"/>
  <c r="K112" i="19"/>
  <c r="L112" i="19"/>
  <c r="M112" i="19"/>
  <c r="N112" i="19"/>
  <c r="O112" i="19"/>
  <c r="J113" i="19"/>
  <c r="I113" i="19" s="1"/>
  <c r="K113" i="19"/>
  <c r="L113" i="19"/>
  <c r="M113" i="19"/>
  <c r="N113" i="19"/>
  <c r="O113" i="19"/>
  <c r="J114" i="19"/>
  <c r="I114" i="19" s="1"/>
  <c r="K114" i="19"/>
  <c r="L114" i="19"/>
  <c r="M114" i="19"/>
  <c r="N114" i="19"/>
  <c r="O114" i="19"/>
  <c r="J115" i="19"/>
  <c r="I115" i="19" s="1"/>
  <c r="K115" i="19"/>
  <c r="L115" i="19"/>
  <c r="M115" i="19"/>
  <c r="N115" i="19"/>
  <c r="O115" i="19"/>
  <c r="J116" i="19"/>
  <c r="I116" i="19" s="1"/>
  <c r="K116" i="19"/>
  <c r="L116" i="19"/>
  <c r="M116" i="19"/>
  <c r="N116" i="19"/>
  <c r="O116" i="19"/>
  <c r="J157" i="21"/>
  <c r="K157" i="21"/>
  <c r="L157" i="21"/>
  <c r="M157" i="21"/>
  <c r="N157" i="21"/>
  <c r="O157" i="21"/>
  <c r="J92" i="19"/>
  <c r="K92" i="19"/>
  <c r="L92" i="19"/>
  <c r="M92" i="19"/>
  <c r="N92" i="19"/>
  <c r="O92" i="19"/>
  <c r="J93" i="19"/>
  <c r="I93" i="19" s="1"/>
  <c r="K93" i="19"/>
  <c r="L93" i="19"/>
  <c r="M93" i="19"/>
  <c r="N93" i="19"/>
  <c r="O93" i="19"/>
  <c r="J94" i="19"/>
  <c r="I94" i="19" s="1"/>
  <c r="K94" i="19"/>
  <c r="L94" i="19"/>
  <c r="M94" i="19"/>
  <c r="N94" i="19"/>
  <c r="O94" i="19"/>
  <c r="J95" i="19"/>
  <c r="I95" i="19" s="1"/>
  <c r="K95" i="19"/>
  <c r="L95" i="19"/>
  <c r="M95" i="19"/>
  <c r="N95" i="19"/>
  <c r="O95" i="19"/>
  <c r="J96" i="19"/>
  <c r="I96" i="19" s="1"/>
  <c r="K96" i="19"/>
  <c r="L96" i="19"/>
  <c r="M96" i="19"/>
  <c r="N96" i="19"/>
  <c r="O96" i="19"/>
  <c r="J97" i="19"/>
  <c r="I97" i="19" s="1"/>
  <c r="K97" i="19"/>
  <c r="L97" i="19"/>
  <c r="M97" i="19"/>
  <c r="N97" i="19"/>
  <c r="O97" i="19"/>
  <c r="J98" i="19"/>
  <c r="I98" i="19" s="1"/>
  <c r="K98" i="19"/>
  <c r="L98" i="19"/>
  <c r="M98" i="19"/>
  <c r="N98" i="19"/>
  <c r="O98" i="19"/>
  <c r="J99" i="19"/>
  <c r="I99" i="19" s="1"/>
  <c r="K99" i="19"/>
  <c r="L99" i="19"/>
  <c r="M99" i="19"/>
  <c r="N99" i="19"/>
  <c r="O99" i="19"/>
  <c r="J100" i="19"/>
  <c r="I100" i="19" s="1"/>
  <c r="K100" i="19"/>
  <c r="L100" i="19"/>
  <c r="M100" i="19"/>
  <c r="N100" i="19"/>
  <c r="O100" i="19"/>
  <c r="J101" i="19"/>
  <c r="I101" i="19" s="1"/>
  <c r="K101" i="19"/>
  <c r="L101" i="19"/>
  <c r="M101" i="19"/>
  <c r="N101" i="19"/>
  <c r="O101" i="19"/>
  <c r="J136" i="21"/>
  <c r="K136" i="21"/>
  <c r="L136" i="21"/>
  <c r="M136" i="21"/>
  <c r="N136" i="21"/>
  <c r="O136" i="21"/>
  <c r="J77" i="19"/>
  <c r="K77" i="19"/>
  <c r="L77" i="19"/>
  <c r="M77" i="19"/>
  <c r="N77" i="19"/>
  <c r="O77" i="19"/>
  <c r="J78" i="19"/>
  <c r="I78" i="19" s="1"/>
  <c r="K78" i="19"/>
  <c r="L78" i="19"/>
  <c r="M78" i="19"/>
  <c r="N78" i="19"/>
  <c r="O78" i="19"/>
  <c r="J79" i="19"/>
  <c r="I79" i="19" s="1"/>
  <c r="K79" i="19"/>
  <c r="L79" i="19"/>
  <c r="M79" i="19"/>
  <c r="N79" i="19"/>
  <c r="O79" i="19"/>
  <c r="J80" i="19"/>
  <c r="I80" i="19" s="1"/>
  <c r="K80" i="19"/>
  <c r="L80" i="19"/>
  <c r="M80" i="19"/>
  <c r="N80" i="19"/>
  <c r="O80" i="19"/>
  <c r="J81" i="19"/>
  <c r="I81" i="19" s="1"/>
  <c r="K81" i="19"/>
  <c r="L81" i="19"/>
  <c r="M81" i="19"/>
  <c r="N81" i="19"/>
  <c r="O81" i="19"/>
  <c r="J82" i="19"/>
  <c r="I82" i="19" s="1"/>
  <c r="K82" i="19"/>
  <c r="L82" i="19"/>
  <c r="M82" i="19"/>
  <c r="N82" i="19"/>
  <c r="O82" i="19"/>
  <c r="J83" i="19"/>
  <c r="I83" i="19" s="1"/>
  <c r="K83" i="19"/>
  <c r="L83" i="19"/>
  <c r="M83" i="19"/>
  <c r="N83" i="19"/>
  <c r="O83" i="19"/>
  <c r="J84" i="19"/>
  <c r="I84" i="19" s="1"/>
  <c r="K84" i="19"/>
  <c r="L84" i="19"/>
  <c r="M84" i="19"/>
  <c r="N84" i="19"/>
  <c r="O84" i="19"/>
  <c r="J85" i="19"/>
  <c r="I85" i="19" s="1"/>
  <c r="K85" i="19"/>
  <c r="L85" i="19"/>
  <c r="M85" i="19"/>
  <c r="N85" i="19"/>
  <c r="O85" i="19"/>
  <c r="J86" i="19"/>
  <c r="I86" i="19" s="1"/>
  <c r="K86" i="19"/>
  <c r="L86" i="19"/>
  <c r="M86" i="19"/>
  <c r="N86" i="19"/>
  <c r="O86" i="19"/>
  <c r="J115" i="21"/>
  <c r="K115" i="21"/>
  <c r="L115" i="21"/>
  <c r="M115" i="21"/>
  <c r="N115" i="21"/>
  <c r="O115" i="21"/>
  <c r="J62" i="19"/>
  <c r="K62" i="19"/>
  <c r="L62" i="19"/>
  <c r="M62" i="19"/>
  <c r="N62" i="19"/>
  <c r="O62" i="19"/>
  <c r="J63" i="19"/>
  <c r="I63" i="19" s="1"/>
  <c r="K63" i="19"/>
  <c r="L63" i="19"/>
  <c r="M63" i="19"/>
  <c r="N63" i="19"/>
  <c r="O63" i="19"/>
  <c r="J64" i="19"/>
  <c r="I64" i="19" s="1"/>
  <c r="K64" i="19"/>
  <c r="L64" i="19"/>
  <c r="M64" i="19"/>
  <c r="N64" i="19"/>
  <c r="O64" i="19"/>
  <c r="J65" i="19"/>
  <c r="I65" i="19" s="1"/>
  <c r="K65" i="19"/>
  <c r="L65" i="19"/>
  <c r="M65" i="19"/>
  <c r="N65" i="19"/>
  <c r="O65" i="19"/>
  <c r="J66" i="19"/>
  <c r="I66" i="19" s="1"/>
  <c r="K66" i="19"/>
  <c r="L66" i="19"/>
  <c r="M66" i="19"/>
  <c r="N66" i="19"/>
  <c r="O66" i="19"/>
  <c r="J67" i="19"/>
  <c r="I67" i="19" s="1"/>
  <c r="K67" i="19"/>
  <c r="L67" i="19"/>
  <c r="M67" i="19"/>
  <c r="N67" i="19"/>
  <c r="O67" i="19"/>
  <c r="J68" i="19"/>
  <c r="I68" i="19" s="1"/>
  <c r="K68" i="19"/>
  <c r="L68" i="19"/>
  <c r="M68" i="19"/>
  <c r="N68" i="19"/>
  <c r="O68" i="19"/>
  <c r="J69" i="19"/>
  <c r="I69" i="19" s="1"/>
  <c r="K69" i="19"/>
  <c r="L69" i="19"/>
  <c r="M69" i="19"/>
  <c r="N69" i="19"/>
  <c r="O69" i="19"/>
  <c r="J70" i="19"/>
  <c r="I70" i="19" s="1"/>
  <c r="K70" i="19"/>
  <c r="L70" i="19"/>
  <c r="M70" i="19"/>
  <c r="N70" i="19"/>
  <c r="O70" i="19"/>
  <c r="J71" i="19"/>
  <c r="I71" i="19" s="1"/>
  <c r="K71" i="19"/>
  <c r="L71" i="19"/>
  <c r="M71" i="19"/>
  <c r="N71" i="19"/>
  <c r="O71" i="19"/>
  <c r="J94" i="21"/>
  <c r="K94" i="21"/>
  <c r="L94" i="21"/>
  <c r="M94" i="21"/>
  <c r="N94" i="21"/>
  <c r="O94" i="21"/>
  <c r="J47" i="19"/>
  <c r="K47" i="19"/>
  <c r="L47" i="19"/>
  <c r="M47" i="19"/>
  <c r="N47" i="19"/>
  <c r="O47" i="19"/>
  <c r="J48" i="19"/>
  <c r="I48" i="19" s="1"/>
  <c r="K48" i="19"/>
  <c r="L48" i="19"/>
  <c r="M48" i="19"/>
  <c r="N48" i="19"/>
  <c r="O48" i="19"/>
  <c r="J49" i="19"/>
  <c r="I49" i="19" s="1"/>
  <c r="K49" i="19"/>
  <c r="L49" i="19"/>
  <c r="M49" i="19"/>
  <c r="N49" i="19"/>
  <c r="O49" i="19"/>
  <c r="J50" i="19"/>
  <c r="I50" i="19" s="1"/>
  <c r="K50" i="19"/>
  <c r="L50" i="19"/>
  <c r="M50" i="19"/>
  <c r="N50" i="19"/>
  <c r="O50" i="19"/>
  <c r="J51" i="19"/>
  <c r="I51" i="19" s="1"/>
  <c r="K51" i="19"/>
  <c r="L51" i="19"/>
  <c r="M51" i="19"/>
  <c r="N51" i="19"/>
  <c r="O51" i="19"/>
  <c r="J52" i="19"/>
  <c r="I52" i="19" s="1"/>
  <c r="K52" i="19"/>
  <c r="L52" i="19"/>
  <c r="M52" i="19"/>
  <c r="N52" i="19"/>
  <c r="O52" i="19"/>
  <c r="J53" i="19"/>
  <c r="I53" i="19" s="1"/>
  <c r="K53" i="19"/>
  <c r="L53" i="19"/>
  <c r="M53" i="19"/>
  <c r="N53" i="19"/>
  <c r="O53" i="19"/>
  <c r="J54" i="19"/>
  <c r="I54" i="19" s="1"/>
  <c r="K54" i="19"/>
  <c r="L54" i="19"/>
  <c r="M54" i="19"/>
  <c r="N54" i="19"/>
  <c r="O54" i="19"/>
  <c r="J55" i="19"/>
  <c r="I55" i="19" s="1"/>
  <c r="K55" i="19"/>
  <c r="L55" i="19"/>
  <c r="M55" i="19"/>
  <c r="N55" i="19"/>
  <c r="O55" i="19"/>
  <c r="J56" i="19"/>
  <c r="I56" i="19" s="1"/>
  <c r="K56" i="19"/>
  <c r="L56" i="19"/>
  <c r="M56" i="19"/>
  <c r="N56" i="19"/>
  <c r="O56" i="19"/>
  <c r="J73" i="21"/>
  <c r="K73" i="21"/>
  <c r="L73" i="21"/>
  <c r="M73" i="21"/>
  <c r="N73" i="21"/>
  <c r="O73" i="21"/>
  <c r="J32" i="19"/>
  <c r="K32" i="19"/>
  <c r="L32" i="19"/>
  <c r="M32" i="19"/>
  <c r="N32" i="19"/>
  <c r="O32" i="19"/>
  <c r="J33" i="19"/>
  <c r="I33" i="19" s="1"/>
  <c r="K33" i="19"/>
  <c r="L33" i="19"/>
  <c r="M33" i="19"/>
  <c r="N33" i="19"/>
  <c r="O33" i="19"/>
  <c r="J34" i="19"/>
  <c r="I34" i="19" s="1"/>
  <c r="K34" i="19"/>
  <c r="L34" i="19"/>
  <c r="M34" i="19"/>
  <c r="N34" i="19"/>
  <c r="O34" i="19"/>
  <c r="J35" i="19"/>
  <c r="I35" i="19" s="1"/>
  <c r="K35" i="19"/>
  <c r="L35" i="19"/>
  <c r="M35" i="19"/>
  <c r="N35" i="19"/>
  <c r="O35" i="19"/>
  <c r="J36" i="19"/>
  <c r="I36" i="19" s="1"/>
  <c r="K36" i="19"/>
  <c r="L36" i="19"/>
  <c r="M36" i="19"/>
  <c r="N36" i="19"/>
  <c r="O36" i="19"/>
  <c r="J37" i="19"/>
  <c r="I37" i="19" s="1"/>
  <c r="K37" i="19"/>
  <c r="L37" i="19"/>
  <c r="M37" i="19"/>
  <c r="N37" i="19"/>
  <c r="O37" i="19"/>
  <c r="J38" i="19"/>
  <c r="I38" i="19" s="1"/>
  <c r="K38" i="19"/>
  <c r="L38" i="19"/>
  <c r="M38" i="19"/>
  <c r="N38" i="19"/>
  <c r="O38" i="19"/>
  <c r="J39" i="19"/>
  <c r="I39" i="19" s="1"/>
  <c r="K39" i="19"/>
  <c r="L39" i="19"/>
  <c r="M39" i="19"/>
  <c r="N39" i="19"/>
  <c r="O39" i="19"/>
  <c r="J40" i="19"/>
  <c r="I40" i="19" s="1"/>
  <c r="K40" i="19"/>
  <c r="L40" i="19"/>
  <c r="M40" i="19"/>
  <c r="N40" i="19"/>
  <c r="O40" i="19"/>
  <c r="J41" i="19"/>
  <c r="I41" i="19" s="1"/>
  <c r="K41" i="19"/>
  <c r="L41" i="19"/>
  <c r="M41" i="19"/>
  <c r="N41" i="19"/>
  <c r="O41" i="19"/>
  <c r="J52" i="21"/>
  <c r="K52" i="21"/>
  <c r="L52" i="21"/>
  <c r="M52" i="21"/>
  <c r="N52" i="21"/>
  <c r="O52" i="21"/>
  <c r="J17" i="19"/>
  <c r="K17" i="19"/>
  <c r="L17" i="19"/>
  <c r="M17" i="19"/>
  <c r="N17" i="19"/>
  <c r="O17" i="19"/>
  <c r="J18" i="19"/>
  <c r="K18" i="19"/>
  <c r="L18" i="19"/>
  <c r="M18" i="19"/>
  <c r="N18" i="19"/>
  <c r="O18" i="19"/>
  <c r="J19" i="19"/>
  <c r="K19" i="19"/>
  <c r="L19" i="19"/>
  <c r="M19" i="19"/>
  <c r="N19" i="19"/>
  <c r="O19" i="19"/>
  <c r="J20" i="19"/>
  <c r="K20" i="19"/>
  <c r="L20" i="19"/>
  <c r="M20" i="19"/>
  <c r="N20" i="19"/>
  <c r="O20" i="19"/>
  <c r="J21" i="19"/>
  <c r="K21" i="19"/>
  <c r="L21" i="19"/>
  <c r="M21" i="19"/>
  <c r="N21" i="19"/>
  <c r="O21" i="19"/>
  <c r="J22" i="19"/>
  <c r="K22" i="19"/>
  <c r="L22" i="19"/>
  <c r="M22" i="19"/>
  <c r="N22" i="19"/>
  <c r="O22" i="19"/>
  <c r="J23" i="19"/>
  <c r="K23" i="19"/>
  <c r="L23" i="19"/>
  <c r="M23" i="19"/>
  <c r="N23" i="19"/>
  <c r="O23" i="19"/>
  <c r="J24" i="19"/>
  <c r="K24" i="19"/>
  <c r="L24" i="19"/>
  <c r="M24" i="19"/>
  <c r="N24" i="19"/>
  <c r="O24" i="19"/>
  <c r="J25" i="19"/>
  <c r="K25" i="19"/>
  <c r="L25" i="19"/>
  <c r="M25" i="19"/>
  <c r="N25" i="19"/>
  <c r="O25" i="19"/>
  <c r="J26" i="19"/>
  <c r="K26" i="19"/>
  <c r="L26" i="19"/>
  <c r="M26" i="19"/>
  <c r="N26" i="19"/>
  <c r="O26" i="19"/>
  <c r="J231" i="21"/>
  <c r="K231" i="21"/>
  <c r="L231" i="21"/>
  <c r="M231" i="21"/>
  <c r="N231" i="21"/>
  <c r="O231" i="21"/>
  <c r="J232" i="21"/>
  <c r="K232" i="21"/>
  <c r="L232" i="21"/>
  <c r="M232" i="21"/>
  <c r="N232" i="21"/>
  <c r="O232" i="21"/>
  <c r="J233" i="21"/>
  <c r="K233" i="21"/>
  <c r="L233" i="21"/>
  <c r="M233" i="21"/>
  <c r="N233" i="21"/>
  <c r="O233" i="21"/>
  <c r="J234" i="21"/>
  <c r="K234" i="21"/>
  <c r="L234" i="21"/>
  <c r="M234" i="21"/>
  <c r="N234" i="21"/>
  <c r="O234" i="21"/>
  <c r="J235" i="21"/>
  <c r="K235" i="21"/>
  <c r="L235" i="21"/>
  <c r="M235" i="21"/>
  <c r="N235" i="21"/>
  <c r="O235" i="21"/>
  <c r="J236" i="21"/>
  <c r="K236" i="21"/>
  <c r="L236" i="21"/>
  <c r="M236" i="21"/>
  <c r="N236" i="21"/>
  <c r="O236" i="21"/>
  <c r="J237" i="21"/>
  <c r="K237" i="21"/>
  <c r="L237" i="21"/>
  <c r="M237" i="21"/>
  <c r="N237" i="21"/>
  <c r="O237" i="21"/>
  <c r="J238" i="21"/>
  <c r="K238" i="21"/>
  <c r="L238" i="21"/>
  <c r="M238" i="21"/>
  <c r="N238" i="21"/>
  <c r="O238" i="21"/>
  <c r="J239" i="21"/>
  <c r="K239" i="21"/>
  <c r="L239" i="21"/>
  <c r="M239" i="21"/>
  <c r="N239" i="21"/>
  <c r="O239" i="21"/>
  <c r="J240" i="21"/>
  <c r="K240" i="21"/>
  <c r="L240" i="21"/>
  <c r="M240" i="21"/>
  <c r="N240" i="21"/>
  <c r="O240" i="21"/>
  <c r="J30" i="21"/>
  <c r="K30" i="21"/>
  <c r="L30" i="21"/>
  <c r="M30" i="21"/>
  <c r="N30" i="21"/>
  <c r="O30" i="21"/>
  <c r="D252" i="21"/>
  <c r="D24" i="18"/>
  <c r="D25" i="18"/>
  <c r="D213" i="21"/>
  <c r="D155" i="19" s="1"/>
  <c r="D214" i="21"/>
  <c r="D156" i="19" s="1"/>
  <c r="D236" i="21"/>
  <c r="D258" i="21"/>
  <c r="D259" i="21"/>
  <c r="D260" i="21"/>
  <c r="D32" i="18"/>
  <c r="H388" i="31"/>
  <c r="H389" i="31"/>
  <c r="H390" i="31"/>
  <c r="H391" i="31"/>
  <c r="H392" i="31"/>
  <c r="H393" i="31"/>
  <c r="H394" i="31"/>
  <c r="H395" i="31"/>
  <c r="H396" i="31"/>
  <c r="H397" i="31"/>
  <c r="D388" i="31"/>
  <c r="D389" i="31"/>
  <c r="D123" i="144" s="1"/>
  <c r="D390" i="31"/>
  <c r="D124" i="144" s="1"/>
  <c r="D391" i="31"/>
  <c r="D125" i="144" s="1"/>
  <c r="D392" i="31"/>
  <c r="D126" i="144" s="1"/>
  <c r="D393" i="31"/>
  <c r="D127" i="144" s="1"/>
  <c r="D394" i="31"/>
  <c r="D128" i="144" s="1"/>
  <c r="D395" i="31"/>
  <c r="D129" i="144" s="1"/>
  <c r="D396" i="31"/>
  <c r="D130" i="144" s="1"/>
  <c r="D397" i="31"/>
  <c r="D131" i="144" s="1"/>
  <c r="H376" i="31"/>
  <c r="H377" i="31"/>
  <c r="H378" i="31"/>
  <c r="H379" i="31"/>
  <c r="H380" i="31"/>
  <c r="H381" i="31"/>
  <c r="H382" i="31"/>
  <c r="H383" i="31"/>
  <c r="H384" i="31"/>
  <c r="H385" i="31"/>
  <c r="D376" i="31"/>
  <c r="D377" i="31"/>
  <c r="D110" i="144" s="1"/>
  <c r="D378" i="31"/>
  <c r="D111" i="144" s="1"/>
  <c r="D379" i="31"/>
  <c r="D112" i="144" s="1"/>
  <c r="D380" i="31"/>
  <c r="D113" i="144" s="1"/>
  <c r="D381" i="31"/>
  <c r="D114" i="144" s="1"/>
  <c r="D382" i="31"/>
  <c r="D115" i="144" s="1"/>
  <c r="D383" i="31"/>
  <c r="D116" i="144" s="1"/>
  <c r="D384" i="31"/>
  <c r="D117" i="144" s="1"/>
  <c r="D385" i="31"/>
  <c r="D118" i="144" s="1"/>
  <c r="H363" i="31"/>
  <c r="H364" i="31"/>
  <c r="H365" i="31"/>
  <c r="H366" i="31"/>
  <c r="H367" i="31"/>
  <c r="H368" i="31"/>
  <c r="H369" i="31"/>
  <c r="H370" i="31"/>
  <c r="H371" i="31"/>
  <c r="H372" i="31"/>
  <c r="D363" i="31"/>
  <c r="D364" i="31"/>
  <c r="D97" i="144" s="1"/>
  <c r="D365" i="31"/>
  <c r="D98" i="144" s="1"/>
  <c r="D366" i="31"/>
  <c r="D99" i="144" s="1"/>
  <c r="D367" i="31"/>
  <c r="D100" i="144" s="1"/>
  <c r="D368" i="31"/>
  <c r="D101" i="144" s="1"/>
  <c r="D369" i="31"/>
  <c r="D102" i="144" s="1"/>
  <c r="D370" i="31"/>
  <c r="D103" i="144" s="1"/>
  <c r="D371" i="31"/>
  <c r="D104" i="144" s="1"/>
  <c r="D372" i="31"/>
  <c r="D105" i="144" s="1"/>
  <c r="H351" i="31"/>
  <c r="H352" i="31"/>
  <c r="H353" i="31"/>
  <c r="H354" i="31"/>
  <c r="H355" i="31"/>
  <c r="H356" i="31"/>
  <c r="H357" i="31"/>
  <c r="H358" i="31"/>
  <c r="H359" i="31"/>
  <c r="H360" i="31"/>
  <c r="D351" i="31"/>
  <c r="D352" i="31"/>
  <c r="D84" i="144" s="1"/>
  <c r="D353" i="31"/>
  <c r="D85" i="144" s="1"/>
  <c r="D354" i="31"/>
  <c r="D86" i="144" s="1"/>
  <c r="D355" i="31"/>
  <c r="D87" i="144" s="1"/>
  <c r="D356" i="31"/>
  <c r="D88" i="144" s="1"/>
  <c r="D357" i="31"/>
  <c r="D89" i="144" s="1"/>
  <c r="D358" i="31"/>
  <c r="D90" i="144" s="1"/>
  <c r="D359" i="31"/>
  <c r="D91" i="144" s="1"/>
  <c r="D360" i="31"/>
  <c r="D92" i="144" s="1"/>
  <c r="D335" i="31"/>
  <c r="D336" i="31"/>
  <c r="D43" i="144" s="1"/>
  <c r="D337" i="31"/>
  <c r="D44" i="144" s="1"/>
  <c r="D338" i="31"/>
  <c r="D45" i="144" s="1"/>
  <c r="D339" i="31"/>
  <c r="D46" i="144" s="1"/>
  <c r="D340" i="31"/>
  <c r="D47" i="144" s="1"/>
  <c r="D341" i="31"/>
  <c r="D48" i="144" s="1"/>
  <c r="D342" i="31"/>
  <c r="D49" i="144" s="1"/>
  <c r="D343" i="31"/>
  <c r="D50" i="144" s="1"/>
  <c r="D344" i="31"/>
  <c r="D51" i="144" s="1"/>
  <c r="D322" i="31"/>
  <c r="D323" i="31"/>
  <c r="D324" i="31"/>
  <c r="D325" i="31"/>
  <c r="D326" i="31"/>
  <c r="D327" i="31"/>
  <c r="D328" i="31"/>
  <c r="D329" i="31"/>
  <c r="D330" i="31"/>
  <c r="D331" i="31"/>
  <c r="D309" i="31"/>
  <c r="D310" i="31"/>
  <c r="D17" i="144" s="1"/>
  <c r="D311" i="31"/>
  <c r="D18" i="144" s="1"/>
  <c r="D312" i="31"/>
  <c r="D19" i="144" s="1"/>
  <c r="D313" i="31"/>
  <c r="D20" i="144" s="1"/>
  <c r="D314" i="31"/>
  <c r="D21" i="144" s="1"/>
  <c r="D315" i="31"/>
  <c r="D22" i="144" s="1"/>
  <c r="D316" i="31"/>
  <c r="D23" i="144" s="1"/>
  <c r="D317" i="31"/>
  <c r="D24" i="144" s="1"/>
  <c r="D318" i="31"/>
  <c r="D25" i="144" s="1"/>
  <c r="D296" i="31"/>
  <c r="D297" i="31"/>
  <c r="D30" i="144" s="1"/>
  <c r="D298" i="31"/>
  <c r="D31" i="144" s="1"/>
  <c r="D299" i="31"/>
  <c r="D32" i="144" s="1"/>
  <c r="D300" i="31"/>
  <c r="D33" i="144" s="1"/>
  <c r="D301" i="31"/>
  <c r="D34" i="144" s="1"/>
  <c r="D302" i="31"/>
  <c r="D35" i="144" s="1"/>
  <c r="D303" i="31"/>
  <c r="D36" i="144" s="1"/>
  <c r="D304" i="31"/>
  <c r="D37" i="144" s="1"/>
  <c r="D305" i="31"/>
  <c r="D38" i="144" s="1"/>
  <c r="H268" i="31"/>
  <c r="H217" i="20" s="1"/>
  <c r="H269" i="31"/>
  <c r="H218" i="20" s="1"/>
  <c r="H270" i="31"/>
  <c r="H219" i="20" s="1"/>
  <c r="H271" i="31"/>
  <c r="H220" i="20" s="1"/>
  <c r="H272" i="31"/>
  <c r="H221" i="20" s="1"/>
  <c r="H273" i="31"/>
  <c r="H222" i="20" s="1"/>
  <c r="H274" i="31"/>
  <c r="H223" i="20" s="1"/>
  <c r="H275" i="31"/>
  <c r="H224" i="20" s="1"/>
  <c r="H276" i="31"/>
  <c r="H225" i="20" s="1"/>
  <c r="H277" i="31"/>
  <c r="H226" i="20" s="1"/>
  <c r="D202" i="31"/>
  <c r="D203" i="31"/>
  <c r="D204" i="31"/>
  <c r="D205" i="31"/>
  <c r="D206" i="31"/>
  <c r="D207" i="31"/>
  <c r="D208" i="31"/>
  <c r="D209" i="31"/>
  <c r="D210" i="31"/>
  <c r="D211" i="31"/>
  <c r="D189" i="31"/>
  <c r="D190" i="31"/>
  <c r="C18" i="143" s="1"/>
  <c r="D191" i="31"/>
  <c r="C19" i="143" s="1"/>
  <c r="D192" i="31"/>
  <c r="C20" i="143" s="1"/>
  <c r="D193" i="31"/>
  <c r="C21" i="143" s="1"/>
  <c r="D194" i="31"/>
  <c r="C22" i="143" s="1"/>
  <c r="D195" i="31"/>
  <c r="C23" i="143" s="1"/>
  <c r="D196" i="31"/>
  <c r="C24" i="143" s="1"/>
  <c r="D197" i="31"/>
  <c r="C25" i="143" s="1"/>
  <c r="D198" i="31"/>
  <c r="C26" i="143" s="1"/>
  <c r="D172" i="31"/>
  <c r="D173" i="31"/>
  <c r="D174" i="31"/>
  <c r="D175" i="31"/>
  <c r="D176" i="31"/>
  <c r="D177" i="31"/>
  <c r="D178" i="31"/>
  <c r="D179" i="31"/>
  <c r="D180" i="31"/>
  <c r="D181" i="31"/>
  <c r="D155" i="31"/>
  <c r="D156" i="31"/>
  <c r="D157" i="31"/>
  <c r="D158" i="31"/>
  <c r="D159" i="31"/>
  <c r="D160" i="31"/>
  <c r="D161" i="31"/>
  <c r="D162" i="31"/>
  <c r="D163" i="31"/>
  <c r="D164" i="31"/>
  <c r="D138" i="31"/>
  <c r="D139" i="31"/>
  <c r="D140" i="31"/>
  <c r="D141" i="31"/>
  <c r="D142" i="31"/>
  <c r="D143" i="31"/>
  <c r="D144" i="31"/>
  <c r="D145" i="31"/>
  <c r="D146" i="31"/>
  <c r="D147" i="31"/>
  <c r="D121" i="31"/>
  <c r="D122" i="31"/>
  <c r="D123" i="31"/>
  <c r="D124" i="31"/>
  <c r="D125" i="31"/>
  <c r="D126" i="31"/>
  <c r="D127" i="31"/>
  <c r="D128" i="31"/>
  <c r="D129" i="31"/>
  <c r="D130" i="31"/>
  <c r="D104" i="31"/>
  <c r="D105" i="31"/>
  <c r="D106" i="31"/>
  <c r="D107" i="31"/>
  <c r="D108" i="31"/>
  <c r="D109" i="31"/>
  <c r="D110" i="31"/>
  <c r="D111" i="31"/>
  <c r="D112" i="31"/>
  <c r="D113" i="31"/>
  <c r="D87" i="31"/>
  <c r="D88" i="31"/>
  <c r="D89" i="31"/>
  <c r="D90" i="31"/>
  <c r="D91" i="31"/>
  <c r="D92" i="31"/>
  <c r="D93" i="31"/>
  <c r="D94" i="31"/>
  <c r="D95" i="31"/>
  <c r="D96" i="31"/>
  <c r="D70" i="31"/>
  <c r="D71" i="31"/>
  <c r="D72" i="31"/>
  <c r="D73" i="31"/>
  <c r="D74" i="31"/>
  <c r="D75" i="31"/>
  <c r="D76" i="31"/>
  <c r="D77" i="31"/>
  <c r="D78" i="31"/>
  <c r="D79" i="31"/>
  <c r="D53" i="31"/>
  <c r="D54" i="31"/>
  <c r="D55" i="31"/>
  <c r="D56" i="31"/>
  <c r="D57" i="31"/>
  <c r="D58" i="31"/>
  <c r="D59" i="31"/>
  <c r="D60" i="31"/>
  <c r="D61" i="31"/>
  <c r="D62" i="31"/>
  <c r="D36" i="31"/>
  <c r="D37" i="31"/>
  <c r="D38" i="31"/>
  <c r="D39" i="31"/>
  <c r="D40" i="31"/>
  <c r="D41" i="31"/>
  <c r="D42" i="31"/>
  <c r="D43" i="31"/>
  <c r="D44" i="31"/>
  <c r="D45" i="31"/>
  <c r="D19" i="31"/>
  <c r="D20" i="31"/>
  <c r="D21" i="31"/>
  <c r="D22" i="31"/>
  <c r="D23" i="31"/>
  <c r="D24" i="31"/>
  <c r="D25" i="31"/>
  <c r="D26" i="31"/>
  <c r="D27" i="31"/>
  <c r="D28" i="31"/>
  <c r="J172" i="31"/>
  <c r="K172" i="31"/>
  <c r="L172" i="31"/>
  <c r="M172" i="31"/>
  <c r="N172" i="31"/>
  <c r="O172" i="31"/>
  <c r="J173" i="31"/>
  <c r="K173" i="31"/>
  <c r="L173" i="31"/>
  <c r="M173" i="31"/>
  <c r="N173" i="31"/>
  <c r="O173" i="31"/>
  <c r="J174" i="31"/>
  <c r="K174" i="31"/>
  <c r="L174" i="31"/>
  <c r="M174" i="31"/>
  <c r="N174" i="31"/>
  <c r="O174" i="31"/>
  <c r="J175" i="31"/>
  <c r="K175" i="31"/>
  <c r="L175" i="31"/>
  <c r="M175" i="31"/>
  <c r="N175" i="31"/>
  <c r="O175" i="31"/>
  <c r="J176" i="31"/>
  <c r="K176" i="31"/>
  <c r="L176" i="31"/>
  <c r="M176" i="31"/>
  <c r="N176" i="31"/>
  <c r="O176" i="31"/>
  <c r="J177" i="31"/>
  <c r="K177" i="31"/>
  <c r="L177" i="31"/>
  <c r="M177" i="31"/>
  <c r="N177" i="31"/>
  <c r="O177" i="31"/>
  <c r="J178" i="31"/>
  <c r="K178" i="31"/>
  <c r="L178" i="31"/>
  <c r="M178" i="31"/>
  <c r="N178" i="31"/>
  <c r="O178" i="31"/>
  <c r="J179" i="31"/>
  <c r="K179" i="31"/>
  <c r="L179" i="31"/>
  <c r="M179" i="31"/>
  <c r="N179" i="31"/>
  <c r="O179" i="31"/>
  <c r="J180" i="31"/>
  <c r="K180" i="31"/>
  <c r="L180" i="31"/>
  <c r="M180" i="31"/>
  <c r="N180" i="31"/>
  <c r="O180" i="31"/>
  <c r="J181" i="31"/>
  <c r="K181" i="31"/>
  <c r="L181" i="31"/>
  <c r="M181" i="31"/>
  <c r="N181" i="31"/>
  <c r="O181" i="31"/>
  <c r="J193" i="30"/>
  <c r="K193" i="30"/>
  <c r="L193" i="30"/>
  <c r="M193" i="30"/>
  <c r="N193" i="30"/>
  <c r="O193" i="30"/>
  <c r="J155" i="31"/>
  <c r="K155" i="31"/>
  <c r="L155" i="31"/>
  <c r="M155" i="31"/>
  <c r="N155" i="31"/>
  <c r="O155" i="31"/>
  <c r="J156" i="31"/>
  <c r="K156" i="31"/>
  <c r="L156" i="31"/>
  <c r="M156" i="31"/>
  <c r="N156" i="31"/>
  <c r="O156" i="31"/>
  <c r="J157" i="31"/>
  <c r="K157" i="31"/>
  <c r="L157" i="31"/>
  <c r="M157" i="31"/>
  <c r="N157" i="31"/>
  <c r="O157" i="31"/>
  <c r="J158" i="31"/>
  <c r="K158" i="31"/>
  <c r="L158" i="31"/>
  <c r="M158" i="31"/>
  <c r="N158" i="31"/>
  <c r="O158" i="31"/>
  <c r="J159" i="31"/>
  <c r="K159" i="31"/>
  <c r="L159" i="31"/>
  <c r="M159" i="31"/>
  <c r="N159" i="31"/>
  <c r="O159" i="31"/>
  <c r="J160" i="31"/>
  <c r="K160" i="31"/>
  <c r="L160" i="31"/>
  <c r="M160" i="31"/>
  <c r="N160" i="31"/>
  <c r="O160" i="31"/>
  <c r="J161" i="31"/>
  <c r="K161" i="31"/>
  <c r="L161" i="31"/>
  <c r="M161" i="31"/>
  <c r="N161" i="31"/>
  <c r="O161" i="31"/>
  <c r="J162" i="31"/>
  <c r="K162" i="31"/>
  <c r="L162" i="31"/>
  <c r="M162" i="31"/>
  <c r="N162" i="31"/>
  <c r="O162" i="31"/>
  <c r="J163" i="31"/>
  <c r="K163" i="31"/>
  <c r="L163" i="31"/>
  <c r="M163" i="31"/>
  <c r="N163" i="31"/>
  <c r="O163" i="31"/>
  <c r="J164" i="31"/>
  <c r="K164" i="31"/>
  <c r="L164" i="31"/>
  <c r="M164" i="31"/>
  <c r="N164" i="31"/>
  <c r="O164" i="31"/>
  <c r="J175" i="30"/>
  <c r="K175" i="30"/>
  <c r="L175" i="30"/>
  <c r="M175" i="30"/>
  <c r="N175" i="30"/>
  <c r="O175" i="30"/>
  <c r="J138" i="31"/>
  <c r="K138" i="31"/>
  <c r="L138" i="31"/>
  <c r="M138" i="31"/>
  <c r="N138" i="31"/>
  <c r="O138" i="31"/>
  <c r="J139" i="31"/>
  <c r="K139" i="31"/>
  <c r="L139" i="31"/>
  <c r="M139" i="31"/>
  <c r="N139" i="31"/>
  <c r="O139" i="31"/>
  <c r="J140" i="31"/>
  <c r="K140" i="31"/>
  <c r="L140" i="31"/>
  <c r="M140" i="31"/>
  <c r="N140" i="31"/>
  <c r="O140" i="31"/>
  <c r="J141" i="31"/>
  <c r="K141" i="31"/>
  <c r="L141" i="31"/>
  <c r="M141" i="31"/>
  <c r="N141" i="31"/>
  <c r="O141" i="31"/>
  <c r="J142" i="31"/>
  <c r="K142" i="31"/>
  <c r="L142" i="31"/>
  <c r="M142" i="31"/>
  <c r="N142" i="31"/>
  <c r="O142" i="31"/>
  <c r="J143" i="31"/>
  <c r="K143" i="31"/>
  <c r="L143" i="31"/>
  <c r="M143" i="31"/>
  <c r="N143" i="31"/>
  <c r="O143" i="31"/>
  <c r="J144" i="31"/>
  <c r="K144" i="31"/>
  <c r="L144" i="31"/>
  <c r="M144" i="31"/>
  <c r="N144" i="31"/>
  <c r="O144" i="31"/>
  <c r="J145" i="31"/>
  <c r="K145" i="31"/>
  <c r="L145" i="31"/>
  <c r="M145" i="31"/>
  <c r="N145" i="31"/>
  <c r="O145" i="31"/>
  <c r="J146" i="31"/>
  <c r="K146" i="31"/>
  <c r="L146" i="31"/>
  <c r="M146" i="31"/>
  <c r="N146" i="31"/>
  <c r="O146" i="31"/>
  <c r="J147" i="31"/>
  <c r="K147" i="31"/>
  <c r="L147" i="31"/>
  <c r="M147" i="31"/>
  <c r="N147" i="31"/>
  <c r="O147" i="31"/>
  <c r="J121" i="31"/>
  <c r="K121" i="31"/>
  <c r="L121" i="31"/>
  <c r="M121" i="31"/>
  <c r="N121" i="31"/>
  <c r="O121" i="31"/>
  <c r="J122" i="31"/>
  <c r="K122" i="31"/>
  <c r="L122" i="31"/>
  <c r="M122" i="31"/>
  <c r="N122" i="31"/>
  <c r="O122" i="31"/>
  <c r="J123" i="31"/>
  <c r="K123" i="31"/>
  <c r="L123" i="31"/>
  <c r="M123" i="31"/>
  <c r="N123" i="31"/>
  <c r="O123" i="31"/>
  <c r="J124" i="31"/>
  <c r="K124" i="31"/>
  <c r="L124" i="31"/>
  <c r="M124" i="31"/>
  <c r="N124" i="31"/>
  <c r="O124" i="31"/>
  <c r="J125" i="31"/>
  <c r="K125" i="31"/>
  <c r="L125" i="31"/>
  <c r="M125" i="31"/>
  <c r="N125" i="31"/>
  <c r="O125" i="31"/>
  <c r="J126" i="31"/>
  <c r="K126" i="31"/>
  <c r="L126" i="31"/>
  <c r="M126" i="31"/>
  <c r="N126" i="31"/>
  <c r="O126" i="31"/>
  <c r="J127" i="31"/>
  <c r="K127" i="31"/>
  <c r="L127" i="31"/>
  <c r="M127" i="31"/>
  <c r="N127" i="31"/>
  <c r="O127" i="31"/>
  <c r="J128" i="31"/>
  <c r="K128" i="31"/>
  <c r="L128" i="31"/>
  <c r="M128" i="31"/>
  <c r="N128" i="31"/>
  <c r="O128" i="31"/>
  <c r="J129" i="31"/>
  <c r="K129" i="31"/>
  <c r="L129" i="31"/>
  <c r="M129" i="31"/>
  <c r="N129" i="31"/>
  <c r="O129" i="31"/>
  <c r="J130" i="31"/>
  <c r="K130" i="31"/>
  <c r="L130" i="31"/>
  <c r="M130" i="31"/>
  <c r="N130" i="31"/>
  <c r="O130" i="31"/>
  <c r="J139" i="30"/>
  <c r="K139" i="30"/>
  <c r="L139" i="30"/>
  <c r="M139" i="30"/>
  <c r="N139" i="30"/>
  <c r="O139" i="30"/>
  <c r="J104" i="31"/>
  <c r="K104" i="31"/>
  <c r="L104" i="31"/>
  <c r="M104" i="31"/>
  <c r="N104" i="31"/>
  <c r="O104" i="31"/>
  <c r="J105" i="31"/>
  <c r="K105" i="31"/>
  <c r="L105" i="31"/>
  <c r="M105" i="31"/>
  <c r="N105" i="31"/>
  <c r="O105" i="31"/>
  <c r="J106" i="31"/>
  <c r="K106" i="31"/>
  <c r="L106" i="31"/>
  <c r="M106" i="31"/>
  <c r="N106" i="31"/>
  <c r="O106" i="31"/>
  <c r="J107" i="31"/>
  <c r="K107" i="31"/>
  <c r="L107" i="31"/>
  <c r="M107" i="31"/>
  <c r="N107" i="31"/>
  <c r="O107" i="31"/>
  <c r="J108" i="31"/>
  <c r="K108" i="31"/>
  <c r="L108" i="31"/>
  <c r="M108" i="31"/>
  <c r="N108" i="31"/>
  <c r="O108" i="31"/>
  <c r="J109" i="31"/>
  <c r="K109" i="31"/>
  <c r="L109" i="31"/>
  <c r="M109" i="31"/>
  <c r="N109" i="31"/>
  <c r="O109" i="31"/>
  <c r="J110" i="31"/>
  <c r="K110" i="31"/>
  <c r="L110" i="31"/>
  <c r="M110" i="31"/>
  <c r="N110" i="31"/>
  <c r="O110" i="31"/>
  <c r="J111" i="31"/>
  <c r="K111" i="31"/>
  <c r="L111" i="31"/>
  <c r="M111" i="31"/>
  <c r="N111" i="31"/>
  <c r="O111" i="31"/>
  <c r="J112" i="31"/>
  <c r="K112" i="31"/>
  <c r="L112" i="31"/>
  <c r="M112" i="31"/>
  <c r="N112" i="31"/>
  <c r="O112" i="31"/>
  <c r="J113" i="31"/>
  <c r="K113" i="31"/>
  <c r="L113" i="31"/>
  <c r="M113" i="31"/>
  <c r="N113" i="31"/>
  <c r="O113" i="31"/>
  <c r="J121" i="30"/>
  <c r="K121" i="30"/>
  <c r="L121" i="30"/>
  <c r="M121" i="30"/>
  <c r="N121" i="30"/>
  <c r="O121" i="30"/>
  <c r="J87" i="31"/>
  <c r="K87" i="31"/>
  <c r="L87" i="31"/>
  <c r="M87" i="31"/>
  <c r="N87" i="31"/>
  <c r="O87" i="31"/>
  <c r="J88" i="31"/>
  <c r="K88" i="31"/>
  <c r="L88" i="31"/>
  <c r="M88" i="31"/>
  <c r="N88" i="31"/>
  <c r="O88" i="31"/>
  <c r="J89" i="31"/>
  <c r="K89" i="31"/>
  <c r="L89" i="31"/>
  <c r="M89" i="31"/>
  <c r="N89" i="31"/>
  <c r="O89" i="31"/>
  <c r="J90" i="31"/>
  <c r="K90" i="31"/>
  <c r="L90" i="31"/>
  <c r="M90" i="31"/>
  <c r="N90" i="31"/>
  <c r="O90" i="31"/>
  <c r="J91" i="31"/>
  <c r="K91" i="31"/>
  <c r="L91" i="31"/>
  <c r="M91" i="31"/>
  <c r="N91" i="31"/>
  <c r="O91" i="31"/>
  <c r="J92" i="31"/>
  <c r="K92" i="31"/>
  <c r="L92" i="31"/>
  <c r="M92" i="31"/>
  <c r="N92" i="31"/>
  <c r="O92" i="31"/>
  <c r="J93" i="31"/>
  <c r="K93" i="31"/>
  <c r="L93" i="31"/>
  <c r="M93" i="31"/>
  <c r="N93" i="31"/>
  <c r="O93" i="31"/>
  <c r="J94" i="31"/>
  <c r="K94" i="31"/>
  <c r="L94" i="31"/>
  <c r="M94" i="31"/>
  <c r="N94" i="31"/>
  <c r="O94" i="31"/>
  <c r="J95" i="31"/>
  <c r="K95" i="31"/>
  <c r="L95" i="31"/>
  <c r="M95" i="31"/>
  <c r="N95" i="31"/>
  <c r="O95" i="31"/>
  <c r="J96" i="31"/>
  <c r="K96" i="31"/>
  <c r="L96" i="31"/>
  <c r="M96" i="31"/>
  <c r="N96" i="31"/>
  <c r="O96" i="31"/>
  <c r="J103" i="30"/>
  <c r="K103" i="30"/>
  <c r="L103" i="30"/>
  <c r="M103" i="30"/>
  <c r="N103" i="30"/>
  <c r="O103" i="30"/>
  <c r="J70" i="31"/>
  <c r="K70" i="31"/>
  <c r="L70" i="31"/>
  <c r="M70" i="31"/>
  <c r="N70" i="31"/>
  <c r="O70" i="31"/>
  <c r="J71" i="31"/>
  <c r="K71" i="31"/>
  <c r="L71" i="31"/>
  <c r="M71" i="31"/>
  <c r="N71" i="31"/>
  <c r="O71" i="31"/>
  <c r="J72" i="31"/>
  <c r="K72" i="31"/>
  <c r="L72" i="31"/>
  <c r="M72" i="31"/>
  <c r="N72" i="31"/>
  <c r="O72" i="31"/>
  <c r="J73" i="31"/>
  <c r="K73" i="31"/>
  <c r="L73" i="31"/>
  <c r="M73" i="31"/>
  <c r="N73" i="31"/>
  <c r="O73" i="31"/>
  <c r="J74" i="31"/>
  <c r="K74" i="31"/>
  <c r="L74" i="31"/>
  <c r="M74" i="31"/>
  <c r="N74" i="31"/>
  <c r="O74" i="31"/>
  <c r="J75" i="31"/>
  <c r="K75" i="31"/>
  <c r="L75" i="31"/>
  <c r="M75" i="31"/>
  <c r="N75" i="31"/>
  <c r="O75" i="31"/>
  <c r="J76" i="31"/>
  <c r="K76" i="31"/>
  <c r="L76" i="31"/>
  <c r="M76" i="31"/>
  <c r="N76" i="31"/>
  <c r="O76" i="31"/>
  <c r="J77" i="31"/>
  <c r="K77" i="31"/>
  <c r="L77" i="31"/>
  <c r="M77" i="31"/>
  <c r="N77" i="31"/>
  <c r="O77" i="31"/>
  <c r="J78" i="31"/>
  <c r="K78" i="31"/>
  <c r="L78" i="31"/>
  <c r="M78" i="31"/>
  <c r="N78" i="31"/>
  <c r="O78" i="31"/>
  <c r="J79" i="31"/>
  <c r="K79" i="31"/>
  <c r="L79" i="31"/>
  <c r="M79" i="31"/>
  <c r="N79" i="31"/>
  <c r="O79" i="31"/>
  <c r="J85" i="30"/>
  <c r="K85" i="30"/>
  <c r="L85" i="30"/>
  <c r="M85" i="30"/>
  <c r="N85" i="30"/>
  <c r="O85" i="30"/>
  <c r="J53" i="31"/>
  <c r="K53" i="31"/>
  <c r="L53" i="31"/>
  <c r="M53" i="31"/>
  <c r="N53" i="31"/>
  <c r="O53" i="31"/>
  <c r="J54" i="31"/>
  <c r="K54" i="31"/>
  <c r="L54" i="31"/>
  <c r="M54" i="31"/>
  <c r="N54" i="31"/>
  <c r="O54" i="31"/>
  <c r="J55" i="31"/>
  <c r="K55" i="31"/>
  <c r="L55" i="31"/>
  <c r="M55" i="31"/>
  <c r="N55" i="31"/>
  <c r="O55" i="31"/>
  <c r="J56" i="31"/>
  <c r="K56" i="31"/>
  <c r="L56" i="31"/>
  <c r="M56" i="31"/>
  <c r="N56" i="31"/>
  <c r="O56" i="31"/>
  <c r="J57" i="31"/>
  <c r="K57" i="31"/>
  <c r="L57" i="31"/>
  <c r="M57" i="31"/>
  <c r="N57" i="31"/>
  <c r="O57" i="31"/>
  <c r="J58" i="31"/>
  <c r="K58" i="31"/>
  <c r="L58" i="31"/>
  <c r="M58" i="31"/>
  <c r="N58" i="31"/>
  <c r="O58" i="31"/>
  <c r="J59" i="31"/>
  <c r="K59" i="31"/>
  <c r="L59" i="31"/>
  <c r="M59" i="31"/>
  <c r="N59" i="31"/>
  <c r="O59" i="31"/>
  <c r="J60" i="31"/>
  <c r="K60" i="31"/>
  <c r="L60" i="31"/>
  <c r="M60" i="31"/>
  <c r="N60" i="31"/>
  <c r="O60" i="31"/>
  <c r="J61" i="31"/>
  <c r="K61" i="31"/>
  <c r="L61" i="31"/>
  <c r="M61" i="31"/>
  <c r="N61" i="31"/>
  <c r="O61" i="31"/>
  <c r="J62" i="31"/>
  <c r="K62" i="31"/>
  <c r="L62" i="31"/>
  <c r="M62" i="31"/>
  <c r="N62" i="31"/>
  <c r="O62" i="31"/>
  <c r="J67" i="30"/>
  <c r="K67" i="30"/>
  <c r="L67" i="30"/>
  <c r="M67" i="30"/>
  <c r="N67" i="30"/>
  <c r="O67" i="30"/>
  <c r="J36" i="31"/>
  <c r="K36" i="31"/>
  <c r="L36" i="31"/>
  <c r="M36" i="31"/>
  <c r="N36" i="31"/>
  <c r="O36" i="31"/>
  <c r="J37" i="31"/>
  <c r="K37" i="31"/>
  <c r="L37" i="31"/>
  <c r="M37" i="31"/>
  <c r="N37" i="31"/>
  <c r="O37" i="31"/>
  <c r="J38" i="31"/>
  <c r="K38" i="31"/>
  <c r="L38" i="31"/>
  <c r="M38" i="31"/>
  <c r="N38" i="31"/>
  <c r="O38" i="31"/>
  <c r="J39" i="31"/>
  <c r="K39" i="31"/>
  <c r="L39" i="31"/>
  <c r="M39" i="31"/>
  <c r="N39" i="31"/>
  <c r="O39" i="31"/>
  <c r="J40" i="31"/>
  <c r="K40" i="31"/>
  <c r="L40" i="31"/>
  <c r="M40" i="31"/>
  <c r="N40" i="31"/>
  <c r="O40" i="31"/>
  <c r="J41" i="31"/>
  <c r="K41" i="31"/>
  <c r="L41" i="31"/>
  <c r="M41" i="31"/>
  <c r="N41" i="31"/>
  <c r="O41" i="31"/>
  <c r="J42" i="31"/>
  <c r="K42" i="31"/>
  <c r="L42" i="31"/>
  <c r="M42" i="31"/>
  <c r="N42" i="31"/>
  <c r="O42" i="31"/>
  <c r="J43" i="31"/>
  <c r="K43" i="31"/>
  <c r="L43" i="31"/>
  <c r="M43" i="31"/>
  <c r="N43" i="31"/>
  <c r="O43" i="31"/>
  <c r="J44" i="31"/>
  <c r="K44" i="31"/>
  <c r="L44" i="31"/>
  <c r="M44" i="31"/>
  <c r="N44" i="31"/>
  <c r="O44" i="31"/>
  <c r="J45" i="31"/>
  <c r="K45" i="31"/>
  <c r="L45" i="31"/>
  <c r="M45" i="31"/>
  <c r="N45" i="31"/>
  <c r="O45" i="31"/>
  <c r="J49" i="30"/>
  <c r="K49" i="30"/>
  <c r="L49" i="30"/>
  <c r="M49" i="30"/>
  <c r="N49" i="30"/>
  <c r="O49" i="30"/>
  <c r="J19" i="31"/>
  <c r="K19" i="31"/>
  <c r="L19" i="31"/>
  <c r="M19" i="31"/>
  <c r="N19" i="31"/>
  <c r="O19" i="31"/>
  <c r="J20" i="31"/>
  <c r="K20" i="31"/>
  <c r="L20" i="31"/>
  <c r="M20" i="31"/>
  <c r="N20" i="31"/>
  <c r="O20" i="31"/>
  <c r="J21" i="31"/>
  <c r="K21" i="31"/>
  <c r="L21" i="31"/>
  <c r="M21" i="31"/>
  <c r="N21" i="31"/>
  <c r="O21" i="31"/>
  <c r="J22" i="31"/>
  <c r="K22" i="31"/>
  <c r="L22" i="31"/>
  <c r="M22" i="31"/>
  <c r="N22" i="31"/>
  <c r="O22" i="31"/>
  <c r="J23" i="31"/>
  <c r="K23" i="31"/>
  <c r="L23" i="31"/>
  <c r="M23" i="31"/>
  <c r="N23" i="31"/>
  <c r="O23" i="31"/>
  <c r="J24" i="31"/>
  <c r="K24" i="31"/>
  <c r="L24" i="31"/>
  <c r="M24" i="31"/>
  <c r="N24" i="31"/>
  <c r="O24" i="31"/>
  <c r="J25" i="31"/>
  <c r="K25" i="31"/>
  <c r="L25" i="31"/>
  <c r="M25" i="31"/>
  <c r="N25" i="31"/>
  <c r="O25" i="31"/>
  <c r="J26" i="31"/>
  <c r="K26" i="31"/>
  <c r="L26" i="31"/>
  <c r="M26" i="31"/>
  <c r="N26" i="31"/>
  <c r="O26" i="31"/>
  <c r="J27" i="31"/>
  <c r="K27" i="31"/>
  <c r="L27" i="31"/>
  <c r="M27" i="31"/>
  <c r="N27" i="31"/>
  <c r="O27" i="31"/>
  <c r="J28" i="31"/>
  <c r="K28" i="31"/>
  <c r="L28" i="31"/>
  <c r="M28" i="31"/>
  <c r="N28" i="31"/>
  <c r="O28" i="31"/>
  <c r="J200" i="30"/>
  <c r="K200" i="30"/>
  <c r="L200" i="30"/>
  <c r="M200" i="30"/>
  <c r="N200" i="30"/>
  <c r="O200" i="30"/>
  <c r="J201" i="30"/>
  <c r="K201" i="30"/>
  <c r="L201" i="30"/>
  <c r="M201" i="30"/>
  <c r="N201" i="30"/>
  <c r="O201" i="30"/>
  <c r="J202" i="30"/>
  <c r="K202" i="30"/>
  <c r="L202" i="30"/>
  <c r="M202" i="30"/>
  <c r="N202" i="30"/>
  <c r="O202" i="30"/>
  <c r="J203" i="30"/>
  <c r="K203" i="30"/>
  <c r="L203" i="30"/>
  <c r="M203" i="30"/>
  <c r="N203" i="30"/>
  <c r="O203" i="30"/>
  <c r="J204" i="30"/>
  <c r="K204" i="30"/>
  <c r="L204" i="30"/>
  <c r="M204" i="30"/>
  <c r="N204" i="30"/>
  <c r="O204" i="30"/>
  <c r="J205" i="30"/>
  <c r="K205" i="30"/>
  <c r="L205" i="30"/>
  <c r="M205" i="30"/>
  <c r="N205" i="30"/>
  <c r="O205" i="30"/>
  <c r="J206" i="30"/>
  <c r="K206" i="30"/>
  <c r="L206" i="30"/>
  <c r="M206" i="30"/>
  <c r="N206" i="30"/>
  <c r="O206" i="30"/>
  <c r="J207" i="30"/>
  <c r="K207" i="30"/>
  <c r="L207" i="30"/>
  <c r="M207" i="30"/>
  <c r="N207" i="30"/>
  <c r="O207" i="30"/>
  <c r="J208" i="30"/>
  <c r="K208" i="30"/>
  <c r="L208" i="30"/>
  <c r="M208" i="30"/>
  <c r="N208" i="30"/>
  <c r="O208" i="30"/>
  <c r="J209" i="30"/>
  <c r="K209" i="30"/>
  <c r="L209" i="30"/>
  <c r="M209" i="30"/>
  <c r="N209" i="30"/>
  <c r="O209" i="30"/>
  <c r="J31" i="30"/>
  <c r="K31" i="30"/>
  <c r="L31" i="30"/>
  <c r="M31" i="30"/>
  <c r="N31" i="30"/>
  <c r="O31" i="30"/>
  <c r="D130" i="29"/>
  <c r="D68" i="144" s="1"/>
  <c r="D131" i="29"/>
  <c r="D69" i="144" s="1"/>
  <c r="D132" i="29"/>
  <c r="D70" i="144" s="1"/>
  <c r="D133" i="29"/>
  <c r="D71" i="144" s="1"/>
  <c r="D134" i="29"/>
  <c r="D72" i="144" s="1"/>
  <c r="D135" i="29"/>
  <c r="D73" i="144" s="1"/>
  <c r="D136" i="29"/>
  <c r="D74" i="144" s="1"/>
  <c r="D137" i="29"/>
  <c r="D75" i="144" s="1"/>
  <c r="D138" i="29"/>
  <c r="D76" i="144" s="1"/>
  <c r="D139" i="29"/>
  <c r="D77" i="144" s="1"/>
  <c r="H394" i="35"/>
  <c r="H395" i="35"/>
  <c r="H396" i="35"/>
  <c r="H397" i="35"/>
  <c r="H398" i="35"/>
  <c r="H399" i="35"/>
  <c r="H400" i="35"/>
  <c r="H401" i="35"/>
  <c r="H402" i="35"/>
  <c r="H403" i="35"/>
  <c r="H382" i="35"/>
  <c r="H383" i="35"/>
  <c r="H384" i="35"/>
  <c r="H385" i="35"/>
  <c r="H386" i="35"/>
  <c r="H387" i="35"/>
  <c r="H388" i="35"/>
  <c r="H389" i="35"/>
  <c r="H390" i="35"/>
  <c r="H391" i="35"/>
  <c r="H369" i="35"/>
  <c r="H370" i="35"/>
  <c r="H371" i="35"/>
  <c r="H372" i="35"/>
  <c r="H373" i="35"/>
  <c r="H374" i="35"/>
  <c r="H375" i="35"/>
  <c r="H376" i="35"/>
  <c r="H377" i="35"/>
  <c r="H378" i="35"/>
  <c r="H357" i="35"/>
  <c r="H358" i="35"/>
  <c r="H359" i="35"/>
  <c r="H360" i="35"/>
  <c r="H361" i="35"/>
  <c r="H362" i="35"/>
  <c r="H363" i="35"/>
  <c r="H364" i="35"/>
  <c r="H365" i="35"/>
  <c r="H366" i="35"/>
  <c r="H274" i="35"/>
  <c r="H227" i="20" s="1"/>
  <c r="H275" i="35"/>
  <c r="H228" i="20" s="1"/>
  <c r="H276" i="35"/>
  <c r="H229" i="20" s="1"/>
  <c r="H277" i="35"/>
  <c r="H230" i="20" s="1"/>
  <c r="H278" i="35"/>
  <c r="H231" i="20" s="1"/>
  <c r="H279" i="35"/>
  <c r="H232" i="20" s="1"/>
  <c r="H280" i="35"/>
  <c r="H233" i="20" s="1"/>
  <c r="H281" i="35"/>
  <c r="H234" i="20" s="1"/>
  <c r="H282" i="35"/>
  <c r="H235" i="20" s="1"/>
  <c r="H283" i="35"/>
  <c r="H236" i="20" s="1"/>
  <c r="H261" i="35"/>
  <c r="H262" i="35"/>
  <c r="H263" i="35"/>
  <c r="H264" i="35"/>
  <c r="H265" i="35"/>
  <c r="H266" i="35"/>
  <c r="H267" i="35"/>
  <c r="H268" i="35"/>
  <c r="H269" i="35"/>
  <c r="H270" i="35"/>
  <c r="H247" i="35"/>
  <c r="H248" i="35"/>
  <c r="H249" i="35"/>
  <c r="H250" i="35"/>
  <c r="H251" i="35"/>
  <c r="H252" i="35"/>
  <c r="H253" i="35"/>
  <c r="H254" i="35"/>
  <c r="H255" i="35"/>
  <c r="H256" i="35"/>
  <c r="H234" i="35"/>
  <c r="H235" i="35"/>
  <c r="H236" i="35"/>
  <c r="H237" i="35"/>
  <c r="H238" i="35"/>
  <c r="H239" i="35"/>
  <c r="H240" i="35"/>
  <c r="H241" i="35"/>
  <c r="H242" i="35"/>
  <c r="H243" i="35"/>
  <c r="H220" i="35"/>
  <c r="H221" i="35"/>
  <c r="H222" i="35"/>
  <c r="H223" i="35"/>
  <c r="H224" i="35"/>
  <c r="H225" i="35"/>
  <c r="H226" i="35"/>
  <c r="H227" i="35"/>
  <c r="H228" i="35"/>
  <c r="H229" i="35"/>
  <c r="H206" i="35"/>
  <c r="H207" i="35"/>
  <c r="H208" i="35"/>
  <c r="H209" i="35"/>
  <c r="H210" i="35"/>
  <c r="H211" i="35"/>
  <c r="H212" i="35"/>
  <c r="H213" i="35"/>
  <c r="H214" i="35"/>
  <c r="H215" i="35"/>
  <c r="H192" i="35"/>
  <c r="H193" i="35"/>
  <c r="H194" i="35"/>
  <c r="H195" i="35"/>
  <c r="H196" i="35"/>
  <c r="H197" i="35"/>
  <c r="H198" i="35"/>
  <c r="H199" i="35"/>
  <c r="H200" i="35"/>
  <c r="H201" i="35"/>
  <c r="J172" i="35"/>
  <c r="K172" i="35"/>
  <c r="L172" i="35"/>
  <c r="M172" i="35"/>
  <c r="N172" i="35"/>
  <c r="O172" i="35"/>
  <c r="J173" i="35"/>
  <c r="K173" i="35"/>
  <c r="L173" i="35"/>
  <c r="M173" i="35"/>
  <c r="N173" i="35"/>
  <c r="O173" i="35"/>
  <c r="J174" i="35"/>
  <c r="K174" i="35"/>
  <c r="L174" i="35"/>
  <c r="M174" i="35"/>
  <c r="N174" i="35"/>
  <c r="O174" i="35"/>
  <c r="J175" i="35"/>
  <c r="K175" i="35"/>
  <c r="L175" i="35"/>
  <c r="M175" i="35"/>
  <c r="N175" i="35"/>
  <c r="O175" i="35"/>
  <c r="J176" i="35"/>
  <c r="K176" i="35"/>
  <c r="L176" i="35"/>
  <c r="M176" i="35"/>
  <c r="N176" i="35"/>
  <c r="O176" i="35"/>
  <c r="J177" i="35"/>
  <c r="K177" i="35"/>
  <c r="L177" i="35"/>
  <c r="M177" i="35"/>
  <c r="N177" i="35"/>
  <c r="O177" i="35"/>
  <c r="J178" i="35"/>
  <c r="K178" i="35"/>
  <c r="L178" i="35"/>
  <c r="M178" i="35"/>
  <c r="N178" i="35"/>
  <c r="O178" i="35"/>
  <c r="J179" i="35"/>
  <c r="K179" i="35"/>
  <c r="L179" i="35"/>
  <c r="M179" i="35"/>
  <c r="N179" i="35"/>
  <c r="O179" i="35"/>
  <c r="J180" i="35"/>
  <c r="K180" i="35"/>
  <c r="L180" i="35"/>
  <c r="M180" i="35"/>
  <c r="N180" i="35"/>
  <c r="O180" i="35"/>
  <c r="J181" i="35"/>
  <c r="K181" i="35"/>
  <c r="L181" i="35"/>
  <c r="M181" i="35"/>
  <c r="N181" i="35"/>
  <c r="O181" i="35"/>
  <c r="J175" i="34"/>
  <c r="K175" i="34"/>
  <c r="L175" i="34"/>
  <c r="M175" i="34"/>
  <c r="N175" i="34"/>
  <c r="O175" i="34"/>
  <c r="J155" i="35"/>
  <c r="K155" i="35"/>
  <c r="L155" i="35"/>
  <c r="M155" i="35"/>
  <c r="N155" i="35"/>
  <c r="O155" i="35"/>
  <c r="J156" i="35"/>
  <c r="K156" i="35"/>
  <c r="L156" i="35"/>
  <c r="M156" i="35"/>
  <c r="N156" i="35"/>
  <c r="O156" i="35"/>
  <c r="J157" i="35"/>
  <c r="K157" i="35"/>
  <c r="L157" i="35"/>
  <c r="M157" i="35"/>
  <c r="N157" i="35"/>
  <c r="O157" i="35"/>
  <c r="J158" i="35"/>
  <c r="K158" i="35"/>
  <c r="L158" i="35"/>
  <c r="M158" i="35"/>
  <c r="N158" i="35"/>
  <c r="O158" i="35"/>
  <c r="J159" i="35"/>
  <c r="K159" i="35"/>
  <c r="L159" i="35"/>
  <c r="M159" i="35"/>
  <c r="N159" i="35"/>
  <c r="O159" i="35"/>
  <c r="J160" i="35"/>
  <c r="K160" i="35"/>
  <c r="L160" i="35"/>
  <c r="M160" i="35"/>
  <c r="N160" i="35"/>
  <c r="O160" i="35"/>
  <c r="J161" i="35"/>
  <c r="K161" i="35"/>
  <c r="L161" i="35"/>
  <c r="M161" i="35"/>
  <c r="N161" i="35"/>
  <c r="O161" i="35"/>
  <c r="J162" i="35"/>
  <c r="K162" i="35"/>
  <c r="L162" i="35"/>
  <c r="M162" i="35"/>
  <c r="N162" i="35"/>
  <c r="O162" i="35"/>
  <c r="J163" i="35"/>
  <c r="K163" i="35"/>
  <c r="L163" i="35"/>
  <c r="M163" i="35"/>
  <c r="N163" i="35"/>
  <c r="O163" i="35"/>
  <c r="J164" i="35"/>
  <c r="K164" i="35"/>
  <c r="L164" i="35"/>
  <c r="M164" i="35"/>
  <c r="N164" i="35"/>
  <c r="O164" i="35"/>
  <c r="J159" i="34"/>
  <c r="K159" i="34"/>
  <c r="L159" i="34"/>
  <c r="M159" i="34"/>
  <c r="N159" i="34"/>
  <c r="O159" i="34"/>
  <c r="J138" i="35"/>
  <c r="K138" i="35"/>
  <c r="L138" i="35"/>
  <c r="M138" i="35"/>
  <c r="N138" i="35"/>
  <c r="O138" i="35"/>
  <c r="J139" i="35"/>
  <c r="K139" i="35"/>
  <c r="L139" i="35"/>
  <c r="M139" i="35"/>
  <c r="N139" i="35"/>
  <c r="O139" i="35"/>
  <c r="J140" i="35"/>
  <c r="K140" i="35"/>
  <c r="L140" i="35"/>
  <c r="M140" i="35"/>
  <c r="N140" i="35"/>
  <c r="O140" i="35"/>
  <c r="J141" i="35"/>
  <c r="K141" i="35"/>
  <c r="L141" i="35"/>
  <c r="M141" i="35"/>
  <c r="N141" i="35"/>
  <c r="O141" i="35"/>
  <c r="J142" i="35"/>
  <c r="K142" i="35"/>
  <c r="L142" i="35"/>
  <c r="M142" i="35"/>
  <c r="N142" i="35"/>
  <c r="O142" i="35"/>
  <c r="J143" i="35"/>
  <c r="K143" i="35"/>
  <c r="L143" i="35"/>
  <c r="M143" i="35"/>
  <c r="N143" i="35"/>
  <c r="O143" i="35"/>
  <c r="J144" i="35"/>
  <c r="K144" i="35"/>
  <c r="L144" i="35"/>
  <c r="M144" i="35"/>
  <c r="N144" i="35"/>
  <c r="O144" i="35"/>
  <c r="J145" i="35"/>
  <c r="K145" i="35"/>
  <c r="L145" i="35"/>
  <c r="M145" i="35"/>
  <c r="N145" i="35"/>
  <c r="O145" i="35"/>
  <c r="J146" i="35"/>
  <c r="K146" i="35"/>
  <c r="L146" i="35"/>
  <c r="M146" i="35"/>
  <c r="N146" i="35"/>
  <c r="O146" i="35"/>
  <c r="J147" i="35"/>
  <c r="K147" i="35"/>
  <c r="L147" i="35"/>
  <c r="M147" i="35"/>
  <c r="N147" i="35"/>
  <c r="O147" i="35"/>
  <c r="J143" i="34"/>
  <c r="K143" i="34"/>
  <c r="L143" i="34"/>
  <c r="M143" i="34"/>
  <c r="N143" i="34"/>
  <c r="O143" i="34"/>
  <c r="J121" i="35"/>
  <c r="K121" i="35"/>
  <c r="L121" i="35"/>
  <c r="M121" i="35"/>
  <c r="N121" i="35"/>
  <c r="O121" i="35"/>
  <c r="J122" i="35"/>
  <c r="K122" i="35"/>
  <c r="L122" i="35"/>
  <c r="M122" i="35"/>
  <c r="N122" i="35"/>
  <c r="O122" i="35"/>
  <c r="J123" i="35"/>
  <c r="K123" i="35"/>
  <c r="L123" i="35"/>
  <c r="M123" i="35"/>
  <c r="N123" i="35"/>
  <c r="O123" i="35"/>
  <c r="J124" i="35"/>
  <c r="K124" i="35"/>
  <c r="L124" i="35"/>
  <c r="M124" i="35"/>
  <c r="N124" i="35"/>
  <c r="O124" i="35"/>
  <c r="J125" i="35"/>
  <c r="K125" i="35"/>
  <c r="L125" i="35"/>
  <c r="M125" i="35"/>
  <c r="N125" i="35"/>
  <c r="O125" i="35"/>
  <c r="J126" i="35"/>
  <c r="K126" i="35"/>
  <c r="L126" i="35"/>
  <c r="M126" i="35"/>
  <c r="N126" i="35"/>
  <c r="O126" i="35"/>
  <c r="J127" i="35"/>
  <c r="K127" i="35"/>
  <c r="L127" i="35"/>
  <c r="M127" i="35"/>
  <c r="N127" i="35"/>
  <c r="O127" i="35"/>
  <c r="J128" i="35"/>
  <c r="K128" i="35"/>
  <c r="L128" i="35"/>
  <c r="M128" i="35"/>
  <c r="N128" i="35"/>
  <c r="O128" i="35"/>
  <c r="J129" i="35"/>
  <c r="K129" i="35"/>
  <c r="L129" i="35"/>
  <c r="M129" i="35"/>
  <c r="N129" i="35"/>
  <c r="O129" i="35"/>
  <c r="J130" i="35"/>
  <c r="K130" i="35"/>
  <c r="L130" i="35"/>
  <c r="M130" i="35"/>
  <c r="N130" i="35"/>
  <c r="O130" i="35"/>
  <c r="J127" i="34"/>
  <c r="K127" i="34"/>
  <c r="L127" i="34"/>
  <c r="M127" i="34"/>
  <c r="N127" i="34"/>
  <c r="O127" i="34"/>
  <c r="J104" i="35"/>
  <c r="K104" i="35"/>
  <c r="L104" i="35"/>
  <c r="M104" i="35"/>
  <c r="N104" i="35"/>
  <c r="O104" i="35"/>
  <c r="J105" i="35"/>
  <c r="K105" i="35"/>
  <c r="L105" i="35"/>
  <c r="M105" i="35"/>
  <c r="N105" i="35"/>
  <c r="O105" i="35"/>
  <c r="J106" i="35"/>
  <c r="K106" i="35"/>
  <c r="L106" i="35"/>
  <c r="M106" i="35"/>
  <c r="N106" i="35"/>
  <c r="O106" i="35"/>
  <c r="J107" i="35"/>
  <c r="K107" i="35"/>
  <c r="L107" i="35"/>
  <c r="M107" i="35"/>
  <c r="N107" i="35"/>
  <c r="O107" i="35"/>
  <c r="J108" i="35"/>
  <c r="K108" i="35"/>
  <c r="L108" i="35"/>
  <c r="M108" i="35"/>
  <c r="N108" i="35"/>
  <c r="O108" i="35"/>
  <c r="J109" i="35"/>
  <c r="K109" i="35"/>
  <c r="L109" i="35"/>
  <c r="M109" i="35"/>
  <c r="N109" i="35"/>
  <c r="O109" i="35"/>
  <c r="J110" i="35"/>
  <c r="K110" i="35"/>
  <c r="L110" i="35"/>
  <c r="M110" i="35"/>
  <c r="N110" i="35"/>
  <c r="O110" i="35"/>
  <c r="J111" i="35"/>
  <c r="K111" i="35"/>
  <c r="L111" i="35"/>
  <c r="M111" i="35"/>
  <c r="N111" i="35"/>
  <c r="O111" i="35"/>
  <c r="J112" i="35"/>
  <c r="K112" i="35"/>
  <c r="L112" i="35"/>
  <c r="M112" i="35"/>
  <c r="N112" i="35"/>
  <c r="O112" i="35"/>
  <c r="J113" i="35"/>
  <c r="K113" i="35"/>
  <c r="L113" i="35"/>
  <c r="M113" i="35"/>
  <c r="N113" i="35"/>
  <c r="O113" i="35"/>
  <c r="J111" i="34"/>
  <c r="K111" i="34"/>
  <c r="L111" i="34"/>
  <c r="M111" i="34"/>
  <c r="N111" i="34"/>
  <c r="O111" i="34"/>
  <c r="J87" i="35"/>
  <c r="K87" i="35"/>
  <c r="L87" i="35"/>
  <c r="M87" i="35"/>
  <c r="N87" i="35"/>
  <c r="O87" i="35"/>
  <c r="J88" i="35"/>
  <c r="K88" i="35"/>
  <c r="L88" i="35"/>
  <c r="M88" i="35"/>
  <c r="N88" i="35"/>
  <c r="O88" i="35"/>
  <c r="J89" i="35"/>
  <c r="K89" i="35"/>
  <c r="L89" i="35"/>
  <c r="M89" i="35"/>
  <c r="N89" i="35"/>
  <c r="O89" i="35"/>
  <c r="J90" i="35"/>
  <c r="K90" i="35"/>
  <c r="L90" i="35"/>
  <c r="M90" i="35"/>
  <c r="N90" i="35"/>
  <c r="O90" i="35"/>
  <c r="J91" i="35"/>
  <c r="K91" i="35"/>
  <c r="L91" i="35"/>
  <c r="M91" i="35"/>
  <c r="N91" i="35"/>
  <c r="O91" i="35"/>
  <c r="J92" i="35"/>
  <c r="K92" i="35"/>
  <c r="L92" i="35"/>
  <c r="M92" i="35"/>
  <c r="N92" i="35"/>
  <c r="O92" i="35"/>
  <c r="J93" i="35"/>
  <c r="K93" i="35"/>
  <c r="L93" i="35"/>
  <c r="M93" i="35"/>
  <c r="N93" i="35"/>
  <c r="O93" i="35"/>
  <c r="J94" i="35"/>
  <c r="K94" i="35"/>
  <c r="L94" i="35"/>
  <c r="M94" i="35"/>
  <c r="N94" i="35"/>
  <c r="O94" i="35"/>
  <c r="J95" i="35"/>
  <c r="K95" i="35"/>
  <c r="L95" i="35"/>
  <c r="M95" i="35"/>
  <c r="N95" i="35"/>
  <c r="O95" i="35"/>
  <c r="J96" i="35"/>
  <c r="K96" i="35"/>
  <c r="L96" i="35"/>
  <c r="M96" i="35"/>
  <c r="N96" i="35"/>
  <c r="O96" i="35"/>
  <c r="J95" i="34"/>
  <c r="K95" i="34"/>
  <c r="L95" i="34"/>
  <c r="M95" i="34"/>
  <c r="N95" i="34"/>
  <c r="O95" i="34"/>
  <c r="J70" i="35"/>
  <c r="K70" i="35"/>
  <c r="L70" i="35"/>
  <c r="M70" i="35"/>
  <c r="N70" i="35"/>
  <c r="O70" i="35"/>
  <c r="J71" i="35"/>
  <c r="K71" i="35"/>
  <c r="L71" i="35"/>
  <c r="M71" i="35"/>
  <c r="N71" i="35"/>
  <c r="O71" i="35"/>
  <c r="J72" i="35"/>
  <c r="K72" i="35"/>
  <c r="L72" i="35"/>
  <c r="M72" i="35"/>
  <c r="N72" i="35"/>
  <c r="O72" i="35"/>
  <c r="J73" i="35"/>
  <c r="K73" i="35"/>
  <c r="L73" i="35"/>
  <c r="M73" i="35"/>
  <c r="N73" i="35"/>
  <c r="O73" i="35"/>
  <c r="J74" i="35"/>
  <c r="K74" i="35"/>
  <c r="L74" i="35"/>
  <c r="M74" i="35"/>
  <c r="N74" i="35"/>
  <c r="O74" i="35"/>
  <c r="J75" i="35"/>
  <c r="K75" i="35"/>
  <c r="L75" i="35"/>
  <c r="M75" i="35"/>
  <c r="N75" i="35"/>
  <c r="O75" i="35"/>
  <c r="J76" i="35"/>
  <c r="K76" i="35"/>
  <c r="L76" i="35"/>
  <c r="M76" i="35"/>
  <c r="N76" i="35"/>
  <c r="O76" i="35"/>
  <c r="J77" i="35"/>
  <c r="K77" i="35"/>
  <c r="L77" i="35"/>
  <c r="M77" i="35"/>
  <c r="N77" i="35"/>
  <c r="O77" i="35"/>
  <c r="J78" i="35"/>
  <c r="K78" i="35"/>
  <c r="L78" i="35"/>
  <c r="M78" i="35"/>
  <c r="N78" i="35"/>
  <c r="O78" i="35"/>
  <c r="J79" i="35"/>
  <c r="K79" i="35"/>
  <c r="L79" i="35"/>
  <c r="M79" i="35"/>
  <c r="N79" i="35"/>
  <c r="O79" i="35"/>
  <c r="J79" i="34"/>
  <c r="K79" i="34"/>
  <c r="L79" i="34"/>
  <c r="M79" i="34"/>
  <c r="N79" i="34"/>
  <c r="O79" i="34"/>
  <c r="J53" i="35"/>
  <c r="K53" i="35"/>
  <c r="L53" i="35"/>
  <c r="M53" i="35"/>
  <c r="N53" i="35"/>
  <c r="O53" i="35"/>
  <c r="J54" i="35"/>
  <c r="K54" i="35"/>
  <c r="L54" i="35"/>
  <c r="M54" i="35"/>
  <c r="N54" i="35"/>
  <c r="O54" i="35"/>
  <c r="J55" i="35"/>
  <c r="K55" i="35"/>
  <c r="L55" i="35"/>
  <c r="M55" i="35"/>
  <c r="N55" i="35"/>
  <c r="O55" i="35"/>
  <c r="J56" i="35"/>
  <c r="K56" i="35"/>
  <c r="L56" i="35"/>
  <c r="M56" i="35"/>
  <c r="N56" i="35"/>
  <c r="O56" i="35"/>
  <c r="J57" i="35"/>
  <c r="K57" i="35"/>
  <c r="L57" i="35"/>
  <c r="M57" i="35"/>
  <c r="N57" i="35"/>
  <c r="O57" i="35"/>
  <c r="J58" i="35"/>
  <c r="K58" i="35"/>
  <c r="L58" i="35"/>
  <c r="M58" i="35"/>
  <c r="N58" i="35"/>
  <c r="O58" i="35"/>
  <c r="J59" i="35"/>
  <c r="K59" i="35"/>
  <c r="L59" i="35"/>
  <c r="M59" i="35"/>
  <c r="N59" i="35"/>
  <c r="O59" i="35"/>
  <c r="J60" i="35"/>
  <c r="K60" i="35"/>
  <c r="L60" i="35"/>
  <c r="M60" i="35"/>
  <c r="N60" i="35"/>
  <c r="O60" i="35"/>
  <c r="J61" i="35"/>
  <c r="K61" i="35"/>
  <c r="L61" i="35"/>
  <c r="M61" i="35"/>
  <c r="N61" i="35"/>
  <c r="O61" i="35"/>
  <c r="J62" i="35"/>
  <c r="K62" i="35"/>
  <c r="L62" i="35"/>
  <c r="M62" i="35"/>
  <c r="N62" i="35"/>
  <c r="O62" i="35"/>
  <c r="J63" i="34"/>
  <c r="K63" i="34"/>
  <c r="L63" i="34"/>
  <c r="M63" i="34"/>
  <c r="N63" i="34"/>
  <c r="O63" i="34"/>
  <c r="J36" i="35"/>
  <c r="K36" i="35"/>
  <c r="L36" i="35"/>
  <c r="M36" i="35"/>
  <c r="N36" i="35"/>
  <c r="O36" i="35"/>
  <c r="J37" i="35"/>
  <c r="K37" i="35"/>
  <c r="L37" i="35"/>
  <c r="M37" i="35"/>
  <c r="N37" i="35"/>
  <c r="O37" i="35"/>
  <c r="J38" i="35"/>
  <c r="K38" i="35"/>
  <c r="L38" i="35"/>
  <c r="M38" i="35"/>
  <c r="N38" i="35"/>
  <c r="O38" i="35"/>
  <c r="J39" i="35"/>
  <c r="K39" i="35"/>
  <c r="L39" i="35"/>
  <c r="M39" i="35"/>
  <c r="N39" i="35"/>
  <c r="O39" i="35"/>
  <c r="J40" i="35"/>
  <c r="K40" i="35"/>
  <c r="L40" i="35"/>
  <c r="M40" i="35"/>
  <c r="N40" i="35"/>
  <c r="O40" i="35"/>
  <c r="J41" i="35"/>
  <c r="K41" i="35"/>
  <c r="L41" i="35"/>
  <c r="M41" i="35"/>
  <c r="N41" i="35"/>
  <c r="O41" i="35"/>
  <c r="J42" i="35"/>
  <c r="K42" i="35"/>
  <c r="L42" i="35"/>
  <c r="M42" i="35"/>
  <c r="N42" i="35"/>
  <c r="O42" i="35"/>
  <c r="J43" i="35"/>
  <c r="K43" i="35"/>
  <c r="L43" i="35"/>
  <c r="M43" i="35"/>
  <c r="N43" i="35"/>
  <c r="O43" i="35"/>
  <c r="J44" i="35"/>
  <c r="K44" i="35"/>
  <c r="L44" i="35"/>
  <c r="M44" i="35"/>
  <c r="N44" i="35"/>
  <c r="O44" i="35"/>
  <c r="J45" i="35"/>
  <c r="K45" i="35"/>
  <c r="L45" i="35"/>
  <c r="M45" i="35"/>
  <c r="N45" i="35"/>
  <c r="O45" i="35"/>
  <c r="J47" i="34"/>
  <c r="K47" i="34"/>
  <c r="L47" i="34"/>
  <c r="M47" i="34"/>
  <c r="N47" i="34"/>
  <c r="O47" i="34"/>
  <c r="J19" i="35"/>
  <c r="K19" i="35"/>
  <c r="L19" i="35"/>
  <c r="M19" i="35"/>
  <c r="N19" i="35"/>
  <c r="O19" i="35"/>
  <c r="J20" i="35"/>
  <c r="K20" i="35"/>
  <c r="L20" i="35"/>
  <c r="M20" i="35"/>
  <c r="N20" i="35"/>
  <c r="O20" i="35"/>
  <c r="J21" i="35"/>
  <c r="K21" i="35"/>
  <c r="L21" i="35"/>
  <c r="M21" i="35"/>
  <c r="N21" i="35"/>
  <c r="O21" i="35"/>
  <c r="J22" i="35"/>
  <c r="K22" i="35"/>
  <c r="L22" i="35"/>
  <c r="M22" i="35"/>
  <c r="N22" i="35"/>
  <c r="O22" i="35"/>
  <c r="J23" i="35"/>
  <c r="K23" i="35"/>
  <c r="L23" i="35"/>
  <c r="M23" i="35"/>
  <c r="N23" i="35"/>
  <c r="O23" i="35"/>
  <c r="J24" i="35"/>
  <c r="K24" i="35"/>
  <c r="L24" i="35"/>
  <c r="M24" i="35"/>
  <c r="N24" i="35"/>
  <c r="O24" i="35"/>
  <c r="J25" i="35"/>
  <c r="K25" i="35"/>
  <c r="L25" i="35"/>
  <c r="M25" i="35"/>
  <c r="N25" i="35"/>
  <c r="O25" i="35"/>
  <c r="J26" i="35"/>
  <c r="K26" i="35"/>
  <c r="L26" i="35"/>
  <c r="M26" i="35"/>
  <c r="N26" i="35"/>
  <c r="O26" i="35"/>
  <c r="J27" i="35"/>
  <c r="K27" i="35"/>
  <c r="L27" i="35"/>
  <c r="M27" i="35"/>
  <c r="N27" i="35"/>
  <c r="O27" i="35"/>
  <c r="J28" i="35"/>
  <c r="K28" i="35"/>
  <c r="L28" i="35"/>
  <c r="M28" i="35"/>
  <c r="N28" i="35"/>
  <c r="O28" i="35"/>
  <c r="J31" i="34"/>
  <c r="K31" i="34"/>
  <c r="L31" i="34"/>
  <c r="M31" i="34"/>
  <c r="N31" i="34"/>
  <c r="O31" i="34"/>
  <c r="D165" i="33"/>
  <c r="D85" i="34" s="1"/>
  <c r="D166" i="33"/>
  <c r="D139" i="35" s="1"/>
  <c r="D167" i="33"/>
  <c r="D140" i="35" s="1"/>
  <c r="D168" i="33"/>
  <c r="D175" i="35" s="1"/>
  <c r="D169" i="33"/>
  <c r="D142" i="35" s="1"/>
  <c r="D170" i="33"/>
  <c r="D143" i="35" s="1"/>
  <c r="D171" i="33"/>
  <c r="D144" i="35" s="1"/>
  <c r="D172" i="33"/>
  <c r="D60" i="34" s="1"/>
  <c r="D173" i="33"/>
  <c r="D157" i="34" s="1"/>
  <c r="D174" i="33"/>
  <c r="D147" i="35" s="1"/>
  <c r="H1208" i="35"/>
  <c r="H1209" i="35"/>
  <c r="H1210" i="35"/>
  <c r="H1211" i="35"/>
  <c r="H1212" i="35"/>
  <c r="H1213" i="35"/>
  <c r="H1214" i="35"/>
  <c r="H1215" i="35"/>
  <c r="H1216" i="35"/>
  <c r="H1217" i="35"/>
  <c r="H1196" i="35"/>
  <c r="H1197" i="35"/>
  <c r="H1198" i="35"/>
  <c r="H1199" i="35"/>
  <c r="H1200" i="35"/>
  <c r="H1201" i="35"/>
  <c r="H1202" i="35"/>
  <c r="H1203" i="35"/>
  <c r="H1204" i="35"/>
  <c r="H1205" i="35"/>
  <c r="H1183" i="35"/>
  <c r="H1184" i="35"/>
  <c r="H1185" i="35"/>
  <c r="H1186" i="35"/>
  <c r="H1187" i="35"/>
  <c r="H1188" i="35"/>
  <c r="H1189" i="35"/>
  <c r="H1190" i="35"/>
  <c r="H1191" i="35"/>
  <c r="H1192" i="35"/>
  <c r="H1171" i="35"/>
  <c r="H1172" i="35"/>
  <c r="H1173" i="35"/>
  <c r="H1174" i="35"/>
  <c r="H1175" i="35"/>
  <c r="H1176" i="35"/>
  <c r="H1177" i="35"/>
  <c r="H1178" i="35"/>
  <c r="H1179" i="35"/>
  <c r="H1180" i="35"/>
  <c r="H1088" i="35"/>
  <c r="H247" i="20" s="1"/>
  <c r="H1089" i="35"/>
  <c r="H248" i="20" s="1"/>
  <c r="H1090" i="35"/>
  <c r="H249" i="20" s="1"/>
  <c r="H1091" i="35"/>
  <c r="H250" i="20" s="1"/>
  <c r="H1092" i="35"/>
  <c r="H251" i="20" s="1"/>
  <c r="H1093" i="35"/>
  <c r="H252" i="20" s="1"/>
  <c r="H1094" i="35"/>
  <c r="H253" i="20" s="1"/>
  <c r="H1095" i="35"/>
  <c r="H254" i="20" s="1"/>
  <c r="H1096" i="35"/>
  <c r="H255" i="20" s="1"/>
  <c r="H1097" i="35"/>
  <c r="H256" i="20" s="1"/>
  <c r="H1075" i="35"/>
  <c r="H1076" i="35"/>
  <c r="H1077" i="35"/>
  <c r="H1078" i="35"/>
  <c r="H1079" i="35"/>
  <c r="H1080" i="35"/>
  <c r="H1081" i="35"/>
  <c r="H1082" i="35"/>
  <c r="H1083" i="35"/>
  <c r="H1084" i="35"/>
  <c r="H1061" i="35"/>
  <c r="H1062" i="35"/>
  <c r="H1063" i="35"/>
  <c r="H1064" i="35"/>
  <c r="H1065" i="35"/>
  <c r="H1066" i="35"/>
  <c r="H1067" i="35"/>
  <c r="H1068" i="35"/>
  <c r="H1069" i="35"/>
  <c r="H1070" i="35"/>
  <c r="H1048" i="35"/>
  <c r="H1049" i="35"/>
  <c r="H1050" i="35"/>
  <c r="H1051" i="35"/>
  <c r="H1052" i="35"/>
  <c r="H1053" i="35"/>
  <c r="H1054" i="35"/>
  <c r="H1055" i="35"/>
  <c r="H1056" i="35"/>
  <c r="H1057" i="35"/>
  <c r="H1034" i="35"/>
  <c r="H1035" i="35"/>
  <c r="H1036" i="35"/>
  <c r="H1037" i="35"/>
  <c r="H1038" i="35"/>
  <c r="H1039" i="35"/>
  <c r="H1040" i="35"/>
  <c r="H1041" i="35"/>
  <c r="H1042" i="35"/>
  <c r="H1043" i="35"/>
  <c r="H1020" i="35"/>
  <c r="H1021" i="35"/>
  <c r="H1022" i="35"/>
  <c r="H1023" i="35"/>
  <c r="H1024" i="35"/>
  <c r="H1025" i="35"/>
  <c r="H1026" i="35"/>
  <c r="H1027" i="35"/>
  <c r="H1028" i="35"/>
  <c r="H1029" i="35"/>
  <c r="H1006" i="35"/>
  <c r="H1007" i="35"/>
  <c r="H1008" i="35"/>
  <c r="H1009" i="35"/>
  <c r="H1010" i="35"/>
  <c r="H1011" i="35"/>
  <c r="H1012" i="35"/>
  <c r="H1013" i="35"/>
  <c r="H1014" i="35"/>
  <c r="H1015" i="35"/>
  <c r="J986" i="35"/>
  <c r="K986" i="35"/>
  <c r="L986" i="35"/>
  <c r="M986" i="35"/>
  <c r="N986" i="35"/>
  <c r="O986" i="35"/>
  <c r="J987" i="35"/>
  <c r="K987" i="35"/>
  <c r="L987" i="35"/>
  <c r="M987" i="35"/>
  <c r="N987" i="35"/>
  <c r="O987" i="35"/>
  <c r="J988" i="35"/>
  <c r="K988" i="35"/>
  <c r="L988" i="35"/>
  <c r="M988" i="35"/>
  <c r="N988" i="35"/>
  <c r="O988" i="35"/>
  <c r="J989" i="35"/>
  <c r="K989" i="35"/>
  <c r="L989" i="35"/>
  <c r="M989" i="35"/>
  <c r="N989" i="35"/>
  <c r="O989" i="35"/>
  <c r="J990" i="35"/>
  <c r="K990" i="35"/>
  <c r="L990" i="35"/>
  <c r="M990" i="35"/>
  <c r="N990" i="35"/>
  <c r="O990" i="35"/>
  <c r="J991" i="35"/>
  <c r="K991" i="35"/>
  <c r="L991" i="35"/>
  <c r="M991" i="35"/>
  <c r="N991" i="35"/>
  <c r="O991" i="35"/>
  <c r="J992" i="35"/>
  <c r="K992" i="35"/>
  <c r="L992" i="35"/>
  <c r="M992" i="35"/>
  <c r="N992" i="35"/>
  <c r="O992" i="35"/>
  <c r="J993" i="35"/>
  <c r="K993" i="35"/>
  <c r="L993" i="35"/>
  <c r="M993" i="35"/>
  <c r="N993" i="35"/>
  <c r="O993" i="35"/>
  <c r="J994" i="35"/>
  <c r="K994" i="35"/>
  <c r="L994" i="35"/>
  <c r="M994" i="35"/>
  <c r="N994" i="35"/>
  <c r="O994" i="35"/>
  <c r="J995" i="35"/>
  <c r="K995" i="35"/>
  <c r="L995" i="35"/>
  <c r="M995" i="35"/>
  <c r="N995" i="35"/>
  <c r="O995" i="35"/>
  <c r="J565" i="34"/>
  <c r="K565" i="34"/>
  <c r="L565" i="34"/>
  <c r="M565" i="34"/>
  <c r="N565" i="34"/>
  <c r="O565" i="34"/>
  <c r="J969" i="35"/>
  <c r="K969" i="35"/>
  <c r="L969" i="35"/>
  <c r="M969" i="35"/>
  <c r="N969" i="35"/>
  <c r="O969" i="35"/>
  <c r="J970" i="35"/>
  <c r="K970" i="35"/>
  <c r="L970" i="35"/>
  <c r="M970" i="35"/>
  <c r="N970" i="35"/>
  <c r="O970" i="35"/>
  <c r="J971" i="35"/>
  <c r="K971" i="35"/>
  <c r="L971" i="35"/>
  <c r="M971" i="35"/>
  <c r="N971" i="35"/>
  <c r="O971" i="35"/>
  <c r="J972" i="35"/>
  <c r="K972" i="35"/>
  <c r="L972" i="35"/>
  <c r="M972" i="35"/>
  <c r="N972" i="35"/>
  <c r="O972" i="35"/>
  <c r="J973" i="35"/>
  <c r="K973" i="35"/>
  <c r="L973" i="35"/>
  <c r="M973" i="35"/>
  <c r="N973" i="35"/>
  <c r="O973" i="35"/>
  <c r="J974" i="35"/>
  <c r="K974" i="35"/>
  <c r="L974" i="35"/>
  <c r="M974" i="35"/>
  <c r="N974" i="35"/>
  <c r="O974" i="35"/>
  <c r="J975" i="35"/>
  <c r="K975" i="35"/>
  <c r="L975" i="35"/>
  <c r="M975" i="35"/>
  <c r="N975" i="35"/>
  <c r="O975" i="35"/>
  <c r="J976" i="35"/>
  <c r="K976" i="35"/>
  <c r="L976" i="35"/>
  <c r="M976" i="35"/>
  <c r="N976" i="35"/>
  <c r="O976" i="35"/>
  <c r="J977" i="35"/>
  <c r="K977" i="35"/>
  <c r="L977" i="35"/>
  <c r="M977" i="35"/>
  <c r="N977" i="35"/>
  <c r="O977" i="35"/>
  <c r="J978" i="35"/>
  <c r="K978" i="35"/>
  <c r="L978" i="35"/>
  <c r="M978" i="35"/>
  <c r="N978" i="35"/>
  <c r="O978" i="35"/>
  <c r="J549" i="34"/>
  <c r="K549" i="34"/>
  <c r="L549" i="34"/>
  <c r="M549" i="34"/>
  <c r="N549" i="34"/>
  <c r="O549" i="34"/>
  <c r="J952" i="35"/>
  <c r="K952" i="35"/>
  <c r="L952" i="35"/>
  <c r="M952" i="35"/>
  <c r="N952" i="35"/>
  <c r="O952" i="35"/>
  <c r="J953" i="35"/>
  <c r="K953" i="35"/>
  <c r="L953" i="35"/>
  <c r="M953" i="35"/>
  <c r="N953" i="35"/>
  <c r="O953" i="35"/>
  <c r="J954" i="35"/>
  <c r="K954" i="35"/>
  <c r="L954" i="35"/>
  <c r="M954" i="35"/>
  <c r="N954" i="35"/>
  <c r="O954" i="35"/>
  <c r="J955" i="35"/>
  <c r="K955" i="35"/>
  <c r="L955" i="35"/>
  <c r="M955" i="35"/>
  <c r="N955" i="35"/>
  <c r="O955" i="35"/>
  <c r="J956" i="35"/>
  <c r="K956" i="35"/>
  <c r="L956" i="35"/>
  <c r="M956" i="35"/>
  <c r="N956" i="35"/>
  <c r="O956" i="35"/>
  <c r="J957" i="35"/>
  <c r="K957" i="35"/>
  <c r="L957" i="35"/>
  <c r="M957" i="35"/>
  <c r="N957" i="35"/>
  <c r="O957" i="35"/>
  <c r="J958" i="35"/>
  <c r="K958" i="35"/>
  <c r="L958" i="35"/>
  <c r="M958" i="35"/>
  <c r="N958" i="35"/>
  <c r="O958" i="35"/>
  <c r="J959" i="35"/>
  <c r="K959" i="35"/>
  <c r="L959" i="35"/>
  <c r="M959" i="35"/>
  <c r="N959" i="35"/>
  <c r="O959" i="35"/>
  <c r="J960" i="35"/>
  <c r="K960" i="35"/>
  <c r="L960" i="35"/>
  <c r="M960" i="35"/>
  <c r="N960" i="35"/>
  <c r="O960" i="35"/>
  <c r="J961" i="35"/>
  <c r="K961" i="35"/>
  <c r="L961" i="35"/>
  <c r="M961" i="35"/>
  <c r="N961" i="35"/>
  <c r="O961" i="35"/>
  <c r="J533" i="34"/>
  <c r="K533" i="34"/>
  <c r="L533" i="34"/>
  <c r="M533" i="34"/>
  <c r="N533" i="34"/>
  <c r="O533" i="34"/>
  <c r="J935" i="35"/>
  <c r="K935" i="35"/>
  <c r="L935" i="35"/>
  <c r="M935" i="35"/>
  <c r="N935" i="35"/>
  <c r="O935" i="35"/>
  <c r="J936" i="35"/>
  <c r="K936" i="35"/>
  <c r="L936" i="35"/>
  <c r="M936" i="35"/>
  <c r="N936" i="35"/>
  <c r="O936" i="35"/>
  <c r="J937" i="35"/>
  <c r="K937" i="35"/>
  <c r="L937" i="35"/>
  <c r="M937" i="35"/>
  <c r="N937" i="35"/>
  <c r="O937" i="35"/>
  <c r="J938" i="35"/>
  <c r="K938" i="35"/>
  <c r="L938" i="35"/>
  <c r="M938" i="35"/>
  <c r="N938" i="35"/>
  <c r="O938" i="35"/>
  <c r="J939" i="35"/>
  <c r="K939" i="35"/>
  <c r="L939" i="35"/>
  <c r="M939" i="35"/>
  <c r="N939" i="35"/>
  <c r="O939" i="35"/>
  <c r="J940" i="35"/>
  <c r="K940" i="35"/>
  <c r="L940" i="35"/>
  <c r="M940" i="35"/>
  <c r="N940" i="35"/>
  <c r="O940" i="35"/>
  <c r="J941" i="35"/>
  <c r="K941" i="35"/>
  <c r="L941" i="35"/>
  <c r="M941" i="35"/>
  <c r="N941" i="35"/>
  <c r="O941" i="35"/>
  <c r="J942" i="35"/>
  <c r="K942" i="35"/>
  <c r="L942" i="35"/>
  <c r="M942" i="35"/>
  <c r="N942" i="35"/>
  <c r="O942" i="35"/>
  <c r="J943" i="35"/>
  <c r="K943" i="35"/>
  <c r="L943" i="35"/>
  <c r="M943" i="35"/>
  <c r="N943" i="35"/>
  <c r="O943" i="35"/>
  <c r="J944" i="35"/>
  <c r="K944" i="35"/>
  <c r="L944" i="35"/>
  <c r="M944" i="35"/>
  <c r="N944" i="35"/>
  <c r="O944" i="35"/>
  <c r="J517" i="34"/>
  <c r="K517" i="34"/>
  <c r="L517" i="34"/>
  <c r="M517" i="34"/>
  <c r="N517" i="34"/>
  <c r="O517" i="34"/>
  <c r="J918" i="35"/>
  <c r="K918" i="35"/>
  <c r="L918" i="35"/>
  <c r="M918" i="35"/>
  <c r="N918" i="35"/>
  <c r="O918" i="35"/>
  <c r="J919" i="35"/>
  <c r="K919" i="35"/>
  <c r="L919" i="35"/>
  <c r="M919" i="35"/>
  <c r="N919" i="35"/>
  <c r="O919" i="35"/>
  <c r="J920" i="35"/>
  <c r="K920" i="35"/>
  <c r="L920" i="35"/>
  <c r="M920" i="35"/>
  <c r="N920" i="35"/>
  <c r="O920" i="35"/>
  <c r="J921" i="35"/>
  <c r="K921" i="35"/>
  <c r="L921" i="35"/>
  <c r="M921" i="35"/>
  <c r="N921" i="35"/>
  <c r="O921" i="35"/>
  <c r="J922" i="35"/>
  <c r="K922" i="35"/>
  <c r="L922" i="35"/>
  <c r="M922" i="35"/>
  <c r="N922" i="35"/>
  <c r="O922" i="35"/>
  <c r="J923" i="35"/>
  <c r="K923" i="35"/>
  <c r="L923" i="35"/>
  <c r="M923" i="35"/>
  <c r="N923" i="35"/>
  <c r="O923" i="35"/>
  <c r="J924" i="35"/>
  <c r="K924" i="35"/>
  <c r="L924" i="35"/>
  <c r="M924" i="35"/>
  <c r="N924" i="35"/>
  <c r="O924" i="35"/>
  <c r="J925" i="35"/>
  <c r="K925" i="35"/>
  <c r="L925" i="35"/>
  <c r="M925" i="35"/>
  <c r="N925" i="35"/>
  <c r="O925" i="35"/>
  <c r="J926" i="35"/>
  <c r="K926" i="35"/>
  <c r="L926" i="35"/>
  <c r="M926" i="35"/>
  <c r="N926" i="35"/>
  <c r="O926" i="35"/>
  <c r="J927" i="35"/>
  <c r="K927" i="35"/>
  <c r="L927" i="35"/>
  <c r="M927" i="35"/>
  <c r="N927" i="35"/>
  <c r="O927" i="35"/>
  <c r="J501" i="34"/>
  <c r="K501" i="34"/>
  <c r="L501" i="34"/>
  <c r="M501" i="34"/>
  <c r="N501" i="34"/>
  <c r="O501" i="34"/>
  <c r="J901" i="35"/>
  <c r="K901" i="35"/>
  <c r="L901" i="35"/>
  <c r="M901" i="35"/>
  <c r="N901" i="35"/>
  <c r="O901" i="35"/>
  <c r="J902" i="35"/>
  <c r="K902" i="35"/>
  <c r="L902" i="35"/>
  <c r="M902" i="35"/>
  <c r="N902" i="35"/>
  <c r="O902" i="35"/>
  <c r="J903" i="35"/>
  <c r="K903" i="35"/>
  <c r="L903" i="35"/>
  <c r="M903" i="35"/>
  <c r="N903" i="35"/>
  <c r="O903" i="35"/>
  <c r="J904" i="35"/>
  <c r="K904" i="35"/>
  <c r="L904" i="35"/>
  <c r="M904" i="35"/>
  <c r="N904" i="35"/>
  <c r="O904" i="35"/>
  <c r="J905" i="35"/>
  <c r="K905" i="35"/>
  <c r="L905" i="35"/>
  <c r="M905" i="35"/>
  <c r="N905" i="35"/>
  <c r="O905" i="35"/>
  <c r="J906" i="35"/>
  <c r="K906" i="35"/>
  <c r="L906" i="35"/>
  <c r="M906" i="35"/>
  <c r="N906" i="35"/>
  <c r="O906" i="35"/>
  <c r="J907" i="35"/>
  <c r="K907" i="35"/>
  <c r="L907" i="35"/>
  <c r="M907" i="35"/>
  <c r="N907" i="35"/>
  <c r="O907" i="35"/>
  <c r="J908" i="35"/>
  <c r="K908" i="35"/>
  <c r="L908" i="35"/>
  <c r="M908" i="35"/>
  <c r="N908" i="35"/>
  <c r="O908" i="35"/>
  <c r="J909" i="35"/>
  <c r="K909" i="35"/>
  <c r="L909" i="35"/>
  <c r="M909" i="35"/>
  <c r="N909" i="35"/>
  <c r="O909" i="35"/>
  <c r="J910" i="35"/>
  <c r="K910" i="35"/>
  <c r="L910" i="35"/>
  <c r="M910" i="35"/>
  <c r="N910" i="35"/>
  <c r="O910" i="35"/>
  <c r="J485" i="34"/>
  <c r="K485" i="34"/>
  <c r="L485" i="34"/>
  <c r="M485" i="34"/>
  <c r="N485" i="34"/>
  <c r="O485" i="34"/>
  <c r="J884" i="35"/>
  <c r="K884" i="35"/>
  <c r="L884" i="35"/>
  <c r="M884" i="35"/>
  <c r="N884" i="35"/>
  <c r="O884" i="35"/>
  <c r="J885" i="35"/>
  <c r="K885" i="35"/>
  <c r="L885" i="35"/>
  <c r="M885" i="35"/>
  <c r="N885" i="35"/>
  <c r="O885" i="35"/>
  <c r="J886" i="35"/>
  <c r="K886" i="35"/>
  <c r="L886" i="35"/>
  <c r="M886" i="35"/>
  <c r="N886" i="35"/>
  <c r="O886" i="35"/>
  <c r="J887" i="35"/>
  <c r="K887" i="35"/>
  <c r="L887" i="35"/>
  <c r="M887" i="35"/>
  <c r="N887" i="35"/>
  <c r="O887" i="35"/>
  <c r="J888" i="35"/>
  <c r="K888" i="35"/>
  <c r="L888" i="35"/>
  <c r="M888" i="35"/>
  <c r="N888" i="35"/>
  <c r="O888" i="35"/>
  <c r="J889" i="35"/>
  <c r="K889" i="35"/>
  <c r="L889" i="35"/>
  <c r="M889" i="35"/>
  <c r="N889" i="35"/>
  <c r="O889" i="35"/>
  <c r="J890" i="35"/>
  <c r="K890" i="35"/>
  <c r="L890" i="35"/>
  <c r="M890" i="35"/>
  <c r="N890" i="35"/>
  <c r="O890" i="35"/>
  <c r="J891" i="35"/>
  <c r="K891" i="35"/>
  <c r="L891" i="35"/>
  <c r="M891" i="35"/>
  <c r="N891" i="35"/>
  <c r="O891" i="35"/>
  <c r="J892" i="35"/>
  <c r="K892" i="35"/>
  <c r="L892" i="35"/>
  <c r="M892" i="35"/>
  <c r="N892" i="35"/>
  <c r="O892" i="35"/>
  <c r="J893" i="35"/>
  <c r="K893" i="35"/>
  <c r="L893" i="35"/>
  <c r="M893" i="35"/>
  <c r="N893" i="35"/>
  <c r="O893" i="35"/>
  <c r="J469" i="34"/>
  <c r="K469" i="34"/>
  <c r="L469" i="34"/>
  <c r="M469" i="34"/>
  <c r="N469" i="34"/>
  <c r="O469" i="34"/>
  <c r="J867" i="35"/>
  <c r="K867" i="35"/>
  <c r="L867" i="35"/>
  <c r="M867" i="35"/>
  <c r="N867" i="35"/>
  <c r="O867" i="35"/>
  <c r="J868" i="35"/>
  <c r="K868" i="35"/>
  <c r="L868" i="35"/>
  <c r="M868" i="35"/>
  <c r="N868" i="35"/>
  <c r="O868" i="35"/>
  <c r="J869" i="35"/>
  <c r="K869" i="35"/>
  <c r="L869" i="35"/>
  <c r="M869" i="35"/>
  <c r="N869" i="35"/>
  <c r="O869" i="35"/>
  <c r="J870" i="35"/>
  <c r="K870" i="35"/>
  <c r="L870" i="35"/>
  <c r="M870" i="35"/>
  <c r="N870" i="35"/>
  <c r="O870" i="35"/>
  <c r="J871" i="35"/>
  <c r="K871" i="35"/>
  <c r="L871" i="35"/>
  <c r="M871" i="35"/>
  <c r="N871" i="35"/>
  <c r="O871" i="35"/>
  <c r="J872" i="35"/>
  <c r="K872" i="35"/>
  <c r="L872" i="35"/>
  <c r="M872" i="35"/>
  <c r="N872" i="35"/>
  <c r="O872" i="35"/>
  <c r="J873" i="35"/>
  <c r="K873" i="35"/>
  <c r="L873" i="35"/>
  <c r="M873" i="35"/>
  <c r="N873" i="35"/>
  <c r="O873" i="35"/>
  <c r="J874" i="35"/>
  <c r="K874" i="35"/>
  <c r="L874" i="35"/>
  <c r="M874" i="35"/>
  <c r="N874" i="35"/>
  <c r="O874" i="35"/>
  <c r="J875" i="35"/>
  <c r="K875" i="35"/>
  <c r="L875" i="35"/>
  <c r="M875" i="35"/>
  <c r="N875" i="35"/>
  <c r="O875" i="35"/>
  <c r="J876" i="35"/>
  <c r="K876" i="35"/>
  <c r="L876" i="35"/>
  <c r="M876" i="35"/>
  <c r="N876" i="35"/>
  <c r="O876" i="35"/>
  <c r="J453" i="34"/>
  <c r="K453" i="34"/>
  <c r="L453" i="34"/>
  <c r="M453" i="34"/>
  <c r="N453" i="34"/>
  <c r="O453" i="34"/>
  <c r="J850" i="35"/>
  <c r="K850" i="35"/>
  <c r="L850" i="35"/>
  <c r="M850" i="35"/>
  <c r="N850" i="35"/>
  <c r="O850" i="35"/>
  <c r="J851" i="35"/>
  <c r="K851" i="35"/>
  <c r="L851" i="35"/>
  <c r="M851" i="35"/>
  <c r="N851" i="35"/>
  <c r="O851" i="35"/>
  <c r="J852" i="35"/>
  <c r="K852" i="35"/>
  <c r="L852" i="35"/>
  <c r="M852" i="35"/>
  <c r="N852" i="35"/>
  <c r="O852" i="35"/>
  <c r="J853" i="35"/>
  <c r="K853" i="35"/>
  <c r="L853" i="35"/>
  <c r="M853" i="35"/>
  <c r="N853" i="35"/>
  <c r="O853" i="35"/>
  <c r="J854" i="35"/>
  <c r="K854" i="35"/>
  <c r="L854" i="35"/>
  <c r="M854" i="35"/>
  <c r="N854" i="35"/>
  <c r="O854" i="35"/>
  <c r="J855" i="35"/>
  <c r="K855" i="35"/>
  <c r="L855" i="35"/>
  <c r="M855" i="35"/>
  <c r="N855" i="35"/>
  <c r="O855" i="35"/>
  <c r="J856" i="35"/>
  <c r="K856" i="35"/>
  <c r="L856" i="35"/>
  <c r="M856" i="35"/>
  <c r="N856" i="35"/>
  <c r="O856" i="35"/>
  <c r="J857" i="35"/>
  <c r="K857" i="35"/>
  <c r="L857" i="35"/>
  <c r="M857" i="35"/>
  <c r="N857" i="35"/>
  <c r="O857" i="35"/>
  <c r="J858" i="35"/>
  <c r="K858" i="35"/>
  <c r="L858" i="35"/>
  <c r="M858" i="35"/>
  <c r="N858" i="35"/>
  <c r="O858" i="35"/>
  <c r="J859" i="35"/>
  <c r="K859" i="35"/>
  <c r="L859" i="35"/>
  <c r="M859" i="35"/>
  <c r="N859" i="35"/>
  <c r="O859" i="35"/>
  <c r="J437" i="34"/>
  <c r="K437" i="34"/>
  <c r="L437" i="34"/>
  <c r="M437" i="34"/>
  <c r="N437" i="34"/>
  <c r="O437" i="34"/>
  <c r="J833" i="35"/>
  <c r="K833" i="35"/>
  <c r="L833" i="35"/>
  <c r="M833" i="35"/>
  <c r="N833" i="35"/>
  <c r="O833" i="35"/>
  <c r="J834" i="35"/>
  <c r="K834" i="35"/>
  <c r="L834" i="35"/>
  <c r="M834" i="35"/>
  <c r="N834" i="35"/>
  <c r="O834" i="35"/>
  <c r="J835" i="35"/>
  <c r="K835" i="35"/>
  <c r="L835" i="35"/>
  <c r="M835" i="35"/>
  <c r="N835" i="35"/>
  <c r="O835" i="35"/>
  <c r="J836" i="35"/>
  <c r="K836" i="35"/>
  <c r="L836" i="35"/>
  <c r="M836" i="35"/>
  <c r="N836" i="35"/>
  <c r="O836" i="35"/>
  <c r="J837" i="35"/>
  <c r="K837" i="35"/>
  <c r="L837" i="35"/>
  <c r="M837" i="35"/>
  <c r="N837" i="35"/>
  <c r="O837" i="35"/>
  <c r="J838" i="35"/>
  <c r="K838" i="35"/>
  <c r="L838" i="35"/>
  <c r="M838" i="35"/>
  <c r="N838" i="35"/>
  <c r="O838" i="35"/>
  <c r="J839" i="35"/>
  <c r="K839" i="35"/>
  <c r="L839" i="35"/>
  <c r="M839" i="35"/>
  <c r="N839" i="35"/>
  <c r="O839" i="35"/>
  <c r="J840" i="35"/>
  <c r="K840" i="35"/>
  <c r="L840" i="35"/>
  <c r="M840" i="35"/>
  <c r="N840" i="35"/>
  <c r="O840" i="35"/>
  <c r="J841" i="35"/>
  <c r="K841" i="35"/>
  <c r="L841" i="35"/>
  <c r="M841" i="35"/>
  <c r="N841" i="35"/>
  <c r="O841" i="35"/>
  <c r="J842" i="35"/>
  <c r="K842" i="35"/>
  <c r="L842" i="35"/>
  <c r="M842" i="35"/>
  <c r="N842" i="35"/>
  <c r="O842" i="35"/>
  <c r="J421" i="34"/>
  <c r="K421" i="34"/>
  <c r="L421" i="34"/>
  <c r="M421" i="34"/>
  <c r="N421" i="34"/>
  <c r="O421" i="34"/>
  <c r="D2529" i="33"/>
  <c r="D1208" i="35" s="1"/>
  <c r="D122" i="155" s="1"/>
  <c r="D2530" i="33"/>
  <c r="D1209" i="35" s="1"/>
  <c r="D123" i="155" s="1"/>
  <c r="D2531" i="33"/>
  <c r="D461" i="34" s="1"/>
  <c r="D2532" i="33"/>
  <c r="D1814" i="36" s="1"/>
  <c r="D2533" i="33"/>
  <c r="D1187" i="35" s="1"/>
  <c r="D100" i="155" s="1"/>
  <c r="D2534" i="33"/>
  <c r="D1188" i="35" s="1"/>
  <c r="D101" i="155" s="1"/>
  <c r="D2535" i="33"/>
  <c r="D1202" i="35" s="1"/>
  <c r="D115" i="155" s="1"/>
  <c r="D2536" i="33"/>
  <c r="D1203" i="35" s="1"/>
  <c r="D116" i="155" s="1"/>
  <c r="D2537" i="33"/>
  <c r="D1216" i="35" s="1"/>
  <c r="D130" i="155" s="1"/>
  <c r="D2538" i="33"/>
  <c r="D1217" i="35" s="1"/>
  <c r="D131" i="155" s="1"/>
  <c r="L210" i="19" l="1"/>
  <c r="J209" i="19"/>
  <c r="N207" i="19"/>
  <c r="L206" i="19"/>
  <c r="J205" i="19"/>
  <c r="N203" i="19"/>
  <c r="L202" i="19"/>
  <c r="J201" i="19"/>
  <c r="K203" i="19"/>
  <c r="O201" i="19"/>
  <c r="J210" i="19"/>
  <c r="N208" i="19"/>
  <c r="L207" i="19"/>
  <c r="J206" i="19"/>
  <c r="N204" i="19"/>
  <c r="L203" i="19"/>
  <c r="J202" i="19"/>
  <c r="N209" i="19"/>
  <c r="L208" i="19"/>
  <c r="J207" i="19"/>
  <c r="N205" i="19"/>
  <c r="L204" i="19"/>
  <c r="J203" i="19"/>
  <c r="N201" i="19"/>
  <c r="O210" i="19"/>
  <c r="M209" i="19"/>
  <c r="K208" i="19"/>
  <c r="O206" i="19"/>
  <c r="M205" i="19"/>
  <c r="K204" i="19"/>
  <c r="O202" i="19"/>
  <c r="M201" i="19"/>
  <c r="N210" i="19"/>
  <c r="L209" i="19"/>
  <c r="J208" i="19"/>
  <c r="N206" i="19"/>
  <c r="L205" i="19"/>
  <c r="J204" i="19"/>
  <c r="N202" i="19"/>
  <c r="L201" i="19"/>
  <c r="M210" i="19"/>
  <c r="K210" i="19"/>
  <c r="O208" i="19"/>
  <c r="M207" i="19"/>
  <c r="K206" i="19"/>
  <c r="O204" i="19"/>
  <c r="M203" i="19"/>
  <c r="O209" i="19"/>
  <c r="M208" i="19"/>
  <c r="K207" i="19"/>
  <c r="O205" i="19"/>
  <c r="M204" i="19"/>
  <c r="K202" i="19"/>
  <c r="K209" i="19"/>
  <c r="O207" i="19"/>
  <c r="M206" i="19"/>
  <c r="K205" i="19"/>
  <c r="O203" i="19"/>
  <c r="M202" i="19"/>
  <c r="K201" i="19"/>
  <c r="D203" i="19"/>
  <c r="D217" i="19"/>
  <c r="D210" i="19"/>
  <c r="D224" i="19"/>
  <c r="D202" i="19"/>
  <c r="D216" i="19"/>
  <c r="D1921" i="35"/>
  <c r="C96" i="148" s="1"/>
  <c r="L1431" i="35"/>
  <c r="D1516" i="35"/>
  <c r="C98" i="147" s="1"/>
  <c r="D31" i="153"/>
  <c r="D57" i="153"/>
  <c r="D38" i="154"/>
  <c r="D64" i="154"/>
  <c r="D32" i="154"/>
  <c r="D58" i="154"/>
  <c r="D30" i="153"/>
  <c r="D56" i="153"/>
  <c r="D38" i="153"/>
  <c r="D64" i="153"/>
  <c r="D31" i="156"/>
  <c r="D57" i="156"/>
  <c r="D36" i="156"/>
  <c r="D62" i="156"/>
  <c r="D38" i="156"/>
  <c r="D64" i="156"/>
  <c r="D29" i="156"/>
  <c r="D55" i="156"/>
  <c r="D35" i="153"/>
  <c r="D61" i="153"/>
  <c r="D33" i="154"/>
  <c r="D59" i="154"/>
  <c r="D37" i="156"/>
  <c r="D63" i="156"/>
  <c r="D29" i="153"/>
  <c r="D55" i="153"/>
  <c r="D34" i="154"/>
  <c r="D60" i="154"/>
  <c r="D34" i="156"/>
  <c r="D60" i="156"/>
  <c r="D31" i="154"/>
  <c r="D57" i="154"/>
  <c r="D34" i="153"/>
  <c r="D60" i="153"/>
  <c r="D37" i="153"/>
  <c r="D63" i="153"/>
  <c r="D32" i="153"/>
  <c r="D58" i="153"/>
  <c r="D36" i="153"/>
  <c r="D62" i="153"/>
  <c r="D36" i="154"/>
  <c r="D62" i="154"/>
  <c r="D29" i="154"/>
  <c r="D55" i="154"/>
  <c r="D35" i="156"/>
  <c r="D61" i="156"/>
  <c r="D32" i="156"/>
  <c r="D58" i="156"/>
  <c r="D35" i="154"/>
  <c r="D61" i="154"/>
  <c r="D33" i="153"/>
  <c r="D59" i="153"/>
  <c r="D37" i="154"/>
  <c r="D63" i="154"/>
  <c r="D30" i="154"/>
  <c r="D56" i="154"/>
  <c r="D30" i="156"/>
  <c r="D56" i="156"/>
  <c r="D1468" i="35"/>
  <c r="D1836" i="35"/>
  <c r="D2247" i="35"/>
  <c r="D1840" i="35"/>
  <c r="D1476" i="35"/>
  <c r="D1464" i="35"/>
  <c r="C70" i="147" s="1"/>
  <c r="D1445" i="35"/>
  <c r="C35" i="147" s="1"/>
  <c r="D1509" i="35"/>
  <c r="C91" i="147" s="1"/>
  <c r="D2324" i="35"/>
  <c r="C92" i="150" s="1"/>
  <c r="M1430" i="35"/>
  <c r="M20" i="147"/>
  <c r="N1435" i="35"/>
  <c r="N25" i="147"/>
  <c r="N1834" i="35"/>
  <c r="N17" i="148"/>
  <c r="J2241" i="35"/>
  <c r="J17" i="150"/>
  <c r="L1436" i="35"/>
  <c r="L26" i="147"/>
  <c r="M1432" i="35"/>
  <c r="M22" i="147"/>
  <c r="M1428" i="35"/>
  <c r="M18" i="147"/>
  <c r="L1434" i="35"/>
  <c r="L24" i="147"/>
  <c r="O1428" i="35"/>
  <c r="O18" i="147"/>
  <c r="J1834" i="35"/>
  <c r="J17" i="148"/>
  <c r="O1836" i="35"/>
  <c r="O19" i="148"/>
  <c r="O1835" i="35"/>
  <c r="O18" i="148"/>
  <c r="O2243" i="35"/>
  <c r="O19" i="150"/>
  <c r="N2250" i="35"/>
  <c r="N26" i="150"/>
  <c r="L2243" i="35"/>
  <c r="L19" i="150"/>
  <c r="N1433" i="35"/>
  <c r="N23" i="147"/>
  <c r="N1432" i="35"/>
  <c r="N22" i="147"/>
  <c r="N2241" i="35"/>
  <c r="N17" i="150"/>
  <c r="J1435" i="35"/>
  <c r="J25" i="147"/>
  <c r="O1436" i="35"/>
  <c r="O26" i="147"/>
  <c r="L1835" i="35"/>
  <c r="L18" i="148"/>
  <c r="M1839" i="35"/>
  <c r="M22" i="148"/>
  <c r="M1838" i="35"/>
  <c r="M21" i="148"/>
  <c r="J1836" i="35"/>
  <c r="J19" i="148"/>
  <c r="J1843" i="35"/>
  <c r="J26" i="148"/>
  <c r="N1841" i="35"/>
  <c r="N24" i="148"/>
  <c r="N2242" i="35"/>
  <c r="N18" i="150"/>
  <c r="O2250" i="35"/>
  <c r="O26" i="150"/>
  <c r="J2243" i="35"/>
  <c r="J19" i="150"/>
  <c r="N1843" i="35"/>
  <c r="N26" i="148"/>
  <c r="J1430" i="35"/>
  <c r="J20" i="147"/>
  <c r="N1427" i="35"/>
  <c r="N17" i="147"/>
  <c r="N1836" i="35"/>
  <c r="N19" i="148"/>
  <c r="O1840" i="35"/>
  <c r="O23" i="148"/>
  <c r="N1835" i="35"/>
  <c r="N18" i="148"/>
  <c r="O1839" i="35"/>
  <c r="O22" i="148"/>
  <c r="L1837" i="35"/>
  <c r="L20" i="148"/>
  <c r="M1837" i="35"/>
  <c r="M20" i="148"/>
  <c r="L2242" i="35"/>
  <c r="L18" i="150"/>
  <c r="J2244" i="35"/>
  <c r="J20" i="150"/>
  <c r="M2241" i="35"/>
  <c r="M17" i="150"/>
  <c r="L2244" i="35"/>
  <c r="L20" i="150"/>
  <c r="L2247" i="35"/>
  <c r="L23" i="150"/>
  <c r="M1435" i="35"/>
  <c r="M25" i="147"/>
  <c r="O1834" i="35"/>
  <c r="O17" i="148"/>
  <c r="L2241" i="35"/>
  <c r="L17" i="150"/>
  <c r="M2249" i="35"/>
  <c r="M25" i="150"/>
  <c r="M1434" i="35"/>
  <c r="M24" i="147"/>
  <c r="L1432" i="35"/>
  <c r="L22" i="147"/>
  <c r="L1433" i="35"/>
  <c r="L23" i="147"/>
  <c r="O1430" i="35"/>
  <c r="O20" i="147"/>
  <c r="M1836" i="35"/>
  <c r="M19" i="148"/>
  <c r="K27" i="147"/>
  <c r="J1837" i="35"/>
  <c r="J20" i="148"/>
  <c r="N1838" i="35"/>
  <c r="N21" i="148"/>
  <c r="O1838" i="35"/>
  <c r="O21" i="148"/>
  <c r="N2243" i="35"/>
  <c r="N19" i="150"/>
  <c r="L2245" i="35"/>
  <c r="L21" i="150"/>
  <c r="O2242" i="35"/>
  <c r="O18" i="150"/>
  <c r="N2245" i="35"/>
  <c r="N21" i="150"/>
  <c r="N2248" i="35"/>
  <c r="N24" i="150"/>
  <c r="L1427" i="35"/>
  <c r="L17" i="147"/>
  <c r="O1435" i="35"/>
  <c r="O25" i="147"/>
  <c r="M1433" i="35"/>
  <c r="M23" i="147"/>
  <c r="L1839" i="35"/>
  <c r="L22" i="148"/>
  <c r="M1429" i="35"/>
  <c r="M19" i="147"/>
  <c r="K27" i="148"/>
  <c r="L1838" i="35"/>
  <c r="L21" i="148"/>
  <c r="J1436" i="35"/>
  <c r="J26" i="147"/>
  <c r="M1842" i="35"/>
  <c r="M25" i="148"/>
  <c r="J1840" i="35"/>
  <c r="J23" i="148"/>
  <c r="N2246" i="35"/>
  <c r="N22" i="150"/>
  <c r="J2247" i="35"/>
  <c r="J23" i="150"/>
  <c r="J2250" i="35"/>
  <c r="J26" i="150"/>
  <c r="O2244" i="35"/>
  <c r="O20" i="150"/>
  <c r="J1427" i="35"/>
  <c r="J17" i="147"/>
  <c r="O1434" i="35"/>
  <c r="O24" i="147"/>
  <c r="M1431" i="35"/>
  <c r="M21" i="147"/>
  <c r="N1431" i="35"/>
  <c r="N21" i="147"/>
  <c r="N1840" i="35"/>
  <c r="N23" i="148"/>
  <c r="N1839" i="35"/>
  <c r="N22" i="148"/>
  <c r="O1843" i="35"/>
  <c r="O26" i="148"/>
  <c r="L1841" i="35"/>
  <c r="L24" i="148"/>
  <c r="M1841" i="35"/>
  <c r="M24" i="148"/>
  <c r="L1836" i="35"/>
  <c r="L19" i="148"/>
  <c r="K27" i="150"/>
  <c r="L2246" i="35"/>
  <c r="L22" i="150"/>
  <c r="J2248" i="35"/>
  <c r="J24" i="150"/>
  <c r="M2245" i="35"/>
  <c r="M21" i="150"/>
  <c r="L2248" i="35"/>
  <c r="L24" i="150"/>
  <c r="L1842" i="35"/>
  <c r="L25" i="148"/>
  <c r="J1433" i="35"/>
  <c r="J23" i="147"/>
  <c r="O1433" i="35"/>
  <c r="O23" i="147"/>
  <c r="M1840" i="35"/>
  <c r="M23" i="148"/>
  <c r="M1835" i="35"/>
  <c r="M18" i="148"/>
  <c r="J1841" i="35"/>
  <c r="J24" i="148"/>
  <c r="M1834" i="35"/>
  <c r="M17" i="148"/>
  <c r="N1837" i="35"/>
  <c r="N20" i="148"/>
  <c r="M2242" i="35"/>
  <c r="M18" i="150"/>
  <c r="N2247" i="35"/>
  <c r="N23" i="150"/>
  <c r="L2249" i="35"/>
  <c r="L25" i="150"/>
  <c r="O2246" i="35"/>
  <c r="O22" i="150"/>
  <c r="N2249" i="35"/>
  <c r="N25" i="150"/>
  <c r="J2242" i="35"/>
  <c r="J18" i="150"/>
  <c r="J1431" i="35"/>
  <c r="J21" i="147"/>
  <c r="K1429" i="35"/>
  <c r="K2248" i="35"/>
  <c r="K1837" i="35"/>
  <c r="K2245" i="35"/>
  <c r="K2250" i="35"/>
  <c r="K1836" i="35"/>
  <c r="K1433" i="35"/>
  <c r="K1835" i="35"/>
  <c r="K2242" i="35"/>
  <c r="K1427" i="35"/>
  <c r="K1841" i="35"/>
  <c r="K1435" i="35"/>
  <c r="K1834" i="35"/>
  <c r="K1840" i="35"/>
  <c r="K2244" i="35"/>
  <c r="K1436" i="35"/>
  <c r="K1431" i="35"/>
  <c r="K1839" i="35"/>
  <c r="K2241" i="35"/>
  <c r="K2246" i="35"/>
  <c r="D1455" i="35"/>
  <c r="C61" i="147" s="1"/>
  <c r="D1508" i="35"/>
  <c r="C90" i="147" s="1"/>
  <c r="D122" i="144"/>
  <c r="D109" i="144"/>
  <c r="D96" i="144"/>
  <c r="D83" i="144"/>
  <c r="D55" i="144"/>
  <c r="D224" i="30"/>
  <c r="C70" i="143" s="1"/>
  <c r="D62" i="144"/>
  <c r="D206" i="30"/>
  <c r="D61" i="144"/>
  <c r="D205" i="30"/>
  <c r="D60" i="144"/>
  <c r="D187" i="30"/>
  <c r="D59" i="144"/>
  <c r="D186" i="30"/>
  <c r="D58" i="144"/>
  <c r="D25" i="32"/>
  <c r="D57" i="144"/>
  <c r="D32" i="32"/>
  <c r="D64" i="144"/>
  <c r="D24" i="32"/>
  <c r="D56" i="144"/>
  <c r="D225" i="30"/>
  <c r="C71" i="143" s="1"/>
  <c r="D63" i="144"/>
  <c r="D217" i="30"/>
  <c r="C63" i="143" s="1"/>
  <c r="D1854" i="35"/>
  <c r="C37" i="148" s="1"/>
  <c r="D1881" i="35"/>
  <c r="D1868" i="35"/>
  <c r="C67" i="148" s="1"/>
  <c r="D42" i="144"/>
  <c r="D29" i="144"/>
  <c r="D16" i="144"/>
  <c r="D1864" i="35"/>
  <c r="C63" i="148" s="1"/>
  <c r="D1850" i="35"/>
  <c r="D1917" i="35"/>
  <c r="C92" i="148" s="1"/>
  <c r="D1877" i="35"/>
  <c r="C17" i="143"/>
  <c r="D1442" i="35"/>
  <c r="D1450" i="35"/>
  <c r="D2328" i="35"/>
  <c r="C96" i="150" s="1"/>
  <c r="D1512" i="35"/>
  <c r="C94" i="147" s="1"/>
  <c r="D1472" i="35"/>
  <c r="D1459" i="35"/>
  <c r="C65" i="147" s="1"/>
  <c r="D1431" i="35"/>
  <c r="D1436" i="35"/>
  <c r="D2257" i="35"/>
  <c r="D2271" i="35"/>
  <c r="C63" i="150" s="1"/>
  <c r="D2284" i="35"/>
  <c r="D2243" i="35"/>
  <c r="D1441" i="35"/>
  <c r="D1456" i="35"/>
  <c r="C62" i="147" s="1"/>
  <c r="D1427" i="35"/>
  <c r="D1469" i="35"/>
  <c r="D1428" i="35"/>
  <c r="J125" i="20"/>
  <c r="J59" i="140" s="1"/>
  <c r="N123" i="20"/>
  <c r="N57" i="140" s="1"/>
  <c r="L122" i="20"/>
  <c r="L56" i="140" s="1"/>
  <c r="J121" i="20"/>
  <c r="J55" i="140" s="1"/>
  <c r="N119" i="20"/>
  <c r="N53" i="140" s="1"/>
  <c r="L118" i="20"/>
  <c r="L52" i="140" s="1"/>
  <c r="J117" i="20"/>
  <c r="J51" i="140" s="1"/>
  <c r="D2261" i="35"/>
  <c r="D2275" i="35"/>
  <c r="C67" i="150" s="1"/>
  <c r="D2288" i="35"/>
  <c r="O124" i="20"/>
  <c r="O58" i="140" s="1"/>
  <c r="M123" i="20"/>
  <c r="M57" i="140" s="1"/>
  <c r="K122" i="20"/>
  <c r="K56" i="140" s="1"/>
  <c r="M125" i="20"/>
  <c r="M59" i="140" s="1"/>
  <c r="K124" i="20"/>
  <c r="K58" i="140" s="1"/>
  <c r="O122" i="20"/>
  <c r="O56" i="140" s="1"/>
  <c r="M121" i="20"/>
  <c r="M55" i="140" s="1"/>
  <c r="K120" i="20"/>
  <c r="K54" i="140" s="1"/>
  <c r="M198" i="31"/>
  <c r="K197" i="31"/>
  <c r="M194" i="31"/>
  <c r="K193" i="31"/>
  <c r="M190" i="31"/>
  <c r="N124" i="20"/>
  <c r="N58" i="140" s="1"/>
  <c r="L123" i="20"/>
  <c r="L57" i="140" s="1"/>
  <c r="J122" i="20"/>
  <c r="J56" i="140" s="1"/>
  <c r="N120" i="20"/>
  <c r="N54" i="140" s="1"/>
  <c r="L119" i="20"/>
  <c r="L53" i="140" s="1"/>
  <c r="J118" i="20"/>
  <c r="J52" i="140" s="1"/>
  <c r="O118" i="20"/>
  <c r="O52" i="140" s="1"/>
  <c r="M117" i="20"/>
  <c r="M51" i="140" s="1"/>
  <c r="K116" i="20"/>
  <c r="K50" i="140" s="1"/>
  <c r="O120" i="20"/>
  <c r="O54" i="140" s="1"/>
  <c r="M119" i="20"/>
  <c r="M53" i="140" s="1"/>
  <c r="K118" i="20"/>
  <c r="K52" i="140" s="1"/>
  <c r="O116" i="20"/>
  <c r="O50" i="140" s="1"/>
  <c r="L125" i="20"/>
  <c r="L59" i="140" s="1"/>
  <c r="J124" i="20"/>
  <c r="J58" i="140" s="1"/>
  <c r="N122" i="20"/>
  <c r="N56" i="140" s="1"/>
  <c r="L121" i="20"/>
  <c r="L55" i="140" s="1"/>
  <c r="J120" i="20"/>
  <c r="J54" i="140" s="1"/>
  <c r="N118" i="20"/>
  <c r="N52" i="140" s="1"/>
  <c r="L117" i="20"/>
  <c r="L51" i="140" s="1"/>
  <c r="J116" i="20"/>
  <c r="J50" i="140" s="1"/>
  <c r="D1477" i="35"/>
  <c r="D1449" i="35"/>
  <c r="D1517" i="35"/>
  <c r="C99" i="147" s="1"/>
  <c r="D1463" i="35"/>
  <c r="C69" i="147" s="1"/>
  <c r="D1435" i="35"/>
  <c r="N125" i="20"/>
  <c r="N59" i="140" s="1"/>
  <c r="L124" i="20"/>
  <c r="L58" i="140" s="1"/>
  <c r="J123" i="20"/>
  <c r="J57" i="140" s="1"/>
  <c r="N121" i="20"/>
  <c r="N55" i="140" s="1"/>
  <c r="L120" i="20"/>
  <c r="L54" i="140" s="1"/>
  <c r="J119" i="20"/>
  <c r="J53" i="140" s="1"/>
  <c r="N117" i="20"/>
  <c r="N51" i="140" s="1"/>
  <c r="L116" i="20"/>
  <c r="L50" i="140" s="1"/>
  <c r="D128" i="21"/>
  <c r="D94" i="19" s="1"/>
  <c r="O2245" i="35"/>
  <c r="D2276" i="35"/>
  <c r="C68" i="150" s="1"/>
  <c r="D2262" i="35"/>
  <c r="C38" i="150" s="1"/>
  <c r="D2329" i="35"/>
  <c r="C97" i="150" s="1"/>
  <c r="D2248" i="35"/>
  <c r="D2289" i="35"/>
  <c r="K2247" i="35"/>
  <c r="D2260" i="35"/>
  <c r="C36" i="150" s="1"/>
  <c r="D2327" i="35"/>
  <c r="C95" i="150" s="1"/>
  <c r="D2246" i="35"/>
  <c r="D2287" i="35"/>
  <c r="D2274" i="35"/>
  <c r="C66" i="150" s="1"/>
  <c r="D2282" i="35"/>
  <c r="D2269" i="35"/>
  <c r="C61" i="150" s="1"/>
  <c r="D2255" i="35"/>
  <c r="C31" i="150" s="1"/>
  <c r="D2322" i="35"/>
  <c r="C90" i="150" s="1"/>
  <c r="D2241" i="35"/>
  <c r="D2259" i="35"/>
  <c r="C35" i="150" s="1"/>
  <c r="D2326" i="35"/>
  <c r="C94" i="150" s="1"/>
  <c r="D2245" i="35"/>
  <c r="D2286" i="35"/>
  <c r="D2273" i="35"/>
  <c r="C65" i="150" s="1"/>
  <c r="M2248" i="35"/>
  <c r="D2290" i="35"/>
  <c r="D2277" i="35"/>
  <c r="C69" i="150" s="1"/>
  <c r="D2263" i="35"/>
  <c r="C39" i="150" s="1"/>
  <c r="D2330" i="35"/>
  <c r="C98" i="150" s="1"/>
  <c r="D2249" i="35"/>
  <c r="O2249" i="35"/>
  <c r="J2245" i="35"/>
  <c r="D2283" i="35"/>
  <c r="D2270" i="35"/>
  <c r="C62" i="150" s="1"/>
  <c r="D2256" i="35"/>
  <c r="C32" i="150" s="1"/>
  <c r="D2323" i="35"/>
  <c r="C91" i="150" s="1"/>
  <c r="D2242" i="35"/>
  <c r="M2243" i="35"/>
  <c r="K2237" i="35"/>
  <c r="K267" i="37" s="1"/>
  <c r="J2249" i="35"/>
  <c r="M2246" i="35"/>
  <c r="D2291" i="35"/>
  <c r="D2278" i="35"/>
  <c r="C70" i="150" s="1"/>
  <c r="D2264" i="35"/>
  <c r="C40" i="150" s="1"/>
  <c r="D2331" i="35"/>
  <c r="C99" i="150" s="1"/>
  <c r="D2250" i="35"/>
  <c r="N2244" i="35"/>
  <c r="D2325" i="35"/>
  <c r="C93" i="150" s="1"/>
  <c r="D2244" i="35"/>
  <c r="D2285" i="35"/>
  <c r="D2272" i="35"/>
  <c r="C64" i="150" s="1"/>
  <c r="D2258" i="35"/>
  <c r="C34" i="150" s="1"/>
  <c r="M2247" i="35"/>
  <c r="O2237" i="35"/>
  <c r="O267" i="37" s="1"/>
  <c r="O2241" i="35"/>
  <c r="O2247" i="35"/>
  <c r="L2237" i="35"/>
  <c r="L267" i="37" s="1"/>
  <c r="N2237" i="35"/>
  <c r="N267" i="37" s="1"/>
  <c r="K2243" i="35"/>
  <c r="K2249" i="35"/>
  <c r="M2244" i="35"/>
  <c r="J2237" i="35"/>
  <c r="J267" i="37" s="1"/>
  <c r="L2250" i="35"/>
  <c r="M2250" i="35"/>
  <c r="M2237" i="35"/>
  <c r="M267" i="37" s="1"/>
  <c r="J2246" i="35"/>
  <c r="O2248" i="35"/>
  <c r="D515" i="34"/>
  <c r="L1830" i="35"/>
  <c r="L266" i="37" s="1"/>
  <c r="M1830" i="35"/>
  <c r="M266" i="37" s="1"/>
  <c r="D1863" i="35"/>
  <c r="C62" i="148" s="1"/>
  <c r="D1916" i="35"/>
  <c r="C91" i="148" s="1"/>
  <c r="D1835" i="35"/>
  <c r="D1849" i="35"/>
  <c r="C32" i="148" s="1"/>
  <c r="D1876" i="35"/>
  <c r="D1855" i="35"/>
  <c r="C38" i="148" s="1"/>
  <c r="D1882" i="35"/>
  <c r="D1841" i="35"/>
  <c r="D1869" i="35"/>
  <c r="C68" i="148" s="1"/>
  <c r="D1922" i="35"/>
  <c r="C97" i="148" s="1"/>
  <c r="D1871" i="35"/>
  <c r="C70" i="148" s="1"/>
  <c r="D1924" i="35"/>
  <c r="C99" i="148" s="1"/>
  <c r="D1843" i="35"/>
  <c r="D1884" i="35"/>
  <c r="D1857" i="35"/>
  <c r="C40" i="148" s="1"/>
  <c r="K1423" i="35"/>
  <c r="K265" i="37" s="1"/>
  <c r="J1835" i="35"/>
  <c r="O1837" i="35"/>
  <c r="J1838" i="35"/>
  <c r="K1838" i="35"/>
  <c r="D1878" i="35"/>
  <c r="D1851" i="35"/>
  <c r="C34" i="148" s="1"/>
  <c r="D1837" i="35"/>
  <c r="D1865" i="35"/>
  <c r="C64" i="148" s="1"/>
  <c r="D1918" i="35"/>
  <c r="C93" i="148" s="1"/>
  <c r="J1839" i="35"/>
  <c r="N1013" i="35"/>
  <c r="O1841" i="35"/>
  <c r="D1920" i="35"/>
  <c r="C95" i="148" s="1"/>
  <c r="D1839" i="35"/>
  <c r="D1867" i="35"/>
  <c r="C66" i="148" s="1"/>
  <c r="D1853" i="35"/>
  <c r="C36" i="148" s="1"/>
  <c r="D1880" i="35"/>
  <c r="J1842" i="35"/>
  <c r="K1842" i="35"/>
  <c r="D1848" i="35"/>
  <c r="C31" i="148" s="1"/>
  <c r="D1834" i="35"/>
  <c r="D1875" i="35"/>
  <c r="D1862" i="35"/>
  <c r="C61" i="148" s="1"/>
  <c r="D1915" i="35"/>
  <c r="C90" i="148" s="1"/>
  <c r="D1923" i="35"/>
  <c r="C98" i="148" s="1"/>
  <c r="D1856" i="35"/>
  <c r="C39" i="148" s="1"/>
  <c r="D1842" i="35"/>
  <c r="D1883" i="35"/>
  <c r="D1870" i="35"/>
  <c r="C69" i="148" s="1"/>
  <c r="D1852" i="35"/>
  <c r="C35" i="148" s="1"/>
  <c r="D1838" i="35"/>
  <c r="D1879" i="35"/>
  <c r="D1866" i="35"/>
  <c r="C65" i="148" s="1"/>
  <c r="D1919" i="35"/>
  <c r="C94" i="148" s="1"/>
  <c r="N1830" i="35"/>
  <c r="N266" i="37" s="1"/>
  <c r="O1830" i="35"/>
  <c r="O266" i="37" s="1"/>
  <c r="L1840" i="35"/>
  <c r="K1843" i="35"/>
  <c r="J1830" i="35"/>
  <c r="J266" i="37" s="1"/>
  <c r="L1843" i="35"/>
  <c r="K1830" i="35"/>
  <c r="K266" i="37" s="1"/>
  <c r="M1843" i="35"/>
  <c r="L1834" i="35"/>
  <c r="N1842" i="35"/>
  <c r="O1842" i="35"/>
  <c r="K1428" i="35"/>
  <c r="L1435" i="35"/>
  <c r="M1423" i="35"/>
  <c r="M265" i="37" s="1"/>
  <c r="L46" i="35"/>
  <c r="D1461" i="35"/>
  <c r="C67" i="147" s="1"/>
  <c r="D1447" i="35"/>
  <c r="C37" i="147" s="1"/>
  <c r="D1514" i="35"/>
  <c r="C96" i="147" s="1"/>
  <c r="D1433" i="35"/>
  <c r="D1474" i="35"/>
  <c r="M1427" i="35"/>
  <c r="O1432" i="35"/>
  <c r="O1423" i="35"/>
  <c r="O265" i="37" s="1"/>
  <c r="J1434" i="35"/>
  <c r="J1429" i="35"/>
  <c r="M894" i="35"/>
  <c r="O911" i="35"/>
  <c r="M962" i="35"/>
  <c r="N1436" i="35"/>
  <c r="O1429" i="35"/>
  <c r="D873" i="35"/>
  <c r="N116" i="20"/>
  <c r="N50" i="140" s="1"/>
  <c r="O1427" i="35"/>
  <c r="D1460" i="35"/>
  <c r="C66" i="147" s="1"/>
  <c r="D1446" i="35"/>
  <c r="C36" i="147" s="1"/>
  <c r="D1513" i="35"/>
  <c r="C95" i="147" s="1"/>
  <c r="D1432" i="35"/>
  <c r="D1473" i="35"/>
  <c r="N1428" i="35"/>
  <c r="D1510" i="35"/>
  <c r="C92" i="147" s="1"/>
  <c r="D1429" i="35"/>
  <c r="D1470" i="35"/>
  <c r="D1457" i="35"/>
  <c r="C63" i="147" s="1"/>
  <c r="D1443" i="35"/>
  <c r="C33" i="147" s="1"/>
  <c r="D990" i="35"/>
  <c r="D45" i="34"/>
  <c r="O125" i="20"/>
  <c r="O59" i="140" s="1"/>
  <c r="M124" i="20"/>
  <c r="M58" i="140" s="1"/>
  <c r="K123" i="20"/>
  <c r="K57" i="140" s="1"/>
  <c r="O121" i="20"/>
  <c r="O55" i="140" s="1"/>
  <c r="M120" i="20"/>
  <c r="M54" i="140" s="1"/>
  <c r="K119" i="20"/>
  <c r="K53" i="140" s="1"/>
  <c r="O117" i="20"/>
  <c r="O51" i="140" s="1"/>
  <c r="M116" i="20"/>
  <c r="M50" i="140" s="1"/>
  <c r="O1431" i="35"/>
  <c r="J1428" i="35"/>
  <c r="K1432" i="35"/>
  <c r="M1436" i="35"/>
  <c r="N1423" i="35"/>
  <c r="N265" i="37" s="1"/>
  <c r="L1430" i="35"/>
  <c r="D1444" i="35"/>
  <c r="C34" i="147" s="1"/>
  <c r="D1511" i="35"/>
  <c r="C93" i="147" s="1"/>
  <c r="D1430" i="35"/>
  <c r="D1471" i="35"/>
  <c r="D1458" i="35"/>
  <c r="C64" i="147" s="1"/>
  <c r="K1434" i="35"/>
  <c r="J1423" i="35"/>
  <c r="J265" i="37" s="1"/>
  <c r="D1200" i="35"/>
  <c r="D113" i="155" s="1"/>
  <c r="N928" i="35"/>
  <c r="D44" i="35"/>
  <c r="L1428" i="35"/>
  <c r="K1430" i="35"/>
  <c r="D1475" i="35"/>
  <c r="D1462" i="35"/>
  <c r="C68" i="147" s="1"/>
  <c r="D1448" i="35"/>
  <c r="C38" i="147" s="1"/>
  <c r="D1434" i="35"/>
  <c r="D1515" i="35"/>
  <c r="C97" i="147" s="1"/>
  <c r="L1423" i="35"/>
  <c r="L265" i="37" s="1"/>
  <c r="K877" i="35"/>
  <c r="D104" i="34"/>
  <c r="N63" i="35"/>
  <c r="L114" i="35"/>
  <c r="L182" i="35"/>
  <c r="D497" i="34"/>
  <c r="D854" i="35"/>
  <c r="D952" i="35"/>
  <c r="D1171" i="35"/>
  <c r="D83" i="155" s="1"/>
  <c r="D21" i="34"/>
  <c r="D57" i="34"/>
  <c r="D106" i="34"/>
  <c r="D156" i="34"/>
  <c r="D188" i="34"/>
  <c r="C50" i="145" s="1"/>
  <c r="D112" i="35"/>
  <c r="M46" i="35"/>
  <c r="O63" i="35"/>
  <c r="K97" i="35"/>
  <c r="M114" i="35"/>
  <c r="O131" i="35"/>
  <c r="K165" i="35"/>
  <c r="M182" i="35"/>
  <c r="D105" i="21"/>
  <c r="D77" i="19" s="1"/>
  <c r="D31" i="18"/>
  <c r="D223" i="19" s="1"/>
  <c r="M241" i="21"/>
  <c r="D152" i="34"/>
  <c r="J97" i="35"/>
  <c r="D23" i="18"/>
  <c r="D215" i="19" s="1"/>
  <c r="D507" i="34"/>
  <c r="D892" i="35"/>
  <c r="D1012" i="35"/>
  <c r="C23" i="149" s="1"/>
  <c r="D1214" i="35"/>
  <c r="D128" i="155" s="1"/>
  <c r="D42" i="34"/>
  <c r="D53" i="34"/>
  <c r="D103" i="34"/>
  <c r="D149" i="34"/>
  <c r="D39" i="35"/>
  <c r="D104" i="35"/>
  <c r="K46" i="35"/>
  <c r="M63" i="35"/>
  <c r="O80" i="35"/>
  <c r="K114" i="35"/>
  <c r="M131" i="35"/>
  <c r="O148" i="35"/>
  <c r="K182" i="35"/>
  <c r="D28" i="21"/>
  <c r="D151" i="21"/>
  <c r="D111" i="19" s="1"/>
  <c r="K241" i="21"/>
  <c r="K945" i="35"/>
  <c r="D415" i="34"/>
  <c r="D543" i="34"/>
  <c r="D884" i="35"/>
  <c r="D1124" i="35"/>
  <c r="D76" i="155" s="1"/>
  <c r="D1819" i="36"/>
  <c r="O860" i="35"/>
  <c r="K894" i="35"/>
  <c r="M911" i="35"/>
  <c r="O928" i="35"/>
  <c r="K962" i="35"/>
  <c r="M979" i="35"/>
  <c r="O996" i="35"/>
  <c r="D40" i="34"/>
  <c r="D93" i="34"/>
  <c r="D101" i="34"/>
  <c r="D170" i="34"/>
  <c r="D36" i="35"/>
  <c r="D126" i="35"/>
  <c r="J46" i="35"/>
  <c r="L63" i="35"/>
  <c r="N80" i="35"/>
  <c r="J114" i="35"/>
  <c r="L131" i="35"/>
  <c r="N148" i="35"/>
  <c r="J182" i="35"/>
  <c r="D20" i="21"/>
  <c r="D197" i="21"/>
  <c r="D145" i="19" s="1"/>
  <c r="O979" i="35"/>
  <c r="D107" i="35"/>
  <c r="N131" i="35"/>
  <c r="D433" i="34"/>
  <c r="D561" i="34"/>
  <c r="D903" i="35"/>
  <c r="D1116" i="35"/>
  <c r="D68" i="155" s="1"/>
  <c r="D1811" i="36"/>
  <c r="N860" i="35"/>
  <c r="J1015" i="35"/>
  <c r="L1012" i="35"/>
  <c r="J1011" i="35"/>
  <c r="N1009" i="35"/>
  <c r="L877" i="35"/>
  <c r="J1007" i="35"/>
  <c r="J894" i="35"/>
  <c r="L945" i="35"/>
  <c r="J962" i="35"/>
  <c r="N996" i="35"/>
  <c r="D39" i="34"/>
  <c r="D92" i="34"/>
  <c r="D124" i="34"/>
  <c r="D168" i="34"/>
  <c r="D58" i="35"/>
  <c r="D124" i="35"/>
  <c r="K63" i="35"/>
  <c r="M80" i="35"/>
  <c r="O97" i="35"/>
  <c r="K131" i="35"/>
  <c r="M148" i="35"/>
  <c r="O165" i="35"/>
  <c r="D44" i="21"/>
  <c r="D34" i="19" s="1"/>
  <c r="D189" i="21"/>
  <c r="D137" i="19" s="1"/>
  <c r="D451" i="34"/>
  <c r="D583" i="34"/>
  <c r="C55" i="149" s="1"/>
  <c r="D922" i="35"/>
  <c r="D1146" i="35"/>
  <c r="M860" i="35"/>
  <c r="O877" i="35"/>
  <c r="K911" i="35"/>
  <c r="M928" i="35"/>
  <c r="O945" i="35"/>
  <c r="K979" i="35"/>
  <c r="M996" i="35"/>
  <c r="D29" i="34"/>
  <c r="D37" i="34"/>
  <c r="D88" i="34"/>
  <c r="D121" i="34"/>
  <c r="D167" i="34"/>
  <c r="D56" i="35"/>
  <c r="D145" i="35"/>
  <c r="J63" i="35"/>
  <c r="L80" i="35"/>
  <c r="N97" i="35"/>
  <c r="J131" i="35"/>
  <c r="L148" i="35"/>
  <c r="N165" i="35"/>
  <c r="D67" i="21"/>
  <c r="D51" i="19" s="1"/>
  <c r="D212" i="21"/>
  <c r="D154" i="19" s="1"/>
  <c r="J165" i="35"/>
  <c r="D443" i="34"/>
  <c r="D575" i="34"/>
  <c r="C47" i="149" s="1"/>
  <c r="D941" i="35"/>
  <c r="D1161" i="35"/>
  <c r="D48" i="155" s="1"/>
  <c r="D28" i="34"/>
  <c r="D61" i="34"/>
  <c r="D120" i="34"/>
  <c r="D192" i="34"/>
  <c r="C54" i="145" s="1"/>
  <c r="D77" i="35"/>
  <c r="D141" i="35"/>
  <c r="O46" i="35"/>
  <c r="K80" i="35"/>
  <c r="M97" i="35"/>
  <c r="O114" i="35"/>
  <c r="K148" i="35"/>
  <c r="M165" i="35"/>
  <c r="O182" i="35"/>
  <c r="D90" i="21"/>
  <c r="D68" i="19" s="1"/>
  <c r="D235" i="21"/>
  <c r="O241" i="21"/>
  <c r="D56" i="34"/>
  <c r="D479" i="34"/>
  <c r="D835" i="35"/>
  <c r="D960" i="35"/>
  <c r="D1179" i="35"/>
  <c r="D91" i="155" s="1"/>
  <c r="K860" i="35"/>
  <c r="M877" i="35"/>
  <c r="O894" i="35"/>
  <c r="K928" i="35"/>
  <c r="M945" i="35"/>
  <c r="O962" i="35"/>
  <c r="K996" i="35"/>
  <c r="D24" i="34"/>
  <c r="D109" i="34"/>
  <c r="D189" i="34"/>
  <c r="C51" i="145" s="1"/>
  <c r="D73" i="35"/>
  <c r="N46" i="35"/>
  <c r="J80" i="35"/>
  <c r="L97" i="35"/>
  <c r="N114" i="35"/>
  <c r="J148" i="35"/>
  <c r="L165" i="35"/>
  <c r="N182" i="35"/>
  <c r="D113" i="21"/>
  <c r="D85" i="19" s="1"/>
  <c r="L241" i="21"/>
  <c r="K125" i="20"/>
  <c r="K59" i="140" s="1"/>
  <c r="O123" i="20"/>
  <c r="O57" i="140" s="1"/>
  <c r="M122" i="20"/>
  <c r="M56" i="140" s="1"/>
  <c r="K121" i="20"/>
  <c r="K55" i="140" s="1"/>
  <c r="O119" i="20"/>
  <c r="O53" i="140" s="1"/>
  <c r="M118" i="20"/>
  <c r="M52" i="140" s="1"/>
  <c r="K117" i="20"/>
  <c r="K51" i="140" s="1"/>
  <c r="L29" i="31"/>
  <c r="N46" i="31"/>
  <c r="K97" i="31"/>
  <c r="K148" i="31"/>
  <c r="N210" i="30"/>
  <c r="J29" i="31"/>
  <c r="N63" i="31"/>
  <c r="M210" i="30"/>
  <c r="K198" i="31"/>
  <c r="O196" i="31"/>
  <c r="K194" i="31"/>
  <c r="O192" i="31"/>
  <c r="K46" i="31"/>
  <c r="K114" i="31"/>
  <c r="K165" i="31"/>
  <c r="L210" i="30"/>
  <c r="O210" i="30"/>
  <c r="K210" i="30"/>
  <c r="K63" i="31"/>
  <c r="K131" i="31"/>
  <c r="K182" i="31"/>
  <c r="J210" i="30"/>
  <c r="K80" i="31"/>
  <c r="D1185" i="35"/>
  <c r="D98" i="155" s="1"/>
  <c r="J860" i="35"/>
  <c r="N894" i="35"/>
  <c r="J928" i="35"/>
  <c r="N962" i="35"/>
  <c r="J996" i="35"/>
  <c r="J877" i="35"/>
  <c r="L894" i="35"/>
  <c r="N911" i="35"/>
  <c r="J945" i="35"/>
  <c r="L962" i="35"/>
  <c r="N979" i="35"/>
  <c r="D1813" i="36"/>
  <c r="D1173" i="35"/>
  <c r="D85" i="155" s="1"/>
  <c r="D1118" i="35"/>
  <c r="D70" i="155" s="1"/>
  <c r="D954" i="35"/>
  <c r="D886" i="35"/>
  <c r="D577" i="34"/>
  <c r="C49" i="149" s="1"/>
  <c r="D509" i="34"/>
  <c r="D445" i="34"/>
  <c r="D1210" i="35"/>
  <c r="D124" i="155" s="1"/>
  <c r="D1157" i="35"/>
  <c r="D44" i="155" s="1"/>
  <c r="D1008" i="35"/>
  <c r="C19" i="149" s="1"/>
  <c r="D937" i="35"/>
  <c r="D869" i="35"/>
  <c r="D557" i="34"/>
  <c r="D493" i="34"/>
  <c r="D429" i="34"/>
  <c r="D1198" i="35"/>
  <c r="D111" i="155" s="1"/>
  <c r="D1144" i="35"/>
  <c r="D988" i="35"/>
  <c r="D920" i="35"/>
  <c r="D852" i="35"/>
  <c r="D541" i="34"/>
  <c r="D477" i="34"/>
  <c r="D413" i="34"/>
  <c r="D1131" i="35"/>
  <c r="D18" i="155" s="1"/>
  <c r="N1015" i="35"/>
  <c r="L1014" i="35"/>
  <c r="L25" i="149" s="1"/>
  <c r="J1013" i="35"/>
  <c r="J24" i="149" s="1"/>
  <c r="N1011" i="35"/>
  <c r="L1010" i="35"/>
  <c r="J1009" i="35"/>
  <c r="J20" i="149" s="1"/>
  <c r="N1007" i="35"/>
  <c r="L1006" i="35"/>
  <c r="L17" i="149" s="1"/>
  <c r="L911" i="35"/>
  <c r="L979" i="35"/>
  <c r="L1008" i="35"/>
  <c r="L19" i="149" s="1"/>
  <c r="D971" i="35"/>
  <c r="L860" i="35"/>
  <c r="N877" i="35"/>
  <c r="J911" i="35"/>
  <c r="L928" i="35"/>
  <c r="N945" i="35"/>
  <c r="J979" i="35"/>
  <c r="L996" i="35"/>
  <c r="D525" i="34"/>
  <c r="L843" i="35"/>
  <c r="D416" i="34"/>
  <c r="D434" i="34"/>
  <c r="D452" i="34"/>
  <c r="D444" i="34"/>
  <c r="D462" i="34"/>
  <c r="D480" i="34"/>
  <c r="D498" i="34"/>
  <c r="D516" i="34"/>
  <c r="D508" i="34"/>
  <c r="D526" i="34"/>
  <c r="D544" i="34"/>
  <c r="D562" i="34"/>
  <c r="D584" i="34"/>
  <c r="C56" i="149" s="1"/>
  <c r="D576" i="34"/>
  <c r="C48" i="149" s="1"/>
  <c r="D836" i="35"/>
  <c r="D855" i="35"/>
  <c r="D874" i="35"/>
  <c r="D893" i="35"/>
  <c r="D885" i="35"/>
  <c r="D904" i="35"/>
  <c r="D923" i="35"/>
  <c r="D942" i="35"/>
  <c r="D961" i="35"/>
  <c r="D953" i="35"/>
  <c r="D972" i="35"/>
  <c r="D991" i="35"/>
  <c r="D1013" i="35"/>
  <c r="C24" i="149" s="1"/>
  <c r="D1125" i="35"/>
  <c r="D77" i="155" s="1"/>
  <c r="D1117" i="35"/>
  <c r="D69" i="155" s="1"/>
  <c r="D1132" i="35"/>
  <c r="D19" i="155" s="1"/>
  <c r="D1147" i="35"/>
  <c r="D1162" i="35"/>
  <c r="D49" i="155" s="1"/>
  <c r="D1180" i="35"/>
  <c r="D92" i="155" s="1"/>
  <c r="D1172" i="35"/>
  <c r="D84" i="155" s="1"/>
  <c r="D1186" i="35"/>
  <c r="D99" i="155" s="1"/>
  <c r="D1201" i="35"/>
  <c r="D114" i="155" s="1"/>
  <c r="D1215" i="35"/>
  <c r="D129" i="155" s="1"/>
  <c r="D1820" i="36"/>
  <c r="D1812" i="36"/>
  <c r="M843" i="35"/>
  <c r="K1015" i="35"/>
  <c r="K26" i="149" s="1"/>
  <c r="O1013" i="35"/>
  <c r="O24" i="149" s="1"/>
  <c r="M1012" i="35"/>
  <c r="K1011" i="35"/>
  <c r="K22" i="149" s="1"/>
  <c r="O1009" i="35"/>
  <c r="O20" i="149" s="1"/>
  <c r="M1008" i="35"/>
  <c r="K1007" i="35"/>
  <c r="K18" i="149" s="1"/>
  <c r="D414" i="34"/>
  <c r="D432" i="34"/>
  <c r="D450" i="34"/>
  <c r="D468" i="34"/>
  <c r="D460" i="34"/>
  <c r="D478" i="34"/>
  <c r="D496" i="34"/>
  <c r="D514" i="34"/>
  <c r="D532" i="34"/>
  <c r="D524" i="34"/>
  <c r="D542" i="34"/>
  <c r="D560" i="34"/>
  <c r="D582" i="34"/>
  <c r="C54" i="149" s="1"/>
  <c r="D842" i="35"/>
  <c r="D834" i="35"/>
  <c r="D853" i="35"/>
  <c r="D872" i="35"/>
  <c r="D891" i="35"/>
  <c r="D910" i="35"/>
  <c r="D902" i="35"/>
  <c r="D921" i="35"/>
  <c r="D940" i="35"/>
  <c r="D959" i="35"/>
  <c r="D978" i="35"/>
  <c r="D970" i="35"/>
  <c r="D989" i="35"/>
  <c r="D1011" i="35"/>
  <c r="C22" i="149" s="1"/>
  <c r="D1123" i="35"/>
  <c r="D75" i="155" s="1"/>
  <c r="D1138" i="35"/>
  <c r="D25" i="155" s="1"/>
  <c r="D1130" i="35"/>
  <c r="D17" i="155" s="1"/>
  <c r="D1145" i="35"/>
  <c r="D1160" i="35"/>
  <c r="D47" i="155" s="1"/>
  <c r="D1178" i="35"/>
  <c r="D90" i="155" s="1"/>
  <c r="D1192" i="35"/>
  <c r="D105" i="155" s="1"/>
  <c r="D1184" i="35"/>
  <c r="D97" i="155" s="1"/>
  <c r="D1199" i="35"/>
  <c r="D112" i="155" s="1"/>
  <c r="D1213" i="35"/>
  <c r="D127" i="155" s="1"/>
  <c r="D1818" i="36"/>
  <c r="K843" i="35"/>
  <c r="O1014" i="35"/>
  <c r="O25" i="149" s="1"/>
  <c r="M1013" i="35"/>
  <c r="M24" i="149" s="1"/>
  <c r="K1012" i="35"/>
  <c r="K23" i="149" s="1"/>
  <c r="O1010" i="35"/>
  <c r="O21" i="149" s="1"/>
  <c r="M1009" i="35"/>
  <c r="M20" i="149" s="1"/>
  <c r="K1008" i="35"/>
  <c r="K19" i="149" s="1"/>
  <c r="O1006" i="35"/>
  <c r="O17" i="149" s="1"/>
  <c r="D431" i="34"/>
  <c r="D449" i="34"/>
  <c r="D467" i="34"/>
  <c r="D459" i="34"/>
  <c r="D495" i="34"/>
  <c r="D513" i="34"/>
  <c r="D531" i="34"/>
  <c r="D523" i="34"/>
  <c r="D559" i="34"/>
  <c r="D581" i="34"/>
  <c r="C53" i="149" s="1"/>
  <c r="D841" i="35"/>
  <c r="D833" i="35"/>
  <c r="D871" i="35"/>
  <c r="D890" i="35"/>
  <c r="D909" i="35"/>
  <c r="D901" i="35"/>
  <c r="D939" i="35"/>
  <c r="D958" i="35"/>
  <c r="D977" i="35"/>
  <c r="D969" i="35"/>
  <c r="D1010" i="35"/>
  <c r="C21" i="149" s="1"/>
  <c r="D1122" i="35"/>
  <c r="D74" i="155" s="1"/>
  <c r="D1137" i="35"/>
  <c r="D24" i="155" s="1"/>
  <c r="D1129" i="35"/>
  <c r="D16" i="155" s="1"/>
  <c r="D1159" i="35"/>
  <c r="D46" i="155" s="1"/>
  <c r="D1177" i="35"/>
  <c r="D89" i="155" s="1"/>
  <c r="D1191" i="35"/>
  <c r="D104" i="155" s="1"/>
  <c r="D1183" i="35"/>
  <c r="D96" i="155" s="1"/>
  <c r="D1212" i="35"/>
  <c r="D126" i="155" s="1"/>
  <c r="D1817" i="36"/>
  <c r="J843" i="35"/>
  <c r="N1014" i="35"/>
  <c r="L1013" i="35"/>
  <c r="J1012" i="35"/>
  <c r="N1010" i="35"/>
  <c r="L1009" i="35"/>
  <c r="J1008" i="35"/>
  <c r="J19" i="149" s="1"/>
  <c r="N1006" i="35"/>
  <c r="N17" i="149" s="1"/>
  <c r="D420" i="34"/>
  <c r="D412" i="34"/>
  <c r="D430" i="34"/>
  <c r="D448" i="34"/>
  <c r="D466" i="34"/>
  <c r="D484" i="34"/>
  <c r="D476" i="34"/>
  <c r="D494" i="34"/>
  <c r="D512" i="34"/>
  <c r="D530" i="34"/>
  <c r="D548" i="34"/>
  <c r="D540" i="34"/>
  <c r="D558" i="34"/>
  <c r="D580" i="34"/>
  <c r="C52" i="149" s="1"/>
  <c r="D840" i="35"/>
  <c r="D859" i="35"/>
  <c r="D851" i="35"/>
  <c r="D870" i="35"/>
  <c r="D889" i="35"/>
  <c r="D908" i="35"/>
  <c r="D927" i="35"/>
  <c r="D919" i="35"/>
  <c r="D938" i="35"/>
  <c r="D957" i="35"/>
  <c r="D976" i="35"/>
  <c r="D995" i="35"/>
  <c r="D987" i="35"/>
  <c r="D1009" i="35"/>
  <c r="C20" i="149" s="1"/>
  <c r="D1121" i="35"/>
  <c r="D73" i="155" s="1"/>
  <c r="D1136" i="35"/>
  <c r="D23" i="155" s="1"/>
  <c r="D1151" i="35"/>
  <c r="D1143" i="35"/>
  <c r="D1158" i="35"/>
  <c r="D45" i="155" s="1"/>
  <c r="D1176" i="35"/>
  <c r="D88" i="155" s="1"/>
  <c r="D1190" i="35"/>
  <c r="D103" i="155" s="1"/>
  <c r="D1205" i="35"/>
  <c r="D118" i="155" s="1"/>
  <c r="D1197" i="35"/>
  <c r="D110" i="155" s="1"/>
  <c r="D1211" i="35"/>
  <c r="D125" i="155" s="1"/>
  <c r="D1816" i="36"/>
  <c r="O1015" i="35"/>
  <c r="O26" i="149" s="1"/>
  <c r="M1014" i="35"/>
  <c r="M25" i="149" s="1"/>
  <c r="K1013" i="35"/>
  <c r="K24" i="149" s="1"/>
  <c r="O1011" i="35"/>
  <c r="O22" i="149" s="1"/>
  <c r="M1010" i="35"/>
  <c r="M21" i="149" s="1"/>
  <c r="K1009" i="35"/>
  <c r="K20" i="149" s="1"/>
  <c r="O1007" i="35"/>
  <c r="O18" i="149" s="1"/>
  <c r="M1006" i="35"/>
  <c r="M17" i="149" s="1"/>
  <c r="D419" i="34"/>
  <c r="D411" i="34"/>
  <c r="D447" i="34"/>
  <c r="D465" i="34"/>
  <c r="D483" i="34"/>
  <c r="D475" i="34"/>
  <c r="D511" i="34"/>
  <c r="D529" i="34"/>
  <c r="D547" i="34"/>
  <c r="D539" i="34"/>
  <c r="D579" i="34"/>
  <c r="C51" i="149" s="1"/>
  <c r="D839" i="35"/>
  <c r="D858" i="35"/>
  <c r="D850" i="35"/>
  <c r="D888" i="35"/>
  <c r="D907" i="35"/>
  <c r="D926" i="35"/>
  <c r="D918" i="35"/>
  <c r="D956" i="35"/>
  <c r="D975" i="35"/>
  <c r="D994" i="35"/>
  <c r="D986" i="35"/>
  <c r="D1120" i="35"/>
  <c r="D72" i="155" s="1"/>
  <c r="D1135" i="35"/>
  <c r="D22" i="155" s="1"/>
  <c r="D1150" i="35"/>
  <c r="D1142" i="35"/>
  <c r="D1175" i="35"/>
  <c r="D87" i="155" s="1"/>
  <c r="D1189" i="35"/>
  <c r="D102" i="155" s="1"/>
  <c r="D1204" i="35"/>
  <c r="D117" i="155" s="1"/>
  <c r="D1196" i="35"/>
  <c r="D109" i="155" s="1"/>
  <c r="D1815" i="36"/>
  <c r="D418" i="34"/>
  <c r="D436" i="34"/>
  <c r="D428" i="34"/>
  <c r="D446" i="34"/>
  <c r="D464" i="34"/>
  <c r="D482" i="34"/>
  <c r="D500" i="34"/>
  <c r="D492" i="34"/>
  <c r="D510" i="34"/>
  <c r="D528" i="34"/>
  <c r="D546" i="34"/>
  <c r="D564" i="34"/>
  <c r="D556" i="34"/>
  <c r="D578" i="34"/>
  <c r="C50" i="149" s="1"/>
  <c r="D838" i="35"/>
  <c r="D857" i="35"/>
  <c r="D876" i="35"/>
  <c r="D868" i="35"/>
  <c r="D887" i="35"/>
  <c r="D906" i="35"/>
  <c r="D925" i="35"/>
  <c r="D944" i="35"/>
  <c r="D936" i="35"/>
  <c r="D955" i="35"/>
  <c r="D974" i="35"/>
  <c r="D993" i="35"/>
  <c r="D1015" i="35"/>
  <c r="C26" i="149" s="1"/>
  <c r="D1007" i="35"/>
  <c r="C18" i="149" s="1"/>
  <c r="D1119" i="35"/>
  <c r="D71" i="155" s="1"/>
  <c r="D1134" i="35"/>
  <c r="D21" i="155" s="1"/>
  <c r="D1149" i="35"/>
  <c r="D1164" i="35"/>
  <c r="D51" i="155" s="1"/>
  <c r="D1156" i="35"/>
  <c r="D43" i="155" s="1"/>
  <c r="D1174" i="35"/>
  <c r="D86" i="155" s="1"/>
  <c r="O843" i="35"/>
  <c r="M1015" i="35"/>
  <c r="M26" i="149" s="1"/>
  <c r="K1014" i="35"/>
  <c r="K25" i="149" s="1"/>
  <c r="O1012" i="35"/>
  <c r="O23" i="149" s="1"/>
  <c r="M1011" i="35"/>
  <c r="M22" i="149" s="1"/>
  <c r="K1010" i="35"/>
  <c r="K21" i="149" s="1"/>
  <c r="O1008" i="35"/>
  <c r="O19" i="149" s="1"/>
  <c r="M1007" i="35"/>
  <c r="M18" i="149" s="1"/>
  <c r="K1006" i="35"/>
  <c r="K17" i="149" s="1"/>
  <c r="D417" i="34"/>
  <c r="D435" i="34"/>
  <c r="D427" i="34"/>
  <c r="D463" i="34"/>
  <c r="D481" i="34"/>
  <c r="D499" i="34"/>
  <c r="D491" i="34"/>
  <c r="D527" i="34"/>
  <c r="D545" i="34"/>
  <c r="D563" i="34"/>
  <c r="D555" i="34"/>
  <c r="D837" i="35"/>
  <c r="D856" i="35"/>
  <c r="D875" i="35"/>
  <c r="D867" i="35"/>
  <c r="D905" i="35"/>
  <c r="D924" i="35"/>
  <c r="D943" i="35"/>
  <c r="D935" i="35"/>
  <c r="D973" i="35"/>
  <c r="D992" i="35"/>
  <c r="D1014" i="35"/>
  <c r="C25" i="149" s="1"/>
  <c r="D1006" i="35"/>
  <c r="C17" i="149" s="1"/>
  <c r="D1133" i="35"/>
  <c r="D20" i="155" s="1"/>
  <c r="D1148" i="35"/>
  <c r="D1163" i="35"/>
  <c r="D50" i="155" s="1"/>
  <c r="D1155" i="35"/>
  <c r="D42" i="155" s="1"/>
  <c r="N843" i="35"/>
  <c r="L1015" i="35"/>
  <c r="L26" i="149" s="1"/>
  <c r="J1014" i="35"/>
  <c r="J25" i="149" s="1"/>
  <c r="N1012" i="35"/>
  <c r="N23" i="149" s="1"/>
  <c r="L1011" i="35"/>
  <c r="L22" i="149" s="1"/>
  <c r="J1010" i="35"/>
  <c r="J21" i="149" s="1"/>
  <c r="N1008" i="35"/>
  <c r="L1007" i="35"/>
  <c r="J1006" i="35"/>
  <c r="D31" i="36"/>
  <c r="D365" i="35"/>
  <c r="D91" i="151" s="1"/>
  <c r="D310" i="35"/>
  <c r="D76" i="151" s="1"/>
  <c r="D402" i="35"/>
  <c r="D130" i="151" s="1"/>
  <c r="D349" i="35"/>
  <c r="D50" i="151" s="1"/>
  <c r="D200" i="35"/>
  <c r="C25" i="145" s="1"/>
  <c r="D390" i="35"/>
  <c r="D117" i="151" s="1"/>
  <c r="D336" i="35"/>
  <c r="D377" i="35"/>
  <c r="D104" i="151" s="1"/>
  <c r="D323" i="35"/>
  <c r="D24" i="151" s="1"/>
  <c r="D23" i="36"/>
  <c r="D357" i="35"/>
  <c r="D302" i="35"/>
  <c r="D394" i="35"/>
  <c r="D341" i="35"/>
  <c r="D192" i="35"/>
  <c r="D382" i="35"/>
  <c r="D328" i="35"/>
  <c r="D172" i="35"/>
  <c r="D369" i="35"/>
  <c r="D315" i="35"/>
  <c r="D23" i="34"/>
  <c r="D41" i="34"/>
  <c r="D59" i="34"/>
  <c r="D77" i="34"/>
  <c r="D69" i="34"/>
  <c r="D87" i="34"/>
  <c r="D105" i="34"/>
  <c r="D123" i="34"/>
  <c r="D141" i="34"/>
  <c r="D133" i="34"/>
  <c r="D151" i="34"/>
  <c r="D169" i="34"/>
  <c r="D191" i="34"/>
  <c r="C53" i="145" s="1"/>
  <c r="D27" i="35"/>
  <c r="D19" i="35"/>
  <c r="D38" i="35"/>
  <c r="D57" i="35"/>
  <c r="D76" i="35"/>
  <c r="D95" i="35"/>
  <c r="D87" i="35"/>
  <c r="D106" i="35"/>
  <c r="D125" i="35"/>
  <c r="D163" i="35"/>
  <c r="D155" i="35"/>
  <c r="D174" i="35"/>
  <c r="D30" i="36"/>
  <c r="D364" i="35"/>
  <c r="D90" i="151" s="1"/>
  <c r="D309" i="35"/>
  <c r="D75" i="151" s="1"/>
  <c r="D401" i="35"/>
  <c r="D129" i="151" s="1"/>
  <c r="D348" i="35"/>
  <c r="D49" i="151" s="1"/>
  <c r="D199" i="35"/>
  <c r="C24" i="145" s="1"/>
  <c r="D389" i="35"/>
  <c r="D116" i="151" s="1"/>
  <c r="D335" i="35"/>
  <c r="D376" i="35"/>
  <c r="D103" i="151" s="1"/>
  <c r="D322" i="35"/>
  <c r="D23" i="151" s="1"/>
  <c r="D30" i="34"/>
  <c r="D22" i="34"/>
  <c r="D58" i="34"/>
  <c r="D76" i="34"/>
  <c r="D94" i="34"/>
  <c r="D86" i="34"/>
  <c r="D122" i="34"/>
  <c r="D140" i="34"/>
  <c r="D158" i="34"/>
  <c r="D150" i="34"/>
  <c r="D190" i="34"/>
  <c r="C52" i="145" s="1"/>
  <c r="D26" i="35"/>
  <c r="D45" i="35"/>
  <c r="D37" i="35"/>
  <c r="D75" i="35"/>
  <c r="D94" i="35"/>
  <c r="D113" i="35"/>
  <c r="D105" i="35"/>
  <c r="D162" i="35"/>
  <c r="D181" i="35"/>
  <c r="D400" i="35"/>
  <c r="D128" i="151" s="1"/>
  <c r="D347" i="35"/>
  <c r="D48" i="151" s="1"/>
  <c r="D198" i="35"/>
  <c r="C23" i="145" s="1"/>
  <c r="D388" i="35"/>
  <c r="D115" i="151" s="1"/>
  <c r="D334" i="35"/>
  <c r="D375" i="35"/>
  <c r="D102" i="151" s="1"/>
  <c r="D321" i="35"/>
  <c r="D22" i="151" s="1"/>
  <c r="D29" i="36"/>
  <c r="D363" i="35"/>
  <c r="D89" i="151" s="1"/>
  <c r="D308" i="35"/>
  <c r="D74" i="151" s="1"/>
  <c r="D75" i="34"/>
  <c r="D139" i="34"/>
  <c r="D25" i="35"/>
  <c r="D55" i="35"/>
  <c r="D74" i="35"/>
  <c r="D93" i="35"/>
  <c r="D123" i="35"/>
  <c r="D161" i="35"/>
  <c r="D180" i="35"/>
  <c r="D399" i="35"/>
  <c r="D127" i="151" s="1"/>
  <c r="D346" i="35"/>
  <c r="D47" i="151" s="1"/>
  <c r="D197" i="35"/>
  <c r="C22" i="145" s="1"/>
  <c r="D387" i="35"/>
  <c r="D114" i="151" s="1"/>
  <c r="D333" i="35"/>
  <c r="D374" i="35"/>
  <c r="D101" i="151" s="1"/>
  <c r="D320" i="35"/>
  <c r="D21" i="151" s="1"/>
  <c r="D28" i="36"/>
  <c r="D362" i="35"/>
  <c r="D88" i="151" s="1"/>
  <c r="D307" i="35"/>
  <c r="D73" i="151" s="1"/>
  <c r="D46" i="34"/>
  <c r="D38" i="34"/>
  <c r="D74" i="34"/>
  <c r="D110" i="34"/>
  <c r="D102" i="34"/>
  <c r="D138" i="34"/>
  <c r="D174" i="34"/>
  <c r="D166" i="34"/>
  <c r="D24" i="35"/>
  <c r="D43" i="35"/>
  <c r="D62" i="35"/>
  <c r="D54" i="35"/>
  <c r="D92" i="35"/>
  <c r="D111" i="35"/>
  <c r="D130" i="35"/>
  <c r="D122" i="35"/>
  <c r="D160" i="35"/>
  <c r="D179" i="35"/>
  <c r="D386" i="35"/>
  <c r="D113" i="151" s="1"/>
  <c r="D332" i="35"/>
  <c r="D373" i="35"/>
  <c r="D100" i="151" s="1"/>
  <c r="D319" i="35"/>
  <c r="D20" i="151" s="1"/>
  <c r="D27" i="36"/>
  <c r="D361" i="35"/>
  <c r="D87" i="151" s="1"/>
  <c r="D306" i="35"/>
  <c r="D72" i="151" s="1"/>
  <c r="D398" i="35"/>
  <c r="D126" i="151" s="1"/>
  <c r="D345" i="35"/>
  <c r="D46" i="151" s="1"/>
  <c r="D196" i="35"/>
  <c r="C21" i="145" s="1"/>
  <c r="D27" i="34"/>
  <c r="D55" i="34"/>
  <c r="D73" i="34"/>
  <c r="D91" i="34"/>
  <c r="D119" i="34"/>
  <c r="D137" i="34"/>
  <c r="D155" i="34"/>
  <c r="D173" i="34"/>
  <c r="D165" i="34"/>
  <c r="D187" i="34"/>
  <c r="C49" i="145" s="1"/>
  <c r="D23" i="35"/>
  <c r="D42" i="35"/>
  <c r="D61" i="35"/>
  <c r="D53" i="35"/>
  <c r="D72" i="35"/>
  <c r="D91" i="35"/>
  <c r="D110" i="35"/>
  <c r="D129" i="35"/>
  <c r="D121" i="35"/>
  <c r="D159" i="35"/>
  <c r="D178" i="35"/>
  <c r="D385" i="35"/>
  <c r="D112" i="151" s="1"/>
  <c r="D331" i="35"/>
  <c r="D372" i="35"/>
  <c r="D99" i="151" s="1"/>
  <c r="D318" i="35"/>
  <c r="D19" i="151" s="1"/>
  <c r="D26" i="36"/>
  <c r="D360" i="35"/>
  <c r="D86" i="151" s="1"/>
  <c r="D305" i="35"/>
  <c r="D71" i="151" s="1"/>
  <c r="D397" i="35"/>
  <c r="D125" i="151" s="1"/>
  <c r="D344" i="35"/>
  <c r="D45" i="151" s="1"/>
  <c r="D195" i="35"/>
  <c r="C20" i="145" s="1"/>
  <c r="D26" i="34"/>
  <c r="D44" i="34"/>
  <c r="D62" i="34"/>
  <c r="D54" i="34"/>
  <c r="D72" i="34"/>
  <c r="D90" i="34"/>
  <c r="D108" i="34"/>
  <c r="D126" i="34"/>
  <c r="D118" i="34"/>
  <c r="D136" i="34"/>
  <c r="D154" i="34"/>
  <c r="D172" i="34"/>
  <c r="D194" i="34"/>
  <c r="C56" i="145" s="1"/>
  <c r="D186" i="34"/>
  <c r="C48" i="145" s="1"/>
  <c r="D22" i="35"/>
  <c r="D41" i="35"/>
  <c r="D60" i="35"/>
  <c r="D79" i="35"/>
  <c r="D71" i="35"/>
  <c r="D90" i="35"/>
  <c r="D109" i="35"/>
  <c r="D128" i="35"/>
  <c r="D158" i="35"/>
  <c r="D177" i="35"/>
  <c r="D371" i="35"/>
  <c r="D98" i="151" s="1"/>
  <c r="D317" i="35"/>
  <c r="D18" i="151" s="1"/>
  <c r="D25" i="36"/>
  <c r="D359" i="35"/>
  <c r="D85" i="151" s="1"/>
  <c r="D304" i="35"/>
  <c r="D70" i="151" s="1"/>
  <c r="D396" i="35"/>
  <c r="D124" i="151" s="1"/>
  <c r="D343" i="35"/>
  <c r="D44" i="151" s="1"/>
  <c r="D194" i="35"/>
  <c r="C19" i="145" s="1"/>
  <c r="D384" i="35"/>
  <c r="D111" i="151" s="1"/>
  <c r="D330" i="35"/>
  <c r="D25" i="34"/>
  <c r="D43" i="34"/>
  <c r="D71" i="34"/>
  <c r="D89" i="34"/>
  <c r="D107" i="34"/>
  <c r="D125" i="34"/>
  <c r="D117" i="34"/>
  <c r="D135" i="34"/>
  <c r="D153" i="34"/>
  <c r="D171" i="34"/>
  <c r="D193" i="34"/>
  <c r="C55" i="145" s="1"/>
  <c r="D185" i="34"/>
  <c r="C47" i="145" s="1"/>
  <c r="D21" i="35"/>
  <c r="D40" i="35"/>
  <c r="D59" i="35"/>
  <c r="D78" i="35"/>
  <c r="D70" i="35"/>
  <c r="D89" i="35"/>
  <c r="D108" i="35"/>
  <c r="D127" i="35"/>
  <c r="D146" i="35"/>
  <c r="D138" i="35"/>
  <c r="D157" i="35"/>
  <c r="D176" i="35"/>
  <c r="D378" i="35"/>
  <c r="D105" i="151" s="1"/>
  <c r="D324" i="35"/>
  <c r="D25" i="151" s="1"/>
  <c r="D32" i="36"/>
  <c r="D366" i="35"/>
  <c r="D92" i="151" s="1"/>
  <c r="D311" i="35"/>
  <c r="D77" i="151" s="1"/>
  <c r="D403" i="35"/>
  <c r="D131" i="151" s="1"/>
  <c r="D350" i="35"/>
  <c r="D51" i="151" s="1"/>
  <c r="D201" i="35"/>
  <c r="C26" i="145" s="1"/>
  <c r="D391" i="35"/>
  <c r="D118" i="151" s="1"/>
  <c r="D337" i="35"/>
  <c r="D370" i="35"/>
  <c r="D97" i="151" s="1"/>
  <c r="D316" i="35"/>
  <c r="D17" i="151" s="1"/>
  <c r="D24" i="36"/>
  <c r="D358" i="35"/>
  <c r="D84" i="151" s="1"/>
  <c r="D303" i="35"/>
  <c r="D69" i="151" s="1"/>
  <c r="D395" i="35"/>
  <c r="D123" i="151" s="1"/>
  <c r="D342" i="35"/>
  <c r="D43" i="151" s="1"/>
  <c r="D193" i="35"/>
  <c r="C18" i="145" s="1"/>
  <c r="D383" i="35"/>
  <c r="D110" i="151" s="1"/>
  <c r="D329" i="35"/>
  <c r="D173" i="35"/>
  <c r="D78" i="34"/>
  <c r="D70" i="34"/>
  <c r="D142" i="34"/>
  <c r="D134" i="34"/>
  <c r="D28" i="35"/>
  <c r="D20" i="35"/>
  <c r="D96" i="35"/>
  <c r="D88" i="35"/>
  <c r="D164" i="35"/>
  <c r="D156" i="35"/>
  <c r="J29" i="35"/>
  <c r="N200" i="35"/>
  <c r="L199" i="35"/>
  <c r="L24" i="145" s="1"/>
  <c r="J198" i="35"/>
  <c r="J23" i="145" s="1"/>
  <c r="N196" i="35"/>
  <c r="L195" i="35"/>
  <c r="J194" i="35"/>
  <c r="N192" i="35"/>
  <c r="O201" i="35"/>
  <c r="M200" i="35"/>
  <c r="K199" i="35"/>
  <c r="K24" i="145" s="1"/>
  <c r="O197" i="35"/>
  <c r="M196" i="35"/>
  <c r="M21" i="145" s="1"/>
  <c r="K195" i="35"/>
  <c r="K20" i="145" s="1"/>
  <c r="O193" i="35"/>
  <c r="O18" i="145" s="1"/>
  <c r="M192" i="35"/>
  <c r="N201" i="35"/>
  <c r="N26" i="145" s="1"/>
  <c r="L200" i="35"/>
  <c r="J199" i="35"/>
  <c r="N197" i="35"/>
  <c r="L196" i="35"/>
  <c r="J195" i="35"/>
  <c r="N193" i="35"/>
  <c r="N18" i="145" s="1"/>
  <c r="L192" i="35"/>
  <c r="L17" i="145" s="1"/>
  <c r="O29" i="35"/>
  <c r="M201" i="35"/>
  <c r="M26" i="145" s="1"/>
  <c r="K200" i="35"/>
  <c r="K25" i="145" s="1"/>
  <c r="O198" i="35"/>
  <c r="M197" i="35"/>
  <c r="K196" i="35"/>
  <c r="K21" i="145" s="1"/>
  <c r="O194" i="35"/>
  <c r="M193" i="35"/>
  <c r="K192" i="35"/>
  <c r="K17" i="145" s="1"/>
  <c r="N29" i="35"/>
  <c r="L201" i="35"/>
  <c r="J200" i="35"/>
  <c r="N198" i="35"/>
  <c r="L197" i="35"/>
  <c r="J196" i="35"/>
  <c r="J21" i="145" s="1"/>
  <c r="N194" i="35"/>
  <c r="N19" i="145" s="1"/>
  <c r="L193" i="35"/>
  <c r="L18" i="145" s="1"/>
  <c r="J192" i="35"/>
  <c r="D242" i="31"/>
  <c r="D281" i="31"/>
  <c r="M29" i="35"/>
  <c r="K201" i="35"/>
  <c r="K26" i="145" s="1"/>
  <c r="O199" i="35"/>
  <c r="O24" i="145" s="1"/>
  <c r="M198" i="35"/>
  <c r="K197" i="35"/>
  <c r="K22" i="145" s="1"/>
  <c r="O195" i="35"/>
  <c r="M194" i="35"/>
  <c r="K193" i="35"/>
  <c r="K18" i="145" s="1"/>
  <c r="L29" i="35"/>
  <c r="J201" i="35"/>
  <c r="N199" i="35"/>
  <c r="N24" i="145" s="1"/>
  <c r="L198" i="35"/>
  <c r="L23" i="145" s="1"/>
  <c r="J197" i="35"/>
  <c r="J22" i="145" s="1"/>
  <c r="N195" i="35"/>
  <c r="L194" i="35"/>
  <c r="J193" i="35"/>
  <c r="K29" i="35"/>
  <c r="O200" i="35"/>
  <c r="M199" i="35"/>
  <c r="K198" i="35"/>
  <c r="K23" i="145" s="1"/>
  <c r="O196" i="35"/>
  <c r="M195" i="35"/>
  <c r="M20" i="145" s="1"/>
  <c r="K194" i="35"/>
  <c r="K19" i="145" s="1"/>
  <c r="O192" i="35"/>
  <c r="D29" i="30"/>
  <c r="D21" i="30"/>
  <c r="D41" i="30"/>
  <c r="D61" i="30"/>
  <c r="D81" i="30"/>
  <c r="D101" i="30"/>
  <c r="D93" i="30"/>
  <c r="D113" i="30"/>
  <c r="D133" i="30"/>
  <c r="D153" i="30"/>
  <c r="D173" i="30"/>
  <c r="D165" i="30"/>
  <c r="D185" i="30"/>
  <c r="D204" i="30"/>
  <c r="D223" i="30"/>
  <c r="C69" i="143" s="1"/>
  <c r="D31" i="32"/>
  <c r="D23" i="32"/>
  <c r="J46" i="31"/>
  <c r="L63" i="31"/>
  <c r="N80" i="31"/>
  <c r="J114" i="31"/>
  <c r="L131" i="31"/>
  <c r="J165" i="31"/>
  <c r="L182" i="31"/>
  <c r="J198" i="31"/>
  <c r="N196" i="31"/>
  <c r="L195" i="31"/>
  <c r="J194" i="31"/>
  <c r="N192" i="31"/>
  <c r="N20" i="143" s="1"/>
  <c r="L191" i="31"/>
  <c r="J190" i="31"/>
  <c r="D28" i="30"/>
  <c r="D48" i="30"/>
  <c r="D40" i="30"/>
  <c r="D60" i="30"/>
  <c r="D80" i="30"/>
  <c r="D100" i="30"/>
  <c r="D120" i="30"/>
  <c r="D112" i="30"/>
  <c r="D132" i="30"/>
  <c r="D152" i="30"/>
  <c r="D172" i="30"/>
  <c r="D192" i="30"/>
  <c r="D184" i="30"/>
  <c r="D203" i="30"/>
  <c r="D222" i="30"/>
  <c r="C68" i="143" s="1"/>
  <c r="D30" i="32"/>
  <c r="M80" i="31"/>
  <c r="O97" i="31"/>
  <c r="O148" i="31"/>
  <c r="K29" i="31"/>
  <c r="O197" i="31"/>
  <c r="M196" i="31"/>
  <c r="K195" i="31"/>
  <c r="O193" i="31"/>
  <c r="M192" i="31"/>
  <c r="K191" i="31"/>
  <c r="O189" i="31"/>
  <c r="D27" i="30"/>
  <c r="D47" i="30"/>
  <c r="D39" i="30"/>
  <c r="D59" i="30"/>
  <c r="D79" i="30"/>
  <c r="D99" i="30"/>
  <c r="D119" i="30"/>
  <c r="D111" i="30"/>
  <c r="D131" i="30"/>
  <c r="D151" i="30"/>
  <c r="D171" i="30"/>
  <c r="D191" i="30"/>
  <c r="D183" i="30"/>
  <c r="D202" i="30"/>
  <c r="D221" i="30"/>
  <c r="C67" i="143" s="1"/>
  <c r="D29" i="32"/>
  <c r="J63" i="31"/>
  <c r="L80" i="31"/>
  <c r="N97" i="31"/>
  <c r="J131" i="31"/>
  <c r="N148" i="31"/>
  <c r="J182" i="31"/>
  <c r="N197" i="31"/>
  <c r="L196" i="31"/>
  <c r="L24" i="143" s="1"/>
  <c r="J195" i="31"/>
  <c r="J23" i="143" s="1"/>
  <c r="N193" i="31"/>
  <c r="L192" i="31"/>
  <c r="J191" i="31"/>
  <c r="N189" i="31"/>
  <c r="D26" i="30"/>
  <c r="D46" i="30"/>
  <c r="D66" i="30"/>
  <c r="D58" i="30"/>
  <c r="D78" i="30"/>
  <c r="D98" i="30"/>
  <c r="D118" i="30"/>
  <c r="D138" i="30"/>
  <c r="D130" i="30"/>
  <c r="D150" i="30"/>
  <c r="D170" i="30"/>
  <c r="D190" i="30"/>
  <c r="D209" i="30"/>
  <c r="D201" i="30"/>
  <c r="D220" i="30"/>
  <c r="C66" i="143" s="1"/>
  <c r="D28" i="32"/>
  <c r="O46" i="31"/>
  <c r="M97" i="31"/>
  <c r="O114" i="31"/>
  <c r="M148" i="31"/>
  <c r="O165" i="31"/>
  <c r="O198" i="31"/>
  <c r="M197" i="31"/>
  <c r="K196" i="31"/>
  <c r="K24" i="143" s="1"/>
  <c r="O194" i="31"/>
  <c r="M193" i="31"/>
  <c r="K192" i="31"/>
  <c r="K20" i="143" s="1"/>
  <c r="O190" i="31"/>
  <c r="M189" i="31"/>
  <c r="D25" i="30"/>
  <c r="D45" i="30"/>
  <c r="D65" i="30"/>
  <c r="D57" i="30"/>
  <c r="D77" i="30"/>
  <c r="D97" i="30"/>
  <c r="D117" i="30"/>
  <c r="D137" i="30"/>
  <c r="D129" i="30"/>
  <c r="D149" i="30"/>
  <c r="D169" i="30"/>
  <c r="D189" i="30"/>
  <c r="D208" i="30"/>
  <c r="D200" i="30"/>
  <c r="D219" i="30"/>
  <c r="C65" i="143" s="1"/>
  <c r="D27" i="32"/>
  <c r="J80" i="31"/>
  <c r="L97" i="31"/>
  <c r="N114" i="31"/>
  <c r="L148" i="31"/>
  <c r="N165" i="31"/>
  <c r="N198" i="31"/>
  <c r="L197" i="31"/>
  <c r="J196" i="31"/>
  <c r="N194" i="31"/>
  <c r="L193" i="31"/>
  <c r="J192" i="31"/>
  <c r="J20" i="143" s="1"/>
  <c r="N190" i="31"/>
  <c r="L189" i="31"/>
  <c r="D24" i="30"/>
  <c r="D44" i="30"/>
  <c r="D64" i="30"/>
  <c r="D84" i="30"/>
  <c r="D76" i="30"/>
  <c r="D96" i="30"/>
  <c r="D116" i="30"/>
  <c r="D136" i="30"/>
  <c r="D156" i="30"/>
  <c r="D148" i="30"/>
  <c r="D168" i="30"/>
  <c r="D188" i="30"/>
  <c r="D207" i="30"/>
  <c r="D226" i="30"/>
  <c r="C72" i="143" s="1"/>
  <c r="D218" i="30"/>
  <c r="C64" i="143" s="1"/>
  <c r="D26" i="32"/>
  <c r="M46" i="31"/>
  <c r="O63" i="31"/>
  <c r="M114" i="31"/>
  <c r="O131" i="31"/>
  <c r="M165" i="31"/>
  <c r="O182" i="31"/>
  <c r="O29" i="31"/>
  <c r="O195" i="31"/>
  <c r="O191" i="31"/>
  <c r="O19" i="143" s="1"/>
  <c r="K189" i="31"/>
  <c r="K17" i="143" s="1"/>
  <c r="N102" i="19"/>
  <c r="D23" i="30"/>
  <c r="D43" i="30"/>
  <c r="D63" i="30"/>
  <c r="D83" i="30"/>
  <c r="D75" i="30"/>
  <c r="D95" i="30"/>
  <c r="D115" i="30"/>
  <c r="D135" i="30"/>
  <c r="D155" i="30"/>
  <c r="D147" i="30"/>
  <c r="D167" i="30"/>
  <c r="L46" i="31"/>
  <c r="J97" i="31"/>
  <c r="L114" i="31"/>
  <c r="N131" i="31"/>
  <c r="J148" i="31"/>
  <c r="L165" i="31"/>
  <c r="N182" i="31"/>
  <c r="N29" i="31"/>
  <c r="L198" i="31"/>
  <c r="J197" i="31"/>
  <c r="J25" i="143" s="1"/>
  <c r="N195" i="31"/>
  <c r="N23" i="143" s="1"/>
  <c r="L194" i="31"/>
  <c r="L22" i="143" s="1"/>
  <c r="J193" i="31"/>
  <c r="J21" i="143" s="1"/>
  <c r="N191" i="31"/>
  <c r="N19" i="143" s="1"/>
  <c r="L190" i="31"/>
  <c r="L18" i="143" s="1"/>
  <c r="J189" i="31"/>
  <c r="D30" i="30"/>
  <c r="D22" i="30"/>
  <c r="D42" i="30"/>
  <c r="D62" i="30"/>
  <c r="D82" i="30"/>
  <c r="D102" i="30"/>
  <c r="D94" i="30"/>
  <c r="D114" i="30"/>
  <c r="D134" i="30"/>
  <c r="D154" i="30"/>
  <c r="D174" i="30"/>
  <c r="D166" i="30"/>
  <c r="M63" i="31"/>
  <c r="O80" i="31"/>
  <c r="M131" i="31"/>
  <c r="M182" i="31"/>
  <c r="M29" i="31"/>
  <c r="M195" i="31"/>
  <c r="M191" i="31"/>
  <c r="K190" i="31"/>
  <c r="J241" i="21"/>
  <c r="I77" i="19"/>
  <c r="I87" i="19" s="1"/>
  <c r="J87" i="19"/>
  <c r="N72" i="19"/>
  <c r="D383" i="19"/>
  <c r="D109" i="142" s="1"/>
  <c r="D370" i="19"/>
  <c r="D96" i="142" s="1"/>
  <c r="D357" i="19"/>
  <c r="D83" i="142" s="1"/>
  <c r="D344" i="19"/>
  <c r="D70" i="142" s="1"/>
  <c r="D328" i="19"/>
  <c r="D315" i="19"/>
  <c r="D287" i="19"/>
  <c r="D262" i="19"/>
  <c r="D232" i="19"/>
  <c r="D34" i="140" s="1"/>
  <c r="D190" i="19"/>
  <c r="D245" i="19"/>
  <c r="D106" i="140" s="1"/>
  <c r="D119" i="140" s="1"/>
  <c r="D302" i="19"/>
  <c r="D275" i="19"/>
  <c r="D153" i="140" s="1"/>
  <c r="D175" i="19"/>
  <c r="D19" i="140" s="1"/>
  <c r="J57" i="19"/>
  <c r="I47" i="19"/>
  <c r="I57" i="19" s="1"/>
  <c r="D390" i="19"/>
  <c r="D116" i="142" s="1"/>
  <c r="D377" i="19"/>
  <c r="D103" i="142" s="1"/>
  <c r="D364" i="19"/>
  <c r="D90" i="142" s="1"/>
  <c r="D351" i="19"/>
  <c r="D77" i="142" s="1"/>
  <c r="D335" i="19"/>
  <c r="D322" i="19"/>
  <c r="D239" i="19"/>
  <c r="D41" i="140" s="1"/>
  <c r="D197" i="19"/>
  <c r="D252" i="19"/>
  <c r="D113" i="140" s="1"/>
  <c r="D126" i="140" s="1"/>
  <c r="D309" i="19"/>
  <c r="D282" i="19"/>
  <c r="D160" i="140" s="1"/>
  <c r="D294" i="19"/>
  <c r="D269" i="19"/>
  <c r="D182" i="19"/>
  <c r="D26" i="140" s="1"/>
  <c r="D382" i="19"/>
  <c r="D108" i="142" s="1"/>
  <c r="D369" i="19"/>
  <c r="D95" i="142" s="1"/>
  <c r="D356" i="19"/>
  <c r="D82" i="142" s="1"/>
  <c r="D343" i="19"/>
  <c r="D69" i="142" s="1"/>
  <c r="D327" i="19"/>
  <c r="D314" i="19"/>
  <c r="D301" i="19"/>
  <c r="D231" i="19"/>
  <c r="D33" i="140" s="1"/>
  <c r="D189" i="19"/>
  <c r="D244" i="19"/>
  <c r="D105" i="140" s="1"/>
  <c r="D118" i="140" s="1"/>
  <c r="D274" i="19"/>
  <c r="D152" i="140" s="1"/>
  <c r="D286" i="19"/>
  <c r="D261" i="19"/>
  <c r="D174" i="19"/>
  <c r="D18" i="140" s="1"/>
  <c r="N42" i="19"/>
  <c r="N162" i="19"/>
  <c r="N241" i="21"/>
  <c r="L182" i="19"/>
  <c r="L239" i="19"/>
  <c r="L41" i="140" s="1"/>
  <c r="J181" i="19"/>
  <c r="I25" i="19"/>
  <c r="J238" i="19"/>
  <c r="J40" i="140" s="1"/>
  <c r="N179" i="19"/>
  <c r="N236" i="19"/>
  <c r="N38" i="140" s="1"/>
  <c r="L178" i="19"/>
  <c r="L235" i="19"/>
  <c r="L37" i="140" s="1"/>
  <c r="I21" i="19"/>
  <c r="J177" i="19"/>
  <c r="J234" i="19"/>
  <c r="J36" i="140" s="1"/>
  <c r="N175" i="19"/>
  <c r="N232" i="19"/>
  <c r="N34" i="140" s="1"/>
  <c r="L174" i="19"/>
  <c r="L231" i="19"/>
  <c r="L33" i="140" s="1"/>
  <c r="J173" i="19"/>
  <c r="I17" i="19"/>
  <c r="J27" i="19"/>
  <c r="J230" i="19"/>
  <c r="J32" i="140" s="1"/>
  <c r="I137" i="19"/>
  <c r="I147" i="19" s="1"/>
  <c r="J147" i="19"/>
  <c r="D188" i="19"/>
  <c r="N132" i="19"/>
  <c r="D237" i="21"/>
  <c r="D153" i="21"/>
  <c r="D113" i="19" s="1"/>
  <c r="D69" i="21"/>
  <c r="D53" i="19" s="1"/>
  <c r="D216" i="21"/>
  <c r="D158" i="19" s="1"/>
  <c r="D132" i="21"/>
  <c r="D98" i="19" s="1"/>
  <c r="D48" i="21"/>
  <c r="D38" i="19" s="1"/>
  <c r="D29" i="18"/>
  <c r="D195" i="21"/>
  <c r="D143" i="19" s="1"/>
  <c r="D111" i="21"/>
  <c r="D83" i="19" s="1"/>
  <c r="D26" i="21"/>
  <c r="D174" i="21"/>
  <c r="D128" i="19" s="1"/>
  <c r="I107" i="19"/>
  <c r="I117" i="19" s="1"/>
  <c r="J117" i="19"/>
  <c r="D27" i="21"/>
  <c r="D51" i="21"/>
  <c r="D41" i="19" s="1"/>
  <c r="D43" i="21"/>
  <c r="D33" i="19" s="1"/>
  <c r="D66" i="21"/>
  <c r="D50" i="19" s="1"/>
  <c r="D89" i="21"/>
  <c r="D67" i="19" s="1"/>
  <c r="D112" i="21"/>
  <c r="D84" i="19" s="1"/>
  <c r="D135" i="21"/>
  <c r="D101" i="19" s="1"/>
  <c r="D127" i="21"/>
  <c r="D93" i="19" s="1"/>
  <c r="D150" i="21"/>
  <c r="D110" i="19" s="1"/>
  <c r="D173" i="21"/>
  <c r="D127" i="19" s="1"/>
  <c r="D196" i="21"/>
  <c r="D144" i="19" s="1"/>
  <c r="D219" i="21"/>
  <c r="D161" i="19" s="1"/>
  <c r="D211" i="21"/>
  <c r="D153" i="19" s="1"/>
  <c r="D234" i="21"/>
  <c r="D257" i="21"/>
  <c r="D30" i="18"/>
  <c r="K182" i="19"/>
  <c r="K239" i="19"/>
  <c r="K41" i="140" s="1"/>
  <c r="O180" i="19"/>
  <c r="O237" i="19"/>
  <c r="O39" i="140" s="1"/>
  <c r="M179" i="19"/>
  <c r="M236" i="19"/>
  <c r="M38" i="140" s="1"/>
  <c r="K178" i="19"/>
  <c r="K235" i="19"/>
  <c r="K37" i="140" s="1"/>
  <c r="O176" i="19"/>
  <c r="O233" i="19"/>
  <c r="O35" i="140" s="1"/>
  <c r="M175" i="19"/>
  <c r="M232" i="19"/>
  <c r="M34" i="140" s="1"/>
  <c r="K174" i="19"/>
  <c r="K231" i="19"/>
  <c r="K33" i="140" s="1"/>
  <c r="M42" i="19"/>
  <c r="M72" i="19"/>
  <c r="M102" i="19"/>
  <c r="M132" i="19"/>
  <c r="M162" i="19"/>
  <c r="D50" i="21"/>
  <c r="D40" i="19" s="1"/>
  <c r="D42" i="21"/>
  <c r="D32" i="19" s="1"/>
  <c r="D65" i="21"/>
  <c r="D49" i="19" s="1"/>
  <c r="D88" i="21"/>
  <c r="D66" i="19" s="1"/>
  <c r="D134" i="21"/>
  <c r="D100" i="19" s="1"/>
  <c r="D126" i="21"/>
  <c r="D92" i="19" s="1"/>
  <c r="D149" i="21"/>
  <c r="D109" i="19" s="1"/>
  <c r="D172" i="21"/>
  <c r="D126" i="19" s="1"/>
  <c r="D218" i="21"/>
  <c r="D160" i="19" s="1"/>
  <c r="D210" i="21"/>
  <c r="D152" i="19" s="1"/>
  <c r="D233" i="21"/>
  <c r="D256" i="21"/>
  <c r="J182" i="19"/>
  <c r="J239" i="19"/>
  <c r="J41" i="140" s="1"/>
  <c r="I26" i="19"/>
  <c r="N180" i="19"/>
  <c r="N237" i="19"/>
  <c r="N39" i="140" s="1"/>
  <c r="L179" i="19"/>
  <c r="L236" i="19"/>
  <c r="L38" i="140" s="1"/>
  <c r="J178" i="19"/>
  <c r="I22" i="19"/>
  <c r="J235" i="19"/>
  <c r="J37" i="140" s="1"/>
  <c r="N176" i="19"/>
  <c r="N233" i="19"/>
  <c r="N35" i="140" s="1"/>
  <c r="L175" i="19"/>
  <c r="L232" i="19"/>
  <c r="L34" i="140" s="1"/>
  <c r="J174" i="19"/>
  <c r="J231" i="19"/>
  <c r="J33" i="140" s="1"/>
  <c r="I18" i="19"/>
  <c r="L42" i="19"/>
  <c r="L72" i="19"/>
  <c r="L102" i="19"/>
  <c r="L132" i="19"/>
  <c r="L162" i="19"/>
  <c r="D25" i="21"/>
  <c r="D49" i="21"/>
  <c r="D39" i="19" s="1"/>
  <c r="D72" i="21"/>
  <c r="D56" i="19" s="1"/>
  <c r="D64" i="21"/>
  <c r="D48" i="19" s="1"/>
  <c r="D87" i="21"/>
  <c r="D65" i="19" s="1"/>
  <c r="D110" i="21"/>
  <c r="D82" i="19" s="1"/>
  <c r="D133" i="21"/>
  <c r="D99" i="19" s="1"/>
  <c r="D156" i="21"/>
  <c r="D116" i="19" s="1"/>
  <c r="D148" i="21"/>
  <c r="D108" i="19" s="1"/>
  <c r="D171" i="21"/>
  <c r="D125" i="19" s="1"/>
  <c r="D194" i="21"/>
  <c r="D142" i="19" s="1"/>
  <c r="D217" i="21"/>
  <c r="D159" i="19" s="1"/>
  <c r="D240" i="21"/>
  <c r="D232" i="21"/>
  <c r="D255" i="21"/>
  <c r="D28" i="18"/>
  <c r="O238" i="19"/>
  <c r="O40" i="140" s="1"/>
  <c r="O181" i="19"/>
  <c r="M237" i="19"/>
  <c r="M39" i="140" s="1"/>
  <c r="M180" i="19"/>
  <c r="K236" i="19"/>
  <c r="K38" i="140" s="1"/>
  <c r="K179" i="19"/>
  <c r="O234" i="19"/>
  <c r="O36" i="140" s="1"/>
  <c r="O177" i="19"/>
  <c r="M233" i="19"/>
  <c r="M35" i="140" s="1"/>
  <c r="M176" i="19"/>
  <c r="K232" i="19"/>
  <c r="K34" i="140" s="1"/>
  <c r="K175" i="19"/>
  <c r="O27" i="19"/>
  <c r="O230" i="19"/>
  <c r="O32" i="140" s="1"/>
  <c r="O173" i="19"/>
  <c r="K42" i="19"/>
  <c r="O57" i="19"/>
  <c r="K72" i="19"/>
  <c r="O87" i="19"/>
  <c r="K102" i="19"/>
  <c r="O117" i="19"/>
  <c r="K132" i="19"/>
  <c r="O147" i="19"/>
  <c r="K162" i="19"/>
  <c r="D24" i="21"/>
  <c r="D71" i="21"/>
  <c r="D55" i="19" s="1"/>
  <c r="D63" i="21"/>
  <c r="D47" i="19" s="1"/>
  <c r="D86" i="21"/>
  <c r="D64" i="19" s="1"/>
  <c r="D109" i="21"/>
  <c r="D81" i="19" s="1"/>
  <c r="D155" i="21"/>
  <c r="D115" i="19" s="1"/>
  <c r="D147" i="21"/>
  <c r="D107" i="19" s="1"/>
  <c r="D170" i="21"/>
  <c r="D124" i="19" s="1"/>
  <c r="D193" i="21"/>
  <c r="D141" i="19" s="1"/>
  <c r="D239" i="21"/>
  <c r="D231" i="21"/>
  <c r="D254" i="21"/>
  <c r="D27" i="18"/>
  <c r="N238" i="19"/>
  <c r="N40" i="140" s="1"/>
  <c r="N181" i="19"/>
  <c r="L237" i="19"/>
  <c r="L39" i="140" s="1"/>
  <c r="L180" i="19"/>
  <c r="I23" i="19"/>
  <c r="J236" i="19"/>
  <c r="J38" i="140" s="1"/>
  <c r="J179" i="19"/>
  <c r="N234" i="19"/>
  <c r="N36" i="140" s="1"/>
  <c r="N177" i="19"/>
  <c r="L233" i="19"/>
  <c r="L35" i="140" s="1"/>
  <c r="L176" i="19"/>
  <c r="J232" i="19"/>
  <c r="J34" i="140" s="1"/>
  <c r="J175" i="19"/>
  <c r="I19" i="19"/>
  <c r="N27" i="19"/>
  <c r="N230" i="19"/>
  <c r="N32" i="140" s="1"/>
  <c r="N173" i="19"/>
  <c r="I32" i="19"/>
  <c r="I42" i="19" s="1"/>
  <c r="J42" i="19"/>
  <c r="N57" i="19"/>
  <c r="I62" i="19"/>
  <c r="I72" i="19" s="1"/>
  <c r="J72" i="19"/>
  <c r="N87" i="19"/>
  <c r="I92" i="19"/>
  <c r="I102" i="19" s="1"/>
  <c r="J102" i="19"/>
  <c r="N117" i="19"/>
  <c r="I122" i="19"/>
  <c r="I132" i="19" s="1"/>
  <c r="J132" i="19"/>
  <c r="N147" i="19"/>
  <c r="I152" i="19"/>
  <c r="I162" i="19" s="1"/>
  <c r="J162" i="19"/>
  <c r="D23" i="21"/>
  <c r="D47" i="21"/>
  <c r="D37" i="19" s="1"/>
  <c r="D70" i="21"/>
  <c r="D54" i="19" s="1"/>
  <c r="D93" i="21"/>
  <c r="D71" i="19" s="1"/>
  <c r="D85" i="21"/>
  <c r="D63" i="19" s="1"/>
  <c r="D108" i="21"/>
  <c r="D80" i="19" s="1"/>
  <c r="D131" i="21"/>
  <c r="D97" i="19" s="1"/>
  <c r="D154" i="21"/>
  <c r="D114" i="19" s="1"/>
  <c r="D177" i="21"/>
  <c r="D131" i="19" s="1"/>
  <c r="D169" i="21"/>
  <c r="D123" i="19" s="1"/>
  <c r="D192" i="21"/>
  <c r="D140" i="19" s="1"/>
  <c r="D215" i="21"/>
  <c r="D157" i="19" s="1"/>
  <c r="D238" i="21"/>
  <c r="D261" i="21"/>
  <c r="D253" i="21"/>
  <c r="D26" i="18"/>
  <c r="O239" i="19"/>
  <c r="O41" i="140" s="1"/>
  <c r="O182" i="19"/>
  <c r="M238" i="19"/>
  <c r="M40" i="140" s="1"/>
  <c r="M181" i="19"/>
  <c r="K237" i="19"/>
  <c r="K39" i="140" s="1"/>
  <c r="K180" i="19"/>
  <c r="O235" i="19"/>
  <c r="O37" i="140" s="1"/>
  <c r="O178" i="19"/>
  <c r="M234" i="19"/>
  <c r="M36" i="140" s="1"/>
  <c r="M177" i="19"/>
  <c r="K233" i="19"/>
  <c r="K35" i="140" s="1"/>
  <c r="K176" i="19"/>
  <c r="O231" i="19"/>
  <c r="O33" i="140" s="1"/>
  <c r="O174" i="19"/>
  <c r="M27" i="19"/>
  <c r="M230" i="19"/>
  <c r="M32" i="140" s="1"/>
  <c r="M173" i="19"/>
  <c r="M57" i="19"/>
  <c r="M87" i="19"/>
  <c r="M117" i="19"/>
  <c r="M147" i="19"/>
  <c r="D22" i="21"/>
  <c r="D46" i="21"/>
  <c r="D36" i="19" s="1"/>
  <c r="D92" i="21"/>
  <c r="D70" i="19" s="1"/>
  <c r="D84" i="21"/>
  <c r="D62" i="19" s="1"/>
  <c r="D107" i="21"/>
  <c r="D79" i="19" s="1"/>
  <c r="D130" i="21"/>
  <c r="D96" i="19" s="1"/>
  <c r="D176" i="21"/>
  <c r="D130" i="19" s="1"/>
  <c r="D168" i="21"/>
  <c r="D122" i="19" s="1"/>
  <c r="D191" i="21"/>
  <c r="D139" i="19" s="1"/>
  <c r="N239" i="19"/>
  <c r="N41" i="140" s="1"/>
  <c r="N182" i="19"/>
  <c r="L238" i="19"/>
  <c r="L40" i="140" s="1"/>
  <c r="L181" i="19"/>
  <c r="J237" i="19"/>
  <c r="J39" i="140" s="1"/>
  <c r="J180" i="19"/>
  <c r="I24" i="19"/>
  <c r="N235" i="19"/>
  <c r="N37" i="140" s="1"/>
  <c r="N178" i="19"/>
  <c r="L234" i="19"/>
  <c r="L36" i="140" s="1"/>
  <c r="L177" i="19"/>
  <c r="I20" i="19"/>
  <c r="J233" i="19"/>
  <c r="J35" i="140" s="1"/>
  <c r="J176" i="19"/>
  <c r="N231" i="19"/>
  <c r="N33" i="140" s="1"/>
  <c r="N174" i="19"/>
  <c r="L27" i="19"/>
  <c r="L230" i="19"/>
  <c r="L32" i="140" s="1"/>
  <c r="L173" i="19"/>
  <c r="L57" i="19"/>
  <c r="L87" i="19"/>
  <c r="L117" i="19"/>
  <c r="L147" i="19"/>
  <c r="D29" i="21"/>
  <c r="D21" i="21"/>
  <c r="D45" i="21"/>
  <c r="D35" i="19" s="1"/>
  <c r="D68" i="21"/>
  <c r="D52" i="19" s="1"/>
  <c r="D91" i="21"/>
  <c r="D69" i="19" s="1"/>
  <c r="D114" i="21"/>
  <c r="D86" i="19" s="1"/>
  <c r="D106" i="21"/>
  <c r="D78" i="19" s="1"/>
  <c r="D129" i="21"/>
  <c r="D95" i="19" s="1"/>
  <c r="D152" i="21"/>
  <c r="D112" i="19" s="1"/>
  <c r="D175" i="21"/>
  <c r="D129" i="19" s="1"/>
  <c r="D198" i="21"/>
  <c r="D146" i="19" s="1"/>
  <c r="D190" i="21"/>
  <c r="D138" i="19" s="1"/>
  <c r="M239" i="19"/>
  <c r="M41" i="140" s="1"/>
  <c r="M182" i="19"/>
  <c r="K238" i="19"/>
  <c r="K40" i="140" s="1"/>
  <c r="K181" i="19"/>
  <c r="O236" i="19"/>
  <c r="O38" i="140" s="1"/>
  <c r="O179" i="19"/>
  <c r="M235" i="19"/>
  <c r="M37" i="140" s="1"/>
  <c r="M178" i="19"/>
  <c r="K234" i="19"/>
  <c r="K36" i="140" s="1"/>
  <c r="K177" i="19"/>
  <c r="O232" i="19"/>
  <c r="O34" i="140" s="1"/>
  <c r="O175" i="19"/>
  <c r="M231" i="19"/>
  <c r="M33" i="140" s="1"/>
  <c r="M174" i="19"/>
  <c r="K230" i="19"/>
  <c r="K32" i="140" s="1"/>
  <c r="K173" i="19"/>
  <c r="K27" i="19"/>
  <c r="O42" i="19"/>
  <c r="K57" i="19"/>
  <c r="O72" i="19"/>
  <c r="K87" i="19"/>
  <c r="O102" i="19"/>
  <c r="K117" i="19"/>
  <c r="O132" i="19"/>
  <c r="K147" i="19"/>
  <c r="O162" i="19"/>
  <c r="D93" i="20"/>
  <c r="D108" i="20"/>
  <c r="D123" i="20"/>
  <c r="D57" i="140" s="1"/>
  <c r="D139" i="20"/>
  <c r="D131" i="20"/>
  <c r="D149" i="20"/>
  <c r="D66" i="140" s="1"/>
  <c r="D165" i="20"/>
  <c r="D180" i="20"/>
  <c r="D199" i="20"/>
  <c r="D191" i="20"/>
  <c r="D307" i="20"/>
  <c r="D79" i="140" s="1"/>
  <c r="D338" i="20"/>
  <c r="D368" i="20"/>
  <c r="D383" i="20"/>
  <c r="D375" i="20"/>
  <c r="M113" i="20"/>
  <c r="K100" i="20"/>
  <c r="D92" i="20"/>
  <c r="D107" i="20"/>
  <c r="D122" i="20"/>
  <c r="D56" i="140" s="1"/>
  <c r="D138" i="20"/>
  <c r="D130" i="20"/>
  <c r="D148" i="20"/>
  <c r="D65" i="140" s="1"/>
  <c r="D164" i="20"/>
  <c r="D179" i="20"/>
  <c r="D198" i="20"/>
  <c r="D190" i="20"/>
  <c r="D306" i="20"/>
  <c r="D78" i="140" s="1"/>
  <c r="D337" i="20"/>
  <c r="D367" i="20"/>
  <c r="D382" i="20"/>
  <c r="D374" i="20"/>
  <c r="L113" i="20"/>
  <c r="J100" i="20"/>
  <c r="D99" i="20"/>
  <c r="D91" i="20"/>
  <c r="D106" i="20"/>
  <c r="D121" i="20"/>
  <c r="D55" i="140" s="1"/>
  <c r="D137" i="20"/>
  <c r="D155" i="20"/>
  <c r="D72" i="140" s="1"/>
  <c r="D147" i="20"/>
  <c r="D64" i="140" s="1"/>
  <c r="D163" i="20"/>
  <c r="D178" i="20"/>
  <c r="D197" i="20"/>
  <c r="D313" i="20"/>
  <c r="D85" i="140" s="1"/>
  <c r="D305" i="20"/>
  <c r="D77" i="140" s="1"/>
  <c r="D336" i="20"/>
  <c r="D366" i="20"/>
  <c r="D381" i="20"/>
  <c r="K113" i="20"/>
  <c r="D98" i="20"/>
  <c r="D90" i="20"/>
  <c r="D105" i="20"/>
  <c r="D120" i="20"/>
  <c r="D54" i="140" s="1"/>
  <c r="D136" i="20"/>
  <c r="D154" i="20"/>
  <c r="D71" i="140" s="1"/>
  <c r="D146" i="20"/>
  <c r="D63" i="140" s="1"/>
  <c r="D162" i="20"/>
  <c r="D177" i="20"/>
  <c r="D196" i="20"/>
  <c r="D312" i="20"/>
  <c r="D84" i="140" s="1"/>
  <c r="D304" i="20"/>
  <c r="D76" i="140" s="1"/>
  <c r="D335" i="20"/>
  <c r="D365" i="20"/>
  <c r="D380" i="20"/>
  <c r="J130" i="20"/>
  <c r="J113" i="20"/>
  <c r="D97" i="20"/>
  <c r="D112" i="20"/>
  <c r="D104" i="20"/>
  <c r="D119" i="20"/>
  <c r="D53" i="140" s="1"/>
  <c r="D135" i="20"/>
  <c r="D153" i="20"/>
  <c r="D70" i="140" s="1"/>
  <c r="D169" i="20"/>
  <c r="D161" i="20"/>
  <c r="D176" i="20"/>
  <c r="D195" i="20"/>
  <c r="D311" i="20"/>
  <c r="D83" i="140" s="1"/>
  <c r="D342" i="20"/>
  <c r="D334" i="20"/>
  <c r="D364" i="20"/>
  <c r="D379" i="20"/>
  <c r="K131" i="20"/>
  <c r="O100" i="20"/>
  <c r="D96" i="20"/>
  <c r="D111" i="20"/>
  <c r="D103" i="20"/>
  <c r="D118" i="20"/>
  <c r="D52" i="140" s="1"/>
  <c r="D134" i="20"/>
  <c r="D152" i="20"/>
  <c r="D69" i="140" s="1"/>
  <c r="D168" i="20"/>
  <c r="D160" i="20"/>
  <c r="D175" i="20"/>
  <c r="D194" i="20"/>
  <c r="D310" i="20"/>
  <c r="D82" i="140" s="1"/>
  <c r="D341" i="20"/>
  <c r="D333" i="20"/>
  <c r="D363" i="20"/>
  <c r="D378" i="20"/>
  <c r="N137" i="20"/>
  <c r="N100" i="20"/>
  <c r="D95" i="20"/>
  <c r="D110" i="20"/>
  <c r="D125" i="20"/>
  <c r="D59" i="140" s="1"/>
  <c r="D117" i="20"/>
  <c r="D51" i="140" s="1"/>
  <c r="D133" i="20"/>
  <c r="D151" i="20"/>
  <c r="D68" i="140" s="1"/>
  <c r="D167" i="20"/>
  <c r="D182" i="20"/>
  <c r="D174" i="20"/>
  <c r="D193" i="20"/>
  <c r="O113" i="20"/>
  <c r="M100" i="20"/>
  <c r="D94" i="20"/>
  <c r="D109" i="20"/>
  <c r="D124" i="20"/>
  <c r="D58" i="140" s="1"/>
  <c r="D116" i="20"/>
  <c r="D50" i="140" s="1"/>
  <c r="D132" i="20"/>
  <c r="D150" i="20"/>
  <c r="D67" i="140" s="1"/>
  <c r="D166" i="20"/>
  <c r="D181" i="20"/>
  <c r="D173" i="20"/>
  <c r="D192" i="20"/>
  <c r="N113" i="20"/>
  <c r="L100" i="20"/>
  <c r="L200" i="19" l="1"/>
  <c r="L87" i="111" s="1"/>
  <c r="J200" i="19"/>
  <c r="J87" i="111" s="1"/>
  <c r="N200" i="19"/>
  <c r="N87" i="111" s="1"/>
  <c r="D229" i="31"/>
  <c r="C48" i="143" s="1"/>
  <c r="J137" i="20"/>
  <c r="D1908" i="35"/>
  <c r="D273" i="20" s="1"/>
  <c r="K133" i="20"/>
  <c r="J153" i="20"/>
  <c r="J70" i="140" s="1"/>
  <c r="D255" i="31"/>
  <c r="D216" i="31"/>
  <c r="C31" i="143" s="1"/>
  <c r="J146" i="20"/>
  <c r="J63" i="140" s="1"/>
  <c r="D268" i="31"/>
  <c r="C160" i="143" s="1"/>
  <c r="O200" i="19"/>
  <c r="O87" i="111" s="1"/>
  <c r="O18" i="140"/>
  <c r="O216" i="19"/>
  <c r="K24" i="140"/>
  <c r="K222" i="19"/>
  <c r="J19" i="140"/>
  <c r="J217" i="19"/>
  <c r="M20" i="140"/>
  <c r="M218" i="19"/>
  <c r="O25" i="140"/>
  <c r="O223" i="19"/>
  <c r="J22" i="140"/>
  <c r="J220" i="19"/>
  <c r="K22" i="140"/>
  <c r="K220" i="19"/>
  <c r="O19" i="140"/>
  <c r="O217" i="19"/>
  <c r="K25" i="140"/>
  <c r="K223" i="19"/>
  <c r="L24" i="140"/>
  <c r="L222" i="19"/>
  <c r="J18" i="140"/>
  <c r="J216" i="19"/>
  <c r="J21" i="140"/>
  <c r="J219" i="19"/>
  <c r="J25" i="140"/>
  <c r="J223" i="19"/>
  <c r="M200" i="19"/>
  <c r="M87" i="111" s="1"/>
  <c r="J24" i="140"/>
  <c r="J222" i="19"/>
  <c r="K20" i="140"/>
  <c r="K218" i="19"/>
  <c r="M25" i="140"/>
  <c r="M223" i="19"/>
  <c r="L20" i="140"/>
  <c r="L218" i="19"/>
  <c r="O21" i="140"/>
  <c r="O219" i="19"/>
  <c r="L23" i="140"/>
  <c r="L221" i="19"/>
  <c r="K18" i="140"/>
  <c r="K216" i="19"/>
  <c r="M23" i="140"/>
  <c r="M221" i="19"/>
  <c r="N18" i="140"/>
  <c r="N216" i="19"/>
  <c r="K21" i="140"/>
  <c r="K219" i="19"/>
  <c r="N25" i="140"/>
  <c r="N223" i="19"/>
  <c r="O17" i="140"/>
  <c r="O215" i="19"/>
  <c r="L19" i="140"/>
  <c r="L217" i="19"/>
  <c r="J17" i="140"/>
  <c r="J215" i="19"/>
  <c r="L26" i="140"/>
  <c r="L224" i="19"/>
  <c r="J20" i="140"/>
  <c r="J218" i="19"/>
  <c r="M26" i="140"/>
  <c r="M224" i="19"/>
  <c r="L25" i="140"/>
  <c r="L223" i="19"/>
  <c r="M21" i="140"/>
  <c r="M219" i="19"/>
  <c r="O26" i="140"/>
  <c r="O224" i="19"/>
  <c r="N17" i="140"/>
  <c r="N215" i="19"/>
  <c r="N21" i="140"/>
  <c r="N219" i="19"/>
  <c r="K23" i="140"/>
  <c r="K221" i="19"/>
  <c r="N24" i="140"/>
  <c r="N222" i="19"/>
  <c r="M19" i="140"/>
  <c r="M217" i="19"/>
  <c r="O24" i="140"/>
  <c r="O222" i="19"/>
  <c r="L22" i="140"/>
  <c r="L220" i="19"/>
  <c r="K17" i="140"/>
  <c r="K215" i="19"/>
  <c r="L17" i="140"/>
  <c r="L215" i="19"/>
  <c r="L21" i="140"/>
  <c r="L219" i="19"/>
  <c r="M17" i="140"/>
  <c r="M215" i="19"/>
  <c r="N20" i="140"/>
  <c r="N218" i="19"/>
  <c r="L18" i="140"/>
  <c r="L216" i="19"/>
  <c r="M22" i="140"/>
  <c r="M220" i="19"/>
  <c r="N26" i="140"/>
  <c r="N224" i="19"/>
  <c r="O22" i="140"/>
  <c r="O220" i="19"/>
  <c r="J23" i="140"/>
  <c r="J221" i="19"/>
  <c r="K19" i="140"/>
  <c r="K217" i="19"/>
  <c r="M24" i="140"/>
  <c r="M222" i="19"/>
  <c r="O20" i="140"/>
  <c r="O218" i="19"/>
  <c r="K26" i="140"/>
  <c r="K224" i="19"/>
  <c r="N23" i="140"/>
  <c r="N221" i="19"/>
  <c r="M18" i="140"/>
  <c r="M216" i="19"/>
  <c r="O23" i="140"/>
  <c r="O221" i="19"/>
  <c r="N22" i="140"/>
  <c r="N220" i="19"/>
  <c r="J26" i="140"/>
  <c r="J224" i="19"/>
  <c r="N19" i="140"/>
  <c r="N217" i="19"/>
  <c r="K200" i="19"/>
  <c r="K87" i="111" s="1"/>
  <c r="D206" i="19"/>
  <c r="D220" i="19"/>
  <c r="D205" i="19"/>
  <c r="D219" i="19"/>
  <c r="D207" i="19"/>
  <c r="D221" i="19"/>
  <c r="D204" i="19"/>
  <c r="D218" i="19"/>
  <c r="D208" i="19"/>
  <c r="D222" i="19"/>
  <c r="D201" i="19"/>
  <c r="D334" i="19"/>
  <c r="D209" i="19"/>
  <c r="D381" i="19"/>
  <c r="D107" i="142" s="1"/>
  <c r="N138" i="20"/>
  <c r="K130" i="20"/>
  <c r="O136" i="20"/>
  <c r="D122" i="151"/>
  <c r="D109" i="151"/>
  <c r="D96" i="151"/>
  <c r="D83" i="151"/>
  <c r="D68" i="151"/>
  <c r="D34" i="155"/>
  <c r="D60" i="155"/>
  <c r="D37" i="155"/>
  <c r="D63" i="155"/>
  <c r="D35" i="151"/>
  <c r="D61" i="151"/>
  <c r="D32" i="155"/>
  <c r="D58" i="155"/>
  <c r="D29" i="155"/>
  <c r="D55" i="155"/>
  <c r="D30" i="151"/>
  <c r="D56" i="151"/>
  <c r="D55" i="151"/>
  <c r="D30" i="155"/>
  <c r="D56" i="155"/>
  <c r="D31" i="155"/>
  <c r="D57" i="155"/>
  <c r="D38" i="155"/>
  <c r="D64" i="155"/>
  <c r="D38" i="151"/>
  <c r="D64" i="151"/>
  <c r="D37" i="151"/>
  <c r="D63" i="151"/>
  <c r="D35" i="155"/>
  <c r="D61" i="155"/>
  <c r="D36" i="155"/>
  <c r="D62" i="155"/>
  <c r="D33" i="151"/>
  <c r="D59" i="151"/>
  <c r="D31" i="151"/>
  <c r="D57" i="151"/>
  <c r="D32" i="151"/>
  <c r="D58" i="151"/>
  <c r="D34" i="151"/>
  <c r="D60" i="151"/>
  <c r="D36" i="151"/>
  <c r="D62" i="151"/>
  <c r="D33" i="155"/>
  <c r="D59" i="155"/>
  <c r="D42" i="151"/>
  <c r="D29" i="151"/>
  <c r="D16" i="151"/>
  <c r="D1895" i="35"/>
  <c r="D1486" i="35"/>
  <c r="D251" i="35"/>
  <c r="D1020" i="35"/>
  <c r="D227" i="35"/>
  <c r="C38" i="145" s="1"/>
  <c r="D1109" i="35"/>
  <c r="C98" i="149" s="1"/>
  <c r="D223" i="35"/>
  <c r="C34" i="145" s="1"/>
  <c r="D1499" i="35"/>
  <c r="D1482" i="35"/>
  <c r="C31" i="147"/>
  <c r="O27" i="147"/>
  <c r="D1904" i="35"/>
  <c r="C33" i="148"/>
  <c r="D2315" i="35"/>
  <c r="C37" i="150"/>
  <c r="D2311" i="35"/>
  <c r="C33" i="150"/>
  <c r="D1504" i="35"/>
  <c r="C40" i="147"/>
  <c r="M27" i="147"/>
  <c r="D1496" i="35"/>
  <c r="C32" i="147"/>
  <c r="D1503" i="35"/>
  <c r="C39" i="147"/>
  <c r="L27" i="147"/>
  <c r="O27" i="150"/>
  <c r="K27" i="149"/>
  <c r="L27" i="148"/>
  <c r="N209" i="35"/>
  <c r="N20" i="145"/>
  <c r="M208" i="35"/>
  <c r="M19" i="145"/>
  <c r="M207" i="35"/>
  <c r="M18" i="145"/>
  <c r="M206" i="35"/>
  <c r="M17" i="145"/>
  <c r="N206" i="35"/>
  <c r="N17" i="145"/>
  <c r="N1028" i="35"/>
  <c r="N25" i="149"/>
  <c r="O27" i="149"/>
  <c r="J27" i="147"/>
  <c r="J27" i="150"/>
  <c r="J208" i="35"/>
  <c r="J19" i="145"/>
  <c r="N1029" i="35"/>
  <c r="N26" i="149"/>
  <c r="L211" i="35"/>
  <c r="L22" i="145"/>
  <c r="J209" i="35"/>
  <c r="J20" i="145"/>
  <c r="L209" i="35"/>
  <c r="L20" i="145"/>
  <c r="M1026" i="35"/>
  <c r="M23" i="149"/>
  <c r="J1025" i="35"/>
  <c r="J22" i="149"/>
  <c r="L27" i="150"/>
  <c r="N27" i="148"/>
  <c r="M213" i="35"/>
  <c r="M24" i="145"/>
  <c r="M212" i="35"/>
  <c r="M23" i="145"/>
  <c r="N212" i="35"/>
  <c r="N23" i="145"/>
  <c r="M211" i="35"/>
  <c r="M22" i="145"/>
  <c r="L210" i="35"/>
  <c r="L21" i="145"/>
  <c r="N210" i="35"/>
  <c r="N21" i="145"/>
  <c r="N1021" i="35"/>
  <c r="N18" i="149"/>
  <c r="L1026" i="35"/>
  <c r="L23" i="149"/>
  <c r="O210" i="35"/>
  <c r="O21" i="145"/>
  <c r="O214" i="35"/>
  <c r="O25" i="145"/>
  <c r="J215" i="35"/>
  <c r="J26" i="145"/>
  <c r="J214" i="35"/>
  <c r="J25" i="145"/>
  <c r="O212" i="35"/>
  <c r="O23" i="145"/>
  <c r="N211" i="35"/>
  <c r="N22" i="145"/>
  <c r="O211" i="35"/>
  <c r="O22" i="145"/>
  <c r="L1023" i="35"/>
  <c r="L20" i="149"/>
  <c r="J1029" i="35"/>
  <c r="J26" i="149"/>
  <c r="O27" i="148"/>
  <c r="M27" i="150"/>
  <c r="N27" i="150"/>
  <c r="J27" i="148"/>
  <c r="O208" i="35"/>
  <c r="O19" i="145"/>
  <c r="N1027" i="35"/>
  <c r="N24" i="149"/>
  <c r="D224" i="31"/>
  <c r="C39" i="143" s="1"/>
  <c r="L215" i="35"/>
  <c r="L26" i="145"/>
  <c r="J213" i="35"/>
  <c r="J24" i="145"/>
  <c r="J1020" i="35"/>
  <c r="J17" i="149"/>
  <c r="N1024" i="35"/>
  <c r="N21" i="149"/>
  <c r="L1024" i="35"/>
  <c r="L21" i="149"/>
  <c r="M27" i="148"/>
  <c r="O209" i="35"/>
  <c r="O20" i="145"/>
  <c r="N1023" i="35"/>
  <c r="N20" i="149"/>
  <c r="O206" i="35"/>
  <c r="O17" i="145"/>
  <c r="J207" i="35"/>
  <c r="J18" i="145"/>
  <c r="D249" i="31"/>
  <c r="J206" i="35"/>
  <c r="J17" i="145"/>
  <c r="L214" i="35"/>
  <c r="L25" i="145"/>
  <c r="M214" i="35"/>
  <c r="M25" i="145"/>
  <c r="N214" i="35"/>
  <c r="N25" i="145"/>
  <c r="L1021" i="35"/>
  <c r="L18" i="149"/>
  <c r="J1026" i="35"/>
  <c r="J23" i="149"/>
  <c r="N1025" i="35"/>
  <c r="N22" i="149"/>
  <c r="N27" i="147"/>
  <c r="L208" i="35"/>
  <c r="L19" i="145"/>
  <c r="K27" i="145"/>
  <c r="O215" i="35"/>
  <c r="O26" i="145"/>
  <c r="N1022" i="35"/>
  <c r="N19" i="149"/>
  <c r="L1027" i="35"/>
  <c r="L24" i="149"/>
  <c r="M1022" i="35"/>
  <c r="M19" i="149"/>
  <c r="J1021" i="35"/>
  <c r="J18" i="149"/>
  <c r="K211" i="35"/>
  <c r="K210" i="35"/>
  <c r="K213" i="35"/>
  <c r="K207" i="35"/>
  <c r="K206" i="35"/>
  <c r="C17" i="145"/>
  <c r="D276" i="31"/>
  <c r="C168" i="143" s="1"/>
  <c r="D237" i="31"/>
  <c r="C56" i="143" s="1"/>
  <c r="D262" i="31"/>
  <c r="D289" i="31"/>
  <c r="C101" i="143" s="1"/>
  <c r="D223" i="31"/>
  <c r="C38" i="143" s="1"/>
  <c r="D250" i="31"/>
  <c r="D275" i="31"/>
  <c r="C167" i="143" s="1"/>
  <c r="D236" i="31"/>
  <c r="C55" i="143" s="1"/>
  <c r="D288" i="31"/>
  <c r="C100" i="143" s="1"/>
  <c r="D263" i="31"/>
  <c r="D1891" i="35"/>
  <c r="C147" i="143"/>
  <c r="C134" i="143"/>
  <c r="C121" i="143"/>
  <c r="C108" i="143"/>
  <c r="C79" i="143"/>
  <c r="C93" i="143"/>
  <c r="D1491" i="35"/>
  <c r="D217" i="20"/>
  <c r="K203" i="31"/>
  <c r="K18" i="143"/>
  <c r="L210" i="31"/>
  <c r="L25" i="143"/>
  <c r="O203" i="31"/>
  <c r="O18" i="143"/>
  <c r="L208" i="31"/>
  <c r="L23" i="143"/>
  <c r="M207" i="31"/>
  <c r="M22" i="143"/>
  <c r="M204" i="31"/>
  <c r="M19" i="143"/>
  <c r="N211" i="31"/>
  <c r="N26" i="143"/>
  <c r="O202" i="31"/>
  <c r="O17" i="143"/>
  <c r="N209" i="31"/>
  <c r="N24" i="143"/>
  <c r="O205" i="31"/>
  <c r="O20" i="143"/>
  <c r="K210" i="31"/>
  <c r="K25" i="143"/>
  <c r="M208" i="31"/>
  <c r="M23" i="143"/>
  <c r="O208" i="31"/>
  <c r="O23" i="143"/>
  <c r="L202" i="31"/>
  <c r="L17" i="143"/>
  <c r="M206" i="31"/>
  <c r="M21" i="143"/>
  <c r="N210" i="31"/>
  <c r="N25" i="143"/>
  <c r="K204" i="31"/>
  <c r="K19" i="143"/>
  <c r="J211" i="31"/>
  <c r="J26" i="143"/>
  <c r="K207" i="31"/>
  <c r="K22" i="143"/>
  <c r="M211" i="31"/>
  <c r="M26" i="143"/>
  <c r="L211" i="31"/>
  <c r="L26" i="143"/>
  <c r="N203" i="31"/>
  <c r="N18" i="143"/>
  <c r="O207" i="31"/>
  <c r="O22" i="143"/>
  <c r="M205" i="31"/>
  <c r="M20" i="143"/>
  <c r="O209" i="31"/>
  <c r="O24" i="143"/>
  <c r="J202" i="31"/>
  <c r="J17" i="143"/>
  <c r="N202" i="31"/>
  <c r="N17" i="143"/>
  <c r="O206" i="31"/>
  <c r="O21" i="143"/>
  <c r="J203" i="31"/>
  <c r="J18" i="143"/>
  <c r="K211" i="31"/>
  <c r="K26" i="143"/>
  <c r="L206" i="31"/>
  <c r="L21" i="143"/>
  <c r="M210" i="31"/>
  <c r="M25" i="143"/>
  <c r="J204" i="31"/>
  <c r="J19" i="143"/>
  <c r="K208" i="31"/>
  <c r="K23" i="143"/>
  <c r="L204" i="31"/>
  <c r="L19" i="143"/>
  <c r="N207" i="31"/>
  <c r="N22" i="143"/>
  <c r="O211" i="31"/>
  <c r="O26" i="143"/>
  <c r="L205" i="31"/>
  <c r="L20" i="143"/>
  <c r="M209" i="31"/>
  <c r="M24" i="143"/>
  <c r="M203" i="31"/>
  <c r="M18" i="143"/>
  <c r="J209" i="31"/>
  <c r="J24" i="143"/>
  <c r="M202" i="31"/>
  <c r="M17" i="143"/>
  <c r="N206" i="31"/>
  <c r="N21" i="143"/>
  <c r="O210" i="31"/>
  <c r="O25" i="143"/>
  <c r="J207" i="31"/>
  <c r="J22" i="143"/>
  <c r="K206" i="31"/>
  <c r="K21" i="143"/>
  <c r="H252" i="37"/>
  <c r="H229" i="37"/>
  <c r="H253" i="37"/>
  <c r="H230" i="37"/>
  <c r="H251" i="37"/>
  <c r="H228" i="37"/>
  <c r="D37" i="142"/>
  <c r="D30" i="142"/>
  <c r="D29" i="142"/>
  <c r="D36" i="142"/>
  <c r="D16" i="142"/>
  <c r="D17" i="142"/>
  <c r="D24" i="142"/>
  <c r="N133" i="20"/>
  <c r="J132" i="20"/>
  <c r="L130" i="20"/>
  <c r="J150" i="20"/>
  <c r="J67" i="140" s="1"/>
  <c r="J148" i="20"/>
  <c r="J65" i="140" s="1"/>
  <c r="K136" i="20"/>
  <c r="J134" i="20"/>
  <c r="D147" i="140"/>
  <c r="D357" i="20"/>
  <c r="I357" i="20" s="1"/>
  <c r="D139" i="140"/>
  <c r="D349" i="20"/>
  <c r="I349" i="20" s="1"/>
  <c r="D350" i="20"/>
  <c r="I350" i="20" s="1"/>
  <c r="D140" i="140"/>
  <c r="D1483" i="35"/>
  <c r="N135" i="20"/>
  <c r="O134" i="20"/>
  <c r="D321" i="20"/>
  <c r="D92" i="140" s="1"/>
  <c r="M135" i="20"/>
  <c r="O139" i="20"/>
  <c r="M138" i="20"/>
  <c r="L134" i="20"/>
  <c r="J154" i="20"/>
  <c r="J71" i="140" s="1"/>
  <c r="M133" i="20"/>
  <c r="J136" i="20"/>
  <c r="K134" i="20"/>
  <c r="D319" i="20"/>
  <c r="D90" i="140" s="1"/>
  <c r="D322" i="20"/>
  <c r="D93" i="140" s="1"/>
  <c r="D324" i="20"/>
  <c r="D95" i="140" s="1"/>
  <c r="K139" i="20"/>
  <c r="M130" i="20"/>
  <c r="N130" i="20"/>
  <c r="D327" i="20"/>
  <c r="D98" i="140" s="1"/>
  <c r="O131" i="20"/>
  <c r="L138" i="20"/>
  <c r="L131" i="20"/>
  <c r="K138" i="20"/>
  <c r="J131" i="20"/>
  <c r="L137" i="20"/>
  <c r="O137" i="20"/>
  <c r="N139" i="20"/>
  <c r="N132" i="20"/>
  <c r="O132" i="20"/>
  <c r="M139" i="20"/>
  <c r="L132" i="20"/>
  <c r="J139" i="20"/>
  <c r="D318" i="20"/>
  <c r="D89" i="140" s="1"/>
  <c r="D323" i="20"/>
  <c r="D94" i="140" s="1"/>
  <c r="D325" i="20"/>
  <c r="D96" i="140" s="1"/>
  <c r="M132" i="20"/>
  <c r="M134" i="20"/>
  <c r="D326" i="20"/>
  <c r="D97" i="140" s="1"/>
  <c r="D320" i="20"/>
  <c r="D91" i="140" s="1"/>
  <c r="O133" i="20"/>
  <c r="O135" i="20"/>
  <c r="N131" i="20"/>
  <c r="L135" i="20"/>
  <c r="L133" i="20"/>
  <c r="M137" i="20"/>
  <c r="J151" i="20"/>
  <c r="J68" i="140" s="1"/>
  <c r="L139" i="20"/>
  <c r="K135" i="20"/>
  <c r="K137" i="20"/>
  <c r="K60" i="140"/>
  <c r="J133" i="20"/>
  <c r="N136" i="20"/>
  <c r="K132" i="20"/>
  <c r="L136" i="20"/>
  <c r="D300" i="19"/>
  <c r="D15" i="142" s="1"/>
  <c r="D173" i="19"/>
  <c r="D17" i="140" s="1"/>
  <c r="D313" i="19"/>
  <c r="D230" i="19"/>
  <c r="D32" i="140" s="1"/>
  <c r="D326" i="19"/>
  <c r="D28" i="142" s="1"/>
  <c r="D260" i="19"/>
  <c r="D342" i="19"/>
  <c r="D68" i="142" s="1"/>
  <c r="D285" i="19"/>
  <c r="D355" i="19"/>
  <c r="D273" i="19"/>
  <c r="D368" i="19"/>
  <c r="D243" i="19"/>
  <c r="D104" i="140" s="1"/>
  <c r="D117" i="140" s="1"/>
  <c r="L42" i="140"/>
  <c r="D2298" i="35"/>
  <c r="N42" i="140"/>
  <c r="D2302" i="35"/>
  <c r="K42" i="140"/>
  <c r="M42" i="140"/>
  <c r="J42" i="140"/>
  <c r="O42" i="140"/>
  <c r="D18" i="19"/>
  <c r="D26" i="19"/>
  <c r="D19" i="19"/>
  <c r="D21" i="19"/>
  <c r="D22" i="19"/>
  <c r="D25" i="19"/>
  <c r="D23" i="19"/>
  <c r="D17" i="19"/>
  <c r="D24" i="19"/>
  <c r="D20" i="19"/>
  <c r="D1495" i="35"/>
  <c r="D237" i="35"/>
  <c r="C64" i="145" s="1"/>
  <c r="D250" i="35"/>
  <c r="D209" i="35"/>
  <c r="D290" i="35"/>
  <c r="C93" i="145" s="1"/>
  <c r="H116" i="20"/>
  <c r="O130" i="20"/>
  <c r="J135" i="20"/>
  <c r="J138" i="20"/>
  <c r="J152" i="20"/>
  <c r="J69" i="140" s="1"/>
  <c r="H121" i="20"/>
  <c r="D1061" i="35"/>
  <c r="D1101" i="35"/>
  <c r="C90" i="149" s="1"/>
  <c r="J155" i="20"/>
  <c r="J72" i="140" s="1"/>
  <c r="H125" i="20"/>
  <c r="D1034" i="35"/>
  <c r="D1056" i="35"/>
  <c r="C69" i="149" s="1"/>
  <c r="J147" i="20"/>
  <c r="J64" i="140" s="1"/>
  <c r="D1042" i="35"/>
  <c r="D1069" i="35"/>
  <c r="D1028" i="35"/>
  <c r="H117" i="20"/>
  <c r="K126" i="20"/>
  <c r="M131" i="20"/>
  <c r="D293" i="19"/>
  <c r="D363" i="19"/>
  <c r="D89" i="142" s="1"/>
  <c r="D254" i="35"/>
  <c r="N126" i="20"/>
  <c r="O126" i="20"/>
  <c r="H119" i="20"/>
  <c r="J149" i="20"/>
  <c r="J66" i="140" s="1"/>
  <c r="N134" i="20"/>
  <c r="H118" i="20"/>
  <c r="D291" i="35"/>
  <c r="C94" i="145" s="1"/>
  <c r="O138" i="20"/>
  <c r="J126" i="20"/>
  <c r="H123" i="20"/>
  <c r="M126" i="20"/>
  <c r="M136" i="20"/>
  <c r="D268" i="19"/>
  <c r="D350" i="19"/>
  <c r="D76" i="142" s="1"/>
  <c r="D241" i="35"/>
  <c r="C68" i="145" s="1"/>
  <c r="H122" i="20"/>
  <c r="D281" i="19"/>
  <c r="D159" i="140" s="1"/>
  <c r="D376" i="19"/>
  <c r="D102" i="142" s="1"/>
  <c r="D213" i="35"/>
  <c r="H120" i="20"/>
  <c r="D308" i="19"/>
  <c r="D389" i="19"/>
  <c r="D115" i="142" s="1"/>
  <c r="D294" i="35"/>
  <c r="C97" i="145" s="1"/>
  <c r="L126" i="20"/>
  <c r="D251" i="19"/>
  <c r="D112" i="140" s="1"/>
  <c r="D125" i="140" s="1"/>
  <c r="H124" i="20"/>
  <c r="D196" i="19"/>
  <c r="D1490" i="35"/>
  <c r="D181" i="19"/>
  <c r="D25" i="140" s="1"/>
  <c r="D321" i="19"/>
  <c r="D238" i="19"/>
  <c r="D40" i="140" s="1"/>
  <c r="O166" i="19"/>
  <c r="N166" i="19"/>
  <c r="J166" i="19"/>
  <c r="L166" i="19"/>
  <c r="M166" i="19"/>
  <c r="K166" i="19"/>
  <c r="D210" i="35"/>
  <c r="D224" i="35"/>
  <c r="D238" i="35"/>
  <c r="C65" i="145" s="1"/>
  <c r="D2305" i="35"/>
  <c r="D2318" i="35"/>
  <c r="D2304" i="35"/>
  <c r="D2317" i="35"/>
  <c r="D2314" i="35"/>
  <c r="D2301" i="35"/>
  <c r="D2297" i="35"/>
  <c r="D2310" i="35"/>
  <c r="D2316" i="35"/>
  <c r="D2303" i="35"/>
  <c r="D2312" i="35"/>
  <c r="D2299" i="35"/>
  <c r="D2313" i="35"/>
  <c r="D2300" i="35"/>
  <c r="D2296" i="35"/>
  <c r="D2309" i="35"/>
  <c r="D1048" i="35"/>
  <c r="C61" i="149" s="1"/>
  <c r="D1905" i="35"/>
  <c r="D1892" i="35"/>
  <c r="D1902" i="35"/>
  <c r="D1889" i="35"/>
  <c r="D1894" i="35"/>
  <c r="D1907" i="35"/>
  <c r="D1910" i="35"/>
  <c r="D1897" i="35"/>
  <c r="D1906" i="35"/>
  <c r="D1893" i="35"/>
  <c r="D1898" i="35"/>
  <c r="D1911" i="35"/>
  <c r="D1909" i="35"/>
  <c r="D1896" i="35"/>
  <c r="D1890" i="35"/>
  <c r="D1903" i="35"/>
  <c r="D1497" i="35"/>
  <c r="D1484" i="35"/>
  <c r="D1502" i="35"/>
  <c r="D1489" i="35"/>
  <c r="D1498" i="35"/>
  <c r="D1485" i="35"/>
  <c r="D1487" i="35"/>
  <c r="D1500" i="35"/>
  <c r="D1501" i="35"/>
  <c r="D1488" i="35"/>
  <c r="K183" i="19"/>
  <c r="K260" i="37" s="1"/>
  <c r="K188" i="19"/>
  <c r="M193" i="19"/>
  <c r="L188" i="19"/>
  <c r="L183" i="19"/>
  <c r="L260" i="37" s="1"/>
  <c r="L192" i="19"/>
  <c r="M188" i="19"/>
  <c r="M183" i="19"/>
  <c r="M260" i="37" s="1"/>
  <c r="N240" i="19"/>
  <c r="D385" i="19"/>
  <c r="D111" i="142" s="1"/>
  <c r="D372" i="19"/>
  <c r="D98" i="142" s="1"/>
  <c r="D359" i="19"/>
  <c r="D85" i="142" s="1"/>
  <c r="D346" i="19"/>
  <c r="D72" i="142" s="1"/>
  <c r="D330" i="19"/>
  <c r="D317" i="19"/>
  <c r="D304" i="19"/>
  <c r="D277" i="19"/>
  <c r="D155" i="140" s="1"/>
  <c r="D289" i="19"/>
  <c r="D264" i="19"/>
  <c r="D234" i="19"/>
  <c r="D36" i="140" s="1"/>
  <c r="D192" i="19"/>
  <c r="D247" i="19"/>
  <c r="D108" i="140" s="1"/>
  <c r="D121" i="140" s="1"/>
  <c r="D177" i="19"/>
  <c r="D21" i="140" s="1"/>
  <c r="N191" i="19"/>
  <c r="D387" i="19"/>
  <c r="D113" i="142" s="1"/>
  <c r="D374" i="19"/>
  <c r="D100" i="142" s="1"/>
  <c r="D361" i="19"/>
  <c r="D87" i="142" s="1"/>
  <c r="D348" i="19"/>
  <c r="D74" i="142" s="1"/>
  <c r="D332" i="19"/>
  <c r="D319" i="19"/>
  <c r="D249" i="19"/>
  <c r="D110" i="140" s="1"/>
  <c r="D123" i="140" s="1"/>
  <c r="D306" i="19"/>
  <c r="D279" i="19"/>
  <c r="D157" i="140" s="1"/>
  <c r="D291" i="19"/>
  <c r="D266" i="19"/>
  <c r="D236" i="19"/>
  <c r="D38" i="140" s="1"/>
  <c r="D194" i="19"/>
  <c r="D179" i="19"/>
  <c r="D23" i="140" s="1"/>
  <c r="J240" i="19"/>
  <c r="D264" i="31"/>
  <c r="D251" i="31"/>
  <c r="D290" i="31"/>
  <c r="C102" i="143" s="1"/>
  <c r="D238" i="31"/>
  <c r="C57" i="143" s="1"/>
  <c r="D277" i="31"/>
  <c r="C169" i="143" s="1"/>
  <c r="D225" i="31"/>
  <c r="C40" i="143" s="1"/>
  <c r="D287" i="31"/>
  <c r="C99" i="143" s="1"/>
  <c r="D235" i="31"/>
  <c r="C54" i="143" s="1"/>
  <c r="D274" i="31"/>
  <c r="C166" i="143" s="1"/>
  <c r="D222" i="31"/>
  <c r="C37" i="143" s="1"/>
  <c r="D261" i="31"/>
  <c r="D248" i="31"/>
  <c r="J210" i="31"/>
  <c r="N1016" i="35"/>
  <c r="N264" i="37" s="1"/>
  <c r="K1024" i="35"/>
  <c r="K1023" i="35"/>
  <c r="D1110" i="35"/>
  <c r="C99" i="149" s="1"/>
  <c r="D1029" i="35"/>
  <c r="D1070" i="35"/>
  <c r="D1057" i="35"/>
  <c r="C70" i="149" s="1"/>
  <c r="D1043" i="35"/>
  <c r="C40" i="149" s="1"/>
  <c r="M1023" i="35"/>
  <c r="K240" i="19"/>
  <c r="L240" i="19"/>
  <c r="N197" i="19"/>
  <c r="M240" i="19"/>
  <c r="O193" i="19"/>
  <c r="D384" i="19"/>
  <c r="D110" i="142" s="1"/>
  <c r="D371" i="19"/>
  <c r="D97" i="142" s="1"/>
  <c r="D358" i="19"/>
  <c r="D84" i="142" s="1"/>
  <c r="D345" i="19"/>
  <c r="D71" i="142" s="1"/>
  <c r="D329" i="19"/>
  <c r="D316" i="19"/>
  <c r="D288" i="19"/>
  <c r="D263" i="19"/>
  <c r="D233" i="19"/>
  <c r="D35" i="140" s="1"/>
  <c r="D191" i="19"/>
  <c r="D246" i="19"/>
  <c r="D107" i="140" s="1"/>
  <c r="D120" i="140" s="1"/>
  <c r="D303" i="19"/>
  <c r="D276" i="19"/>
  <c r="D154" i="140" s="1"/>
  <c r="D176" i="19"/>
  <c r="D20" i="140" s="1"/>
  <c r="J194" i="19"/>
  <c r="I179" i="19"/>
  <c r="K190" i="19"/>
  <c r="M195" i="19"/>
  <c r="O191" i="19"/>
  <c r="K197" i="19"/>
  <c r="I177" i="19"/>
  <c r="J192" i="19"/>
  <c r="J196" i="19"/>
  <c r="I181" i="19"/>
  <c r="L202" i="35"/>
  <c r="L262" i="37" s="1"/>
  <c r="D292" i="35"/>
  <c r="C95" i="145" s="1"/>
  <c r="D211" i="35"/>
  <c r="D252" i="35"/>
  <c r="D239" i="35"/>
  <c r="C66" i="145" s="1"/>
  <c r="D225" i="35"/>
  <c r="C36" i="145" s="1"/>
  <c r="M1025" i="35"/>
  <c r="M1024" i="35"/>
  <c r="O1023" i="35"/>
  <c r="O1024" i="35"/>
  <c r="M189" i="19"/>
  <c r="O194" i="19"/>
  <c r="N193" i="19"/>
  <c r="I182" i="19"/>
  <c r="J197" i="19"/>
  <c r="D388" i="19"/>
  <c r="D114" i="142" s="1"/>
  <c r="D375" i="19"/>
  <c r="D101" i="142" s="1"/>
  <c r="D362" i="19"/>
  <c r="D88" i="142" s="1"/>
  <c r="D349" i="19"/>
  <c r="D75" i="142" s="1"/>
  <c r="D333" i="19"/>
  <c r="D320" i="19"/>
  <c r="D195" i="19"/>
  <c r="D250" i="19"/>
  <c r="D111" i="140" s="1"/>
  <c r="D124" i="140" s="1"/>
  <c r="D307" i="19"/>
  <c r="D280" i="19"/>
  <c r="D158" i="140" s="1"/>
  <c r="D292" i="19"/>
  <c r="D267" i="19"/>
  <c r="D237" i="19"/>
  <c r="D39" i="140" s="1"/>
  <c r="D180" i="19"/>
  <c r="D24" i="140" s="1"/>
  <c r="I27" i="19"/>
  <c r="I166" i="19" s="1"/>
  <c r="K209" i="31"/>
  <c r="N205" i="31"/>
  <c r="D271" i="31"/>
  <c r="C163" i="143" s="1"/>
  <c r="D219" i="31"/>
  <c r="C34" i="143" s="1"/>
  <c r="D258" i="31"/>
  <c r="D245" i="31"/>
  <c r="D284" i="31"/>
  <c r="C96" i="143" s="1"/>
  <c r="D232" i="31"/>
  <c r="C51" i="143" s="1"/>
  <c r="J208" i="31"/>
  <c r="K202" i="35"/>
  <c r="K262" i="37" s="1"/>
  <c r="D235" i="35"/>
  <c r="C62" i="145" s="1"/>
  <c r="D221" i="35"/>
  <c r="C32" i="145" s="1"/>
  <c r="D288" i="35"/>
  <c r="C91" i="145" s="1"/>
  <c r="D207" i="35"/>
  <c r="D248" i="35"/>
  <c r="D293" i="35"/>
  <c r="C96" i="145" s="1"/>
  <c r="D212" i="35"/>
  <c r="D253" i="35"/>
  <c r="D240" i="35"/>
  <c r="C67" i="145" s="1"/>
  <c r="D226" i="35"/>
  <c r="C37" i="145" s="1"/>
  <c r="D1037" i="35"/>
  <c r="C34" i="149" s="1"/>
  <c r="D1104" i="35"/>
  <c r="C93" i="149" s="1"/>
  <c r="D1023" i="35"/>
  <c r="D1064" i="35"/>
  <c r="D1051" i="35"/>
  <c r="C64" i="149" s="1"/>
  <c r="O1026" i="35"/>
  <c r="O1025" i="35"/>
  <c r="K1025" i="35"/>
  <c r="J1023" i="35"/>
  <c r="K1026" i="35"/>
  <c r="N189" i="19"/>
  <c r="O189" i="19"/>
  <c r="K195" i="19"/>
  <c r="I175" i="19"/>
  <c r="J190" i="19"/>
  <c r="M191" i="19"/>
  <c r="O196" i="19"/>
  <c r="I178" i="19"/>
  <c r="J193" i="19"/>
  <c r="K193" i="19"/>
  <c r="J183" i="19"/>
  <c r="J260" i="37" s="1"/>
  <c r="J188" i="19"/>
  <c r="I173" i="19"/>
  <c r="L197" i="19"/>
  <c r="K199" i="31"/>
  <c r="K261" i="37" s="1"/>
  <c r="L209" i="31"/>
  <c r="L203" i="31"/>
  <c r="D220" i="35"/>
  <c r="D287" i="35"/>
  <c r="D206" i="35"/>
  <c r="D247" i="35"/>
  <c r="D234" i="35"/>
  <c r="D243" i="35"/>
  <c r="C70" i="145" s="1"/>
  <c r="D229" i="35"/>
  <c r="C40" i="145" s="1"/>
  <c r="D296" i="35"/>
  <c r="C99" i="145" s="1"/>
  <c r="D215" i="35"/>
  <c r="D256" i="35"/>
  <c r="J1024" i="35"/>
  <c r="K1028" i="35"/>
  <c r="K1027" i="35"/>
  <c r="M1027" i="35"/>
  <c r="O190" i="19"/>
  <c r="K196" i="19"/>
  <c r="L195" i="19"/>
  <c r="I174" i="19"/>
  <c r="J189" i="19"/>
  <c r="L193" i="19"/>
  <c r="M199" i="31"/>
  <c r="M261" i="37" s="1"/>
  <c r="N199" i="31"/>
  <c r="N261" i="37" s="1"/>
  <c r="D272" i="31"/>
  <c r="C164" i="143" s="1"/>
  <c r="D220" i="31"/>
  <c r="C35" i="143" s="1"/>
  <c r="D259" i="31"/>
  <c r="D246" i="31"/>
  <c r="D285" i="31"/>
  <c r="C97" i="143" s="1"/>
  <c r="D233" i="31"/>
  <c r="C52" i="143" s="1"/>
  <c r="O199" i="31"/>
  <c r="O261" i="37" s="1"/>
  <c r="K208" i="35"/>
  <c r="N204" i="31"/>
  <c r="N202" i="35"/>
  <c r="N262" i="37" s="1"/>
  <c r="J212" i="35"/>
  <c r="D228" i="35"/>
  <c r="C39" i="145" s="1"/>
  <c r="D295" i="35"/>
  <c r="C98" i="145" s="1"/>
  <c r="D214" i="35"/>
  <c r="D255" i="35"/>
  <c r="D242" i="35"/>
  <c r="C69" i="145" s="1"/>
  <c r="D236" i="35"/>
  <c r="C63" i="145" s="1"/>
  <c r="D222" i="35"/>
  <c r="C33" i="145" s="1"/>
  <c r="D289" i="35"/>
  <c r="C92" i="145" s="1"/>
  <c r="D208" i="35"/>
  <c r="D249" i="35"/>
  <c r="L1025" i="35"/>
  <c r="D1067" i="35"/>
  <c r="D1054" i="35"/>
  <c r="C67" i="149" s="1"/>
  <c r="D1040" i="35"/>
  <c r="C37" i="149" s="1"/>
  <c r="D1107" i="35"/>
  <c r="C96" i="149" s="1"/>
  <c r="D1026" i="35"/>
  <c r="M1029" i="35"/>
  <c r="M1028" i="35"/>
  <c r="O1027" i="35"/>
  <c r="O1028" i="35"/>
  <c r="L1028" i="35"/>
  <c r="J191" i="19"/>
  <c r="I176" i="19"/>
  <c r="J195" i="19"/>
  <c r="I180" i="19"/>
  <c r="K191" i="19"/>
  <c r="M196" i="19"/>
  <c r="L191" i="19"/>
  <c r="O192" i="19"/>
  <c r="D386" i="19"/>
  <c r="D112" i="142" s="1"/>
  <c r="D373" i="19"/>
  <c r="D99" i="142" s="1"/>
  <c r="D360" i="19"/>
  <c r="D86" i="142" s="1"/>
  <c r="D347" i="19"/>
  <c r="D73" i="142" s="1"/>
  <c r="D331" i="19"/>
  <c r="D318" i="19"/>
  <c r="D248" i="19"/>
  <c r="D109" i="140" s="1"/>
  <c r="D122" i="140" s="1"/>
  <c r="D305" i="19"/>
  <c r="D278" i="19"/>
  <c r="D156" i="140" s="1"/>
  <c r="D290" i="19"/>
  <c r="D265" i="19"/>
  <c r="D235" i="19"/>
  <c r="D37" i="140" s="1"/>
  <c r="D193" i="19"/>
  <c r="D178" i="19"/>
  <c r="D22" i="140" s="1"/>
  <c r="L194" i="19"/>
  <c r="K189" i="19"/>
  <c r="M194" i="19"/>
  <c r="L189" i="19"/>
  <c r="K202" i="31"/>
  <c r="D257" i="31"/>
  <c r="D244" i="31"/>
  <c r="D283" i="31"/>
  <c r="C95" i="143" s="1"/>
  <c r="D231" i="31"/>
  <c r="C50" i="143" s="1"/>
  <c r="D270" i="31"/>
  <c r="C162" i="143" s="1"/>
  <c r="D218" i="31"/>
  <c r="C33" i="143" s="1"/>
  <c r="M209" i="35"/>
  <c r="J206" i="31"/>
  <c r="J211" i="35"/>
  <c r="O213" i="35"/>
  <c r="L207" i="35"/>
  <c r="O207" i="35"/>
  <c r="L213" i="35"/>
  <c r="N215" i="35"/>
  <c r="J1016" i="35"/>
  <c r="J264" i="37" s="1"/>
  <c r="K1016" i="35"/>
  <c r="K264" i="37" s="1"/>
  <c r="D1052" i="35"/>
  <c r="C65" i="149" s="1"/>
  <c r="D1038" i="35"/>
  <c r="C35" i="149" s="1"/>
  <c r="D1105" i="35"/>
  <c r="C94" i="149" s="1"/>
  <c r="D1024" i="35"/>
  <c r="D1065" i="35"/>
  <c r="N1026" i="35"/>
  <c r="K1020" i="35"/>
  <c r="O1016" i="35"/>
  <c r="O264" i="37" s="1"/>
  <c r="O1029" i="35"/>
  <c r="K1029" i="35"/>
  <c r="L1016" i="35"/>
  <c r="L264" i="37" s="1"/>
  <c r="D1036" i="35"/>
  <c r="C33" i="149" s="1"/>
  <c r="D1103" i="35"/>
  <c r="C92" i="149" s="1"/>
  <c r="D1022" i="35"/>
  <c r="D1063" i="35"/>
  <c r="D1050" i="35"/>
  <c r="C63" i="149" s="1"/>
  <c r="K192" i="19"/>
  <c r="M197" i="19"/>
  <c r="N196" i="19"/>
  <c r="O188" i="19"/>
  <c r="O183" i="19"/>
  <c r="O260" i="37" s="1"/>
  <c r="L190" i="19"/>
  <c r="N194" i="19"/>
  <c r="J199" i="31"/>
  <c r="J261" i="37" s="1"/>
  <c r="O204" i="31"/>
  <c r="L207" i="31"/>
  <c r="L212" i="35"/>
  <c r="K215" i="35"/>
  <c r="N208" i="35"/>
  <c r="K209" i="35"/>
  <c r="D268" i="35"/>
  <c r="D281" i="35"/>
  <c r="K214" i="35"/>
  <c r="L206" i="35"/>
  <c r="M1016" i="35"/>
  <c r="M264" i="37" s="1"/>
  <c r="J1028" i="35"/>
  <c r="M1021" i="35"/>
  <c r="D1068" i="35"/>
  <c r="D1055" i="35"/>
  <c r="C68" i="149" s="1"/>
  <c r="D1041" i="35"/>
  <c r="C38" i="149" s="1"/>
  <c r="D1108" i="35"/>
  <c r="C97" i="149" s="1"/>
  <c r="D1027" i="35"/>
  <c r="M1020" i="35"/>
  <c r="N1020" i="35"/>
  <c r="O1020" i="35"/>
  <c r="L196" i="19"/>
  <c r="M192" i="19"/>
  <c r="O197" i="19"/>
  <c r="N188" i="19"/>
  <c r="N183" i="19"/>
  <c r="N260" i="37" s="1"/>
  <c r="N192" i="19"/>
  <c r="O240" i="19"/>
  <c r="K194" i="19"/>
  <c r="N195" i="19"/>
  <c r="M190" i="19"/>
  <c r="O195" i="19"/>
  <c r="N190" i="19"/>
  <c r="K205" i="31"/>
  <c r="D256" i="31"/>
  <c r="D243" i="31"/>
  <c r="D282" i="31"/>
  <c r="C94" i="143" s="1"/>
  <c r="D230" i="31"/>
  <c r="C49" i="143" s="1"/>
  <c r="D269" i="31"/>
  <c r="C161" i="143" s="1"/>
  <c r="D217" i="31"/>
  <c r="C32" i="143" s="1"/>
  <c r="L199" i="31"/>
  <c r="L261" i="37" s="1"/>
  <c r="D286" i="31"/>
  <c r="C98" i="143" s="1"/>
  <c r="D234" i="31"/>
  <c r="C53" i="143" s="1"/>
  <c r="D273" i="31"/>
  <c r="C165" i="143" s="1"/>
  <c r="D221" i="31"/>
  <c r="C36" i="143" s="1"/>
  <c r="D260" i="31"/>
  <c r="D247" i="31"/>
  <c r="O202" i="35"/>
  <c r="O262" i="37" s="1"/>
  <c r="J202" i="35"/>
  <c r="J262" i="37" s="1"/>
  <c r="K212" i="35"/>
  <c r="N208" i="31"/>
  <c r="N213" i="35"/>
  <c r="M202" i="35"/>
  <c r="M262" i="37" s="1"/>
  <c r="J205" i="31"/>
  <c r="J210" i="35"/>
  <c r="M210" i="35"/>
  <c r="M215" i="35"/>
  <c r="N207" i="35"/>
  <c r="D1053" i="35"/>
  <c r="C66" i="149" s="1"/>
  <c r="D1039" i="35"/>
  <c r="C36" i="149" s="1"/>
  <c r="D1106" i="35"/>
  <c r="C95" i="149" s="1"/>
  <c r="D1025" i="35"/>
  <c r="D1066" i="35"/>
  <c r="L1029" i="35"/>
  <c r="O1022" i="35"/>
  <c r="O1021" i="35"/>
  <c r="D1102" i="35"/>
  <c r="C91" i="149" s="1"/>
  <c r="D1021" i="35"/>
  <c r="D1062" i="35"/>
  <c r="D1049" i="35"/>
  <c r="C62" i="149" s="1"/>
  <c r="D1035" i="35"/>
  <c r="C32" i="149" s="1"/>
  <c r="K1021" i="35"/>
  <c r="L1020" i="35"/>
  <c r="J1027" i="35"/>
  <c r="J1022" i="35"/>
  <c r="L1022" i="35"/>
  <c r="K1022" i="35"/>
  <c r="C83" i="148" l="1"/>
  <c r="M27" i="140"/>
  <c r="M98" i="111"/>
  <c r="M101" i="111"/>
  <c r="K98" i="111"/>
  <c r="K101" i="111"/>
  <c r="O98" i="111"/>
  <c r="O101" i="111"/>
  <c r="N98" i="111"/>
  <c r="N101" i="111"/>
  <c r="J98" i="111"/>
  <c r="J101" i="111"/>
  <c r="L98" i="111"/>
  <c r="L101" i="111"/>
  <c r="M91" i="111"/>
  <c r="M94" i="111"/>
  <c r="K91" i="111"/>
  <c r="K94" i="111"/>
  <c r="O91" i="111"/>
  <c r="O94" i="111"/>
  <c r="N91" i="111"/>
  <c r="N94" i="111"/>
  <c r="J94" i="111"/>
  <c r="L91" i="111"/>
  <c r="L94" i="111"/>
  <c r="J91" i="111"/>
  <c r="J27" i="140"/>
  <c r="O27" i="140"/>
  <c r="N27" i="140"/>
  <c r="L27" i="140"/>
  <c r="K27" i="140"/>
  <c r="J214" i="19"/>
  <c r="J104" i="111" s="1"/>
  <c r="L214" i="19"/>
  <c r="L104" i="111" s="1"/>
  <c r="N214" i="19"/>
  <c r="N104" i="111" s="1"/>
  <c r="K214" i="19"/>
  <c r="K104" i="111" s="1"/>
  <c r="O214" i="19"/>
  <c r="O104" i="111" s="1"/>
  <c r="M214" i="19"/>
  <c r="M104" i="111" s="1"/>
  <c r="D264" i="35"/>
  <c r="D277" i="35"/>
  <c r="C80" i="145" s="1"/>
  <c r="C90" i="145"/>
  <c r="D280" i="20"/>
  <c r="C80" i="150"/>
  <c r="D265" i="20"/>
  <c r="C85" i="147"/>
  <c r="D263" i="20"/>
  <c r="C83" i="147"/>
  <c r="D259" i="20"/>
  <c r="C79" i="147"/>
  <c r="D271" i="20"/>
  <c r="C81" i="148"/>
  <c r="D270" i="20"/>
  <c r="C80" i="148"/>
  <c r="D286" i="20"/>
  <c r="C86" i="150"/>
  <c r="D283" i="20"/>
  <c r="C83" i="150"/>
  <c r="D262" i="20"/>
  <c r="C82" i="147"/>
  <c r="D268" i="20"/>
  <c r="C78" i="148"/>
  <c r="D284" i="20"/>
  <c r="C84" i="150"/>
  <c r="D258" i="20"/>
  <c r="C78" i="147"/>
  <c r="D275" i="20"/>
  <c r="C85" i="148"/>
  <c r="D277" i="20"/>
  <c r="C77" i="150"/>
  <c r="D278" i="20"/>
  <c r="C78" i="150"/>
  <c r="D269" i="20"/>
  <c r="C79" i="148"/>
  <c r="D272" i="20"/>
  <c r="C82" i="148"/>
  <c r="D260" i="20"/>
  <c r="C80" i="147"/>
  <c r="D274" i="20"/>
  <c r="C84" i="148"/>
  <c r="D257" i="20"/>
  <c r="C77" i="147"/>
  <c r="D266" i="20"/>
  <c r="C86" i="147"/>
  <c r="D234" i="20"/>
  <c r="C84" i="145"/>
  <c r="D276" i="20"/>
  <c r="C86" i="148"/>
  <c r="D281" i="20"/>
  <c r="C81" i="150"/>
  <c r="D282" i="20"/>
  <c r="C82" i="150"/>
  <c r="D264" i="20"/>
  <c r="C84" i="147"/>
  <c r="D267" i="20"/>
  <c r="C77" i="148"/>
  <c r="D285" i="20"/>
  <c r="C85" i="150"/>
  <c r="D279" i="20"/>
  <c r="C79" i="150"/>
  <c r="D261" i="20"/>
  <c r="C81" i="147"/>
  <c r="C61" i="145"/>
  <c r="C31" i="145"/>
  <c r="D1096" i="35"/>
  <c r="C39" i="149"/>
  <c r="D278" i="35"/>
  <c r="C35" i="145"/>
  <c r="D1075" i="35"/>
  <c r="C31" i="149"/>
  <c r="C154" i="143"/>
  <c r="D224" i="20"/>
  <c r="N27" i="149"/>
  <c r="M27" i="149"/>
  <c r="L27" i="149"/>
  <c r="J27" i="145"/>
  <c r="L27" i="145"/>
  <c r="O27" i="145"/>
  <c r="J27" i="149"/>
  <c r="N27" i="145"/>
  <c r="M27" i="145"/>
  <c r="C141" i="143"/>
  <c r="C115" i="143"/>
  <c r="C87" i="143"/>
  <c r="C129" i="143"/>
  <c r="C155" i="143"/>
  <c r="C142" i="143"/>
  <c r="D225" i="20"/>
  <c r="C116" i="143"/>
  <c r="C86" i="143"/>
  <c r="C128" i="143"/>
  <c r="C143" i="143"/>
  <c r="C156" i="143"/>
  <c r="C137" i="143"/>
  <c r="C150" i="143"/>
  <c r="C135" i="143"/>
  <c r="C148" i="143"/>
  <c r="C138" i="143"/>
  <c r="C151" i="143"/>
  <c r="C140" i="143"/>
  <c r="C153" i="143"/>
  <c r="C136" i="143"/>
  <c r="C149" i="143"/>
  <c r="C139" i="143"/>
  <c r="C152" i="143"/>
  <c r="C109" i="143"/>
  <c r="C122" i="143"/>
  <c r="C112" i="143"/>
  <c r="C125" i="143"/>
  <c r="C114" i="143"/>
  <c r="C127" i="143"/>
  <c r="C110" i="143"/>
  <c r="C123" i="143"/>
  <c r="C113" i="143"/>
  <c r="C126" i="143"/>
  <c r="C117" i="143"/>
  <c r="C130" i="143"/>
  <c r="C111" i="143"/>
  <c r="C124" i="143"/>
  <c r="D218" i="20"/>
  <c r="C80" i="143"/>
  <c r="D221" i="20"/>
  <c r="C83" i="143"/>
  <c r="D223" i="20"/>
  <c r="C85" i="143"/>
  <c r="D219" i="20"/>
  <c r="C81" i="143"/>
  <c r="D222" i="20"/>
  <c r="C84" i="143"/>
  <c r="D226" i="20"/>
  <c r="C88" i="143"/>
  <c r="D220" i="20"/>
  <c r="C82" i="143"/>
  <c r="N27" i="143"/>
  <c r="O27" i="143"/>
  <c r="M27" i="143"/>
  <c r="J27" i="143"/>
  <c r="L27" i="143"/>
  <c r="K27" i="143"/>
  <c r="H250" i="37"/>
  <c r="H227" i="37"/>
  <c r="H225" i="37"/>
  <c r="H248" i="37"/>
  <c r="H246" i="37"/>
  <c r="H223" i="37"/>
  <c r="H247" i="37"/>
  <c r="H224" i="37"/>
  <c r="D94" i="142"/>
  <c r="D81" i="142"/>
  <c r="D33" i="142"/>
  <c r="D31" i="142"/>
  <c r="D35" i="142"/>
  <c r="D32" i="142"/>
  <c r="D34" i="142"/>
  <c r="D18" i="142"/>
  <c r="D23" i="142"/>
  <c r="D20" i="142"/>
  <c r="D22" i="142"/>
  <c r="D21" i="142"/>
  <c r="D19" i="142"/>
  <c r="D151" i="140"/>
  <c r="D146" i="140"/>
  <c r="D356" i="20"/>
  <c r="I356" i="20" s="1"/>
  <c r="D144" i="140"/>
  <c r="D354" i="20"/>
  <c r="I354" i="20" s="1"/>
  <c r="D142" i="140"/>
  <c r="D352" i="20"/>
  <c r="I352" i="20" s="1"/>
  <c r="D351" i="20"/>
  <c r="I351" i="20" s="1"/>
  <c r="D141" i="140"/>
  <c r="D143" i="140"/>
  <c r="D353" i="20"/>
  <c r="I353" i="20" s="1"/>
  <c r="D348" i="20"/>
  <c r="I348" i="20" s="1"/>
  <c r="D138" i="140"/>
  <c r="D145" i="140"/>
  <c r="D355" i="20"/>
  <c r="I355" i="20" s="1"/>
  <c r="O60" i="140"/>
  <c r="L60" i="140"/>
  <c r="J73" i="140"/>
  <c r="M60" i="140"/>
  <c r="J60" i="140"/>
  <c r="N60" i="140"/>
  <c r="D1083" i="35"/>
  <c r="J156" i="20"/>
  <c r="D1088" i="35"/>
  <c r="H126" i="20"/>
  <c r="D265" i="35"/>
  <c r="I183" i="19"/>
  <c r="D279" i="35"/>
  <c r="D266" i="35"/>
  <c r="D1097" i="35"/>
  <c r="D1084" i="35"/>
  <c r="D280" i="35"/>
  <c r="D267" i="35"/>
  <c r="D1094" i="35"/>
  <c r="D1081" i="35"/>
  <c r="D1092" i="35"/>
  <c r="D1079" i="35"/>
  <c r="D1089" i="35"/>
  <c r="D1076" i="35"/>
  <c r="D269" i="35"/>
  <c r="D282" i="35"/>
  <c r="D283" i="35"/>
  <c r="D270" i="35"/>
  <c r="D275" i="35"/>
  <c r="D262" i="35"/>
  <c r="D276" i="35"/>
  <c r="D263" i="35"/>
  <c r="D1078" i="35"/>
  <c r="D1091" i="35"/>
  <c r="D1095" i="35"/>
  <c r="D1082" i="35"/>
  <c r="D1077" i="35"/>
  <c r="D1090" i="35"/>
  <c r="D1093" i="35"/>
  <c r="D1080" i="35"/>
  <c r="D261" i="35"/>
  <c r="D274" i="35"/>
  <c r="C77" i="145" s="1"/>
  <c r="K118" i="111" l="1"/>
  <c r="K115" i="111"/>
  <c r="K108" i="111"/>
  <c r="K111" i="111"/>
  <c r="N115" i="111"/>
  <c r="N108" i="111"/>
  <c r="N118" i="111"/>
  <c r="N111" i="111"/>
  <c r="L118" i="111"/>
  <c r="L111" i="111"/>
  <c r="L115" i="111"/>
  <c r="L108" i="111"/>
  <c r="J118" i="111"/>
  <c r="J111" i="111"/>
  <c r="J115" i="111"/>
  <c r="J108" i="111"/>
  <c r="M118" i="111"/>
  <c r="M111" i="111"/>
  <c r="M115" i="111"/>
  <c r="M108" i="111"/>
  <c r="O115" i="111"/>
  <c r="O118" i="111"/>
  <c r="O111" i="111"/>
  <c r="O108" i="111"/>
  <c r="D230" i="20"/>
  <c r="D236" i="20"/>
  <c r="C86" i="145"/>
  <c r="D250" i="20"/>
  <c r="C80" i="149"/>
  <c r="D233" i="20"/>
  <c r="C83" i="145"/>
  <c r="D247" i="20"/>
  <c r="C77" i="149"/>
  <c r="D252" i="20"/>
  <c r="C82" i="149"/>
  <c r="D229" i="20"/>
  <c r="C79" i="145"/>
  <c r="D248" i="20"/>
  <c r="C78" i="149"/>
  <c r="D256" i="20"/>
  <c r="C86" i="149"/>
  <c r="D249" i="20"/>
  <c r="C79" i="149"/>
  <c r="D228" i="20"/>
  <c r="C78" i="145"/>
  <c r="D251" i="20"/>
  <c r="C81" i="149"/>
  <c r="D232" i="20"/>
  <c r="C82" i="145"/>
  <c r="D231" i="20"/>
  <c r="C81" i="145"/>
  <c r="D254" i="20"/>
  <c r="C84" i="149"/>
  <c r="D253" i="20"/>
  <c r="C83" i="149"/>
  <c r="D235" i="20"/>
  <c r="C85" i="145"/>
  <c r="D255" i="20"/>
  <c r="C85" i="149"/>
  <c r="D227" i="20"/>
  <c r="J3199" i="33"/>
  <c r="J3200" i="33"/>
  <c r="J3201" i="33"/>
  <c r="J3202" i="33"/>
  <c r="J3203" i="33"/>
  <c r="J3204" i="33"/>
  <c r="J3205" i="33"/>
  <c r="J3206" i="33"/>
  <c r="J3207" i="33"/>
  <c r="J3208" i="33"/>
  <c r="J3209" i="33"/>
  <c r="J3210" i="33"/>
  <c r="J3211" i="33"/>
  <c r="J3212" i="33"/>
  <c r="J3213" i="33"/>
  <c r="J3214" i="33"/>
  <c r="J3215" i="33"/>
  <c r="J3216" i="33"/>
  <c r="J3217" i="33"/>
  <c r="J3218" i="33"/>
  <c r="J3219" i="33"/>
  <c r="J3220" i="33"/>
  <c r="J3221" i="33"/>
  <c r="J3222" i="33"/>
  <c r="J3223" i="33"/>
  <c r="J3224" i="33"/>
  <c r="J3225" i="33"/>
  <c r="J3226" i="33"/>
  <c r="J3227" i="33"/>
  <c r="J3228" i="33"/>
  <c r="J3229" i="33"/>
  <c r="J3230" i="33"/>
  <c r="J3231" i="33"/>
  <c r="J3232" i="33"/>
  <c r="J3233" i="33"/>
  <c r="J3234" i="33"/>
  <c r="J3235" i="33"/>
  <c r="J3236" i="33"/>
  <c r="J3237" i="33"/>
  <c r="J3238" i="33"/>
  <c r="J3239" i="33"/>
  <c r="J3240" i="33"/>
  <c r="J3241" i="33"/>
  <c r="J3242" i="33"/>
  <c r="J3243" i="33"/>
  <c r="J3244" i="33"/>
  <c r="J3245" i="33"/>
  <c r="J3246" i="33"/>
  <c r="J3247" i="33"/>
  <c r="J3248" i="33"/>
  <c r="J3249" i="33"/>
  <c r="J3250" i="33"/>
  <c r="J3251" i="33"/>
  <c r="J3252" i="33"/>
  <c r="J3253" i="33"/>
  <c r="J3254" i="33"/>
  <c r="J3255" i="33"/>
  <c r="J3256" i="33"/>
  <c r="J3257" i="33"/>
  <c r="J3258" i="33"/>
  <c r="J3259" i="33"/>
  <c r="J3260" i="33"/>
  <c r="J3261" i="33"/>
  <c r="J3262" i="33"/>
  <c r="J3263" i="33"/>
  <c r="J3264" i="33"/>
  <c r="J3265" i="33"/>
  <c r="J3266" i="33"/>
  <c r="J3267" i="33"/>
  <c r="J3268" i="33"/>
  <c r="J3269" i="33"/>
  <c r="J3270" i="33"/>
  <c r="J3271" i="33"/>
  <c r="J3272" i="33"/>
  <c r="J3273" i="33"/>
  <c r="J3274" i="33"/>
  <c r="J3275" i="33"/>
  <c r="J3276" i="33"/>
  <c r="J3277" i="33"/>
  <c r="J3278" i="33"/>
  <c r="J3279" i="33"/>
  <c r="J3280" i="33"/>
  <c r="J3281" i="33"/>
  <c r="J3282" i="33"/>
  <c r="J3283" i="33"/>
  <c r="J3284" i="33"/>
  <c r="J3285" i="33"/>
  <c r="J3286" i="33"/>
  <c r="J3287" i="33"/>
  <c r="J3288" i="33"/>
  <c r="J3289" i="33"/>
  <c r="J3290" i="33"/>
  <c r="J3291" i="33"/>
  <c r="J3292" i="33"/>
  <c r="J3293" i="33"/>
  <c r="J3294" i="33"/>
  <c r="J3295" i="33"/>
  <c r="J3296" i="33"/>
  <c r="J3297" i="33"/>
  <c r="J3298" i="33"/>
  <c r="J3299" i="33"/>
  <c r="J3300" i="33"/>
  <c r="J3301" i="33"/>
  <c r="J3302" i="33"/>
  <c r="J3303" i="33"/>
  <c r="J3304" i="33"/>
  <c r="J3305" i="33"/>
  <c r="J3306" i="33"/>
  <c r="J3307" i="33"/>
  <c r="J3308" i="33"/>
  <c r="J3309" i="33"/>
  <c r="J3310" i="33"/>
  <c r="J3311" i="33"/>
  <c r="J3312" i="33"/>
  <c r="J3313" i="33"/>
  <c r="J3314" i="33"/>
  <c r="J3315" i="33"/>
  <c r="J3316" i="33"/>
  <c r="J3317" i="33"/>
  <c r="J3318" i="33"/>
  <c r="J3319" i="33"/>
  <c r="J3320" i="33"/>
  <c r="J3321" i="33"/>
  <c r="J3322" i="33"/>
  <c r="J3323" i="33"/>
  <c r="J3324" i="33"/>
  <c r="J3325" i="33"/>
  <c r="J3326" i="33"/>
  <c r="J3327" i="33"/>
  <c r="J3328" i="33"/>
  <c r="J3329" i="33"/>
  <c r="J3330" i="33"/>
  <c r="J3331" i="33"/>
  <c r="J3332" i="33"/>
  <c r="J3333" i="33"/>
  <c r="J3334" i="33"/>
  <c r="J3335" i="33"/>
  <c r="J3336" i="33"/>
  <c r="J3337" i="33"/>
  <c r="J3338" i="33"/>
  <c r="J3339" i="33"/>
  <c r="J3340" i="33"/>
  <c r="J3341" i="33"/>
  <c r="J3342" i="33"/>
  <c r="J3343" i="33"/>
  <c r="J3344" i="33"/>
  <c r="J3345" i="33"/>
  <c r="J3346" i="33"/>
  <c r="J3347" i="33"/>
  <c r="J3348" i="33"/>
  <c r="J3349" i="33"/>
  <c r="J3350" i="33"/>
  <c r="J3351" i="33"/>
  <c r="J3352" i="33"/>
  <c r="J3353" i="33"/>
  <c r="J3354" i="33"/>
  <c r="J3355" i="33"/>
  <c r="J3356" i="33"/>
  <c r="J3357" i="33"/>
  <c r="J3358" i="33"/>
  <c r="J3359" i="33"/>
  <c r="J3360" i="33"/>
  <c r="J3361" i="33"/>
  <c r="J3362" i="33"/>
  <c r="J3363" i="33"/>
  <c r="J3364" i="33"/>
  <c r="J3365" i="33"/>
  <c r="D3199" i="33"/>
  <c r="D2356" i="36" s="1"/>
  <c r="D3200" i="33"/>
  <c r="D2357" i="36" s="1"/>
  <c r="D3201" i="33"/>
  <c r="D2358" i="36" s="1"/>
  <c r="D3202" i="33"/>
  <c r="D2359" i="36" s="1"/>
  <c r="D3203" i="33"/>
  <c r="D2360" i="36" s="1"/>
  <c r="D3204" i="33"/>
  <c r="D2361" i="36" s="1"/>
  <c r="D3205" i="33"/>
  <c r="D2362" i="36" s="1"/>
  <c r="D3206" i="33"/>
  <c r="D2363" i="36" s="1"/>
  <c r="D3207" i="33"/>
  <c r="D2364" i="36" s="1"/>
  <c r="D3208" i="33"/>
  <c r="D2365" i="36" s="1"/>
  <c r="D3209" i="33"/>
  <c r="D2366" i="36" s="1"/>
  <c r="D3210" i="33"/>
  <c r="D2367" i="36" s="1"/>
  <c r="D3211" i="33"/>
  <c r="D2368" i="36" s="1"/>
  <c r="D3212" i="33"/>
  <c r="D2369" i="36" s="1"/>
  <c r="D3213" i="33"/>
  <c r="D2370" i="36" s="1"/>
  <c r="D3214" i="33"/>
  <c r="D2371" i="36" s="1"/>
  <c r="D3215" i="33"/>
  <c r="D2372" i="36" s="1"/>
  <c r="D3216" i="33"/>
  <c r="D2373" i="36" s="1"/>
  <c r="D3217" i="33"/>
  <c r="D2374" i="36" s="1"/>
  <c r="D3218" i="33"/>
  <c r="D2375" i="36" s="1"/>
  <c r="D3219" i="33"/>
  <c r="D2376" i="36" s="1"/>
  <c r="D3220" i="33"/>
  <c r="D2377" i="36" s="1"/>
  <c r="D3221" i="33"/>
  <c r="D2378" i="36" s="1"/>
  <c r="D3222" i="33"/>
  <c r="D2379" i="36" s="1"/>
  <c r="D3223" i="33"/>
  <c r="D2380" i="36" s="1"/>
  <c r="D3224" i="33"/>
  <c r="D2381" i="36" s="1"/>
  <c r="D3225" i="33"/>
  <c r="D2382" i="36" s="1"/>
  <c r="D3226" i="33"/>
  <c r="D2383" i="36" s="1"/>
  <c r="D3227" i="33"/>
  <c r="D2384" i="36" s="1"/>
  <c r="D3228" i="33"/>
  <c r="D2385" i="36" s="1"/>
  <c r="D3229" i="33"/>
  <c r="D2386" i="36" s="1"/>
  <c r="D3230" i="33"/>
  <c r="D2387" i="36" s="1"/>
  <c r="D3231" i="33"/>
  <c r="D2388" i="36" s="1"/>
  <c r="D3232" i="33"/>
  <c r="D2389" i="36" s="1"/>
  <c r="D3233" i="33"/>
  <c r="D2390" i="36" s="1"/>
  <c r="D3234" i="33"/>
  <c r="D2391" i="36" s="1"/>
  <c r="D3235" i="33"/>
  <c r="D2392" i="36" s="1"/>
  <c r="D3236" i="33"/>
  <c r="D2393" i="36" s="1"/>
  <c r="D3237" i="33"/>
  <c r="D2394" i="36" s="1"/>
  <c r="D3238" i="33"/>
  <c r="D2395" i="36" s="1"/>
  <c r="D3239" i="33"/>
  <c r="D2396" i="36" s="1"/>
  <c r="D3240" i="33"/>
  <c r="D2397" i="36" s="1"/>
  <c r="D3241" i="33"/>
  <c r="D2398" i="36" s="1"/>
  <c r="D3242" i="33"/>
  <c r="D2399" i="36" s="1"/>
  <c r="D3243" i="33"/>
  <c r="D2400" i="36" s="1"/>
  <c r="D3244" i="33"/>
  <c r="D2401" i="36" s="1"/>
  <c r="D3245" i="33"/>
  <c r="D2402" i="36" s="1"/>
  <c r="D3246" i="33"/>
  <c r="D2403" i="36" s="1"/>
  <c r="D3247" i="33"/>
  <c r="D2404" i="36" s="1"/>
  <c r="D3248" i="33"/>
  <c r="D2405" i="36" s="1"/>
  <c r="D3249" i="33"/>
  <c r="D2406" i="36" s="1"/>
  <c r="D3250" i="33"/>
  <c r="D2407" i="36" s="1"/>
  <c r="D3251" i="33"/>
  <c r="D2408" i="36" s="1"/>
  <c r="D3252" i="33"/>
  <c r="D2409" i="36" s="1"/>
  <c r="D3253" i="33"/>
  <c r="D2410" i="36" s="1"/>
  <c r="D3254" i="33"/>
  <c r="D2411" i="36" s="1"/>
  <c r="D3255" i="33"/>
  <c r="D2412" i="36" s="1"/>
  <c r="D3256" i="33"/>
  <c r="D2413" i="36" s="1"/>
  <c r="D3257" i="33"/>
  <c r="D2414" i="36" s="1"/>
  <c r="D3258" i="33"/>
  <c r="D2415" i="36" s="1"/>
  <c r="D3259" i="33"/>
  <c r="D2416" i="36" s="1"/>
  <c r="D3260" i="33"/>
  <c r="D2417" i="36" s="1"/>
  <c r="D3261" i="33"/>
  <c r="D2418" i="36" s="1"/>
  <c r="D3262" i="33"/>
  <c r="D2419" i="36" s="1"/>
  <c r="D3263" i="33"/>
  <c r="D2420" i="36" s="1"/>
  <c r="D3264" i="33"/>
  <c r="D2421" i="36" s="1"/>
  <c r="D3265" i="33"/>
  <c r="D2422" i="36" s="1"/>
  <c r="D3266" i="33"/>
  <c r="D2423" i="36" s="1"/>
  <c r="D3267" i="33"/>
  <c r="D2424" i="36" s="1"/>
  <c r="D3268" i="33"/>
  <c r="D2425" i="36" s="1"/>
  <c r="D3269" i="33"/>
  <c r="D2426" i="36" s="1"/>
  <c r="D3270" i="33"/>
  <c r="D2427" i="36" s="1"/>
  <c r="D3271" i="33"/>
  <c r="D2428" i="36" s="1"/>
  <c r="D3272" i="33"/>
  <c r="D2429" i="36" s="1"/>
  <c r="D3273" i="33"/>
  <c r="D2430" i="36" s="1"/>
  <c r="D3274" i="33"/>
  <c r="D2431" i="36" s="1"/>
  <c r="D3275" i="33"/>
  <c r="D2432" i="36" s="1"/>
  <c r="D3276" i="33"/>
  <c r="D2433" i="36" s="1"/>
  <c r="D3277" i="33"/>
  <c r="D2434" i="36" s="1"/>
  <c r="D3278" i="33"/>
  <c r="D2435" i="36" s="1"/>
  <c r="D3279" i="33"/>
  <c r="D2436" i="36" s="1"/>
  <c r="D3280" i="33"/>
  <c r="D2437" i="36" s="1"/>
  <c r="D3281" i="33"/>
  <c r="D2438" i="36" s="1"/>
  <c r="D3282" i="33"/>
  <c r="D2439" i="36" s="1"/>
  <c r="D3283" i="33"/>
  <c r="D2440" i="36" s="1"/>
  <c r="D3284" i="33"/>
  <c r="D2441" i="36" s="1"/>
  <c r="D3285" i="33"/>
  <c r="D2442" i="36" s="1"/>
  <c r="D3286" i="33"/>
  <c r="D2443" i="36" s="1"/>
  <c r="D3287" i="33"/>
  <c r="D2444" i="36" s="1"/>
  <c r="D3288" i="33"/>
  <c r="D2445" i="36" s="1"/>
  <c r="D3289" i="33"/>
  <c r="D2446" i="36" s="1"/>
  <c r="D3290" i="33"/>
  <c r="D2447" i="36" s="1"/>
  <c r="D3291" i="33"/>
  <c r="D2448" i="36" s="1"/>
  <c r="D3292" i="33"/>
  <c r="D2449" i="36" s="1"/>
  <c r="D3293" i="33"/>
  <c r="D2450" i="36" s="1"/>
  <c r="D3294" i="33"/>
  <c r="D2451" i="36" s="1"/>
  <c r="D3295" i="33"/>
  <c r="D2452" i="36" s="1"/>
  <c r="D3296" i="33"/>
  <c r="D2453" i="36" s="1"/>
  <c r="D3297" i="33"/>
  <c r="D2454" i="36" s="1"/>
  <c r="D3298" i="33"/>
  <c r="D2455" i="36" s="1"/>
  <c r="D3299" i="33"/>
  <c r="D2456" i="36" s="1"/>
  <c r="D3300" i="33"/>
  <c r="D2457" i="36" s="1"/>
  <c r="D3301" i="33"/>
  <c r="D2458" i="36" s="1"/>
  <c r="D3302" i="33"/>
  <c r="D2459" i="36" s="1"/>
  <c r="D3303" i="33"/>
  <c r="D2460" i="36" s="1"/>
  <c r="D3304" i="33"/>
  <c r="D2461" i="36" s="1"/>
  <c r="D3305" i="33"/>
  <c r="D2462" i="36" s="1"/>
  <c r="D3306" i="33"/>
  <c r="D2463" i="36" s="1"/>
  <c r="D3307" i="33"/>
  <c r="D2464" i="36" s="1"/>
  <c r="D3308" i="33"/>
  <c r="D2465" i="36" s="1"/>
  <c r="D3309" i="33"/>
  <c r="D2466" i="36" s="1"/>
  <c r="D3310" i="33"/>
  <c r="D2467" i="36" s="1"/>
  <c r="D3311" i="33"/>
  <c r="D2468" i="36" s="1"/>
  <c r="D3312" i="33"/>
  <c r="D2469" i="36" s="1"/>
  <c r="D3313" i="33"/>
  <c r="D2470" i="36" s="1"/>
  <c r="D3314" i="33"/>
  <c r="D2471" i="36" s="1"/>
  <c r="D3315" i="33"/>
  <c r="D2472" i="36" s="1"/>
  <c r="D3316" i="33"/>
  <c r="D2473" i="36" s="1"/>
  <c r="D3317" i="33"/>
  <c r="D2474" i="36" s="1"/>
  <c r="D3318" i="33"/>
  <c r="D2475" i="36" s="1"/>
  <c r="D3319" i="33"/>
  <c r="D2476" i="36" s="1"/>
  <c r="D3320" i="33"/>
  <c r="D2477" i="36" s="1"/>
  <c r="D3321" i="33"/>
  <c r="D2478" i="36" s="1"/>
  <c r="D3322" i="33"/>
  <c r="D2479" i="36" s="1"/>
  <c r="D3323" i="33"/>
  <c r="D2480" i="36" s="1"/>
  <c r="D3324" i="33"/>
  <c r="D2481" i="36" s="1"/>
  <c r="D3325" i="33"/>
  <c r="D2482" i="36" s="1"/>
  <c r="D3326" i="33"/>
  <c r="D2483" i="36" s="1"/>
  <c r="D3327" i="33"/>
  <c r="D2484" i="36" s="1"/>
  <c r="D3328" i="33"/>
  <c r="D2485" i="36" s="1"/>
  <c r="D3329" i="33"/>
  <c r="D2486" i="36" s="1"/>
  <c r="D3330" i="33"/>
  <c r="D2487" i="36" s="1"/>
  <c r="D3331" i="33"/>
  <c r="D2488" i="36" s="1"/>
  <c r="D3332" i="33"/>
  <c r="D2489" i="36" s="1"/>
  <c r="D3333" i="33"/>
  <c r="D2490" i="36" s="1"/>
  <c r="D3334" i="33"/>
  <c r="D2491" i="36" s="1"/>
  <c r="D3335" i="33"/>
  <c r="D2492" i="36" s="1"/>
  <c r="D3336" i="33"/>
  <c r="D2493" i="36" s="1"/>
  <c r="D3337" i="33"/>
  <c r="D2494" i="36" s="1"/>
  <c r="D3338" i="33"/>
  <c r="D2495" i="36" s="1"/>
  <c r="D3339" i="33"/>
  <c r="D2496" i="36" s="1"/>
  <c r="D3340" i="33"/>
  <c r="D2497" i="36" s="1"/>
  <c r="D3341" i="33"/>
  <c r="D2498" i="36" s="1"/>
  <c r="D3342" i="33"/>
  <c r="D2499" i="36" s="1"/>
  <c r="D3343" i="33"/>
  <c r="D2500" i="36" s="1"/>
  <c r="D3344" i="33"/>
  <c r="D2501" i="36" s="1"/>
  <c r="D3345" i="33"/>
  <c r="D2502" i="36" s="1"/>
  <c r="D3346" i="33"/>
  <c r="D2503" i="36" s="1"/>
  <c r="D3347" i="33"/>
  <c r="D2504" i="36" s="1"/>
  <c r="D3348" i="33"/>
  <c r="D2505" i="36" s="1"/>
  <c r="D3349" i="33"/>
  <c r="D2506" i="36" s="1"/>
  <c r="D3350" i="33"/>
  <c r="D2507" i="36" s="1"/>
  <c r="D3351" i="33"/>
  <c r="D2508" i="36" s="1"/>
  <c r="D3352" i="33"/>
  <c r="D2509" i="36" s="1"/>
  <c r="D3353" i="33"/>
  <c r="D2510" i="36" s="1"/>
  <c r="D3354" i="33"/>
  <c r="D2511" i="36" s="1"/>
  <c r="D3355" i="33"/>
  <c r="D2512" i="36" s="1"/>
  <c r="D3356" i="33"/>
  <c r="D2513" i="36" s="1"/>
  <c r="D3357" i="33"/>
  <c r="D2514" i="36" s="1"/>
  <c r="D3358" i="33"/>
  <c r="D2515" i="36" s="1"/>
  <c r="D3359" i="33"/>
  <c r="D2516" i="36" s="1"/>
  <c r="D3360" i="33"/>
  <c r="D2517" i="36" s="1"/>
  <c r="D3361" i="33"/>
  <c r="D2518" i="36" s="1"/>
  <c r="D3362" i="33"/>
  <c r="D2519" i="36" s="1"/>
  <c r="D3363" i="33"/>
  <c r="D2520" i="36" s="1"/>
  <c r="D3364" i="33"/>
  <c r="D2521" i="36" s="1"/>
  <c r="D3365" i="33"/>
  <c r="D2522" i="36" s="1"/>
  <c r="J2022" i="33"/>
  <c r="J2023" i="33"/>
  <c r="J2024" i="33"/>
  <c r="J2025" i="33"/>
  <c r="J2026" i="33"/>
  <c r="J2027" i="33"/>
  <c r="J2028" i="33"/>
  <c r="J2029" i="33"/>
  <c r="J2030" i="33"/>
  <c r="J2031" i="33"/>
  <c r="J2032" i="33"/>
  <c r="J2033" i="33"/>
  <c r="J2034" i="33"/>
  <c r="J2035" i="33"/>
  <c r="J2036" i="33"/>
  <c r="J2037" i="33"/>
  <c r="J2038" i="33"/>
  <c r="J2039" i="33"/>
  <c r="J2040" i="33"/>
  <c r="J2041" i="33"/>
  <c r="J2042" i="33"/>
  <c r="J2043" i="33"/>
  <c r="J2044" i="33"/>
  <c r="J2045" i="33"/>
  <c r="J2046" i="33"/>
  <c r="J2047" i="33"/>
  <c r="J2048" i="33"/>
  <c r="J2049" i="33"/>
  <c r="J2050" i="33"/>
  <c r="J2051" i="33"/>
  <c r="J2052" i="33"/>
  <c r="J2053" i="33"/>
  <c r="J2054" i="33"/>
  <c r="J2055" i="33"/>
  <c r="J2056" i="33"/>
  <c r="J2057" i="33"/>
  <c r="J2058" i="33"/>
  <c r="J2059" i="33"/>
  <c r="J2060" i="33"/>
  <c r="J2061" i="33"/>
  <c r="J2062" i="33"/>
  <c r="J2063" i="33"/>
  <c r="J2064" i="33"/>
  <c r="J2065" i="33"/>
  <c r="J2066" i="33"/>
  <c r="J2067" i="33"/>
  <c r="J2068" i="33"/>
  <c r="J2069" i="33"/>
  <c r="J2070" i="33"/>
  <c r="J2071" i="33"/>
  <c r="J2072" i="33"/>
  <c r="J2073" i="33"/>
  <c r="J2074" i="33"/>
  <c r="J2075" i="33"/>
  <c r="J2076" i="33"/>
  <c r="J2077" i="33"/>
  <c r="J2078" i="33"/>
  <c r="J2079" i="33"/>
  <c r="J2080" i="33"/>
  <c r="J2081" i="33"/>
  <c r="J2082" i="33"/>
  <c r="J2083" i="33"/>
  <c r="J2084" i="33"/>
  <c r="J2085" i="33"/>
  <c r="J2086" i="33"/>
  <c r="J2087" i="33"/>
  <c r="J2088" i="33"/>
  <c r="J2089" i="33"/>
  <c r="J2090" i="33"/>
  <c r="J2091" i="33"/>
  <c r="J2092" i="33"/>
  <c r="J2093" i="33"/>
  <c r="J2094" i="33"/>
  <c r="J2095" i="33"/>
  <c r="J2096" i="33"/>
  <c r="J2097" i="33"/>
  <c r="J2098" i="33"/>
  <c r="J2099" i="33"/>
  <c r="J2100" i="33"/>
  <c r="J2101" i="33"/>
  <c r="J2102" i="33"/>
  <c r="J2103" i="33"/>
  <c r="J2104" i="33"/>
  <c r="J2105" i="33"/>
  <c r="J2106" i="33"/>
  <c r="J2107" i="33"/>
  <c r="J2108" i="33"/>
  <c r="J2109" i="33"/>
  <c r="J2110" i="33"/>
  <c r="J2111" i="33"/>
  <c r="J2112" i="33"/>
  <c r="J2113" i="33"/>
  <c r="J2114" i="33"/>
  <c r="J2115" i="33"/>
  <c r="J2116" i="33"/>
  <c r="J2117" i="33"/>
  <c r="J2118" i="33"/>
  <c r="J2119" i="33"/>
  <c r="J2120" i="33"/>
  <c r="J2121" i="33"/>
  <c r="J2122" i="33"/>
  <c r="J2123" i="33"/>
  <c r="J2124" i="33"/>
  <c r="J2125" i="33"/>
  <c r="J2126" i="33"/>
  <c r="J2127" i="33"/>
  <c r="J2128" i="33"/>
  <c r="J2129" i="33"/>
  <c r="J2130" i="33"/>
  <c r="J2131" i="33"/>
  <c r="J2132" i="33"/>
  <c r="J2133" i="33"/>
  <c r="J2134" i="33"/>
  <c r="J2135" i="33"/>
  <c r="J2136" i="33"/>
  <c r="J2137" i="33"/>
  <c r="J2138" i="33"/>
  <c r="J2139" i="33"/>
  <c r="J2140" i="33"/>
  <c r="J2141" i="33"/>
  <c r="J2142" i="33"/>
  <c r="J2143" i="33"/>
  <c r="J2144" i="33"/>
  <c r="J2145" i="33"/>
  <c r="J2146" i="33"/>
  <c r="J2147" i="33"/>
  <c r="J2148" i="33"/>
  <c r="J2149" i="33"/>
  <c r="J2150" i="33"/>
  <c r="J2151" i="33"/>
  <c r="J2152" i="33"/>
  <c r="J2153" i="33"/>
  <c r="J2154" i="33"/>
  <c r="J2155" i="33"/>
  <c r="J2156" i="33"/>
  <c r="J2157" i="33"/>
  <c r="J2158" i="33"/>
  <c r="J2159" i="33"/>
  <c r="J2160" i="33"/>
  <c r="J2161" i="33"/>
  <c r="J2162" i="33"/>
  <c r="J2163" i="33"/>
  <c r="J2164" i="33"/>
  <c r="J2165" i="33"/>
  <c r="J2166" i="33"/>
  <c r="J2167" i="33"/>
  <c r="J2168" i="33"/>
  <c r="J2169" i="33"/>
  <c r="J2170" i="33"/>
  <c r="J2171" i="33"/>
  <c r="J2172" i="33"/>
  <c r="J2173" i="33"/>
  <c r="J2174" i="33"/>
  <c r="J2175" i="33"/>
  <c r="J2176" i="33"/>
  <c r="J2177" i="33"/>
  <c r="J2178" i="33"/>
  <c r="J2179" i="33"/>
  <c r="J2180" i="33"/>
  <c r="J2181" i="33"/>
  <c r="J2182" i="33"/>
  <c r="J2183" i="33"/>
  <c r="J2184" i="33"/>
  <c r="J2185" i="33"/>
  <c r="J2186" i="33"/>
  <c r="J2187" i="33"/>
  <c r="J2188" i="33"/>
  <c r="D2022" i="33"/>
  <c r="D1462" i="36" s="1"/>
  <c r="D2023" i="33"/>
  <c r="D1463" i="36" s="1"/>
  <c r="D2024" i="33"/>
  <c r="D1464" i="36" s="1"/>
  <c r="D2025" i="33"/>
  <c r="D1465" i="36" s="1"/>
  <c r="D2026" i="33"/>
  <c r="D1466" i="36" s="1"/>
  <c r="D2027" i="33"/>
  <c r="D1467" i="36" s="1"/>
  <c r="D2028" i="33"/>
  <c r="D1468" i="36" s="1"/>
  <c r="D2029" i="33"/>
  <c r="D1469" i="36" s="1"/>
  <c r="D2030" i="33"/>
  <c r="D1470" i="36" s="1"/>
  <c r="D2031" i="33"/>
  <c r="D1471" i="36" s="1"/>
  <c r="D2032" i="33"/>
  <c r="D1472" i="36" s="1"/>
  <c r="D2033" i="33"/>
  <c r="D1473" i="36" s="1"/>
  <c r="D2034" i="33"/>
  <c r="D1474" i="36" s="1"/>
  <c r="D2035" i="33"/>
  <c r="D1475" i="36" s="1"/>
  <c r="D2036" i="33"/>
  <c r="D1476" i="36" s="1"/>
  <c r="D2037" i="33"/>
  <c r="D1477" i="36" s="1"/>
  <c r="D2038" i="33"/>
  <c r="D1478" i="36" s="1"/>
  <c r="D2039" i="33"/>
  <c r="D1479" i="36" s="1"/>
  <c r="D2040" i="33"/>
  <c r="D1480" i="36" s="1"/>
  <c r="D2041" i="33"/>
  <c r="D1481" i="36" s="1"/>
  <c r="D2042" i="33"/>
  <c r="D1482" i="36" s="1"/>
  <c r="D2043" i="33"/>
  <c r="D1483" i="36" s="1"/>
  <c r="D2044" i="33"/>
  <c r="D1484" i="36" s="1"/>
  <c r="D2045" i="33"/>
  <c r="D1485" i="36" s="1"/>
  <c r="D2046" i="33"/>
  <c r="D1486" i="36" s="1"/>
  <c r="D2047" i="33"/>
  <c r="D1487" i="36" s="1"/>
  <c r="D2048" i="33"/>
  <c r="D1488" i="36" s="1"/>
  <c r="D2049" i="33"/>
  <c r="D1489" i="36" s="1"/>
  <c r="D2050" i="33"/>
  <c r="D1490" i="36" s="1"/>
  <c r="D2051" i="33"/>
  <c r="D1491" i="36" s="1"/>
  <c r="D2052" i="33"/>
  <c r="D1492" i="36" s="1"/>
  <c r="D2053" i="33"/>
  <c r="D1493" i="36" s="1"/>
  <c r="D2054" i="33"/>
  <c r="D1494" i="36" s="1"/>
  <c r="D2055" i="33"/>
  <c r="D1495" i="36" s="1"/>
  <c r="D2056" i="33"/>
  <c r="D1496" i="36" s="1"/>
  <c r="D2057" i="33"/>
  <c r="D1497" i="36" s="1"/>
  <c r="D2058" i="33"/>
  <c r="D1498" i="36" s="1"/>
  <c r="D2059" i="33"/>
  <c r="D1499" i="36" s="1"/>
  <c r="D2060" i="33"/>
  <c r="D1500" i="36" s="1"/>
  <c r="D2061" i="33"/>
  <c r="D1501" i="36" s="1"/>
  <c r="D2062" i="33"/>
  <c r="D1502" i="36" s="1"/>
  <c r="D2063" i="33"/>
  <c r="D1503" i="36" s="1"/>
  <c r="D2064" i="33"/>
  <c r="D1504" i="36" s="1"/>
  <c r="D2065" i="33"/>
  <c r="D1505" i="36" s="1"/>
  <c r="D2066" i="33"/>
  <c r="D1506" i="36" s="1"/>
  <c r="D2067" i="33"/>
  <c r="D1507" i="36" s="1"/>
  <c r="D2068" i="33"/>
  <c r="D1508" i="36" s="1"/>
  <c r="D2069" i="33"/>
  <c r="D1509" i="36" s="1"/>
  <c r="D2070" i="33"/>
  <c r="D1510" i="36" s="1"/>
  <c r="D2071" i="33"/>
  <c r="D1511" i="36" s="1"/>
  <c r="D2072" i="33"/>
  <c r="D1512" i="36" s="1"/>
  <c r="D2073" i="33"/>
  <c r="D1513" i="36" s="1"/>
  <c r="D2074" i="33"/>
  <c r="D1514" i="36" s="1"/>
  <c r="D2075" i="33"/>
  <c r="D1515" i="36" s="1"/>
  <c r="D2076" i="33"/>
  <c r="D1516" i="36" s="1"/>
  <c r="D2077" i="33"/>
  <c r="D1517" i="36" s="1"/>
  <c r="D2078" i="33"/>
  <c r="D1518" i="36" s="1"/>
  <c r="D2079" i="33"/>
  <c r="D1519" i="36" s="1"/>
  <c r="D2080" i="33"/>
  <c r="D1520" i="36" s="1"/>
  <c r="D2081" i="33"/>
  <c r="D1521" i="36" s="1"/>
  <c r="D2082" i="33"/>
  <c r="D1522" i="36" s="1"/>
  <c r="D2083" i="33"/>
  <c r="D1523" i="36" s="1"/>
  <c r="D2084" i="33"/>
  <c r="D1524" i="36" s="1"/>
  <c r="D2085" i="33"/>
  <c r="D1525" i="36" s="1"/>
  <c r="D2086" i="33"/>
  <c r="D1526" i="36" s="1"/>
  <c r="D2087" i="33"/>
  <c r="D1527" i="36" s="1"/>
  <c r="D2088" i="33"/>
  <c r="D1528" i="36" s="1"/>
  <c r="D2089" i="33"/>
  <c r="D1529" i="36" s="1"/>
  <c r="D2090" i="33"/>
  <c r="D1530" i="36" s="1"/>
  <c r="D2091" i="33"/>
  <c r="D1531" i="36" s="1"/>
  <c r="D2092" i="33"/>
  <c r="D1532" i="36" s="1"/>
  <c r="D2093" i="33"/>
  <c r="D1533" i="36" s="1"/>
  <c r="D2094" i="33"/>
  <c r="D1534" i="36" s="1"/>
  <c r="D2095" i="33"/>
  <c r="D1535" i="36" s="1"/>
  <c r="D2096" i="33"/>
  <c r="D1536" i="36" s="1"/>
  <c r="D2097" i="33"/>
  <c r="D1537" i="36" s="1"/>
  <c r="D2098" i="33"/>
  <c r="D1538" i="36" s="1"/>
  <c r="D2099" i="33"/>
  <c r="D1539" i="36" s="1"/>
  <c r="D2100" i="33"/>
  <c r="D1540" i="36" s="1"/>
  <c r="D2101" i="33"/>
  <c r="D1541" i="36" s="1"/>
  <c r="D2102" i="33"/>
  <c r="D1542" i="36" s="1"/>
  <c r="D2103" i="33"/>
  <c r="D1543" i="36" s="1"/>
  <c r="D2104" i="33"/>
  <c r="D1544" i="36" s="1"/>
  <c r="D2105" i="33"/>
  <c r="D1545" i="36" s="1"/>
  <c r="D2106" i="33"/>
  <c r="D1546" i="36" s="1"/>
  <c r="D2107" i="33"/>
  <c r="D1547" i="36" s="1"/>
  <c r="D2108" i="33"/>
  <c r="D1548" i="36" s="1"/>
  <c r="D2109" i="33"/>
  <c r="D1549" i="36" s="1"/>
  <c r="D2110" i="33"/>
  <c r="D1550" i="36" s="1"/>
  <c r="D2111" i="33"/>
  <c r="D1551" i="36" s="1"/>
  <c r="D2112" i="33"/>
  <c r="D1552" i="36" s="1"/>
  <c r="D2113" i="33"/>
  <c r="D1553" i="36" s="1"/>
  <c r="D2114" i="33"/>
  <c r="D1554" i="36" s="1"/>
  <c r="D2115" i="33"/>
  <c r="D1555" i="36" s="1"/>
  <c r="D2116" i="33"/>
  <c r="D1556" i="36" s="1"/>
  <c r="D2117" i="33"/>
  <c r="D1557" i="36" s="1"/>
  <c r="D2118" i="33"/>
  <c r="D1558" i="36" s="1"/>
  <c r="D2119" i="33"/>
  <c r="D1559" i="36" s="1"/>
  <c r="D2120" i="33"/>
  <c r="D1560" i="36" s="1"/>
  <c r="D2121" i="33"/>
  <c r="D1561" i="36" s="1"/>
  <c r="D2122" i="33"/>
  <c r="D1562" i="36" s="1"/>
  <c r="D2123" i="33"/>
  <c r="D1563" i="36" s="1"/>
  <c r="D2124" i="33"/>
  <c r="D1564" i="36" s="1"/>
  <c r="D2125" i="33"/>
  <c r="D1565" i="36" s="1"/>
  <c r="D2126" i="33"/>
  <c r="D1566" i="36" s="1"/>
  <c r="D2127" i="33"/>
  <c r="D1567" i="36" s="1"/>
  <c r="D2128" i="33"/>
  <c r="D1568" i="36" s="1"/>
  <c r="D2129" i="33"/>
  <c r="D1569" i="36" s="1"/>
  <c r="D2130" i="33"/>
  <c r="D1570" i="36" s="1"/>
  <c r="D2131" i="33"/>
  <c r="D1571" i="36" s="1"/>
  <c r="D2132" i="33"/>
  <c r="D1572" i="36" s="1"/>
  <c r="D2133" i="33"/>
  <c r="D1573" i="36" s="1"/>
  <c r="D2134" i="33"/>
  <c r="D1574" i="36" s="1"/>
  <c r="D2135" i="33"/>
  <c r="D1575" i="36" s="1"/>
  <c r="D2136" i="33"/>
  <c r="D1576" i="36" s="1"/>
  <c r="D2137" i="33"/>
  <c r="D1577" i="36" s="1"/>
  <c r="D2138" i="33"/>
  <c r="D1578" i="36" s="1"/>
  <c r="D2139" i="33"/>
  <c r="D1579" i="36" s="1"/>
  <c r="D2140" i="33"/>
  <c r="D1580" i="36" s="1"/>
  <c r="D2141" i="33"/>
  <c r="D1581" i="36" s="1"/>
  <c r="D2142" i="33"/>
  <c r="D1582" i="36" s="1"/>
  <c r="D2143" i="33"/>
  <c r="D1583" i="36" s="1"/>
  <c r="D2144" i="33"/>
  <c r="D1584" i="36" s="1"/>
  <c r="D2145" i="33"/>
  <c r="D1585" i="36" s="1"/>
  <c r="D2146" i="33"/>
  <c r="D1586" i="36" s="1"/>
  <c r="D2147" i="33"/>
  <c r="D1587" i="36" s="1"/>
  <c r="D2148" i="33"/>
  <c r="D1588" i="36" s="1"/>
  <c r="D2149" i="33"/>
  <c r="D1589" i="36" s="1"/>
  <c r="D2150" i="33"/>
  <c r="D1590" i="36" s="1"/>
  <c r="D2151" i="33"/>
  <c r="D1591" i="36" s="1"/>
  <c r="D2152" i="33"/>
  <c r="D1592" i="36" s="1"/>
  <c r="D2153" i="33"/>
  <c r="D1593" i="36" s="1"/>
  <c r="D2154" i="33"/>
  <c r="D1594" i="36" s="1"/>
  <c r="D2155" i="33"/>
  <c r="D1595" i="36" s="1"/>
  <c r="D2156" i="33"/>
  <c r="D1596" i="36" s="1"/>
  <c r="D2157" i="33"/>
  <c r="D1597" i="36" s="1"/>
  <c r="D2158" i="33"/>
  <c r="D1598" i="36" s="1"/>
  <c r="D2159" i="33"/>
  <c r="D1599" i="36" s="1"/>
  <c r="D2160" i="33"/>
  <c r="D1600" i="36" s="1"/>
  <c r="D2161" i="33"/>
  <c r="D1601" i="36" s="1"/>
  <c r="D2162" i="33"/>
  <c r="D1602" i="36" s="1"/>
  <c r="D2163" i="33"/>
  <c r="D1603" i="36" s="1"/>
  <c r="D2164" i="33"/>
  <c r="D1604" i="36" s="1"/>
  <c r="D2165" i="33"/>
  <c r="D1605" i="36" s="1"/>
  <c r="D2166" i="33"/>
  <c r="D1606" i="36" s="1"/>
  <c r="D2167" i="33"/>
  <c r="D1607" i="36" s="1"/>
  <c r="D2168" i="33"/>
  <c r="D1608" i="36" s="1"/>
  <c r="D2169" i="33"/>
  <c r="D1609" i="36" s="1"/>
  <c r="D2170" i="33"/>
  <c r="D1610" i="36" s="1"/>
  <c r="D2171" i="33"/>
  <c r="D1611" i="36" s="1"/>
  <c r="D2172" i="33"/>
  <c r="D1612" i="36" s="1"/>
  <c r="D2173" i="33"/>
  <c r="D1613" i="36" s="1"/>
  <c r="D2174" i="33"/>
  <c r="D1614" i="36" s="1"/>
  <c r="D2175" i="33"/>
  <c r="D1615" i="36" s="1"/>
  <c r="D2176" i="33"/>
  <c r="D1616" i="36" s="1"/>
  <c r="D2177" i="33"/>
  <c r="D1617" i="36" s="1"/>
  <c r="D2178" i="33"/>
  <c r="D1618" i="36" s="1"/>
  <c r="D2179" i="33"/>
  <c r="D1619" i="36" s="1"/>
  <c r="D2180" i="33"/>
  <c r="D1620" i="36" s="1"/>
  <c r="D2181" i="33"/>
  <c r="D1621" i="36" s="1"/>
  <c r="D2182" i="33"/>
  <c r="D1622" i="36" s="1"/>
  <c r="D2183" i="33"/>
  <c r="D1623" i="36" s="1"/>
  <c r="D2184" i="33"/>
  <c r="D1624" i="36" s="1"/>
  <c r="D2185" i="33"/>
  <c r="D1625" i="36" s="1"/>
  <c r="D2186" i="33"/>
  <c r="D1626" i="36" s="1"/>
  <c r="D2187" i="33"/>
  <c r="D1627" i="36" s="1"/>
  <c r="D2188" i="33"/>
  <c r="D1628" i="36" s="1"/>
  <c r="J1430" i="33"/>
  <c r="J1431" i="33"/>
  <c r="J1432" i="33"/>
  <c r="J1433" i="33"/>
  <c r="J1434" i="33"/>
  <c r="J1435" i="33"/>
  <c r="J1436" i="33"/>
  <c r="J1437" i="33"/>
  <c r="J1438" i="33"/>
  <c r="J1439" i="33"/>
  <c r="J1440" i="33"/>
  <c r="J1441" i="33"/>
  <c r="J1442" i="33"/>
  <c r="J1443" i="33"/>
  <c r="J1444" i="33"/>
  <c r="J1445" i="33"/>
  <c r="J1446" i="33"/>
  <c r="J1447" i="33"/>
  <c r="J1448" i="33"/>
  <c r="J1449" i="33"/>
  <c r="J1450" i="33"/>
  <c r="J1451" i="33"/>
  <c r="J1452" i="33"/>
  <c r="J1453" i="33"/>
  <c r="J1454" i="33"/>
  <c r="J1455" i="33"/>
  <c r="J1456" i="33"/>
  <c r="J1457" i="33"/>
  <c r="J1458" i="33"/>
  <c r="J1459" i="33"/>
  <c r="J1460" i="33"/>
  <c r="J1461" i="33"/>
  <c r="J1462" i="33"/>
  <c r="J1463" i="33"/>
  <c r="J1464" i="33"/>
  <c r="J1465" i="33"/>
  <c r="J1466" i="33"/>
  <c r="J1467" i="33"/>
  <c r="J1468" i="33"/>
  <c r="J1469" i="33"/>
  <c r="J1470" i="33"/>
  <c r="J1471" i="33"/>
  <c r="J1472" i="33"/>
  <c r="J1473" i="33"/>
  <c r="J1474" i="33"/>
  <c r="J1475" i="33"/>
  <c r="J1476" i="33"/>
  <c r="J1477" i="33"/>
  <c r="J1478" i="33"/>
  <c r="J1479" i="33"/>
  <c r="J1480" i="33"/>
  <c r="J1481" i="33"/>
  <c r="J1482" i="33"/>
  <c r="J1483" i="33"/>
  <c r="J1484" i="33"/>
  <c r="J1485" i="33"/>
  <c r="J1486" i="33"/>
  <c r="J1487" i="33"/>
  <c r="J1488" i="33"/>
  <c r="J1489" i="33"/>
  <c r="J1490" i="33"/>
  <c r="J1491" i="33"/>
  <c r="J1492" i="33"/>
  <c r="J1493" i="33"/>
  <c r="J1494" i="33"/>
  <c r="J1495" i="33"/>
  <c r="J1496" i="33"/>
  <c r="J1497" i="33"/>
  <c r="J1498" i="33"/>
  <c r="J1499" i="33"/>
  <c r="J1500" i="33"/>
  <c r="J1501" i="33"/>
  <c r="J1502" i="33"/>
  <c r="J1503" i="33"/>
  <c r="J1504" i="33"/>
  <c r="J1505" i="33"/>
  <c r="J1506" i="33"/>
  <c r="J1507" i="33"/>
  <c r="J1508" i="33"/>
  <c r="J1509" i="33"/>
  <c r="J1510" i="33"/>
  <c r="J1511" i="33"/>
  <c r="J1512" i="33"/>
  <c r="J1513" i="33"/>
  <c r="J1514" i="33"/>
  <c r="J1515" i="33"/>
  <c r="J1516" i="33"/>
  <c r="J1517" i="33"/>
  <c r="J1518" i="33"/>
  <c r="J1519" i="33"/>
  <c r="J1520" i="33"/>
  <c r="J1521" i="33"/>
  <c r="J1522" i="33"/>
  <c r="J1523" i="33"/>
  <c r="J1524" i="33"/>
  <c r="J1525" i="33"/>
  <c r="J1526" i="33"/>
  <c r="J1527" i="33"/>
  <c r="J1528" i="33"/>
  <c r="J1529" i="33"/>
  <c r="J1530" i="33"/>
  <c r="J1531" i="33"/>
  <c r="J1532" i="33"/>
  <c r="J1533" i="33"/>
  <c r="J1534" i="33"/>
  <c r="J1535" i="33"/>
  <c r="J1536" i="33"/>
  <c r="J1537" i="33"/>
  <c r="J1538" i="33"/>
  <c r="J1539" i="33"/>
  <c r="J1540" i="33"/>
  <c r="J1541" i="33"/>
  <c r="J1542" i="33"/>
  <c r="J1543" i="33"/>
  <c r="J1544" i="33"/>
  <c r="J1545" i="33"/>
  <c r="J1546" i="33"/>
  <c r="J1547" i="33"/>
  <c r="J1548" i="33"/>
  <c r="J1549" i="33"/>
  <c r="J1550" i="33"/>
  <c r="J1551" i="33"/>
  <c r="J1552" i="33"/>
  <c r="J1553" i="33"/>
  <c r="J1554" i="33"/>
  <c r="J1555" i="33"/>
  <c r="J1556" i="33"/>
  <c r="J1557" i="33"/>
  <c r="J1558" i="33"/>
  <c r="J1559" i="33"/>
  <c r="J1560" i="33"/>
  <c r="J1561" i="33"/>
  <c r="J1562" i="33"/>
  <c r="J1563" i="33"/>
  <c r="J1564" i="33"/>
  <c r="J1565" i="33"/>
  <c r="J1566" i="33"/>
  <c r="J1567" i="33"/>
  <c r="J1568" i="33"/>
  <c r="J1569" i="33"/>
  <c r="J1570" i="33"/>
  <c r="J1571" i="33"/>
  <c r="J1572" i="33"/>
  <c r="J1573" i="33"/>
  <c r="J1574" i="33"/>
  <c r="J1575" i="33"/>
  <c r="J1576" i="33"/>
  <c r="J1577" i="33"/>
  <c r="J1578" i="33"/>
  <c r="J1579" i="33"/>
  <c r="J1580" i="33"/>
  <c r="J1581" i="33"/>
  <c r="J1582" i="33"/>
  <c r="J1583" i="33"/>
  <c r="J1584" i="33"/>
  <c r="J1585" i="33"/>
  <c r="J1586" i="33"/>
  <c r="J1587" i="33"/>
  <c r="J1588" i="33"/>
  <c r="J1589" i="33"/>
  <c r="J1590" i="33"/>
  <c r="J1591" i="33"/>
  <c r="J1592" i="33"/>
  <c r="J1593" i="33"/>
  <c r="J1594" i="33"/>
  <c r="J1595" i="33"/>
  <c r="J1596" i="33"/>
  <c r="D1430" i="33"/>
  <c r="D1015" i="36" s="1"/>
  <c r="D1431" i="33"/>
  <c r="D1016" i="36" s="1"/>
  <c r="D1432" i="33"/>
  <c r="D1017" i="36" s="1"/>
  <c r="D1433" i="33"/>
  <c r="D1018" i="36" s="1"/>
  <c r="D1434" i="33"/>
  <c r="D1019" i="36" s="1"/>
  <c r="D1435" i="33"/>
  <c r="D1020" i="36" s="1"/>
  <c r="D1436" i="33"/>
  <c r="D1021" i="36" s="1"/>
  <c r="D1437" i="33"/>
  <c r="D1022" i="36" s="1"/>
  <c r="D1438" i="33"/>
  <c r="D1023" i="36" s="1"/>
  <c r="D1439" i="33"/>
  <c r="D1024" i="36" s="1"/>
  <c r="D1440" i="33"/>
  <c r="D1025" i="36" s="1"/>
  <c r="D1441" i="33"/>
  <c r="D1026" i="36" s="1"/>
  <c r="D1442" i="33"/>
  <c r="D1027" i="36" s="1"/>
  <c r="D1443" i="33"/>
  <c r="D1028" i="36" s="1"/>
  <c r="D1444" i="33"/>
  <c r="D1029" i="36" s="1"/>
  <c r="D1445" i="33"/>
  <c r="D1030" i="36" s="1"/>
  <c r="D1446" i="33"/>
  <c r="D1031" i="36" s="1"/>
  <c r="D1447" i="33"/>
  <c r="D1032" i="36" s="1"/>
  <c r="D1448" i="33"/>
  <c r="D1033" i="36" s="1"/>
  <c r="D1449" i="33"/>
  <c r="D1034" i="36" s="1"/>
  <c r="D1450" i="33"/>
  <c r="D1035" i="36" s="1"/>
  <c r="D1451" i="33"/>
  <c r="D1036" i="36" s="1"/>
  <c r="D1452" i="33"/>
  <c r="D1037" i="36" s="1"/>
  <c r="D1453" i="33"/>
  <c r="D1038" i="36" s="1"/>
  <c r="D1454" i="33"/>
  <c r="D1039" i="36" s="1"/>
  <c r="D1455" i="33"/>
  <c r="D1040" i="36" s="1"/>
  <c r="D1456" i="33"/>
  <c r="D1041" i="36" s="1"/>
  <c r="D1457" i="33"/>
  <c r="D1042" i="36" s="1"/>
  <c r="D1458" i="33"/>
  <c r="D1043" i="36" s="1"/>
  <c r="D1459" i="33"/>
  <c r="D1044" i="36" s="1"/>
  <c r="D1460" i="33"/>
  <c r="D1045" i="36" s="1"/>
  <c r="D1461" i="33"/>
  <c r="D1046" i="36" s="1"/>
  <c r="D1462" i="33"/>
  <c r="D1047" i="36" s="1"/>
  <c r="D1463" i="33"/>
  <c r="D1048" i="36" s="1"/>
  <c r="D1464" i="33"/>
  <c r="D1049" i="36" s="1"/>
  <c r="D1465" i="33"/>
  <c r="D1050" i="36" s="1"/>
  <c r="D1466" i="33"/>
  <c r="D1051" i="36" s="1"/>
  <c r="D1467" i="33"/>
  <c r="D1052" i="36" s="1"/>
  <c r="D1468" i="33"/>
  <c r="D1053" i="36" s="1"/>
  <c r="D1469" i="33"/>
  <c r="D1054" i="36" s="1"/>
  <c r="D1470" i="33"/>
  <c r="D1055" i="36" s="1"/>
  <c r="D1471" i="33"/>
  <c r="D1056" i="36" s="1"/>
  <c r="D1472" i="33"/>
  <c r="D1057" i="36" s="1"/>
  <c r="D1473" i="33"/>
  <c r="D1058" i="36" s="1"/>
  <c r="D1474" i="33"/>
  <c r="D1059" i="36" s="1"/>
  <c r="D1475" i="33"/>
  <c r="D1060" i="36" s="1"/>
  <c r="D1476" i="33"/>
  <c r="D1061" i="36" s="1"/>
  <c r="D1477" i="33"/>
  <c r="D1062" i="36" s="1"/>
  <c r="D1478" i="33"/>
  <c r="D1063" i="36" s="1"/>
  <c r="D1479" i="33"/>
  <c r="D1064" i="36" s="1"/>
  <c r="D1480" i="33"/>
  <c r="D1065" i="36" s="1"/>
  <c r="D1481" i="33"/>
  <c r="D1066" i="36" s="1"/>
  <c r="D1482" i="33"/>
  <c r="D1067" i="36" s="1"/>
  <c r="D1483" i="33"/>
  <c r="D1068" i="36" s="1"/>
  <c r="D1484" i="33"/>
  <c r="D1069" i="36" s="1"/>
  <c r="D1485" i="33"/>
  <c r="D1070" i="36" s="1"/>
  <c r="D1486" i="33"/>
  <c r="D1071" i="36" s="1"/>
  <c r="D1487" i="33"/>
  <c r="D1072" i="36" s="1"/>
  <c r="D1488" i="33"/>
  <c r="D1073" i="36" s="1"/>
  <c r="D1489" i="33"/>
  <c r="D1074" i="36" s="1"/>
  <c r="D1490" i="33"/>
  <c r="D1075" i="36" s="1"/>
  <c r="D1491" i="33"/>
  <c r="D1076" i="36" s="1"/>
  <c r="D1492" i="33"/>
  <c r="D1077" i="36" s="1"/>
  <c r="D1493" i="33"/>
  <c r="D1078" i="36" s="1"/>
  <c r="D1494" i="33"/>
  <c r="D1079" i="36" s="1"/>
  <c r="D1495" i="33"/>
  <c r="D1080" i="36" s="1"/>
  <c r="D1496" i="33"/>
  <c r="D1081" i="36" s="1"/>
  <c r="D1497" i="33"/>
  <c r="D1082" i="36" s="1"/>
  <c r="D1498" i="33"/>
  <c r="D1083" i="36" s="1"/>
  <c r="D1499" i="33"/>
  <c r="D1084" i="36" s="1"/>
  <c r="D1500" i="33"/>
  <c r="D1085" i="36" s="1"/>
  <c r="D1501" i="33"/>
  <c r="D1086" i="36" s="1"/>
  <c r="D1502" i="33"/>
  <c r="D1087" i="36" s="1"/>
  <c r="D1503" i="33"/>
  <c r="D1088" i="36" s="1"/>
  <c r="D1504" i="33"/>
  <c r="D1089" i="36" s="1"/>
  <c r="D1505" i="33"/>
  <c r="D1090" i="36" s="1"/>
  <c r="D1506" i="33"/>
  <c r="D1091" i="36" s="1"/>
  <c r="D1507" i="33"/>
  <c r="D1092" i="36" s="1"/>
  <c r="D1508" i="33"/>
  <c r="D1093" i="36" s="1"/>
  <c r="D1509" i="33"/>
  <c r="D1094" i="36" s="1"/>
  <c r="D1510" i="33"/>
  <c r="D1095" i="36" s="1"/>
  <c r="D1511" i="33"/>
  <c r="D1096" i="36" s="1"/>
  <c r="D1512" i="33"/>
  <c r="D1097" i="36" s="1"/>
  <c r="D1513" i="33"/>
  <c r="D1098" i="36" s="1"/>
  <c r="D1514" i="33"/>
  <c r="D1099" i="36" s="1"/>
  <c r="D1515" i="33"/>
  <c r="D1100" i="36" s="1"/>
  <c r="D1516" i="33"/>
  <c r="D1101" i="36" s="1"/>
  <c r="D1517" i="33"/>
  <c r="D1102" i="36" s="1"/>
  <c r="D1518" i="33"/>
  <c r="D1103" i="36" s="1"/>
  <c r="D1519" i="33"/>
  <c r="D1104" i="36" s="1"/>
  <c r="D1520" i="33"/>
  <c r="D1105" i="36" s="1"/>
  <c r="D1521" i="33"/>
  <c r="D1106" i="36" s="1"/>
  <c r="D1522" i="33"/>
  <c r="D1107" i="36" s="1"/>
  <c r="D1523" i="33"/>
  <c r="D1108" i="36" s="1"/>
  <c r="D1524" i="33"/>
  <c r="D1109" i="36" s="1"/>
  <c r="D1525" i="33"/>
  <c r="D1110" i="36" s="1"/>
  <c r="D1526" i="33"/>
  <c r="D1111" i="36" s="1"/>
  <c r="D1527" i="33"/>
  <c r="D1112" i="36" s="1"/>
  <c r="D1528" i="33"/>
  <c r="D1113" i="36" s="1"/>
  <c r="D1529" i="33"/>
  <c r="D1114" i="36" s="1"/>
  <c r="D1530" i="33"/>
  <c r="D1115" i="36" s="1"/>
  <c r="D1531" i="33"/>
  <c r="D1116" i="36" s="1"/>
  <c r="D1532" i="33"/>
  <c r="D1117" i="36" s="1"/>
  <c r="D1533" i="33"/>
  <c r="D1118" i="36" s="1"/>
  <c r="D1534" i="33"/>
  <c r="D1119" i="36" s="1"/>
  <c r="D1535" i="33"/>
  <c r="D1120" i="36" s="1"/>
  <c r="D1536" i="33"/>
  <c r="D1121" i="36" s="1"/>
  <c r="D1537" i="33"/>
  <c r="D1122" i="36" s="1"/>
  <c r="D1538" i="33"/>
  <c r="D1123" i="36" s="1"/>
  <c r="D1539" i="33"/>
  <c r="D1124" i="36" s="1"/>
  <c r="D1540" i="33"/>
  <c r="D1125" i="36" s="1"/>
  <c r="D1541" i="33"/>
  <c r="D1126" i="36" s="1"/>
  <c r="D1542" i="33"/>
  <c r="D1127" i="36" s="1"/>
  <c r="D1543" i="33"/>
  <c r="D1128" i="36" s="1"/>
  <c r="D1544" i="33"/>
  <c r="D1129" i="36" s="1"/>
  <c r="D1545" i="33"/>
  <c r="D1130" i="36" s="1"/>
  <c r="D1546" i="33"/>
  <c r="D1131" i="36" s="1"/>
  <c r="D1547" i="33"/>
  <c r="D1132" i="36" s="1"/>
  <c r="D1548" i="33"/>
  <c r="D1133" i="36" s="1"/>
  <c r="D1549" i="33"/>
  <c r="D1134" i="36" s="1"/>
  <c r="D1550" i="33"/>
  <c r="D1135" i="36" s="1"/>
  <c r="D1551" i="33"/>
  <c r="D1136" i="36" s="1"/>
  <c r="D1552" i="33"/>
  <c r="D1137" i="36" s="1"/>
  <c r="D1553" i="33"/>
  <c r="D1138" i="36" s="1"/>
  <c r="D1554" i="33"/>
  <c r="D1139" i="36" s="1"/>
  <c r="D1555" i="33"/>
  <c r="D1140" i="36" s="1"/>
  <c r="D1556" i="33"/>
  <c r="D1141" i="36" s="1"/>
  <c r="D1557" i="33"/>
  <c r="D1142" i="36" s="1"/>
  <c r="D1558" i="33"/>
  <c r="D1143" i="36" s="1"/>
  <c r="D1559" i="33"/>
  <c r="D1144" i="36" s="1"/>
  <c r="D1560" i="33"/>
  <c r="D1145" i="36" s="1"/>
  <c r="D1561" i="33"/>
  <c r="D1146" i="36" s="1"/>
  <c r="D1562" i="33"/>
  <c r="D1147" i="36" s="1"/>
  <c r="D1563" i="33"/>
  <c r="D1148" i="36" s="1"/>
  <c r="D1564" i="33"/>
  <c r="D1149" i="36" s="1"/>
  <c r="D1565" i="33"/>
  <c r="D1150" i="36" s="1"/>
  <c r="D1566" i="33"/>
  <c r="D1151" i="36" s="1"/>
  <c r="D1567" i="33"/>
  <c r="D1152" i="36" s="1"/>
  <c r="D1568" i="33"/>
  <c r="D1153" i="36" s="1"/>
  <c r="D1569" i="33"/>
  <c r="D1154" i="36" s="1"/>
  <c r="D1570" i="33"/>
  <c r="D1155" i="36" s="1"/>
  <c r="D1571" i="33"/>
  <c r="D1156" i="36" s="1"/>
  <c r="D1572" i="33"/>
  <c r="D1157" i="36" s="1"/>
  <c r="D1573" i="33"/>
  <c r="D1158" i="36" s="1"/>
  <c r="D1574" i="33"/>
  <c r="D1159" i="36" s="1"/>
  <c r="D1575" i="33"/>
  <c r="D1160" i="36" s="1"/>
  <c r="D1576" i="33"/>
  <c r="D1161" i="36" s="1"/>
  <c r="D1577" i="33"/>
  <c r="D1162" i="36" s="1"/>
  <c r="D1578" i="33"/>
  <c r="D1163" i="36" s="1"/>
  <c r="D1579" i="33"/>
  <c r="D1164" i="36" s="1"/>
  <c r="D1580" i="33"/>
  <c r="D1165" i="36" s="1"/>
  <c r="D1581" i="33"/>
  <c r="D1166" i="36" s="1"/>
  <c r="D1582" i="33"/>
  <c r="D1167" i="36" s="1"/>
  <c r="D1583" i="33"/>
  <c r="D1168" i="36" s="1"/>
  <c r="D1584" i="33"/>
  <c r="D1169" i="36" s="1"/>
  <c r="D1585" i="33"/>
  <c r="D1170" i="36" s="1"/>
  <c r="D1586" i="33"/>
  <c r="D1171" i="36" s="1"/>
  <c r="D1587" i="33"/>
  <c r="D1172" i="36" s="1"/>
  <c r="D1588" i="33"/>
  <c r="D1173" i="36" s="1"/>
  <c r="D1589" i="33"/>
  <c r="D1174" i="36" s="1"/>
  <c r="D1590" i="33"/>
  <c r="D1175" i="36" s="1"/>
  <c r="D1591" i="33"/>
  <c r="D1176" i="36" s="1"/>
  <c r="D1592" i="33"/>
  <c r="D1177" i="36" s="1"/>
  <c r="D1593" i="33"/>
  <c r="D1178" i="36" s="1"/>
  <c r="D1594" i="33"/>
  <c r="D1179" i="36" s="1"/>
  <c r="D1595" i="33"/>
  <c r="D1180" i="36" s="1"/>
  <c r="D1596" i="33"/>
  <c r="D1181" i="36" s="1"/>
  <c r="J2614" i="33"/>
  <c r="J2615" i="33"/>
  <c r="J2616" i="33"/>
  <c r="J2617" i="33"/>
  <c r="J2618" i="33"/>
  <c r="J2619" i="33"/>
  <c r="J2620" i="33"/>
  <c r="J2621" i="33"/>
  <c r="J2622" i="33"/>
  <c r="J2623" i="33"/>
  <c r="J2624" i="33"/>
  <c r="J2625" i="33"/>
  <c r="J2626" i="33"/>
  <c r="J2627" i="33"/>
  <c r="J2628" i="33"/>
  <c r="J2629" i="33"/>
  <c r="J2630" i="33"/>
  <c r="J2631" i="33"/>
  <c r="J2632" i="33"/>
  <c r="J2633" i="33"/>
  <c r="J2634" i="33"/>
  <c r="J2635" i="33"/>
  <c r="J2636" i="33"/>
  <c r="J2637" i="33"/>
  <c r="J2638" i="33"/>
  <c r="J2639" i="33"/>
  <c r="J2640" i="33"/>
  <c r="J2641" i="33"/>
  <c r="J2642" i="33"/>
  <c r="J2643" i="33"/>
  <c r="J2644" i="33"/>
  <c r="J2645" i="33"/>
  <c r="J2646" i="33"/>
  <c r="J2647" i="33"/>
  <c r="J2648" i="33"/>
  <c r="J2649" i="33"/>
  <c r="J2650" i="33"/>
  <c r="J2651" i="33"/>
  <c r="J2652" i="33"/>
  <c r="J2653" i="33"/>
  <c r="J2654" i="33"/>
  <c r="J2655" i="33"/>
  <c r="J2656" i="33"/>
  <c r="J2657" i="33"/>
  <c r="J2658" i="33"/>
  <c r="J2659" i="33"/>
  <c r="J2660" i="33"/>
  <c r="J2661" i="33"/>
  <c r="J2662" i="33"/>
  <c r="J2663" i="33"/>
  <c r="J2664" i="33"/>
  <c r="J2665" i="33"/>
  <c r="J2666" i="33"/>
  <c r="J2667" i="33"/>
  <c r="J2668" i="33"/>
  <c r="J2669" i="33"/>
  <c r="J2670" i="33"/>
  <c r="J2671" i="33"/>
  <c r="J2672" i="33"/>
  <c r="J2673" i="33"/>
  <c r="J2674" i="33"/>
  <c r="J2675" i="33"/>
  <c r="J2676" i="33"/>
  <c r="J2677" i="33"/>
  <c r="J2678" i="33"/>
  <c r="J2679" i="33"/>
  <c r="J2680" i="33"/>
  <c r="J2681" i="33"/>
  <c r="J2682" i="33"/>
  <c r="J2683" i="33"/>
  <c r="J2684" i="33"/>
  <c r="J2685" i="33"/>
  <c r="J2686" i="33"/>
  <c r="J2687" i="33"/>
  <c r="J2688" i="33"/>
  <c r="J2689" i="33"/>
  <c r="J2690" i="33"/>
  <c r="J2691" i="33"/>
  <c r="J2692" i="33"/>
  <c r="J2693" i="33"/>
  <c r="J2694" i="33"/>
  <c r="J2695" i="33"/>
  <c r="J2696" i="33"/>
  <c r="J2697" i="33"/>
  <c r="J2698" i="33"/>
  <c r="J2699" i="33"/>
  <c r="J2700" i="33"/>
  <c r="J2701" i="33"/>
  <c r="J2702" i="33"/>
  <c r="J2703" i="33"/>
  <c r="J2704" i="33"/>
  <c r="J2705" i="33"/>
  <c r="J2706" i="33"/>
  <c r="J2707" i="33"/>
  <c r="J2708" i="33"/>
  <c r="J2709" i="33"/>
  <c r="J2710" i="33"/>
  <c r="J2711" i="33"/>
  <c r="J2712" i="33"/>
  <c r="J2713" i="33"/>
  <c r="J2714" i="33"/>
  <c r="J2715" i="33"/>
  <c r="J2716" i="33"/>
  <c r="J2717" i="33"/>
  <c r="J2718" i="33"/>
  <c r="J2719" i="33"/>
  <c r="J2720" i="33"/>
  <c r="J2721" i="33"/>
  <c r="J2722" i="33"/>
  <c r="J2723" i="33"/>
  <c r="J2724" i="33"/>
  <c r="J2725" i="33"/>
  <c r="J2726" i="33"/>
  <c r="J2727" i="33"/>
  <c r="J2728" i="33"/>
  <c r="J2729" i="33"/>
  <c r="J2730" i="33"/>
  <c r="J2731" i="33"/>
  <c r="J2732" i="33"/>
  <c r="J2733" i="33"/>
  <c r="J2734" i="33"/>
  <c r="J2735" i="33"/>
  <c r="J2736" i="33"/>
  <c r="J2737" i="33"/>
  <c r="J2738" i="33"/>
  <c r="J2739" i="33"/>
  <c r="J2740" i="33"/>
  <c r="J2741" i="33"/>
  <c r="J2742" i="33"/>
  <c r="J2743" i="33"/>
  <c r="J2744" i="33"/>
  <c r="J2745" i="33"/>
  <c r="J2746" i="33"/>
  <c r="J2747" i="33"/>
  <c r="J2748" i="33"/>
  <c r="J2749" i="33"/>
  <c r="J2750" i="33"/>
  <c r="J2751" i="33"/>
  <c r="J2752" i="33"/>
  <c r="J2753" i="33"/>
  <c r="J2754" i="33"/>
  <c r="J2755" i="33"/>
  <c r="J2756" i="33"/>
  <c r="J2757" i="33"/>
  <c r="J2758" i="33"/>
  <c r="J2759" i="33"/>
  <c r="J2760" i="33"/>
  <c r="J2761" i="33"/>
  <c r="J2762" i="33"/>
  <c r="J2763" i="33"/>
  <c r="J2764" i="33"/>
  <c r="J2765" i="33"/>
  <c r="J2766" i="33"/>
  <c r="J2767" i="33"/>
  <c r="J2768" i="33"/>
  <c r="J2769" i="33"/>
  <c r="J2770" i="33"/>
  <c r="J2771" i="33"/>
  <c r="J2772" i="33"/>
  <c r="J2773" i="33"/>
  <c r="J2774" i="33"/>
  <c r="J2775" i="33"/>
  <c r="J2776" i="33"/>
  <c r="J2777" i="33"/>
  <c r="J2778" i="33"/>
  <c r="J2779" i="33"/>
  <c r="J2780" i="33"/>
  <c r="D2614" i="33"/>
  <c r="D1909" i="36" s="1"/>
  <c r="D2615" i="33"/>
  <c r="D1910" i="36" s="1"/>
  <c r="D2616" i="33"/>
  <c r="D1911" i="36" s="1"/>
  <c r="D2617" i="33"/>
  <c r="D1912" i="36" s="1"/>
  <c r="D2618" i="33"/>
  <c r="D1913" i="36" s="1"/>
  <c r="D2619" i="33"/>
  <c r="D1914" i="36" s="1"/>
  <c r="D2620" i="33"/>
  <c r="D1915" i="36" s="1"/>
  <c r="D2621" i="33"/>
  <c r="D1916" i="36" s="1"/>
  <c r="D2622" i="33"/>
  <c r="D1917" i="36" s="1"/>
  <c r="D2623" i="33"/>
  <c r="D1918" i="36" s="1"/>
  <c r="D2624" i="33"/>
  <c r="D1919" i="36" s="1"/>
  <c r="D2625" i="33"/>
  <c r="D1920" i="36" s="1"/>
  <c r="D2626" i="33"/>
  <c r="D1921" i="36" s="1"/>
  <c r="D2627" i="33"/>
  <c r="D1922" i="36" s="1"/>
  <c r="D2628" i="33"/>
  <c r="D1923" i="36" s="1"/>
  <c r="D2629" i="33"/>
  <c r="D1924" i="36" s="1"/>
  <c r="D2630" i="33"/>
  <c r="D1925" i="36" s="1"/>
  <c r="D2631" i="33"/>
  <c r="D1926" i="36" s="1"/>
  <c r="D2632" i="33"/>
  <c r="D1927" i="36" s="1"/>
  <c r="D2633" i="33"/>
  <c r="D1928" i="36" s="1"/>
  <c r="D2634" i="33"/>
  <c r="D1929" i="36" s="1"/>
  <c r="D2635" i="33"/>
  <c r="D1930" i="36" s="1"/>
  <c r="D2636" i="33"/>
  <c r="D1931" i="36" s="1"/>
  <c r="D2637" i="33"/>
  <c r="D1932" i="36" s="1"/>
  <c r="D2638" i="33"/>
  <c r="D1933" i="36" s="1"/>
  <c r="D2639" i="33"/>
  <c r="D1934" i="36" s="1"/>
  <c r="D2640" i="33"/>
  <c r="D1935" i="36" s="1"/>
  <c r="D2641" i="33"/>
  <c r="D1936" i="36" s="1"/>
  <c r="D2642" i="33"/>
  <c r="D1937" i="36" s="1"/>
  <c r="D2643" i="33"/>
  <c r="D1938" i="36" s="1"/>
  <c r="D2644" i="33"/>
  <c r="D1939" i="36" s="1"/>
  <c r="D2645" i="33"/>
  <c r="D1940" i="36" s="1"/>
  <c r="D2646" i="33"/>
  <c r="D1941" i="36" s="1"/>
  <c r="D2647" i="33"/>
  <c r="D1942" i="36" s="1"/>
  <c r="D2648" i="33"/>
  <c r="D1943" i="36" s="1"/>
  <c r="D2649" i="33"/>
  <c r="D1944" i="36" s="1"/>
  <c r="D2650" i="33"/>
  <c r="D1945" i="36" s="1"/>
  <c r="D2651" i="33"/>
  <c r="D1946" i="36" s="1"/>
  <c r="D2652" i="33"/>
  <c r="D1947" i="36" s="1"/>
  <c r="D2653" i="33"/>
  <c r="D1948" i="36" s="1"/>
  <c r="D2654" i="33"/>
  <c r="D1949" i="36" s="1"/>
  <c r="D2655" i="33"/>
  <c r="D1950" i="36" s="1"/>
  <c r="D2656" i="33"/>
  <c r="D1951" i="36" s="1"/>
  <c r="D2657" i="33"/>
  <c r="D1952" i="36" s="1"/>
  <c r="D2658" i="33"/>
  <c r="D1953" i="36" s="1"/>
  <c r="D2659" i="33"/>
  <c r="D1954" i="36" s="1"/>
  <c r="D2660" i="33"/>
  <c r="D1955" i="36" s="1"/>
  <c r="D2661" i="33"/>
  <c r="D1956" i="36" s="1"/>
  <c r="D2662" i="33"/>
  <c r="D1957" i="36" s="1"/>
  <c r="D2663" i="33"/>
  <c r="D1958" i="36" s="1"/>
  <c r="D2664" i="33"/>
  <c r="D1959" i="36" s="1"/>
  <c r="D2665" i="33"/>
  <c r="D1960" i="36" s="1"/>
  <c r="D2666" i="33"/>
  <c r="D1961" i="36" s="1"/>
  <c r="D2667" i="33"/>
  <c r="D1962" i="36" s="1"/>
  <c r="D2668" i="33"/>
  <c r="D1963" i="36" s="1"/>
  <c r="D2669" i="33"/>
  <c r="D1964" i="36" s="1"/>
  <c r="D2670" i="33"/>
  <c r="D1965" i="36" s="1"/>
  <c r="D2671" i="33"/>
  <c r="D1966" i="36" s="1"/>
  <c r="D2672" i="33"/>
  <c r="D1967" i="36" s="1"/>
  <c r="D2673" i="33"/>
  <c r="D1968" i="36" s="1"/>
  <c r="D2674" i="33"/>
  <c r="D1969" i="36" s="1"/>
  <c r="D2675" i="33"/>
  <c r="D1970" i="36" s="1"/>
  <c r="D2676" i="33"/>
  <c r="D1971" i="36" s="1"/>
  <c r="D2677" i="33"/>
  <c r="D1972" i="36" s="1"/>
  <c r="D2678" i="33"/>
  <c r="D1973" i="36" s="1"/>
  <c r="D2679" i="33"/>
  <c r="D1974" i="36" s="1"/>
  <c r="D2680" i="33"/>
  <c r="D1975" i="36" s="1"/>
  <c r="D2681" i="33"/>
  <c r="D1976" i="36" s="1"/>
  <c r="D2682" i="33"/>
  <c r="D1977" i="36" s="1"/>
  <c r="D2683" i="33"/>
  <c r="D1978" i="36" s="1"/>
  <c r="D2684" i="33"/>
  <c r="D1979" i="36" s="1"/>
  <c r="D2685" i="33"/>
  <c r="D1980" i="36" s="1"/>
  <c r="D2686" i="33"/>
  <c r="D1981" i="36" s="1"/>
  <c r="D2687" i="33"/>
  <c r="D1982" i="36" s="1"/>
  <c r="D2688" i="33"/>
  <c r="D1983" i="36" s="1"/>
  <c r="D2689" i="33"/>
  <c r="D1984" i="36" s="1"/>
  <c r="D2690" i="33"/>
  <c r="D1985" i="36" s="1"/>
  <c r="D2691" i="33"/>
  <c r="D1986" i="36" s="1"/>
  <c r="D2692" i="33"/>
  <c r="D1987" i="36" s="1"/>
  <c r="D2693" i="33"/>
  <c r="D1988" i="36" s="1"/>
  <c r="D2694" i="33"/>
  <c r="D1989" i="36" s="1"/>
  <c r="D2695" i="33"/>
  <c r="D1990" i="36" s="1"/>
  <c r="D2696" i="33"/>
  <c r="D1991" i="36" s="1"/>
  <c r="D2697" i="33"/>
  <c r="D1992" i="36" s="1"/>
  <c r="D2698" i="33"/>
  <c r="D1993" i="36" s="1"/>
  <c r="D2699" i="33"/>
  <c r="D1994" i="36" s="1"/>
  <c r="D2700" i="33"/>
  <c r="D1995" i="36" s="1"/>
  <c r="D2701" i="33"/>
  <c r="D1996" i="36" s="1"/>
  <c r="D2702" i="33"/>
  <c r="D1997" i="36" s="1"/>
  <c r="D2703" i="33"/>
  <c r="D1998" i="36" s="1"/>
  <c r="D2704" i="33"/>
  <c r="D1999" i="36" s="1"/>
  <c r="D2705" i="33"/>
  <c r="D2000" i="36" s="1"/>
  <c r="D2706" i="33"/>
  <c r="D2001" i="36" s="1"/>
  <c r="D2707" i="33"/>
  <c r="D2002" i="36" s="1"/>
  <c r="D2708" i="33"/>
  <c r="D2003" i="36" s="1"/>
  <c r="D2709" i="33"/>
  <c r="D2004" i="36" s="1"/>
  <c r="D2710" i="33"/>
  <c r="D2005" i="36" s="1"/>
  <c r="D2711" i="33"/>
  <c r="D2006" i="36" s="1"/>
  <c r="D2712" i="33"/>
  <c r="D2007" i="36" s="1"/>
  <c r="D2713" i="33"/>
  <c r="D2008" i="36" s="1"/>
  <c r="D2714" i="33"/>
  <c r="D2009" i="36" s="1"/>
  <c r="D2715" i="33"/>
  <c r="D2010" i="36" s="1"/>
  <c r="D2716" i="33"/>
  <c r="D2011" i="36" s="1"/>
  <c r="D2717" i="33"/>
  <c r="D2012" i="36" s="1"/>
  <c r="D2718" i="33"/>
  <c r="D2013" i="36" s="1"/>
  <c r="D2719" i="33"/>
  <c r="D2014" i="36" s="1"/>
  <c r="D2720" i="33"/>
  <c r="D2015" i="36" s="1"/>
  <c r="D2721" i="33"/>
  <c r="D2016" i="36" s="1"/>
  <c r="D2722" i="33"/>
  <c r="D2017" i="36" s="1"/>
  <c r="D2723" i="33"/>
  <c r="D2018" i="36" s="1"/>
  <c r="D2724" i="33"/>
  <c r="D2019" i="36" s="1"/>
  <c r="D2725" i="33"/>
  <c r="D2020" i="36" s="1"/>
  <c r="D2726" i="33"/>
  <c r="D2021" i="36" s="1"/>
  <c r="D2727" i="33"/>
  <c r="D2022" i="36" s="1"/>
  <c r="D2728" i="33"/>
  <c r="D2023" i="36" s="1"/>
  <c r="D2729" i="33"/>
  <c r="D2024" i="36" s="1"/>
  <c r="D2730" i="33"/>
  <c r="D2025" i="36" s="1"/>
  <c r="D2731" i="33"/>
  <c r="D2026" i="36" s="1"/>
  <c r="D2732" i="33"/>
  <c r="D2027" i="36" s="1"/>
  <c r="D2733" i="33"/>
  <c r="D2028" i="36" s="1"/>
  <c r="D2734" i="33"/>
  <c r="D2029" i="36" s="1"/>
  <c r="D2735" i="33"/>
  <c r="D2030" i="36" s="1"/>
  <c r="D2736" i="33"/>
  <c r="D2031" i="36" s="1"/>
  <c r="D2737" i="33"/>
  <c r="D2032" i="36" s="1"/>
  <c r="D2738" i="33"/>
  <c r="D2033" i="36" s="1"/>
  <c r="D2739" i="33"/>
  <c r="D2034" i="36" s="1"/>
  <c r="D2740" i="33"/>
  <c r="D2035" i="36" s="1"/>
  <c r="D2741" i="33"/>
  <c r="D2036" i="36" s="1"/>
  <c r="D2742" i="33"/>
  <c r="D2037" i="36" s="1"/>
  <c r="D2743" i="33"/>
  <c r="D2038" i="36" s="1"/>
  <c r="D2744" i="33"/>
  <c r="D2039" i="36" s="1"/>
  <c r="D2745" i="33"/>
  <c r="D2040" i="36" s="1"/>
  <c r="D2746" i="33"/>
  <c r="D2041" i="36" s="1"/>
  <c r="D2747" i="33"/>
  <c r="D2042" i="36" s="1"/>
  <c r="D2748" i="33"/>
  <c r="D2043" i="36" s="1"/>
  <c r="D2749" i="33"/>
  <c r="D2044" i="36" s="1"/>
  <c r="D2750" i="33"/>
  <c r="D2045" i="36" s="1"/>
  <c r="D2751" i="33"/>
  <c r="D2046" i="36" s="1"/>
  <c r="D2752" i="33"/>
  <c r="D2047" i="36" s="1"/>
  <c r="D2753" i="33"/>
  <c r="D2048" i="36" s="1"/>
  <c r="D2754" i="33"/>
  <c r="D2049" i="36" s="1"/>
  <c r="D2755" i="33"/>
  <c r="D2050" i="36" s="1"/>
  <c r="D2756" i="33"/>
  <c r="D2051" i="36" s="1"/>
  <c r="D2757" i="33"/>
  <c r="D2052" i="36" s="1"/>
  <c r="D2758" i="33"/>
  <c r="D2053" i="36" s="1"/>
  <c r="D2759" i="33"/>
  <c r="D2054" i="36" s="1"/>
  <c r="D2760" i="33"/>
  <c r="D2055" i="36" s="1"/>
  <c r="D2761" i="33"/>
  <c r="D2056" i="36" s="1"/>
  <c r="D2762" i="33"/>
  <c r="D2057" i="36" s="1"/>
  <c r="D2763" i="33"/>
  <c r="D2058" i="36" s="1"/>
  <c r="D2764" i="33"/>
  <c r="D2059" i="36" s="1"/>
  <c r="D2765" i="33"/>
  <c r="D2060" i="36" s="1"/>
  <c r="D2766" i="33"/>
  <c r="D2061" i="36" s="1"/>
  <c r="D2767" i="33"/>
  <c r="D2062" i="36" s="1"/>
  <c r="D2768" i="33"/>
  <c r="D2063" i="36" s="1"/>
  <c r="D2769" i="33"/>
  <c r="D2064" i="36" s="1"/>
  <c r="D2770" i="33"/>
  <c r="D2065" i="36" s="1"/>
  <c r="D2771" i="33"/>
  <c r="D2066" i="36" s="1"/>
  <c r="D2772" i="33"/>
  <c r="D2067" i="36" s="1"/>
  <c r="D2773" i="33"/>
  <c r="D2068" i="36" s="1"/>
  <c r="D2774" i="33"/>
  <c r="D2069" i="36" s="1"/>
  <c r="D2775" i="33"/>
  <c r="D2070" i="36" s="1"/>
  <c r="D2776" i="33"/>
  <c r="D2071" i="36" s="1"/>
  <c r="D2777" i="33"/>
  <c r="D2072" i="36" s="1"/>
  <c r="D2778" i="33"/>
  <c r="D2073" i="36" s="1"/>
  <c r="D2779" i="33"/>
  <c r="D2074" i="36" s="1"/>
  <c r="D2780" i="33"/>
  <c r="D2075" i="36" s="1"/>
  <c r="J843" i="33"/>
  <c r="J844" i="33"/>
  <c r="J845" i="33"/>
  <c r="J846" i="33"/>
  <c r="J847" i="33"/>
  <c r="J848" i="33"/>
  <c r="J849" i="33"/>
  <c r="J850" i="33"/>
  <c r="J851" i="33"/>
  <c r="J852" i="33"/>
  <c r="J853" i="33"/>
  <c r="J854" i="33"/>
  <c r="J855" i="33"/>
  <c r="J856" i="33"/>
  <c r="J857" i="33"/>
  <c r="J858" i="33"/>
  <c r="J859" i="33"/>
  <c r="J860" i="33"/>
  <c r="J861" i="33"/>
  <c r="J862" i="33"/>
  <c r="J863" i="33"/>
  <c r="J864" i="33"/>
  <c r="J865" i="33"/>
  <c r="J866" i="33"/>
  <c r="J867" i="33"/>
  <c r="J868" i="33"/>
  <c r="J869" i="33"/>
  <c r="J870" i="33"/>
  <c r="J871" i="33"/>
  <c r="J872" i="33"/>
  <c r="J873" i="33"/>
  <c r="J874" i="33"/>
  <c r="J875" i="33"/>
  <c r="J876" i="33"/>
  <c r="J877" i="33"/>
  <c r="J878" i="33"/>
  <c r="J879" i="33"/>
  <c r="J880" i="33"/>
  <c r="J881" i="33"/>
  <c r="J882" i="33"/>
  <c r="J883" i="33"/>
  <c r="J884" i="33"/>
  <c r="J885" i="33"/>
  <c r="J886" i="33"/>
  <c r="J887" i="33"/>
  <c r="J888" i="33"/>
  <c r="J889" i="33"/>
  <c r="J890" i="33"/>
  <c r="J891" i="33"/>
  <c r="J892" i="33"/>
  <c r="J893" i="33"/>
  <c r="J894" i="33"/>
  <c r="J895" i="33"/>
  <c r="J896" i="33"/>
  <c r="J897" i="33"/>
  <c r="J898" i="33"/>
  <c r="J899" i="33"/>
  <c r="J900" i="33"/>
  <c r="J901" i="33"/>
  <c r="J902" i="33"/>
  <c r="J903" i="33"/>
  <c r="J904" i="33"/>
  <c r="J905" i="33"/>
  <c r="J906" i="33"/>
  <c r="J907" i="33"/>
  <c r="J908" i="33"/>
  <c r="J909" i="33"/>
  <c r="J910" i="33"/>
  <c r="J911" i="33"/>
  <c r="J912" i="33"/>
  <c r="J913" i="33"/>
  <c r="J914" i="33"/>
  <c r="J915" i="33"/>
  <c r="J916" i="33"/>
  <c r="J917" i="33"/>
  <c r="J918" i="33"/>
  <c r="J919" i="33"/>
  <c r="J920" i="33"/>
  <c r="J921" i="33"/>
  <c r="J922" i="33"/>
  <c r="J923" i="33"/>
  <c r="J924" i="33"/>
  <c r="J925" i="33"/>
  <c r="J926" i="33"/>
  <c r="J927" i="33"/>
  <c r="J928" i="33"/>
  <c r="J929" i="33"/>
  <c r="J930" i="33"/>
  <c r="J931" i="33"/>
  <c r="J932" i="33"/>
  <c r="J933" i="33"/>
  <c r="J934" i="33"/>
  <c r="J935" i="33"/>
  <c r="J936" i="33"/>
  <c r="J937" i="33"/>
  <c r="J938" i="33"/>
  <c r="J939" i="33"/>
  <c r="J940" i="33"/>
  <c r="J941" i="33"/>
  <c r="J942" i="33"/>
  <c r="J943" i="33"/>
  <c r="J944" i="33"/>
  <c r="J945" i="33"/>
  <c r="J946" i="33"/>
  <c r="J947" i="33"/>
  <c r="J948" i="33"/>
  <c r="J949" i="33"/>
  <c r="J950" i="33"/>
  <c r="J951" i="33"/>
  <c r="J952" i="33"/>
  <c r="J953" i="33"/>
  <c r="J954" i="33"/>
  <c r="J955" i="33"/>
  <c r="J956" i="33"/>
  <c r="J957" i="33"/>
  <c r="J958" i="33"/>
  <c r="J959" i="33"/>
  <c r="J960" i="33"/>
  <c r="J961" i="33"/>
  <c r="J962" i="33"/>
  <c r="J963" i="33"/>
  <c r="J964" i="33"/>
  <c r="J965" i="33"/>
  <c r="J966" i="33"/>
  <c r="J967" i="33"/>
  <c r="J968" i="33"/>
  <c r="J969" i="33"/>
  <c r="J970" i="33"/>
  <c r="J971" i="33"/>
  <c r="J972" i="33"/>
  <c r="J973" i="33"/>
  <c r="J974" i="33"/>
  <c r="J975" i="33"/>
  <c r="J976" i="33"/>
  <c r="J977" i="33"/>
  <c r="J978" i="33"/>
  <c r="J979" i="33"/>
  <c r="J980" i="33"/>
  <c r="J981" i="33"/>
  <c r="J982" i="33"/>
  <c r="J983" i="33"/>
  <c r="J984" i="33"/>
  <c r="J985" i="33"/>
  <c r="J986" i="33"/>
  <c r="J987" i="33"/>
  <c r="J988" i="33"/>
  <c r="J989" i="33"/>
  <c r="J990" i="33"/>
  <c r="J991" i="33"/>
  <c r="J992" i="33"/>
  <c r="J993" i="33"/>
  <c r="J994" i="33"/>
  <c r="J995" i="33"/>
  <c r="J996" i="33"/>
  <c r="J997" i="33"/>
  <c r="J998" i="33"/>
  <c r="J999" i="33"/>
  <c r="J1000" i="33"/>
  <c r="J1001" i="33"/>
  <c r="J1002" i="33"/>
  <c r="J1003" i="33"/>
  <c r="J1004" i="33"/>
  <c r="J1005" i="33"/>
  <c r="J1006" i="33"/>
  <c r="J1007" i="33"/>
  <c r="J1008" i="33"/>
  <c r="J1009" i="33"/>
  <c r="D843" i="33"/>
  <c r="D568" i="36" s="1"/>
  <c r="D844" i="33"/>
  <c r="D569" i="36" s="1"/>
  <c r="D845" i="33"/>
  <c r="D570" i="36" s="1"/>
  <c r="D846" i="33"/>
  <c r="D571" i="36" s="1"/>
  <c r="D847" i="33"/>
  <c r="D572" i="36" s="1"/>
  <c r="D848" i="33"/>
  <c r="D573" i="36" s="1"/>
  <c r="D849" i="33"/>
  <c r="D574" i="36" s="1"/>
  <c r="D850" i="33"/>
  <c r="D575" i="36" s="1"/>
  <c r="D851" i="33"/>
  <c r="D576" i="36" s="1"/>
  <c r="D852" i="33"/>
  <c r="D577" i="36" s="1"/>
  <c r="D853" i="33"/>
  <c r="D578" i="36" s="1"/>
  <c r="D854" i="33"/>
  <c r="D579" i="36" s="1"/>
  <c r="D855" i="33"/>
  <c r="D580" i="36" s="1"/>
  <c r="D856" i="33"/>
  <c r="D581" i="36" s="1"/>
  <c r="D857" i="33"/>
  <c r="D582" i="36" s="1"/>
  <c r="D858" i="33"/>
  <c r="D583" i="36" s="1"/>
  <c r="D859" i="33"/>
  <c r="D584" i="36" s="1"/>
  <c r="D860" i="33"/>
  <c r="D585" i="36" s="1"/>
  <c r="D861" i="33"/>
  <c r="D586" i="36" s="1"/>
  <c r="D862" i="33"/>
  <c r="D587" i="36" s="1"/>
  <c r="D863" i="33"/>
  <c r="D588" i="36" s="1"/>
  <c r="D864" i="33"/>
  <c r="D589" i="36" s="1"/>
  <c r="D865" i="33"/>
  <c r="D590" i="36" s="1"/>
  <c r="D866" i="33"/>
  <c r="D591" i="36" s="1"/>
  <c r="D867" i="33"/>
  <c r="D592" i="36" s="1"/>
  <c r="D868" i="33"/>
  <c r="D593" i="36" s="1"/>
  <c r="D869" i="33"/>
  <c r="D594" i="36" s="1"/>
  <c r="D870" i="33"/>
  <c r="D595" i="36" s="1"/>
  <c r="D871" i="33"/>
  <c r="D596" i="36" s="1"/>
  <c r="D872" i="33"/>
  <c r="D597" i="36" s="1"/>
  <c r="D873" i="33"/>
  <c r="D598" i="36" s="1"/>
  <c r="D874" i="33"/>
  <c r="D599" i="36" s="1"/>
  <c r="D875" i="33"/>
  <c r="D600" i="36" s="1"/>
  <c r="D876" i="33"/>
  <c r="D601" i="36" s="1"/>
  <c r="D877" i="33"/>
  <c r="D602" i="36" s="1"/>
  <c r="D878" i="33"/>
  <c r="D603" i="36" s="1"/>
  <c r="D879" i="33"/>
  <c r="D604" i="36" s="1"/>
  <c r="D880" i="33"/>
  <c r="D605" i="36" s="1"/>
  <c r="D881" i="33"/>
  <c r="D606" i="36" s="1"/>
  <c r="D882" i="33"/>
  <c r="D607" i="36" s="1"/>
  <c r="D883" i="33"/>
  <c r="D608" i="36" s="1"/>
  <c r="D884" i="33"/>
  <c r="D609" i="36" s="1"/>
  <c r="D885" i="33"/>
  <c r="D610" i="36" s="1"/>
  <c r="D886" i="33"/>
  <c r="D611" i="36" s="1"/>
  <c r="D887" i="33"/>
  <c r="D612" i="36" s="1"/>
  <c r="D888" i="33"/>
  <c r="D613" i="36" s="1"/>
  <c r="D889" i="33"/>
  <c r="D614" i="36" s="1"/>
  <c r="D890" i="33"/>
  <c r="D615" i="36" s="1"/>
  <c r="D891" i="33"/>
  <c r="D616" i="36" s="1"/>
  <c r="D892" i="33"/>
  <c r="D617" i="36" s="1"/>
  <c r="D893" i="33"/>
  <c r="D618" i="36" s="1"/>
  <c r="D894" i="33"/>
  <c r="D619" i="36" s="1"/>
  <c r="D895" i="33"/>
  <c r="D620" i="36" s="1"/>
  <c r="D896" i="33"/>
  <c r="D621" i="36" s="1"/>
  <c r="D897" i="33"/>
  <c r="D622" i="36" s="1"/>
  <c r="D898" i="33"/>
  <c r="D623" i="36" s="1"/>
  <c r="D899" i="33"/>
  <c r="D624" i="36" s="1"/>
  <c r="D900" i="33"/>
  <c r="D625" i="36" s="1"/>
  <c r="D901" i="33"/>
  <c r="D626" i="36" s="1"/>
  <c r="D902" i="33"/>
  <c r="D627" i="36" s="1"/>
  <c r="D903" i="33"/>
  <c r="D628" i="36" s="1"/>
  <c r="D904" i="33"/>
  <c r="D629" i="36" s="1"/>
  <c r="D905" i="33"/>
  <c r="D630" i="36" s="1"/>
  <c r="D906" i="33"/>
  <c r="D631" i="36" s="1"/>
  <c r="D907" i="33"/>
  <c r="D632" i="36" s="1"/>
  <c r="D908" i="33"/>
  <c r="D633" i="36" s="1"/>
  <c r="D909" i="33"/>
  <c r="D634" i="36" s="1"/>
  <c r="D910" i="33"/>
  <c r="D635" i="36" s="1"/>
  <c r="D911" i="33"/>
  <c r="D636" i="36" s="1"/>
  <c r="D912" i="33"/>
  <c r="D637" i="36" s="1"/>
  <c r="D913" i="33"/>
  <c r="D638" i="36" s="1"/>
  <c r="D914" i="33"/>
  <c r="D639" i="36" s="1"/>
  <c r="D915" i="33"/>
  <c r="D640" i="36" s="1"/>
  <c r="D916" i="33"/>
  <c r="D641" i="36" s="1"/>
  <c r="D917" i="33"/>
  <c r="D642" i="36" s="1"/>
  <c r="D918" i="33"/>
  <c r="D643" i="36" s="1"/>
  <c r="D919" i="33"/>
  <c r="D644" i="36" s="1"/>
  <c r="D920" i="33"/>
  <c r="D645" i="36" s="1"/>
  <c r="D921" i="33"/>
  <c r="D646" i="36" s="1"/>
  <c r="D922" i="33"/>
  <c r="D647" i="36" s="1"/>
  <c r="D923" i="33"/>
  <c r="D648" i="36" s="1"/>
  <c r="D924" i="33"/>
  <c r="D649" i="36" s="1"/>
  <c r="D925" i="33"/>
  <c r="D650" i="36" s="1"/>
  <c r="D926" i="33"/>
  <c r="D651" i="36" s="1"/>
  <c r="D927" i="33"/>
  <c r="D652" i="36" s="1"/>
  <c r="D928" i="33"/>
  <c r="D653" i="36" s="1"/>
  <c r="D929" i="33"/>
  <c r="D654" i="36" s="1"/>
  <c r="D930" i="33"/>
  <c r="D655" i="36" s="1"/>
  <c r="D931" i="33"/>
  <c r="D656" i="36" s="1"/>
  <c r="D932" i="33"/>
  <c r="D657" i="36" s="1"/>
  <c r="D933" i="33"/>
  <c r="D658" i="36" s="1"/>
  <c r="D934" i="33"/>
  <c r="D659" i="36" s="1"/>
  <c r="D935" i="33"/>
  <c r="D660" i="36" s="1"/>
  <c r="D936" i="33"/>
  <c r="D661" i="36" s="1"/>
  <c r="D937" i="33"/>
  <c r="D662" i="36" s="1"/>
  <c r="D938" i="33"/>
  <c r="D663" i="36" s="1"/>
  <c r="D939" i="33"/>
  <c r="D664" i="36" s="1"/>
  <c r="D940" i="33"/>
  <c r="D665" i="36" s="1"/>
  <c r="D941" i="33"/>
  <c r="D666" i="36" s="1"/>
  <c r="D942" i="33"/>
  <c r="D667" i="36" s="1"/>
  <c r="D943" i="33"/>
  <c r="D668" i="36" s="1"/>
  <c r="D944" i="33"/>
  <c r="D669" i="36" s="1"/>
  <c r="D945" i="33"/>
  <c r="D670" i="36" s="1"/>
  <c r="D946" i="33"/>
  <c r="D671" i="36" s="1"/>
  <c r="D947" i="33"/>
  <c r="D672" i="36" s="1"/>
  <c r="D948" i="33"/>
  <c r="D673" i="36" s="1"/>
  <c r="D949" i="33"/>
  <c r="D674" i="36" s="1"/>
  <c r="D950" i="33"/>
  <c r="D675" i="36" s="1"/>
  <c r="D951" i="33"/>
  <c r="D676" i="36" s="1"/>
  <c r="D952" i="33"/>
  <c r="D677" i="36" s="1"/>
  <c r="D953" i="33"/>
  <c r="D678" i="36" s="1"/>
  <c r="D954" i="33"/>
  <c r="D679" i="36" s="1"/>
  <c r="D955" i="33"/>
  <c r="D680" i="36" s="1"/>
  <c r="D956" i="33"/>
  <c r="D681" i="36" s="1"/>
  <c r="D957" i="33"/>
  <c r="D682" i="36" s="1"/>
  <c r="D958" i="33"/>
  <c r="D683" i="36" s="1"/>
  <c r="D959" i="33"/>
  <c r="D684" i="36" s="1"/>
  <c r="D960" i="33"/>
  <c r="D685" i="36" s="1"/>
  <c r="D961" i="33"/>
  <c r="D686" i="36" s="1"/>
  <c r="D962" i="33"/>
  <c r="D687" i="36" s="1"/>
  <c r="D963" i="33"/>
  <c r="D688" i="36" s="1"/>
  <c r="D964" i="33"/>
  <c r="D689" i="36" s="1"/>
  <c r="D965" i="33"/>
  <c r="D690" i="36" s="1"/>
  <c r="D966" i="33"/>
  <c r="D691" i="36" s="1"/>
  <c r="D967" i="33"/>
  <c r="D692" i="36" s="1"/>
  <c r="D968" i="33"/>
  <c r="D693" i="36" s="1"/>
  <c r="D969" i="33"/>
  <c r="D694" i="36" s="1"/>
  <c r="D970" i="33"/>
  <c r="D695" i="36" s="1"/>
  <c r="D971" i="33"/>
  <c r="D696" i="36" s="1"/>
  <c r="D972" i="33"/>
  <c r="D697" i="36" s="1"/>
  <c r="D973" i="33"/>
  <c r="D698" i="36" s="1"/>
  <c r="D974" i="33"/>
  <c r="D699" i="36" s="1"/>
  <c r="D975" i="33"/>
  <c r="D700" i="36" s="1"/>
  <c r="D976" i="33"/>
  <c r="D701" i="36" s="1"/>
  <c r="D977" i="33"/>
  <c r="D702" i="36" s="1"/>
  <c r="D978" i="33"/>
  <c r="D703" i="36" s="1"/>
  <c r="D979" i="33"/>
  <c r="D704" i="36" s="1"/>
  <c r="D980" i="33"/>
  <c r="D705" i="36" s="1"/>
  <c r="D981" i="33"/>
  <c r="D706" i="36" s="1"/>
  <c r="D982" i="33"/>
  <c r="D707" i="36" s="1"/>
  <c r="D983" i="33"/>
  <c r="D708" i="36" s="1"/>
  <c r="D984" i="33"/>
  <c r="D709" i="36" s="1"/>
  <c r="D985" i="33"/>
  <c r="D710" i="36" s="1"/>
  <c r="D986" i="33"/>
  <c r="D711" i="36" s="1"/>
  <c r="D987" i="33"/>
  <c r="D712" i="36" s="1"/>
  <c r="D988" i="33"/>
  <c r="D713" i="36" s="1"/>
  <c r="D989" i="33"/>
  <c r="D714" i="36" s="1"/>
  <c r="D990" i="33"/>
  <c r="D715" i="36" s="1"/>
  <c r="D991" i="33"/>
  <c r="D716" i="36" s="1"/>
  <c r="D992" i="33"/>
  <c r="D717" i="36" s="1"/>
  <c r="D993" i="33"/>
  <c r="D718" i="36" s="1"/>
  <c r="D994" i="33"/>
  <c r="D719" i="36" s="1"/>
  <c r="D995" i="33"/>
  <c r="D720" i="36" s="1"/>
  <c r="D996" i="33"/>
  <c r="D721" i="36" s="1"/>
  <c r="D997" i="33"/>
  <c r="D722" i="36" s="1"/>
  <c r="D998" i="33"/>
  <c r="D723" i="36" s="1"/>
  <c r="D999" i="33"/>
  <c r="D724" i="36" s="1"/>
  <c r="D1000" i="33"/>
  <c r="D725" i="36" s="1"/>
  <c r="D1001" i="33"/>
  <c r="D726" i="36" s="1"/>
  <c r="D1002" i="33"/>
  <c r="D727" i="36" s="1"/>
  <c r="D1003" i="33"/>
  <c r="D728" i="36" s="1"/>
  <c r="D1004" i="33"/>
  <c r="D729" i="36" s="1"/>
  <c r="D1005" i="33"/>
  <c r="D730" i="36" s="1"/>
  <c r="D1006" i="33"/>
  <c r="D731" i="36" s="1"/>
  <c r="D1007" i="33"/>
  <c r="D732" i="36" s="1"/>
  <c r="D1008" i="33"/>
  <c r="D733" i="36" s="1"/>
  <c r="D1009" i="33"/>
  <c r="D734" i="36" s="1"/>
  <c r="J250" i="33"/>
  <c r="J251" i="33"/>
  <c r="J252" i="33"/>
  <c r="J253" i="33"/>
  <c r="J254" i="33"/>
  <c r="J255" i="33"/>
  <c r="J256" i="33"/>
  <c r="J257" i="33"/>
  <c r="J258" i="33"/>
  <c r="J259" i="33"/>
  <c r="J260" i="33"/>
  <c r="J261" i="33"/>
  <c r="J262" i="33"/>
  <c r="J263" i="33"/>
  <c r="J264" i="33"/>
  <c r="J265" i="33"/>
  <c r="J266" i="33"/>
  <c r="J267" i="33"/>
  <c r="J268" i="33"/>
  <c r="J269" i="33"/>
  <c r="J270" i="33"/>
  <c r="J271" i="33"/>
  <c r="J272" i="33"/>
  <c r="J273" i="33"/>
  <c r="J274" i="33"/>
  <c r="J275" i="33"/>
  <c r="J276" i="33"/>
  <c r="J277" i="33"/>
  <c r="J278" i="33"/>
  <c r="J279" i="33"/>
  <c r="J280" i="33"/>
  <c r="J281" i="33"/>
  <c r="J282" i="33"/>
  <c r="J283" i="33"/>
  <c r="J284" i="33"/>
  <c r="J285" i="33"/>
  <c r="J286" i="33"/>
  <c r="J287" i="33"/>
  <c r="J288" i="33"/>
  <c r="J289" i="33"/>
  <c r="J290" i="33"/>
  <c r="J291" i="33"/>
  <c r="J292" i="33"/>
  <c r="J293" i="33"/>
  <c r="J294" i="33"/>
  <c r="J295" i="33"/>
  <c r="J296" i="33"/>
  <c r="J297" i="33"/>
  <c r="J298" i="33"/>
  <c r="J299" i="33"/>
  <c r="J300" i="33"/>
  <c r="J301" i="33"/>
  <c r="J302" i="33"/>
  <c r="J303" i="33"/>
  <c r="J304" i="33"/>
  <c r="J305" i="33"/>
  <c r="J306" i="33"/>
  <c r="J307" i="33"/>
  <c r="J308" i="33"/>
  <c r="J309" i="33"/>
  <c r="J310" i="33"/>
  <c r="J311" i="33"/>
  <c r="J312" i="33"/>
  <c r="J313" i="33"/>
  <c r="J314" i="33"/>
  <c r="J315" i="33"/>
  <c r="J316" i="33"/>
  <c r="J317" i="33"/>
  <c r="J318" i="33"/>
  <c r="J319" i="33"/>
  <c r="J320" i="33"/>
  <c r="J321" i="33"/>
  <c r="J322" i="33"/>
  <c r="J323" i="33"/>
  <c r="J324" i="33"/>
  <c r="J325" i="33"/>
  <c r="J326" i="33"/>
  <c r="J327" i="33"/>
  <c r="J328" i="33"/>
  <c r="J329" i="33"/>
  <c r="J330" i="33"/>
  <c r="J331" i="33"/>
  <c r="J332" i="33"/>
  <c r="J333" i="33"/>
  <c r="J334" i="33"/>
  <c r="J335" i="33"/>
  <c r="J336" i="33"/>
  <c r="J337" i="33"/>
  <c r="J338" i="33"/>
  <c r="J339" i="33"/>
  <c r="J340" i="33"/>
  <c r="J341" i="33"/>
  <c r="J342" i="33"/>
  <c r="J343" i="33"/>
  <c r="J344" i="33"/>
  <c r="J345" i="33"/>
  <c r="J346" i="33"/>
  <c r="J347" i="33"/>
  <c r="J348" i="33"/>
  <c r="J349" i="33"/>
  <c r="J350" i="33"/>
  <c r="J351" i="33"/>
  <c r="J352" i="33"/>
  <c r="J353" i="33"/>
  <c r="J354" i="33"/>
  <c r="J355" i="33"/>
  <c r="J356" i="33"/>
  <c r="J357" i="33"/>
  <c r="J358" i="33"/>
  <c r="J359" i="33"/>
  <c r="J360" i="33"/>
  <c r="J361" i="33"/>
  <c r="J362" i="33"/>
  <c r="J363" i="33"/>
  <c r="J364" i="33"/>
  <c r="J365" i="33"/>
  <c r="J366" i="33"/>
  <c r="J367" i="33"/>
  <c r="J368" i="33"/>
  <c r="J369" i="33"/>
  <c r="J370" i="33"/>
  <c r="J371" i="33"/>
  <c r="J372" i="33"/>
  <c r="J373" i="33"/>
  <c r="J374" i="33"/>
  <c r="J375" i="33"/>
  <c r="J376" i="33"/>
  <c r="J377" i="33"/>
  <c r="J378" i="33"/>
  <c r="J379" i="33"/>
  <c r="J380" i="33"/>
  <c r="J381" i="33"/>
  <c r="J382" i="33"/>
  <c r="J383" i="33"/>
  <c r="J384" i="33"/>
  <c r="J385" i="33"/>
  <c r="J386" i="33"/>
  <c r="J387" i="33"/>
  <c r="J388" i="33"/>
  <c r="J389" i="33"/>
  <c r="J390" i="33"/>
  <c r="J391" i="33"/>
  <c r="J392" i="33"/>
  <c r="J393" i="33"/>
  <c r="J394" i="33"/>
  <c r="J395" i="33"/>
  <c r="J396" i="33"/>
  <c r="J397" i="33"/>
  <c r="J398" i="33"/>
  <c r="J399" i="33"/>
  <c r="J400" i="33"/>
  <c r="J401" i="33"/>
  <c r="J402" i="33"/>
  <c r="J403" i="33"/>
  <c r="J404" i="33"/>
  <c r="J405" i="33"/>
  <c r="J406" i="33"/>
  <c r="J407" i="33"/>
  <c r="J408" i="33"/>
  <c r="J409" i="33"/>
  <c r="J410" i="33"/>
  <c r="J411" i="33"/>
  <c r="J412" i="33"/>
  <c r="J413" i="33"/>
  <c r="J414" i="33"/>
  <c r="J415" i="33"/>
  <c r="J416" i="33"/>
  <c r="D250" i="33"/>
  <c r="D121" i="36" s="1"/>
  <c r="D251" i="33"/>
  <c r="D122" i="36" s="1"/>
  <c r="D252" i="33"/>
  <c r="D123" i="36" s="1"/>
  <c r="D253" i="33"/>
  <c r="D124" i="36" s="1"/>
  <c r="D254" i="33"/>
  <c r="D125" i="36" s="1"/>
  <c r="D255" i="33"/>
  <c r="D126" i="36" s="1"/>
  <c r="D256" i="33"/>
  <c r="D127" i="36" s="1"/>
  <c r="D257" i="33"/>
  <c r="D128" i="36" s="1"/>
  <c r="D258" i="33"/>
  <c r="D129" i="36" s="1"/>
  <c r="D259" i="33"/>
  <c r="D130" i="36" s="1"/>
  <c r="D260" i="33"/>
  <c r="D131" i="36" s="1"/>
  <c r="D261" i="33"/>
  <c r="D132" i="36" s="1"/>
  <c r="D262" i="33"/>
  <c r="D133" i="36" s="1"/>
  <c r="D263" i="33"/>
  <c r="D134" i="36" s="1"/>
  <c r="D264" i="33"/>
  <c r="D135" i="36" s="1"/>
  <c r="D265" i="33"/>
  <c r="D136" i="36" s="1"/>
  <c r="D266" i="33"/>
  <c r="D137" i="36" s="1"/>
  <c r="D267" i="33"/>
  <c r="D138" i="36" s="1"/>
  <c r="D268" i="33"/>
  <c r="D139" i="36" s="1"/>
  <c r="D269" i="33"/>
  <c r="D140" i="36" s="1"/>
  <c r="D270" i="33"/>
  <c r="D141" i="36" s="1"/>
  <c r="D271" i="33"/>
  <c r="D142" i="36" s="1"/>
  <c r="D272" i="33"/>
  <c r="D143" i="36" s="1"/>
  <c r="D273" i="33"/>
  <c r="D144" i="36" s="1"/>
  <c r="D274" i="33"/>
  <c r="D145" i="36" s="1"/>
  <c r="D275" i="33"/>
  <c r="D146" i="36" s="1"/>
  <c r="D276" i="33"/>
  <c r="D147" i="36" s="1"/>
  <c r="D277" i="33"/>
  <c r="D148" i="36" s="1"/>
  <c r="D278" i="33"/>
  <c r="D149" i="36" s="1"/>
  <c r="D279" i="33"/>
  <c r="D150" i="36" s="1"/>
  <c r="D280" i="33"/>
  <c r="D151" i="36" s="1"/>
  <c r="D281" i="33"/>
  <c r="D152" i="36" s="1"/>
  <c r="D282" i="33"/>
  <c r="D153" i="36" s="1"/>
  <c r="D283" i="33"/>
  <c r="D154" i="36" s="1"/>
  <c r="D284" i="33"/>
  <c r="D155" i="36" s="1"/>
  <c r="D285" i="33"/>
  <c r="D156" i="36" s="1"/>
  <c r="D286" i="33"/>
  <c r="D157" i="36" s="1"/>
  <c r="D287" i="33"/>
  <c r="D158" i="36" s="1"/>
  <c r="D288" i="33"/>
  <c r="D159" i="36" s="1"/>
  <c r="D289" i="33"/>
  <c r="D160" i="36" s="1"/>
  <c r="D290" i="33"/>
  <c r="D161" i="36" s="1"/>
  <c r="D291" i="33"/>
  <c r="D162" i="36" s="1"/>
  <c r="D292" i="33"/>
  <c r="D163" i="36" s="1"/>
  <c r="D293" i="33"/>
  <c r="D164" i="36" s="1"/>
  <c r="D294" i="33"/>
  <c r="D165" i="36" s="1"/>
  <c r="D295" i="33"/>
  <c r="D166" i="36" s="1"/>
  <c r="D296" i="33"/>
  <c r="D167" i="36" s="1"/>
  <c r="D297" i="33"/>
  <c r="D168" i="36" s="1"/>
  <c r="D298" i="33"/>
  <c r="D169" i="36" s="1"/>
  <c r="D299" i="33"/>
  <c r="D170" i="36" s="1"/>
  <c r="D300" i="33"/>
  <c r="D171" i="36" s="1"/>
  <c r="D301" i="33"/>
  <c r="D172" i="36" s="1"/>
  <c r="D302" i="33"/>
  <c r="D173" i="36" s="1"/>
  <c r="D303" i="33"/>
  <c r="D174" i="36" s="1"/>
  <c r="D304" i="33"/>
  <c r="D175" i="36" s="1"/>
  <c r="D305" i="33"/>
  <c r="D176" i="36" s="1"/>
  <c r="D306" i="33"/>
  <c r="D177" i="36" s="1"/>
  <c r="D307" i="33"/>
  <c r="D178" i="36" s="1"/>
  <c r="D308" i="33"/>
  <c r="D179" i="36" s="1"/>
  <c r="D309" i="33"/>
  <c r="D180" i="36" s="1"/>
  <c r="D310" i="33"/>
  <c r="D181" i="36" s="1"/>
  <c r="D311" i="33"/>
  <c r="D182" i="36" s="1"/>
  <c r="D312" i="33"/>
  <c r="D183" i="36" s="1"/>
  <c r="D313" i="33"/>
  <c r="D184" i="36" s="1"/>
  <c r="D314" i="33"/>
  <c r="D185" i="36" s="1"/>
  <c r="D315" i="33"/>
  <c r="D186" i="36" s="1"/>
  <c r="D316" i="33"/>
  <c r="D187" i="36" s="1"/>
  <c r="D317" i="33"/>
  <c r="D188" i="36" s="1"/>
  <c r="D318" i="33"/>
  <c r="D189" i="36" s="1"/>
  <c r="D319" i="33"/>
  <c r="D190" i="36" s="1"/>
  <c r="D320" i="33"/>
  <c r="D191" i="36" s="1"/>
  <c r="D321" i="33"/>
  <c r="D192" i="36" s="1"/>
  <c r="D322" i="33"/>
  <c r="D193" i="36" s="1"/>
  <c r="D323" i="33"/>
  <c r="D194" i="36" s="1"/>
  <c r="D324" i="33"/>
  <c r="D195" i="36" s="1"/>
  <c r="D325" i="33"/>
  <c r="D196" i="36" s="1"/>
  <c r="D326" i="33"/>
  <c r="D197" i="36" s="1"/>
  <c r="D327" i="33"/>
  <c r="D198" i="36" s="1"/>
  <c r="D328" i="33"/>
  <c r="D199" i="36" s="1"/>
  <c r="D329" i="33"/>
  <c r="D200" i="36" s="1"/>
  <c r="D330" i="33"/>
  <c r="D201" i="36" s="1"/>
  <c r="D331" i="33"/>
  <c r="D202" i="36" s="1"/>
  <c r="D332" i="33"/>
  <c r="D203" i="36" s="1"/>
  <c r="D333" i="33"/>
  <c r="D204" i="36" s="1"/>
  <c r="D334" i="33"/>
  <c r="D205" i="36" s="1"/>
  <c r="D335" i="33"/>
  <c r="D206" i="36" s="1"/>
  <c r="D336" i="33"/>
  <c r="D207" i="36" s="1"/>
  <c r="D337" i="33"/>
  <c r="D208" i="36" s="1"/>
  <c r="D338" i="33"/>
  <c r="D209" i="36" s="1"/>
  <c r="D339" i="33"/>
  <c r="D210" i="36" s="1"/>
  <c r="D340" i="33"/>
  <c r="D211" i="36" s="1"/>
  <c r="D341" i="33"/>
  <c r="D212" i="36" s="1"/>
  <c r="D342" i="33"/>
  <c r="D213" i="36" s="1"/>
  <c r="D343" i="33"/>
  <c r="D214" i="36" s="1"/>
  <c r="D344" i="33"/>
  <c r="D215" i="36" s="1"/>
  <c r="D345" i="33"/>
  <c r="D216" i="36" s="1"/>
  <c r="D346" i="33"/>
  <c r="D217" i="36" s="1"/>
  <c r="D347" i="33"/>
  <c r="D218" i="36" s="1"/>
  <c r="D348" i="33"/>
  <c r="D219" i="36" s="1"/>
  <c r="D349" i="33"/>
  <c r="D220" i="36" s="1"/>
  <c r="D350" i="33"/>
  <c r="D221" i="36" s="1"/>
  <c r="D351" i="33"/>
  <c r="D222" i="36" s="1"/>
  <c r="D352" i="33"/>
  <c r="D223" i="36" s="1"/>
  <c r="D353" i="33"/>
  <c r="D224" i="36" s="1"/>
  <c r="D354" i="33"/>
  <c r="D225" i="36" s="1"/>
  <c r="D355" i="33"/>
  <c r="D226" i="36" s="1"/>
  <c r="D356" i="33"/>
  <c r="D227" i="36" s="1"/>
  <c r="D357" i="33"/>
  <c r="D228" i="36" s="1"/>
  <c r="D358" i="33"/>
  <c r="D229" i="36" s="1"/>
  <c r="D359" i="33"/>
  <c r="D230" i="36" s="1"/>
  <c r="D360" i="33"/>
  <c r="D231" i="36" s="1"/>
  <c r="D361" i="33"/>
  <c r="D232" i="36" s="1"/>
  <c r="D362" i="33"/>
  <c r="D233" i="36" s="1"/>
  <c r="D363" i="33"/>
  <c r="D234" i="36" s="1"/>
  <c r="D364" i="33"/>
  <c r="D235" i="36" s="1"/>
  <c r="D365" i="33"/>
  <c r="D236" i="36" s="1"/>
  <c r="D366" i="33"/>
  <c r="D237" i="36" s="1"/>
  <c r="D367" i="33"/>
  <c r="D238" i="36" s="1"/>
  <c r="D368" i="33"/>
  <c r="D239" i="36" s="1"/>
  <c r="D369" i="33"/>
  <c r="D240" i="36" s="1"/>
  <c r="D370" i="33"/>
  <c r="D241" i="36" s="1"/>
  <c r="D371" i="33"/>
  <c r="D242" i="36" s="1"/>
  <c r="D372" i="33"/>
  <c r="D243" i="36" s="1"/>
  <c r="D373" i="33"/>
  <c r="D244" i="36" s="1"/>
  <c r="D374" i="33"/>
  <c r="D245" i="36" s="1"/>
  <c r="D375" i="33"/>
  <c r="D246" i="36" s="1"/>
  <c r="D376" i="33"/>
  <c r="D247" i="36" s="1"/>
  <c r="D377" i="33"/>
  <c r="D248" i="36" s="1"/>
  <c r="D378" i="33"/>
  <c r="D249" i="36" s="1"/>
  <c r="D379" i="33"/>
  <c r="D250" i="36" s="1"/>
  <c r="D380" i="33"/>
  <c r="D251" i="36" s="1"/>
  <c r="D381" i="33"/>
  <c r="D252" i="36" s="1"/>
  <c r="D382" i="33"/>
  <c r="D253" i="36" s="1"/>
  <c r="D383" i="33"/>
  <c r="D254" i="36" s="1"/>
  <c r="D384" i="33"/>
  <c r="D255" i="36" s="1"/>
  <c r="D385" i="33"/>
  <c r="D256" i="36" s="1"/>
  <c r="D386" i="33"/>
  <c r="D257" i="36" s="1"/>
  <c r="D387" i="33"/>
  <c r="D258" i="36" s="1"/>
  <c r="D388" i="33"/>
  <c r="D259" i="36" s="1"/>
  <c r="D389" i="33"/>
  <c r="D260" i="36" s="1"/>
  <c r="D390" i="33"/>
  <c r="D261" i="36" s="1"/>
  <c r="D391" i="33"/>
  <c r="D262" i="36" s="1"/>
  <c r="D392" i="33"/>
  <c r="D263" i="36" s="1"/>
  <c r="D393" i="33"/>
  <c r="D264" i="36" s="1"/>
  <c r="D394" i="33"/>
  <c r="D265" i="36" s="1"/>
  <c r="D395" i="33"/>
  <c r="D266" i="36" s="1"/>
  <c r="D396" i="33"/>
  <c r="D267" i="36" s="1"/>
  <c r="D397" i="33"/>
  <c r="D268" i="36" s="1"/>
  <c r="D398" i="33"/>
  <c r="D269" i="36" s="1"/>
  <c r="D399" i="33"/>
  <c r="D270" i="36" s="1"/>
  <c r="D400" i="33"/>
  <c r="D271" i="36" s="1"/>
  <c r="D401" i="33"/>
  <c r="D272" i="36" s="1"/>
  <c r="D402" i="33"/>
  <c r="D273" i="36" s="1"/>
  <c r="D403" i="33"/>
  <c r="D274" i="36" s="1"/>
  <c r="D404" i="33"/>
  <c r="D275" i="36" s="1"/>
  <c r="D405" i="33"/>
  <c r="D276" i="36" s="1"/>
  <c r="D406" i="33"/>
  <c r="D277" i="36" s="1"/>
  <c r="D407" i="33"/>
  <c r="D278" i="36" s="1"/>
  <c r="D408" i="33"/>
  <c r="D279" i="36" s="1"/>
  <c r="D409" i="33"/>
  <c r="D280" i="36" s="1"/>
  <c r="D410" i="33"/>
  <c r="D281" i="36" s="1"/>
  <c r="D411" i="33"/>
  <c r="D282" i="36" s="1"/>
  <c r="D412" i="33"/>
  <c r="D283" i="36" s="1"/>
  <c r="D413" i="33"/>
  <c r="D284" i="36" s="1"/>
  <c r="D414" i="33"/>
  <c r="D285" i="36" s="1"/>
  <c r="D415" i="33"/>
  <c r="D286" i="36" s="1"/>
  <c r="D416" i="33"/>
  <c r="D287" i="36" s="1"/>
  <c r="J212" i="29"/>
  <c r="J213" i="29"/>
  <c r="J214" i="29"/>
  <c r="J215" i="29"/>
  <c r="J216" i="29"/>
  <c r="J217" i="29"/>
  <c r="J218" i="29"/>
  <c r="J219" i="29"/>
  <c r="J220" i="29"/>
  <c r="J221" i="29"/>
  <c r="J222" i="29"/>
  <c r="J223" i="29"/>
  <c r="J224" i="29"/>
  <c r="J225" i="29"/>
  <c r="J226" i="29"/>
  <c r="J227" i="29"/>
  <c r="J228" i="29"/>
  <c r="J229" i="29"/>
  <c r="J230" i="29"/>
  <c r="J231" i="29"/>
  <c r="J232" i="29"/>
  <c r="J233" i="29"/>
  <c r="J234" i="29"/>
  <c r="J235" i="29"/>
  <c r="J236" i="29"/>
  <c r="J237" i="29"/>
  <c r="J238" i="29"/>
  <c r="J239" i="29"/>
  <c r="J240" i="29"/>
  <c r="J241" i="29"/>
  <c r="J242" i="29"/>
  <c r="J243" i="29"/>
  <c r="J244" i="29"/>
  <c r="J245" i="29"/>
  <c r="J246" i="29"/>
  <c r="J247" i="29"/>
  <c r="J248" i="29"/>
  <c r="J249" i="29"/>
  <c r="J250" i="29"/>
  <c r="J251" i="29"/>
  <c r="J252" i="29"/>
  <c r="J253" i="29"/>
  <c r="J254" i="29"/>
  <c r="J255" i="29"/>
  <c r="J256" i="29"/>
  <c r="J257" i="29"/>
  <c r="J258" i="29"/>
  <c r="J259" i="29"/>
  <c r="J260" i="29"/>
  <c r="J261" i="29"/>
  <c r="J262" i="29"/>
  <c r="J263" i="29"/>
  <c r="J264" i="29"/>
  <c r="J265" i="29"/>
  <c r="J266" i="29"/>
  <c r="J267" i="29"/>
  <c r="J268" i="29"/>
  <c r="J269" i="29"/>
  <c r="J270" i="29"/>
  <c r="J271" i="29"/>
  <c r="J272" i="29"/>
  <c r="J273" i="29"/>
  <c r="J274" i="29"/>
  <c r="J275" i="29"/>
  <c r="J276" i="29"/>
  <c r="J277" i="29"/>
  <c r="J278" i="29"/>
  <c r="J279" i="29"/>
  <c r="J280" i="29"/>
  <c r="J281" i="29"/>
  <c r="J282" i="29"/>
  <c r="J283" i="29"/>
  <c r="J284" i="29"/>
  <c r="J285" i="29"/>
  <c r="J286" i="29"/>
  <c r="J287" i="29"/>
  <c r="J288" i="29"/>
  <c r="J289" i="29"/>
  <c r="J290" i="29"/>
  <c r="J291" i="29"/>
  <c r="J292" i="29"/>
  <c r="J293" i="29"/>
  <c r="J294" i="29"/>
  <c r="J295" i="29"/>
  <c r="J296" i="29"/>
  <c r="J297" i="29"/>
  <c r="J298" i="29"/>
  <c r="J299" i="29"/>
  <c r="J300" i="29"/>
  <c r="J301" i="29"/>
  <c r="J302" i="29"/>
  <c r="J303" i="29"/>
  <c r="J304" i="29"/>
  <c r="J305" i="29"/>
  <c r="J306" i="29"/>
  <c r="J307" i="29"/>
  <c r="J308" i="29"/>
  <c r="J309" i="29"/>
  <c r="J310" i="29"/>
  <c r="J311" i="29"/>
  <c r="J312" i="29"/>
  <c r="J313" i="29"/>
  <c r="J314" i="29"/>
  <c r="J315" i="29"/>
  <c r="J316" i="29"/>
  <c r="J317" i="29"/>
  <c r="J318" i="29"/>
  <c r="J319" i="29"/>
  <c r="J320" i="29"/>
  <c r="J321" i="29"/>
  <c r="J322" i="29"/>
  <c r="J323" i="29"/>
  <c r="J324" i="29"/>
  <c r="J325" i="29"/>
  <c r="J326" i="29"/>
  <c r="J327" i="29"/>
  <c r="J328" i="29"/>
  <c r="J329" i="29"/>
  <c r="J330" i="29"/>
  <c r="J331" i="29"/>
  <c r="J332" i="29"/>
  <c r="J333" i="29"/>
  <c r="J334" i="29"/>
  <c r="J335" i="29"/>
  <c r="J336" i="29"/>
  <c r="J337" i="29"/>
  <c r="J338" i="29"/>
  <c r="J339" i="29"/>
  <c r="J340" i="29"/>
  <c r="J341" i="29"/>
  <c r="J342" i="29"/>
  <c r="J343" i="29"/>
  <c r="J344" i="29"/>
  <c r="J345" i="29"/>
  <c r="J346" i="29"/>
  <c r="J347" i="29"/>
  <c r="J348" i="29"/>
  <c r="J349" i="29"/>
  <c r="J350" i="29"/>
  <c r="J351" i="29"/>
  <c r="J352" i="29"/>
  <c r="J353" i="29"/>
  <c r="J354" i="29"/>
  <c r="J355" i="29"/>
  <c r="J356" i="29"/>
  <c r="J357" i="29"/>
  <c r="J358" i="29"/>
  <c r="J359" i="29"/>
  <c r="J360" i="29"/>
  <c r="J361" i="29"/>
  <c r="J362" i="29"/>
  <c r="J363" i="29"/>
  <c r="J364" i="29"/>
  <c r="J365" i="29"/>
  <c r="J366" i="29"/>
  <c r="J367" i="29"/>
  <c r="J368" i="29"/>
  <c r="J369" i="29"/>
  <c r="J370" i="29"/>
  <c r="J371" i="29"/>
  <c r="J372" i="29"/>
  <c r="J373" i="29"/>
  <c r="J374" i="29"/>
  <c r="J375" i="29"/>
  <c r="J376" i="29"/>
  <c r="J377" i="29"/>
  <c r="J378" i="29"/>
  <c r="D212" i="29"/>
  <c r="D121" i="32" s="1"/>
  <c r="D213" i="29"/>
  <c r="D122" i="32" s="1"/>
  <c r="D214" i="29"/>
  <c r="D123" i="32" s="1"/>
  <c r="D215" i="29"/>
  <c r="D124" i="32" s="1"/>
  <c r="D216" i="29"/>
  <c r="D125" i="32" s="1"/>
  <c r="D217" i="29"/>
  <c r="D126" i="32" s="1"/>
  <c r="D218" i="29"/>
  <c r="D127" i="32" s="1"/>
  <c r="D219" i="29"/>
  <c r="D128" i="32" s="1"/>
  <c r="D220" i="29"/>
  <c r="D129" i="32" s="1"/>
  <c r="D221" i="29"/>
  <c r="D130" i="32" s="1"/>
  <c r="D222" i="29"/>
  <c r="D131" i="32" s="1"/>
  <c r="D223" i="29"/>
  <c r="D132" i="32" s="1"/>
  <c r="D224" i="29"/>
  <c r="D133" i="32" s="1"/>
  <c r="D225" i="29"/>
  <c r="D134" i="32" s="1"/>
  <c r="D226" i="29"/>
  <c r="D135" i="32" s="1"/>
  <c r="D227" i="29"/>
  <c r="D136" i="32" s="1"/>
  <c r="D228" i="29"/>
  <c r="D137" i="32" s="1"/>
  <c r="D229" i="29"/>
  <c r="D138" i="32" s="1"/>
  <c r="D230" i="29"/>
  <c r="D139" i="32" s="1"/>
  <c r="D231" i="29"/>
  <c r="D140" i="32" s="1"/>
  <c r="D232" i="29"/>
  <c r="D141" i="32" s="1"/>
  <c r="D233" i="29"/>
  <c r="D142" i="32" s="1"/>
  <c r="D234" i="29"/>
  <c r="D143" i="32" s="1"/>
  <c r="D235" i="29"/>
  <c r="D144" i="32" s="1"/>
  <c r="D236" i="29"/>
  <c r="D145" i="32" s="1"/>
  <c r="D237" i="29"/>
  <c r="D146" i="32" s="1"/>
  <c r="D238" i="29"/>
  <c r="D147" i="32" s="1"/>
  <c r="D239" i="29"/>
  <c r="D148" i="32" s="1"/>
  <c r="D240" i="29"/>
  <c r="D149" i="32" s="1"/>
  <c r="D241" i="29"/>
  <c r="D150" i="32" s="1"/>
  <c r="D242" i="29"/>
  <c r="D151" i="32" s="1"/>
  <c r="D243" i="29"/>
  <c r="D152" i="32" s="1"/>
  <c r="D244" i="29"/>
  <c r="D153" i="32" s="1"/>
  <c r="D245" i="29"/>
  <c r="D154" i="32" s="1"/>
  <c r="D246" i="29"/>
  <c r="D155" i="32" s="1"/>
  <c r="D247" i="29"/>
  <c r="D156" i="32" s="1"/>
  <c r="D248" i="29"/>
  <c r="D157" i="32" s="1"/>
  <c r="D249" i="29"/>
  <c r="D158" i="32" s="1"/>
  <c r="D250" i="29"/>
  <c r="D159" i="32" s="1"/>
  <c r="D251" i="29"/>
  <c r="D160" i="32" s="1"/>
  <c r="D252" i="29"/>
  <c r="D161" i="32" s="1"/>
  <c r="D253" i="29"/>
  <c r="D162" i="32" s="1"/>
  <c r="D254" i="29"/>
  <c r="D163" i="32" s="1"/>
  <c r="D255" i="29"/>
  <c r="D164" i="32" s="1"/>
  <c r="D256" i="29"/>
  <c r="D165" i="32" s="1"/>
  <c r="D257" i="29"/>
  <c r="D166" i="32" s="1"/>
  <c r="D258" i="29"/>
  <c r="D167" i="32" s="1"/>
  <c r="D259" i="29"/>
  <c r="D168" i="32" s="1"/>
  <c r="D260" i="29"/>
  <c r="D169" i="32" s="1"/>
  <c r="D261" i="29"/>
  <c r="D170" i="32" s="1"/>
  <c r="D262" i="29"/>
  <c r="D171" i="32" s="1"/>
  <c r="D263" i="29"/>
  <c r="D172" i="32" s="1"/>
  <c r="D264" i="29"/>
  <c r="D173" i="32" s="1"/>
  <c r="D265" i="29"/>
  <c r="D174" i="32" s="1"/>
  <c r="D266" i="29"/>
  <c r="D175" i="32" s="1"/>
  <c r="D267" i="29"/>
  <c r="D176" i="32" s="1"/>
  <c r="D268" i="29"/>
  <c r="D177" i="32" s="1"/>
  <c r="D269" i="29"/>
  <c r="D178" i="32" s="1"/>
  <c r="D270" i="29"/>
  <c r="D179" i="32" s="1"/>
  <c r="D271" i="29"/>
  <c r="D180" i="32" s="1"/>
  <c r="D272" i="29"/>
  <c r="D181" i="32" s="1"/>
  <c r="D273" i="29"/>
  <c r="D182" i="32" s="1"/>
  <c r="D274" i="29"/>
  <c r="D183" i="32" s="1"/>
  <c r="D275" i="29"/>
  <c r="D184" i="32" s="1"/>
  <c r="D276" i="29"/>
  <c r="D185" i="32" s="1"/>
  <c r="D277" i="29"/>
  <c r="D186" i="32" s="1"/>
  <c r="D278" i="29"/>
  <c r="D187" i="32" s="1"/>
  <c r="D279" i="29"/>
  <c r="D188" i="32" s="1"/>
  <c r="D280" i="29"/>
  <c r="D189" i="32" s="1"/>
  <c r="D281" i="29"/>
  <c r="D190" i="32" s="1"/>
  <c r="D282" i="29"/>
  <c r="D191" i="32" s="1"/>
  <c r="D283" i="29"/>
  <c r="D192" i="32" s="1"/>
  <c r="D284" i="29"/>
  <c r="D193" i="32" s="1"/>
  <c r="D285" i="29"/>
  <c r="D194" i="32" s="1"/>
  <c r="D286" i="29"/>
  <c r="D195" i="32" s="1"/>
  <c r="D287" i="29"/>
  <c r="D196" i="32" s="1"/>
  <c r="D288" i="29"/>
  <c r="D197" i="32" s="1"/>
  <c r="D289" i="29"/>
  <c r="D198" i="32" s="1"/>
  <c r="D290" i="29"/>
  <c r="D199" i="32" s="1"/>
  <c r="D291" i="29"/>
  <c r="D200" i="32" s="1"/>
  <c r="D292" i="29"/>
  <c r="D201" i="32" s="1"/>
  <c r="D293" i="29"/>
  <c r="D202" i="32" s="1"/>
  <c r="D294" i="29"/>
  <c r="D203" i="32" s="1"/>
  <c r="D295" i="29"/>
  <c r="D204" i="32" s="1"/>
  <c r="D296" i="29"/>
  <c r="D205" i="32" s="1"/>
  <c r="D297" i="29"/>
  <c r="D206" i="32" s="1"/>
  <c r="D298" i="29"/>
  <c r="D207" i="32" s="1"/>
  <c r="D299" i="29"/>
  <c r="D208" i="32" s="1"/>
  <c r="D300" i="29"/>
  <c r="D209" i="32" s="1"/>
  <c r="D301" i="29"/>
  <c r="D210" i="32" s="1"/>
  <c r="D302" i="29"/>
  <c r="D211" i="32" s="1"/>
  <c r="D303" i="29"/>
  <c r="D212" i="32" s="1"/>
  <c r="D304" i="29"/>
  <c r="D213" i="32" s="1"/>
  <c r="D305" i="29"/>
  <c r="D214" i="32" s="1"/>
  <c r="D306" i="29"/>
  <c r="D215" i="32" s="1"/>
  <c r="D307" i="29"/>
  <c r="D216" i="32" s="1"/>
  <c r="D308" i="29"/>
  <c r="D217" i="32" s="1"/>
  <c r="D309" i="29"/>
  <c r="D218" i="32" s="1"/>
  <c r="D310" i="29"/>
  <c r="D219" i="32" s="1"/>
  <c r="D311" i="29"/>
  <c r="D220" i="32" s="1"/>
  <c r="D312" i="29"/>
  <c r="D221" i="32" s="1"/>
  <c r="D313" i="29"/>
  <c r="D222" i="32" s="1"/>
  <c r="D314" i="29"/>
  <c r="D223" i="32" s="1"/>
  <c r="D315" i="29"/>
  <c r="D224" i="32" s="1"/>
  <c r="D316" i="29"/>
  <c r="D225" i="32" s="1"/>
  <c r="D317" i="29"/>
  <c r="D226" i="32" s="1"/>
  <c r="D318" i="29"/>
  <c r="D227" i="32" s="1"/>
  <c r="D319" i="29"/>
  <c r="D228" i="32" s="1"/>
  <c r="D320" i="29"/>
  <c r="D229" i="32" s="1"/>
  <c r="D321" i="29"/>
  <c r="D230" i="32" s="1"/>
  <c r="D322" i="29"/>
  <c r="D231" i="32" s="1"/>
  <c r="D323" i="29"/>
  <c r="D232" i="32" s="1"/>
  <c r="D324" i="29"/>
  <c r="D233" i="32" s="1"/>
  <c r="D325" i="29"/>
  <c r="D234" i="32" s="1"/>
  <c r="D326" i="29"/>
  <c r="D235" i="32" s="1"/>
  <c r="D327" i="29"/>
  <c r="D236" i="32" s="1"/>
  <c r="D328" i="29"/>
  <c r="D237" i="32" s="1"/>
  <c r="D329" i="29"/>
  <c r="D238" i="32" s="1"/>
  <c r="D330" i="29"/>
  <c r="D239" i="32" s="1"/>
  <c r="D331" i="29"/>
  <c r="D240" i="32" s="1"/>
  <c r="D332" i="29"/>
  <c r="D241" i="32" s="1"/>
  <c r="D333" i="29"/>
  <c r="D242" i="32" s="1"/>
  <c r="D334" i="29"/>
  <c r="D243" i="32" s="1"/>
  <c r="D335" i="29"/>
  <c r="D244" i="32" s="1"/>
  <c r="D336" i="29"/>
  <c r="D245" i="32" s="1"/>
  <c r="D337" i="29"/>
  <c r="D246" i="32" s="1"/>
  <c r="D338" i="29"/>
  <c r="D247" i="32" s="1"/>
  <c r="D339" i="29"/>
  <c r="D248" i="32" s="1"/>
  <c r="D340" i="29"/>
  <c r="D249" i="32" s="1"/>
  <c r="D341" i="29"/>
  <c r="D250" i="32" s="1"/>
  <c r="D342" i="29"/>
  <c r="D251" i="32" s="1"/>
  <c r="D343" i="29"/>
  <c r="D252" i="32" s="1"/>
  <c r="D344" i="29"/>
  <c r="D253" i="32" s="1"/>
  <c r="D345" i="29"/>
  <c r="D254" i="32" s="1"/>
  <c r="D346" i="29"/>
  <c r="D255" i="32" s="1"/>
  <c r="D347" i="29"/>
  <c r="D256" i="32" s="1"/>
  <c r="D348" i="29"/>
  <c r="D257" i="32" s="1"/>
  <c r="D349" i="29"/>
  <c r="D258" i="32" s="1"/>
  <c r="D350" i="29"/>
  <c r="D259" i="32" s="1"/>
  <c r="D351" i="29"/>
  <c r="D260" i="32" s="1"/>
  <c r="D352" i="29"/>
  <c r="D261" i="32" s="1"/>
  <c r="D353" i="29"/>
  <c r="D262" i="32" s="1"/>
  <c r="D354" i="29"/>
  <c r="D263" i="32" s="1"/>
  <c r="D355" i="29"/>
  <c r="D264" i="32" s="1"/>
  <c r="D356" i="29"/>
  <c r="D265" i="32" s="1"/>
  <c r="D357" i="29"/>
  <c r="D266" i="32" s="1"/>
  <c r="D358" i="29"/>
  <c r="D267" i="32" s="1"/>
  <c r="D359" i="29"/>
  <c r="D268" i="32" s="1"/>
  <c r="D360" i="29"/>
  <c r="D269" i="32" s="1"/>
  <c r="D361" i="29"/>
  <c r="D270" i="32" s="1"/>
  <c r="D362" i="29"/>
  <c r="D271" i="32" s="1"/>
  <c r="D363" i="29"/>
  <c r="D272" i="32" s="1"/>
  <c r="D364" i="29"/>
  <c r="D273" i="32" s="1"/>
  <c r="D365" i="29"/>
  <c r="D274" i="32" s="1"/>
  <c r="D366" i="29"/>
  <c r="D275" i="32" s="1"/>
  <c r="D367" i="29"/>
  <c r="D276" i="32" s="1"/>
  <c r="D368" i="29"/>
  <c r="D277" i="32" s="1"/>
  <c r="D369" i="29"/>
  <c r="D278" i="32" s="1"/>
  <c r="D370" i="29"/>
  <c r="D279" i="32" s="1"/>
  <c r="D371" i="29"/>
  <c r="D280" i="32" s="1"/>
  <c r="D372" i="29"/>
  <c r="D281" i="32" s="1"/>
  <c r="D373" i="29"/>
  <c r="D282" i="32" s="1"/>
  <c r="D374" i="29"/>
  <c r="D283" i="32" s="1"/>
  <c r="D375" i="29"/>
  <c r="D284" i="32" s="1"/>
  <c r="D376" i="29"/>
  <c r="D285" i="32" s="1"/>
  <c r="D377" i="29"/>
  <c r="D286" i="32" s="1"/>
  <c r="D378" i="29"/>
  <c r="D287" i="32" s="1"/>
  <c r="J226" i="17"/>
  <c r="J227" i="17"/>
  <c r="J228" i="17"/>
  <c r="J229" i="17"/>
  <c r="J230" i="17"/>
  <c r="J231" i="17"/>
  <c r="J232" i="17"/>
  <c r="J233" i="17"/>
  <c r="J234" i="17"/>
  <c r="J235" i="17"/>
  <c r="J236" i="17"/>
  <c r="J237" i="17"/>
  <c r="J238" i="17"/>
  <c r="J239" i="17"/>
  <c r="J240" i="17"/>
  <c r="J241" i="17"/>
  <c r="J242" i="17"/>
  <c r="J243" i="17"/>
  <c r="J244" i="17"/>
  <c r="J245" i="17"/>
  <c r="J246" i="17"/>
  <c r="J247" i="17"/>
  <c r="J248" i="17"/>
  <c r="J249" i="17"/>
  <c r="J250" i="17"/>
  <c r="J251" i="17"/>
  <c r="J252" i="17"/>
  <c r="J253" i="17"/>
  <c r="J254" i="17"/>
  <c r="J255" i="17"/>
  <c r="J256" i="17"/>
  <c r="J257" i="17"/>
  <c r="J258" i="17"/>
  <c r="J259" i="17"/>
  <c r="J260" i="17"/>
  <c r="J261" i="17"/>
  <c r="J262" i="17"/>
  <c r="J263" i="17"/>
  <c r="J264" i="17"/>
  <c r="J265" i="17"/>
  <c r="J266" i="17"/>
  <c r="J267" i="17"/>
  <c r="J268" i="17"/>
  <c r="J269" i="17"/>
  <c r="J270" i="17"/>
  <c r="J271" i="17"/>
  <c r="J272" i="17"/>
  <c r="J273" i="17"/>
  <c r="J274" i="17"/>
  <c r="J275" i="17"/>
  <c r="J276" i="17"/>
  <c r="J277" i="17"/>
  <c r="J278" i="17"/>
  <c r="J279" i="17"/>
  <c r="J280" i="17"/>
  <c r="J281" i="17"/>
  <c r="J282" i="17"/>
  <c r="J283" i="17"/>
  <c r="J284" i="17"/>
  <c r="J285" i="17"/>
  <c r="J286" i="17"/>
  <c r="J287" i="17"/>
  <c r="J288" i="17"/>
  <c r="J289" i="17"/>
  <c r="J290" i="17"/>
  <c r="J291" i="17"/>
  <c r="J292" i="17"/>
  <c r="J293" i="17"/>
  <c r="J294" i="17"/>
  <c r="J295" i="17"/>
  <c r="J296" i="17"/>
  <c r="J297" i="17"/>
  <c r="J298" i="17"/>
  <c r="J299" i="17"/>
  <c r="J300" i="17"/>
  <c r="J301" i="17"/>
  <c r="J302" i="17"/>
  <c r="J303" i="17"/>
  <c r="J304" i="17"/>
  <c r="J305" i="17"/>
  <c r="J306" i="17"/>
  <c r="J307" i="17"/>
  <c r="J308" i="17"/>
  <c r="J309" i="17"/>
  <c r="J310" i="17"/>
  <c r="J311" i="17"/>
  <c r="J312" i="17"/>
  <c r="J313" i="17"/>
  <c r="J314" i="17"/>
  <c r="J315" i="17"/>
  <c r="J316" i="17"/>
  <c r="J317" i="17"/>
  <c r="J318" i="17"/>
  <c r="J319" i="17"/>
  <c r="J320" i="17"/>
  <c r="J321" i="17"/>
  <c r="J322" i="17"/>
  <c r="J323" i="17"/>
  <c r="J324" i="17"/>
  <c r="J325" i="17"/>
  <c r="J326" i="17"/>
  <c r="J327" i="17"/>
  <c r="J328" i="17"/>
  <c r="J329" i="17"/>
  <c r="J330" i="17"/>
  <c r="J331" i="17"/>
  <c r="J332" i="17"/>
  <c r="J333" i="17"/>
  <c r="J334" i="17"/>
  <c r="J335" i="17"/>
  <c r="J336" i="17"/>
  <c r="J337" i="17"/>
  <c r="J338" i="17"/>
  <c r="J339" i="17"/>
  <c r="J340" i="17"/>
  <c r="J341" i="17"/>
  <c r="J342" i="17"/>
  <c r="J343" i="17"/>
  <c r="J344" i="17"/>
  <c r="J345" i="17"/>
  <c r="J346" i="17"/>
  <c r="J347" i="17"/>
  <c r="J348" i="17"/>
  <c r="J349" i="17"/>
  <c r="J350" i="17"/>
  <c r="J351" i="17"/>
  <c r="J352" i="17"/>
  <c r="J353" i="17"/>
  <c r="J354" i="17"/>
  <c r="J355" i="17"/>
  <c r="J356" i="17"/>
  <c r="J357" i="17"/>
  <c r="J358" i="17"/>
  <c r="J359" i="17"/>
  <c r="J360" i="17"/>
  <c r="J361" i="17"/>
  <c r="J362" i="17"/>
  <c r="J363" i="17"/>
  <c r="J364" i="17"/>
  <c r="J365" i="17"/>
  <c r="J366" i="17"/>
  <c r="J367" i="17"/>
  <c r="J368" i="17"/>
  <c r="J369" i="17"/>
  <c r="J370" i="17"/>
  <c r="J371" i="17"/>
  <c r="J372" i="17"/>
  <c r="J373" i="17"/>
  <c r="J374" i="17"/>
  <c r="J375" i="17"/>
  <c r="J376" i="17"/>
  <c r="J377" i="17"/>
  <c r="J378" i="17"/>
  <c r="J379" i="17"/>
  <c r="J380" i="17"/>
  <c r="J381" i="17"/>
  <c r="J382" i="17"/>
  <c r="J383" i="17"/>
  <c r="J384" i="17"/>
  <c r="J385" i="17"/>
  <c r="J386" i="17"/>
  <c r="J387" i="17"/>
  <c r="J388" i="17"/>
  <c r="J389" i="17"/>
  <c r="J390" i="17"/>
  <c r="J391" i="17"/>
  <c r="J392" i="17"/>
  <c r="D226" i="17"/>
  <c r="D122" i="18" s="1"/>
  <c r="D227" i="17"/>
  <c r="D123" i="18" s="1"/>
  <c r="D228" i="17"/>
  <c r="D124" i="18" s="1"/>
  <c r="D229" i="17"/>
  <c r="D125" i="18" s="1"/>
  <c r="D230" i="17"/>
  <c r="D126" i="18" s="1"/>
  <c r="D231" i="17"/>
  <c r="D127" i="18" s="1"/>
  <c r="D232" i="17"/>
  <c r="D128" i="18" s="1"/>
  <c r="D233" i="17"/>
  <c r="D129" i="18" s="1"/>
  <c r="D234" i="17"/>
  <c r="D130" i="18" s="1"/>
  <c r="D235" i="17"/>
  <c r="D131" i="18" s="1"/>
  <c r="D236" i="17"/>
  <c r="D132" i="18" s="1"/>
  <c r="D237" i="17"/>
  <c r="D133" i="18" s="1"/>
  <c r="D238" i="17"/>
  <c r="D134" i="18" s="1"/>
  <c r="D239" i="17"/>
  <c r="D135" i="18" s="1"/>
  <c r="D240" i="17"/>
  <c r="D136" i="18" s="1"/>
  <c r="D241" i="17"/>
  <c r="D137" i="18" s="1"/>
  <c r="D242" i="17"/>
  <c r="D138" i="18" s="1"/>
  <c r="D243" i="17"/>
  <c r="D139" i="18" s="1"/>
  <c r="D244" i="17"/>
  <c r="D140" i="18" s="1"/>
  <c r="D245" i="17"/>
  <c r="D141" i="18" s="1"/>
  <c r="D246" i="17"/>
  <c r="D142" i="18" s="1"/>
  <c r="D247" i="17"/>
  <c r="D143" i="18" s="1"/>
  <c r="D248" i="17"/>
  <c r="D144" i="18" s="1"/>
  <c r="D249" i="17"/>
  <c r="D145" i="18" s="1"/>
  <c r="D250" i="17"/>
  <c r="D146" i="18" s="1"/>
  <c r="D251" i="17"/>
  <c r="D147" i="18" s="1"/>
  <c r="D252" i="17"/>
  <c r="D148" i="18" s="1"/>
  <c r="D253" i="17"/>
  <c r="D149" i="18" s="1"/>
  <c r="D254" i="17"/>
  <c r="D150" i="18" s="1"/>
  <c r="D255" i="17"/>
  <c r="D151" i="18" s="1"/>
  <c r="D256" i="17"/>
  <c r="D152" i="18" s="1"/>
  <c r="D257" i="17"/>
  <c r="D153" i="18" s="1"/>
  <c r="D258" i="17"/>
  <c r="D154" i="18" s="1"/>
  <c r="D259" i="17"/>
  <c r="D155" i="18" s="1"/>
  <c r="D260" i="17"/>
  <c r="D156" i="18" s="1"/>
  <c r="D261" i="17"/>
  <c r="D157" i="18" s="1"/>
  <c r="D262" i="17"/>
  <c r="D158" i="18" s="1"/>
  <c r="D263" i="17"/>
  <c r="D159" i="18" s="1"/>
  <c r="D264" i="17"/>
  <c r="D160" i="18" s="1"/>
  <c r="D265" i="17"/>
  <c r="D161" i="18" s="1"/>
  <c r="D266" i="17"/>
  <c r="D162" i="18" s="1"/>
  <c r="D267" i="17"/>
  <c r="D163" i="18" s="1"/>
  <c r="D268" i="17"/>
  <c r="D164" i="18" s="1"/>
  <c r="D269" i="17"/>
  <c r="D165" i="18" s="1"/>
  <c r="D270" i="17"/>
  <c r="D166" i="18" s="1"/>
  <c r="D271" i="17"/>
  <c r="D167" i="18" s="1"/>
  <c r="D272" i="17"/>
  <c r="D168" i="18" s="1"/>
  <c r="D273" i="17"/>
  <c r="D169" i="18" s="1"/>
  <c r="D274" i="17"/>
  <c r="D170" i="18" s="1"/>
  <c r="D275" i="17"/>
  <c r="D171" i="18" s="1"/>
  <c r="D276" i="17"/>
  <c r="D172" i="18" s="1"/>
  <c r="D277" i="17"/>
  <c r="D173" i="18" s="1"/>
  <c r="D278" i="17"/>
  <c r="D174" i="18" s="1"/>
  <c r="D279" i="17"/>
  <c r="D175" i="18" s="1"/>
  <c r="D280" i="17"/>
  <c r="D176" i="18" s="1"/>
  <c r="D281" i="17"/>
  <c r="D177" i="18" s="1"/>
  <c r="D282" i="17"/>
  <c r="D178" i="18" s="1"/>
  <c r="D283" i="17"/>
  <c r="D179" i="18" s="1"/>
  <c r="D284" i="17"/>
  <c r="D180" i="18" s="1"/>
  <c r="D285" i="17"/>
  <c r="D181" i="18" s="1"/>
  <c r="D286" i="17"/>
  <c r="D182" i="18" s="1"/>
  <c r="D287" i="17"/>
  <c r="D183" i="18" s="1"/>
  <c r="D288" i="17"/>
  <c r="D184" i="18" s="1"/>
  <c r="D289" i="17"/>
  <c r="D185" i="18" s="1"/>
  <c r="D290" i="17"/>
  <c r="D186" i="18" s="1"/>
  <c r="D291" i="17"/>
  <c r="D187" i="18" s="1"/>
  <c r="D292" i="17"/>
  <c r="D188" i="18" s="1"/>
  <c r="D293" i="17"/>
  <c r="D189" i="18" s="1"/>
  <c r="D294" i="17"/>
  <c r="D190" i="18" s="1"/>
  <c r="D295" i="17"/>
  <c r="D191" i="18" s="1"/>
  <c r="D296" i="17"/>
  <c r="D192" i="18" s="1"/>
  <c r="D297" i="17"/>
  <c r="D193" i="18" s="1"/>
  <c r="D298" i="17"/>
  <c r="D194" i="18" s="1"/>
  <c r="D299" i="17"/>
  <c r="D195" i="18" s="1"/>
  <c r="D300" i="17"/>
  <c r="D196" i="18" s="1"/>
  <c r="D301" i="17"/>
  <c r="D197" i="18" s="1"/>
  <c r="D302" i="17"/>
  <c r="D198" i="18" s="1"/>
  <c r="D303" i="17"/>
  <c r="D199" i="18" s="1"/>
  <c r="D304" i="17"/>
  <c r="D200" i="18" s="1"/>
  <c r="D305" i="17"/>
  <c r="D201" i="18" s="1"/>
  <c r="D306" i="17"/>
  <c r="D202" i="18" s="1"/>
  <c r="D307" i="17"/>
  <c r="D203" i="18" s="1"/>
  <c r="D308" i="17"/>
  <c r="D204" i="18" s="1"/>
  <c r="D309" i="17"/>
  <c r="D205" i="18" s="1"/>
  <c r="D310" i="17"/>
  <c r="D206" i="18" s="1"/>
  <c r="D311" i="17"/>
  <c r="D207" i="18" s="1"/>
  <c r="D312" i="17"/>
  <c r="D208" i="18" s="1"/>
  <c r="D313" i="17"/>
  <c r="D209" i="18" s="1"/>
  <c r="D314" i="17"/>
  <c r="D210" i="18" s="1"/>
  <c r="D315" i="17"/>
  <c r="D211" i="18" s="1"/>
  <c r="D316" i="17"/>
  <c r="D212" i="18" s="1"/>
  <c r="D317" i="17"/>
  <c r="D213" i="18" s="1"/>
  <c r="D318" i="17"/>
  <c r="D214" i="18" s="1"/>
  <c r="D319" i="17"/>
  <c r="D215" i="18" s="1"/>
  <c r="D320" i="17"/>
  <c r="D216" i="18" s="1"/>
  <c r="D321" i="17"/>
  <c r="D217" i="18" s="1"/>
  <c r="D322" i="17"/>
  <c r="D218" i="18" s="1"/>
  <c r="D323" i="17"/>
  <c r="D219" i="18" s="1"/>
  <c r="D324" i="17"/>
  <c r="D220" i="18" s="1"/>
  <c r="D325" i="17"/>
  <c r="D221" i="18" s="1"/>
  <c r="D326" i="17"/>
  <c r="D222" i="18" s="1"/>
  <c r="D327" i="17"/>
  <c r="D223" i="18" s="1"/>
  <c r="D328" i="17"/>
  <c r="D224" i="18" s="1"/>
  <c r="D329" i="17"/>
  <c r="D225" i="18" s="1"/>
  <c r="D330" i="17"/>
  <c r="D226" i="18" s="1"/>
  <c r="D331" i="17"/>
  <c r="D227" i="18" s="1"/>
  <c r="D332" i="17"/>
  <c r="D228" i="18" s="1"/>
  <c r="D333" i="17"/>
  <c r="D229" i="18" s="1"/>
  <c r="D334" i="17"/>
  <c r="D230" i="18" s="1"/>
  <c r="D335" i="17"/>
  <c r="D231" i="18" s="1"/>
  <c r="D336" i="17"/>
  <c r="D232" i="18" s="1"/>
  <c r="D337" i="17"/>
  <c r="D233" i="18" s="1"/>
  <c r="D338" i="17"/>
  <c r="D234" i="18" s="1"/>
  <c r="D339" i="17"/>
  <c r="D235" i="18" s="1"/>
  <c r="D340" i="17"/>
  <c r="D236" i="18" s="1"/>
  <c r="D341" i="17"/>
  <c r="D237" i="18" s="1"/>
  <c r="D342" i="17"/>
  <c r="D238" i="18" s="1"/>
  <c r="D343" i="17"/>
  <c r="D239" i="18" s="1"/>
  <c r="D344" i="17"/>
  <c r="D240" i="18" s="1"/>
  <c r="D345" i="17"/>
  <c r="D241" i="18" s="1"/>
  <c r="D346" i="17"/>
  <c r="D242" i="18" s="1"/>
  <c r="D347" i="17"/>
  <c r="D243" i="18" s="1"/>
  <c r="D348" i="17"/>
  <c r="D244" i="18" s="1"/>
  <c r="D349" i="17"/>
  <c r="D245" i="18" s="1"/>
  <c r="D350" i="17"/>
  <c r="D246" i="18" s="1"/>
  <c r="D351" i="17"/>
  <c r="D247" i="18" s="1"/>
  <c r="D352" i="17"/>
  <c r="D248" i="18" s="1"/>
  <c r="D353" i="17"/>
  <c r="D249" i="18" s="1"/>
  <c r="D354" i="17"/>
  <c r="D250" i="18" s="1"/>
  <c r="D355" i="17"/>
  <c r="D251" i="18" s="1"/>
  <c r="D356" i="17"/>
  <c r="D252" i="18" s="1"/>
  <c r="D357" i="17"/>
  <c r="D253" i="18" s="1"/>
  <c r="D358" i="17"/>
  <c r="D254" i="18" s="1"/>
  <c r="D359" i="17"/>
  <c r="D255" i="18" s="1"/>
  <c r="D360" i="17"/>
  <c r="D256" i="18" s="1"/>
  <c r="D361" i="17"/>
  <c r="D257" i="18" s="1"/>
  <c r="D362" i="17"/>
  <c r="D258" i="18" s="1"/>
  <c r="D363" i="17"/>
  <c r="D259" i="18" s="1"/>
  <c r="D364" i="17"/>
  <c r="D260" i="18" s="1"/>
  <c r="D365" i="17"/>
  <c r="D261" i="18" s="1"/>
  <c r="D366" i="17"/>
  <c r="D262" i="18" s="1"/>
  <c r="D367" i="17"/>
  <c r="D263" i="18" s="1"/>
  <c r="D368" i="17"/>
  <c r="D264" i="18" s="1"/>
  <c r="D369" i="17"/>
  <c r="D265" i="18" s="1"/>
  <c r="D370" i="17"/>
  <c r="D266" i="18" s="1"/>
  <c r="D371" i="17"/>
  <c r="D267" i="18" s="1"/>
  <c r="D372" i="17"/>
  <c r="D268" i="18" s="1"/>
  <c r="D373" i="17"/>
  <c r="D269" i="18" s="1"/>
  <c r="D374" i="17"/>
  <c r="D270" i="18" s="1"/>
  <c r="D375" i="17"/>
  <c r="D271" i="18" s="1"/>
  <c r="D376" i="17"/>
  <c r="D272" i="18" s="1"/>
  <c r="D377" i="17"/>
  <c r="D273" i="18" s="1"/>
  <c r="D378" i="17"/>
  <c r="D274" i="18" s="1"/>
  <c r="D379" i="17"/>
  <c r="D275" i="18" s="1"/>
  <c r="D380" i="17"/>
  <c r="D276" i="18" s="1"/>
  <c r="D381" i="17"/>
  <c r="D277" i="18" s="1"/>
  <c r="D382" i="17"/>
  <c r="D278" i="18" s="1"/>
  <c r="D383" i="17"/>
  <c r="D279" i="18" s="1"/>
  <c r="D384" i="17"/>
  <c r="D280" i="18" s="1"/>
  <c r="D385" i="17"/>
  <c r="D281" i="18" s="1"/>
  <c r="D386" i="17"/>
  <c r="D282" i="18" s="1"/>
  <c r="D387" i="17"/>
  <c r="D283" i="18" s="1"/>
  <c r="D388" i="17"/>
  <c r="D284" i="18" s="1"/>
  <c r="D389" i="17"/>
  <c r="D285" i="18" s="1"/>
  <c r="D390" i="17"/>
  <c r="D286" i="18" s="1"/>
  <c r="D391" i="17"/>
  <c r="D287" i="18" s="1"/>
  <c r="D392" i="17"/>
  <c r="D288" i="18" s="1"/>
  <c r="M210" i="82"/>
  <c r="M211" i="82"/>
  <c r="M212" i="82"/>
  <c r="M213" i="82"/>
  <c r="M214" i="82"/>
  <c r="M215" i="82"/>
  <c r="M216" i="82"/>
  <c r="M217" i="82"/>
  <c r="M218" i="82"/>
  <c r="M219" i="82"/>
  <c r="M220" i="82"/>
  <c r="M221" i="82"/>
  <c r="M222" i="82"/>
  <c r="M223" i="82"/>
  <c r="M224" i="82"/>
  <c r="M225" i="82"/>
  <c r="M226" i="82"/>
  <c r="M227" i="82"/>
  <c r="M228" i="82"/>
  <c r="M229" i="82"/>
  <c r="M230" i="82"/>
  <c r="M231" i="82"/>
  <c r="M232" i="82"/>
  <c r="M233" i="82"/>
  <c r="M234" i="82"/>
  <c r="M235" i="82"/>
  <c r="M236" i="82"/>
  <c r="M237" i="82"/>
  <c r="M238" i="82"/>
  <c r="M239" i="82"/>
  <c r="M240" i="82"/>
  <c r="M241" i="82"/>
  <c r="M242" i="82"/>
  <c r="M243" i="82"/>
  <c r="M244" i="82"/>
  <c r="M245" i="82"/>
  <c r="M246" i="82"/>
  <c r="M247" i="82"/>
  <c r="M248" i="82"/>
  <c r="M249" i="82"/>
  <c r="M250" i="82"/>
  <c r="M251" i="82"/>
  <c r="M252" i="82"/>
  <c r="M253" i="82"/>
  <c r="M254" i="82"/>
  <c r="M255" i="82"/>
  <c r="M256" i="82"/>
  <c r="M257" i="82"/>
  <c r="M258" i="82"/>
  <c r="M259" i="82"/>
  <c r="M260" i="82"/>
  <c r="M261" i="82"/>
  <c r="M262" i="82"/>
  <c r="M263" i="82"/>
  <c r="M264" i="82"/>
  <c r="M265" i="82"/>
  <c r="M266" i="82"/>
  <c r="M267" i="82"/>
  <c r="M268" i="82"/>
  <c r="M269" i="82"/>
  <c r="M270" i="82"/>
  <c r="M271" i="82"/>
  <c r="M272" i="82"/>
  <c r="M273" i="82"/>
  <c r="M274" i="82"/>
  <c r="M275" i="82"/>
  <c r="M276" i="82"/>
  <c r="M277" i="82"/>
  <c r="M278" i="82"/>
  <c r="M279" i="82"/>
  <c r="M280" i="82"/>
  <c r="M281" i="82"/>
  <c r="M282" i="82"/>
  <c r="M283" i="82"/>
  <c r="M284" i="82"/>
  <c r="M285" i="82"/>
  <c r="M286" i="82"/>
  <c r="M287" i="82"/>
  <c r="M288" i="82"/>
  <c r="M289" i="82"/>
  <c r="M290" i="82"/>
  <c r="M291" i="82"/>
  <c r="M292" i="82"/>
  <c r="M293" i="82"/>
  <c r="M294" i="82"/>
  <c r="M295" i="82"/>
  <c r="M296" i="82"/>
  <c r="M297" i="82"/>
  <c r="M298" i="82"/>
  <c r="M299" i="82"/>
  <c r="M300" i="82"/>
  <c r="M301" i="82"/>
  <c r="M302" i="82"/>
  <c r="M303" i="82"/>
  <c r="M304" i="82"/>
  <c r="M305" i="82"/>
  <c r="M306" i="82"/>
  <c r="M307" i="82"/>
  <c r="M308" i="82"/>
  <c r="M309" i="82"/>
  <c r="M310" i="82"/>
  <c r="M311" i="82"/>
  <c r="M312" i="82"/>
  <c r="M313" i="82"/>
  <c r="M314" i="82"/>
  <c r="M315" i="82"/>
  <c r="M316" i="82"/>
  <c r="M317" i="82"/>
  <c r="M318" i="82"/>
  <c r="M319" i="82"/>
  <c r="M320" i="82"/>
  <c r="M321" i="82"/>
  <c r="M322" i="82"/>
  <c r="M323" i="82"/>
  <c r="M324" i="82"/>
  <c r="M325" i="82"/>
  <c r="M326" i="82"/>
  <c r="M327" i="82"/>
  <c r="M328" i="82"/>
  <c r="M329" i="82"/>
  <c r="M330" i="82"/>
  <c r="M331" i="82"/>
  <c r="M332" i="82"/>
  <c r="M333" i="82"/>
  <c r="M334" i="82"/>
  <c r="M335" i="82"/>
  <c r="M336" i="82"/>
  <c r="M337" i="82"/>
  <c r="M338" i="82"/>
  <c r="M339" i="82"/>
  <c r="M340" i="82"/>
  <c r="M341" i="82"/>
  <c r="M342" i="82"/>
  <c r="M343" i="82"/>
  <c r="M344" i="82"/>
  <c r="M345" i="82"/>
  <c r="M346" i="82"/>
  <c r="M347" i="82"/>
  <c r="M348" i="82"/>
  <c r="M349" i="82"/>
  <c r="M350" i="82"/>
  <c r="M351" i="82"/>
  <c r="M352" i="82"/>
  <c r="M353" i="82"/>
  <c r="M354" i="82"/>
  <c r="M355" i="82"/>
  <c r="M356" i="82"/>
  <c r="M357" i="82"/>
  <c r="M358" i="82"/>
  <c r="M359" i="82"/>
  <c r="M360" i="82"/>
  <c r="M361" i="82"/>
  <c r="M362" i="82"/>
  <c r="M363" i="82"/>
  <c r="M364" i="82"/>
  <c r="M365" i="82"/>
  <c r="M366" i="82"/>
  <c r="M367" i="82"/>
  <c r="M368" i="82"/>
  <c r="M369" i="82"/>
  <c r="M370" i="82"/>
  <c r="M371" i="82"/>
  <c r="M372" i="82"/>
  <c r="M373" i="82"/>
  <c r="M374" i="82"/>
  <c r="M375" i="82"/>
  <c r="M376" i="82"/>
  <c r="L210" i="82"/>
  <c r="L211" i="82"/>
  <c r="L212" i="82"/>
  <c r="L213" i="82"/>
  <c r="L214" i="82"/>
  <c r="L215" i="82"/>
  <c r="L216" i="82"/>
  <c r="L217" i="82"/>
  <c r="L218" i="82"/>
  <c r="L219" i="82"/>
  <c r="L220" i="82"/>
  <c r="L221" i="82"/>
  <c r="L222" i="82"/>
  <c r="L223" i="82"/>
  <c r="L224" i="82"/>
  <c r="L225" i="82"/>
  <c r="L226" i="82"/>
  <c r="L227" i="82"/>
  <c r="L228" i="82"/>
  <c r="L229" i="82"/>
  <c r="L230" i="82"/>
  <c r="L231" i="82"/>
  <c r="L232" i="82"/>
  <c r="L233" i="82"/>
  <c r="L234" i="82"/>
  <c r="L235" i="82"/>
  <c r="L236" i="82"/>
  <c r="L237" i="82"/>
  <c r="L238" i="82"/>
  <c r="L239" i="82"/>
  <c r="L240" i="82"/>
  <c r="L241" i="82"/>
  <c r="L242" i="82"/>
  <c r="L243" i="82"/>
  <c r="L244" i="82"/>
  <c r="L245" i="82"/>
  <c r="L246" i="82"/>
  <c r="L247" i="82"/>
  <c r="L248" i="82"/>
  <c r="L249" i="82"/>
  <c r="L250" i="82"/>
  <c r="L251" i="82"/>
  <c r="L252" i="82"/>
  <c r="L253" i="82"/>
  <c r="L254" i="82"/>
  <c r="L255" i="82"/>
  <c r="L256" i="82"/>
  <c r="L257" i="82"/>
  <c r="L258" i="82"/>
  <c r="L259" i="82"/>
  <c r="L260" i="82"/>
  <c r="L261" i="82"/>
  <c r="L262" i="82"/>
  <c r="L263" i="82"/>
  <c r="L264" i="82"/>
  <c r="L265" i="82"/>
  <c r="L266" i="82"/>
  <c r="L267" i="82"/>
  <c r="L268" i="82"/>
  <c r="L269" i="82"/>
  <c r="L270" i="82"/>
  <c r="L271" i="82"/>
  <c r="L272" i="82"/>
  <c r="L273" i="82"/>
  <c r="L274" i="82"/>
  <c r="L275" i="82"/>
  <c r="L276" i="82"/>
  <c r="L277" i="82"/>
  <c r="L278" i="82"/>
  <c r="L279" i="82"/>
  <c r="L280" i="82"/>
  <c r="L281" i="82"/>
  <c r="L282" i="82"/>
  <c r="L283" i="82"/>
  <c r="L284" i="82"/>
  <c r="L285" i="82"/>
  <c r="L286" i="82"/>
  <c r="L287" i="82"/>
  <c r="L288" i="82"/>
  <c r="L289" i="82"/>
  <c r="L290" i="82"/>
  <c r="L291" i="82"/>
  <c r="L292" i="82"/>
  <c r="L293" i="82"/>
  <c r="L294" i="82"/>
  <c r="L295" i="82"/>
  <c r="L296" i="82"/>
  <c r="L312" i="17" s="1"/>
  <c r="L297" i="82"/>
  <c r="L298" i="82"/>
  <c r="L299" i="82"/>
  <c r="L300" i="82"/>
  <c r="L301" i="82"/>
  <c r="L302" i="82"/>
  <c r="L303" i="82"/>
  <c r="L304" i="82"/>
  <c r="L320" i="17" s="1"/>
  <c r="L305" i="82"/>
  <c r="L306" i="82"/>
  <c r="L307" i="82"/>
  <c r="L308" i="82"/>
  <c r="L309" i="82"/>
  <c r="L310" i="82"/>
  <c r="L311" i="82"/>
  <c r="L312" i="82"/>
  <c r="L328" i="17" s="1"/>
  <c r="L313" i="82"/>
  <c r="L314" i="82"/>
  <c r="L315" i="82"/>
  <c r="L316" i="82"/>
  <c r="L317" i="82"/>
  <c r="L318" i="82"/>
  <c r="L319" i="82"/>
  <c r="L320" i="82"/>
  <c r="L321" i="82"/>
  <c r="L322" i="82"/>
  <c r="L323" i="82"/>
  <c r="L324" i="82"/>
  <c r="L325" i="82"/>
  <c r="L326" i="82"/>
  <c r="L327" i="82"/>
  <c r="L328" i="82"/>
  <c r="L329" i="82"/>
  <c r="L330" i="82"/>
  <c r="L331" i="82"/>
  <c r="L332" i="82"/>
  <c r="L333" i="82"/>
  <c r="L334" i="82"/>
  <c r="L335" i="82"/>
  <c r="L336" i="82"/>
  <c r="L337" i="82"/>
  <c r="L338" i="82"/>
  <c r="L339" i="82"/>
  <c r="L340" i="82"/>
  <c r="L341" i="82"/>
  <c r="L342" i="82"/>
  <c r="L343" i="82"/>
  <c r="L344" i="82"/>
  <c r="L345" i="82"/>
  <c r="L346" i="82"/>
  <c r="L347" i="82"/>
  <c r="L348" i="82"/>
  <c r="L349" i="82"/>
  <c r="L350" i="82"/>
  <c r="L351" i="82"/>
  <c r="L352" i="82"/>
  <c r="L353" i="82"/>
  <c r="L354" i="82"/>
  <c r="L355" i="82"/>
  <c r="L356" i="82"/>
  <c r="L357" i="82"/>
  <c r="L358" i="82"/>
  <c r="L359" i="82"/>
  <c r="L360" i="82"/>
  <c r="L376" i="17" s="1"/>
  <c r="L361" i="82"/>
  <c r="L362" i="82"/>
  <c r="L363" i="82"/>
  <c r="L364" i="82"/>
  <c r="L365" i="82"/>
  <c r="L366" i="82"/>
  <c r="L367" i="82"/>
  <c r="L368" i="82"/>
  <c r="L384" i="17" s="1"/>
  <c r="L369" i="82"/>
  <c r="L370" i="82"/>
  <c r="L371" i="82"/>
  <c r="L372" i="82"/>
  <c r="L373" i="82"/>
  <c r="L374" i="82"/>
  <c r="L375" i="82"/>
  <c r="L376" i="82"/>
  <c r="L392" i="17" s="1"/>
  <c r="O130" i="111" l="1"/>
  <c r="K123" i="111"/>
  <c r="K130" i="111"/>
  <c r="O123" i="111"/>
  <c r="J123" i="111"/>
  <c r="N130" i="111"/>
  <c r="J130" i="111"/>
  <c r="N123" i="111"/>
  <c r="M123" i="111"/>
  <c r="L123" i="111"/>
  <c r="M130" i="111"/>
  <c r="L130" i="111"/>
  <c r="U3065" i="33"/>
  <c r="H3065" i="33"/>
  <c r="L3362" i="33"/>
  <c r="L2185" i="33"/>
  <c r="L1593" i="33"/>
  <c r="L1006" i="33"/>
  <c r="L2777" i="33"/>
  <c r="L413" i="33"/>
  <c r="L389" i="17"/>
  <c r="L375" i="29"/>
  <c r="L3322" i="33"/>
  <c r="L2145" i="33"/>
  <c r="L1553" i="33"/>
  <c r="L966" i="33"/>
  <c r="L2737" i="33"/>
  <c r="L373" i="33"/>
  <c r="L349" i="17"/>
  <c r="L335" i="29"/>
  <c r="L3274" i="33"/>
  <c r="L2097" i="33"/>
  <c r="L1505" i="33"/>
  <c r="L918" i="33"/>
  <c r="L2689" i="33"/>
  <c r="L325" i="33"/>
  <c r="L301" i="17"/>
  <c r="L287" i="29"/>
  <c r="L3242" i="33"/>
  <c r="L2065" i="33"/>
  <c r="L1473" i="33"/>
  <c r="L886" i="33"/>
  <c r="L2657" i="33"/>
  <c r="L293" i="33"/>
  <c r="L269" i="17"/>
  <c r="L255" i="29"/>
  <c r="L3361" i="33"/>
  <c r="L2184" i="33"/>
  <c r="L1592" i="33"/>
  <c r="L1005" i="33"/>
  <c r="L2776" i="33"/>
  <c r="L412" i="33"/>
  <c r="L374" i="29"/>
  <c r="L388" i="17"/>
  <c r="L3337" i="33"/>
  <c r="L2160" i="33"/>
  <c r="L1568" i="33"/>
  <c r="L981" i="33"/>
  <c r="L2752" i="33"/>
  <c r="L388" i="33"/>
  <c r="L350" i="29"/>
  <c r="L364" i="17"/>
  <c r="L3313" i="33"/>
  <c r="L2136" i="33"/>
  <c r="L1544" i="33"/>
  <c r="L957" i="33"/>
  <c r="L2728" i="33"/>
  <c r="L364" i="33"/>
  <c r="L326" i="29"/>
  <c r="L340" i="17"/>
  <c r="L3281" i="33"/>
  <c r="L2104" i="33"/>
  <c r="L1512" i="33"/>
  <c r="L925" i="33"/>
  <c r="J706" i="33" s="1"/>
  <c r="L2696" i="33"/>
  <c r="L332" i="33"/>
  <c r="L294" i="29"/>
  <c r="L308" i="17"/>
  <c r="L3257" i="33"/>
  <c r="L2080" i="33"/>
  <c r="L1488" i="33"/>
  <c r="L901" i="33"/>
  <c r="L2672" i="33"/>
  <c r="L308" i="33"/>
  <c r="L270" i="29"/>
  <c r="L284" i="17"/>
  <c r="L3225" i="33"/>
  <c r="L2048" i="33"/>
  <c r="L1456" i="33"/>
  <c r="L869" i="33"/>
  <c r="J694" i="33" s="1"/>
  <c r="L2640" i="33"/>
  <c r="L276" i="33"/>
  <c r="L238" i="29"/>
  <c r="L252" i="17"/>
  <c r="L3352" i="33"/>
  <c r="L2175" i="33"/>
  <c r="L1583" i="33"/>
  <c r="L2767" i="33"/>
  <c r="L996" i="33"/>
  <c r="J702" i="33" s="1"/>
  <c r="L403" i="33"/>
  <c r="L365" i="29"/>
  <c r="L379" i="17"/>
  <c r="L3336" i="33"/>
  <c r="L1567" i="33"/>
  <c r="L2159" i="33"/>
  <c r="L2751" i="33"/>
  <c r="L980" i="33"/>
  <c r="L387" i="33"/>
  <c r="L363" i="17"/>
  <c r="L349" i="29"/>
  <c r="L3328" i="33"/>
  <c r="L2151" i="33"/>
  <c r="L1559" i="33"/>
  <c r="L2743" i="33"/>
  <c r="L972" i="33"/>
  <c r="L379" i="33"/>
  <c r="L341" i="29"/>
  <c r="L355" i="17"/>
  <c r="L2135" i="33"/>
  <c r="L3312" i="33"/>
  <c r="J3064" i="33" s="1"/>
  <c r="L1543" i="33"/>
  <c r="L2727" i="33"/>
  <c r="L956" i="33"/>
  <c r="L363" i="33"/>
  <c r="L325" i="29"/>
  <c r="L339" i="17"/>
  <c r="L2119" i="33"/>
  <c r="L3296" i="33"/>
  <c r="L1527" i="33"/>
  <c r="L2711" i="33"/>
  <c r="J2481" i="33" s="1"/>
  <c r="L940" i="33"/>
  <c r="L347" i="33"/>
  <c r="L309" i="29"/>
  <c r="L323" i="17"/>
  <c r="L2103" i="33"/>
  <c r="L3280" i="33"/>
  <c r="L1511" i="33"/>
  <c r="L2695" i="33"/>
  <c r="L924" i="33"/>
  <c r="L331" i="33"/>
  <c r="L293" i="29"/>
  <c r="L307" i="17"/>
  <c r="L2095" i="33"/>
  <c r="L3272" i="33"/>
  <c r="L1503" i="33"/>
  <c r="L2687" i="33"/>
  <c r="L916" i="33"/>
  <c r="L323" i="33"/>
  <c r="L299" i="17"/>
  <c r="L285" i="29"/>
  <c r="L2079" i="33"/>
  <c r="L3256" i="33"/>
  <c r="L1487" i="33"/>
  <c r="L2671" i="33"/>
  <c r="L900" i="33"/>
  <c r="L307" i="33"/>
  <c r="L269" i="29"/>
  <c r="L283" i="17"/>
  <c r="L2063" i="33"/>
  <c r="L3240" i="33"/>
  <c r="L1471" i="33"/>
  <c r="L2655" i="33"/>
  <c r="L884" i="33"/>
  <c r="J699" i="33" s="1"/>
  <c r="L291" i="33"/>
  <c r="L267" i="17"/>
  <c r="L253" i="29"/>
  <c r="L2047" i="33"/>
  <c r="L3224" i="33"/>
  <c r="L1455" i="33"/>
  <c r="L2639" i="33"/>
  <c r="L868" i="33"/>
  <c r="L275" i="33"/>
  <c r="L237" i="29"/>
  <c r="L251" i="17"/>
  <c r="L2031" i="33"/>
  <c r="L3208" i="33"/>
  <c r="L1439" i="33"/>
  <c r="L2623" i="33"/>
  <c r="L852" i="33"/>
  <c r="J703" i="33" s="1"/>
  <c r="L259" i="33"/>
  <c r="L235" i="17"/>
  <c r="L221" i="29"/>
  <c r="L3359" i="33"/>
  <c r="L2182" i="33"/>
  <c r="L1590" i="33"/>
  <c r="L2774" i="33"/>
  <c r="L1003" i="33"/>
  <c r="L372" i="29"/>
  <c r="L410" i="33"/>
  <c r="L386" i="17"/>
  <c r="L3351" i="33"/>
  <c r="L2174" i="33"/>
  <c r="L1582" i="33"/>
  <c r="L2766" i="33"/>
  <c r="L364" i="29"/>
  <c r="L402" i="33"/>
  <c r="L995" i="33"/>
  <c r="L378" i="17"/>
  <c r="L3343" i="33"/>
  <c r="L1574" i="33"/>
  <c r="L2166" i="33"/>
  <c r="L2758" i="33"/>
  <c r="J2480" i="33" s="1"/>
  <c r="L987" i="33"/>
  <c r="L356" i="29"/>
  <c r="L394" i="33"/>
  <c r="L370" i="17"/>
  <c r="L3335" i="33"/>
  <c r="L1566" i="33"/>
  <c r="L2158" i="33"/>
  <c r="L2750" i="33"/>
  <c r="J2474" i="33" s="1"/>
  <c r="L979" i="33"/>
  <c r="L348" i="29"/>
  <c r="L386" i="33"/>
  <c r="L362" i="17"/>
  <c r="L3327" i="33"/>
  <c r="L1558" i="33"/>
  <c r="L2150" i="33"/>
  <c r="L2742" i="33"/>
  <c r="L971" i="33"/>
  <c r="L340" i="29"/>
  <c r="L378" i="33"/>
  <c r="L354" i="17"/>
  <c r="L3319" i="33"/>
  <c r="L2142" i="33"/>
  <c r="L1550" i="33"/>
  <c r="L2734" i="33"/>
  <c r="L963" i="33"/>
  <c r="L332" i="29"/>
  <c r="L370" i="33"/>
  <c r="L346" i="17"/>
  <c r="L3311" i="33"/>
  <c r="L2134" i="33"/>
  <c r="L1542" i="33"/>
  <c r="L2726" i="33"/>
  <c r="L955" i="33"/>
  <c r="L324" i="29"/>
  <c r="L362" i="33"/>
  <c r="L338" i="17"/>
  <c r="L3303" i="33"/>
  <c r="L2126" i="33"/>
  <c r="L1534" i="33"/>
  <c r="L2718" i="33"/>
  <c r="L947" i="33"/>
  <c r="L316" i="29"/>
  <c r="L354" i="33"/>
  <c r="L330" i="17"/>
  <c r="L3295" i="33"/>
  <c r="L1526" i="33"/>
  <c r="L2118" i="33"/>
  <c r="L2710" i="33"/>
  <c r="L939" i="33"/>
  <c r="L308" i="29"/>
  <c r="L346" i="33"/>
  <c r="L322" i="17"/>
  <c r="L3287" i="33"/>
  <c r="L2110" i="33"/>
  <c r="L1518" i="33"/>
  <c r="L2702" i="33"/>
  <c r="L931" i="33"/>
  <c r="L300" i="29"/>
  <c r="L338" i="33"/>
  <c r="L314" i="17"/>
  <c r="L2102" i="33"/>
  <c r="L3279" i="33"/>
  <c r="L1510" i="33"/>
  <c r="L2694" i="33"/>
  <c r="L923" i="33"/>
  <c r="L292" i="29"/>
  <c r="L330" i="33"/>
  <c r="L306" i="17"/>
  <c r="L2094" i="33"/>
  <c r="L3271" i="33"/>
  <c r="L1502" i="33"/>
  <c r="L2686" i="33"/>
  <c r="L915" i="33"/>
  <c r="L284" i="29"/>
  <c r="L322" i="33"/>
  <c r="L298" i="17"/>
  <c r="L2086" i="33"/>
  <c r="L3263" i="33"/>
  <c r="L1494" i="33"/>
  <c r="L2678" i="33"/>
  <c r="L907" i="33"/>
  <c r="L276" i="29"/>
  <c r="L314" i="33"/>
  <c r="L290" i="17"/>
  <c r="L2078" i="33"/>
  <c r="L3255" i="33"/>
  <c r="L1486" i="33"/>
  <c r="L2670" i="33"/>
  <c r="L899" i="33"/>
  <c r="L268" i="29"/>
  <c r="L306" i="33"/>
  <c r="L282" i="17"/>
  <c r="L2070" i="33"/>
  <c r="L3247" i="33"/>
  <c r="L1478" i="33"/>
  <c r="L2662" i="33"/>
  <c r="L891" i="33"/>
  <c r="L260" i="29"/>
  <c r="L298" i="33"/>
  <c r="L274" i="17"/>
  <c r="L2062" i="33"/>
  <c r="L3239" i="33"/>
  <c r="L1470" i="33"/>
  <c r="L2654" i="33"/>
  <c r="L883" i="33"/>
  <c r="L252" i="29"/>
  <c r="L290" i="33"/>
  <c r="L266" i="17"/>
  <c r="L2054" i="33"/>
  <c r="L3231" i="33"/>
  <c r="L1462" i="33"/>
  <c r="L2646" i="33"/>
  <c r="L875" i="33"/>
  <c r="L244" i="29"/>
  <c r="L282" i="33"/>
  <c r="L258" i="17"/>
  <c r="L2046" i="33"/>
  <c r="L3223" i="33"/>
  <c r="L1454" i="33"/>
  <c r="L2638" i="33"/>
  <c r="L867" i="33"/>
  <c r="L236" i="29"/>
  <c r="L274" i="33"/>
  <c r="L250" i="17"/>
  <c r="L2038" i="33"/>
  <c r="L3215" i="33"/>
  <c r="L1446" i="33"/>
  <c r="L2630" i="33"/>
  <c r="L859" i="33"/>
  <c r="L228" i="29"/>
  <c r="L266" i="33"/>
  <c r="L242" i="17"/>
  <c r="L2030" i="33"/>
  <c r="L3207" i="33"/>
  <c r="L1438" i="33"/>
  <c r="L851" i="33"/>
  <c r="L2622" i="33"/>
  <c r="L220" i="29"/>
  <c r="L258" i="33"/>
  <c r="L234" i="17"/>
  <c r="L2022" i="33"/>
  <c r="L3199" i="33"/>
  <c r="J3065" i="33" s="1"/>
  <c r="L1430" i="33"/>
  <c r="L2614" i="33"/>
  <c r="L843" i="33"/>
  <c r="J708" i="33" s="1"/>
  <c r="L212" i="29"/>
  <c r="J87" i="29" s="1"/>
  <c r="L250" i="33"/>
  <c r="L226" i="17"/>
  <c r="L3358" i="33"/>
  <c r="L2181" i="33"/>
  <c r="L1589" i="33"/>
  <c r="L2773" i="33"/>
  <c r="L1002" i="33"/>
  <c r="L409" i="33"/>
  <c r="L371" i="29"/>
  <c r="L385" i="17"/>
  <c r="L3350" i="33"/>
  <c r="L2173" i="33"/>
  <c r="L1581" i="33"/>
  <c r="L2765" i="33"/>
  <c r="L994" i="33"/>
  <c r="L401" i="33"/>
  <c r="L363" i="29"/>
  <c r="L377" i="17"/>
  <c r="L3342" i="33"/>
  <c r="L1573" i="33"/>
  <c r="L2165" i="33"/>
  <c r="L2757" i="33"/>
  <c r="J2479" i="33" s="1"/>
  <c r="L986" i="33"/>
  <c r="L393" i="33"/>
  <c r="L355" i="29"/>
  <c r="L369" i="17"/>
  <c r="L3334" i="33"/>
  <c r="L1565" i="33"/>
  <c r="L2157" i="33"/>
  <c r="L2749" i="33"/>
  <c r="L978" i="33"/>
  <c r="L385" i="33"/>
  <c r="L361" i="17"/>
  <c r="L347" i="29"/>
  <c r="J90" i="29" s="1"/>
  <c r="L3326" i="33"/>
  <c r="L1557" i="33"/>
  <c r="L2149" i="33"/>
  <c r="L2741" i="33"/>
  <c r="L970" i="33"/>
  <c r="L377" i="33"/>
  <c r="L339" i="29"/>
  <c r="L353" i="17"/>
  <c r="L3318" i="33"/>
  <c r="L1549" i="33"/>
  <c r="L2141" i="33"/>
  <c r="L2733" i="33"/>
  <c r="L962" i="33"/>
  <c r="L369" i="33"/>
  <c r="L331" i="29"/>
  <c r="L345" i="17"/>
  <c r="L3310" i="33"/>
  <c r="L2133" i="33"/>
  <c r="L1541" i="33"/>
  <c r="L2725" i="33"/>
  <c r="L954" i="33"/>
  <c r="L361" i="33"/>
  <c r="L323" i="29"/>
  <c r="L337" i="17"/>
  <c r="L3302" i="33"/>
  <c r="L2125" i="33"/>
  <c r="L1533" i="33"/>
  <c r="L2717" i="33"/>
  <c r="L946" i="33"/>
  <c r="L353" i="33"/>
  <c r="L329" i="17"/>
  <c r="L315" i="29"/>
  <c r="L3294" i="33"/>
  <c r="L1525" i="33"/>
  <c r="L2117" i="33"/>
  <c r="L2709" i="33"/>
  <c r="L938" i="33"/>
  <c r="L345" i="33"/>
  <c r="L307" i="29"/>
  <c r="L321" i="17"/>
  <c r="L3286" i="33"/>
  <c r="L1517" i="33"/>
  <c r="L2109" i="33"/>
  <c r="L2701" i="33"/>
  <c r="L930" i="33"/>
  <c r="L337" i="33"/>
  <c r="L299" i="29"/>
  <c r="L313" i="17"/>
  <c r="L3278" i="33"/>
  <c r="L2101" i="33"/>
  <c r="L1509" i="33"/>
  <c r="L2693" i="33"/>
  <c r="L922" i="33"/>
  <c r="L329" i="33"/>
  <c r="L291" i="29"/>
  <c r="L305" i="17"/>
  <c r="L3270" i="33"/>
  <c r="L1501" i="33"/>
  <c r="J1298" i="33" s="1"/>
  <c r="L2093" i="33"/>
  <c r="L2685" i="33"/>
  <c r="L914" i="33"/>
  <c r="L321" i="33"/>
  <c r="L297" i="17"/>
  <c r="L283" i="29"/>
  <c r="L3262" i="33"/>
  <c r="L2085" i="33"/>
  <c r="L1493" i="33"/>
  <c r="L2677" i="33"/>
  <c r="J2472" i="33" s="1"/>
  <c r="L906" i="33"/>
  <c r="L313" i="33"/>
  <c r="L275" i="29"/>
  <c r="L289" i="17"/>
  <c r="L2077" i="33"/>
  <c r="L3254" i="33"/>
  <c r="L1485" i="33"/>
  <c r="L2669" i="33"/>
  <c r="L898" i="33"/>
  <c r="L305" i="33"/>
  <c r="L267" i="29"/>
  <c r="L281" i="17"/>
  <c r="L2069" i="33"/>
  <c r="L3246" i="33"/>
  <c r="L1477" i="33"/>
  <c r="L2661" i="33"/>
  <c r="L890" i="33"/>
  <c r="L297" i="33"/>
  <c r="L259" i="29"/>
  <c r="L273" i="17"/>
  <c r="L2061" i="33"/>
  <c r="L3238" i="33"/>
  <c r="L1469" i="33"/>
  <c r="L2653" i="33"/>
  <c r="J2471" i="33" s="1"/>
  <c r="L882" i="33"/>
  <c r="L289" i="33"/>
  <c r="L265" i="17"/>
  <c r="L251" i="29"/>
  <c r="L2053" i="33"/>
  <c r="L3230" i="33"/>
  <c r="L1461" i="33"/>
  <c r="L2645" i="33"/>
  <c r="L874" i="33"/>
  <c r="L281" i="33"/>
  <c r="L243" i="29"/>
  <c r="L257" i="17"/>
  <c r="L2045" i="33"/>
  <c r="L3222" i="33"/>
  <c r="L1453" i="33"/>
  <c r="L2637" i="33"/>
  <c r="L866" i="33"/>
  <c r="L273" i="33"/>
  <c r="L235" i="29"/>
  <c r="L249" i="17"/>
  <c r="L2037" i="33"/>
  <c r="L3214" i="33"/>
  <c r="L1445" i="33"/>
  <c r="L2629" i="33"/>
  <c r="L858" i="33"/>
  <c r="L265" i="33"/>
  <c r="L227" i="29"/>
  <c r="L241" i="17"/>
  <c r="L2029" i="33"/>
  <c r="L3206" i="33"/>
  <c r="L1437" i="33"/>
  <c r="L850" i="33"/>
  <c r="L2621" i="33"/>
  <c r="L257" i="33"/>
  <c r="L233" i="17"/>
  <c r="L219" i="29"/>
  <c r="L3338" i="33"/>
  <c r="L2161" i="33"/>
  <c r="L1569" i="33"/>
  <c r="L982" i="33"/>
  <c r="L2753" i="33"/>
  <c r="L389" i="33"/>
  <c r="L365" i="17"/>
  <c r="L351" i="29"/>
  <c r="L3290" i="33"/>
  <c r="L2113" i="33"/>
  <c r="L1521" i="33"/>
  <c r="L934" i="33"/>
  <c r="L2705" i="33"/>
  <c r="L341" i="33"/>
  <c r="L317" i="17"/>
  <c r="L303" i="29"/>
  <c r="L3226" i="33"/>
  <c r="L2049" i="33"/>
  <c r="L1457" i="33"/>
  <c r="L2641" i="33"/>
  <c r="L870" i="33"/>
  <c r="L277" i="33"/>
  <c r="L253" i="17"/>
  <c r="L239" i="29"/>
  <c r="L3341" i="33"/>
  <c r="L1572" i="33"/>
  <c r="L2164" i="33"/>
  <c r="L2756" i="33"/>
  <c r="L985" i="33"/>
  <c r="L392" i="33"/>
  <c r="L354" i="29"/>
  <c r="L3309" i="33"/>
  <c r="L2132" i="33"/>
  <c r="L1540" i="33"/>
  <c r="L2724" i="33"/>
  <c r="L953" i="33"/>
  <c r="L360" i="33"/>
  <c r="L322" i="29"/>
  <c r="L3277" i="33"/>
  <c r="L2100" i="33"/>
  <c r="L1508" i="33"/>
  <c r="L2692" i="33"/>
  <c r="L921" i="33"/>
  <c r="L328" i="33"/>
  <c r="L290" i="29"/>
  <c r="L3253" i="33"/>
  <c r="L1484" i="33"/>
  <c r="L2076" i="33"/>
  <c r="L2668" i="33"/>
  <c r="L897" i="33"/>
  <c r="L304" i="33"/>
  <c r="L266" i="29"/>
  <c r="L280" i="17"/>
  <c r="L2044" i="33"/>
  <c r="L3221" i="33"/>
  <c r="L1452" i="33"/>
  <c r="L2636" i="33"/>
  <c r="L865" i="33"/>
  <c r="L272" i="33"/>
  <c r="L234" i="29"/>
  <c r="L248" i="17"/>
  <c r="L3306" i="33"/>
  <c r="L2129" i="33"/>
  <c r="L1537" i="33"/>
  <c r="L950" i="33"/>
  <c r="L2721" i="33"/>
  <c r="L357" i="33"/>
  <c r="L333" i="17"/>
  <c r="L319" i="29"/>
  <c r="L3234" i="33"/>
  <c r="L2057" i="33"/>
  <c r="L1465" i="33"/>
  <c r="L878" i="33"/>
  <c r="L2649" i="33"/>
  <c r="L285" i="33"/>
  <c r="L261" i="17"/>
  <c r="L247" i="29"/>
  <c r="L3357" i="33"/>
  <c r="L2180" i="33"/>
  <c r="L1588" i="33"/>
  <c r="L2772" i="33"/>
  <c r="L1001" i="33"/>
  <c r="L408" i="33"/>
  <c r="L370" i="29"/>
  <c r="L3333" i="33"/>
  <c r="L1564" i="33"/>
  <c r="L2156" i="33"/>
  <c r="L2748" i="33"/>
  <c r="L977" i="33"/>
  <c r="L384" i="33"/>
  <c r="L346" i="29"/>
  <c r="L3317" i="33"/>
  <c r="L1548" i="33"/>
  <c r="L2140" i="33"/>
  <c r="L2732" i="33"/>
  <c r="L961" i="33"/>
  <c r="L368" i="33"/>
  <c r="L330" i="29"/>
  <c r="L3293" i="33"/>
  <c r="L1524" i="33"/>
  <c r="L2116" i="33"/>
  <c r="L2708" i="33"/>
  <c r="L937" i="33"/>
  <c r="L344" i="33"/>
  <c r="L306" i="29"/>
  <c r="L3261" i="33"/>
  <c r="L1492" i="33"/>
  <c r="L2084" i="33"/>
  <c r="L2676" i="33"/>
  <c r="L905" i="33"/>
  <c r="L312" i="33"/>
  <c r="L288" i="17"/>
  <c r="L274" i="29"/>
  <c r="L2060" i="33"/>
  <c r="L3237" i="33"/>
  <c r="L1468" i="33"/>
  <c r="L2652" i="33"/>
  <c r="L881" i="33"/>
  <c r="L288" i="33"/>
  <c r="L264" i="17"/>
  <c r="L250" i="29"/>
  <c r="L2036" i="33"/>
  <c r="L3213" i="33"/>
  <c r="L1444" i="33"/>
  <c r="L2628" i="33"/>
  <c r="L857" i="33"/>
  <c r="L264" i="33"/>
  <c r="L226" i="29"/>
  <c r="L240" i="17"/>
  <c r="L2179" i="33"/>
  <c r="L3356" i="33"/>
  <c r="L1587" i="33"/>
  <c r="L1000" i="33"/>
  <c r="L2771" i="33"/>
  <c r="L407" i="33"/>
  <c r="L383" i="17"/>
  <c r="L369" i="29"/>
  <c r="L2163" i="33"/>
  <c r="L3340" i="33"/>
  <c r="L1571" i="33"/>
  <c r="L984" i="33"/>
  <c r="L2755" i="33"/>
  <c r="L391" i="33"/>
  <c r="L353" i="29"/>
  <c r="L367" i="17"/>
  <c r="L2139" i="33"/>
  <c r="L3316" i="33"/>
  <c r="L1547" i="33"/>
  <c r="L960" i="33"/>
  <c r="L2731" i="33"/>
  <c r="L367" i="33"/>
  <c r="L329" i="29"/>
  <c r="L343" i="17"/>
  <c r="L2115" i="33"/>
  <c r="L3292" i="33"/>
  <c r="L1523" i="33"/>
  <c r="L936" i="33"/>
  <c r="J705" i="33" s="1"/>
  <c r="L2707" i="33"/>
  <c r="L343" i="33"/>
  <c r="L319" i="17"/>
  <c r="L305" i="29"/>
  <c r="L2099" i="33"/>
  <c r="L3276" i="33"/>
  <c r="L1507" i="33"/>
  <c r="L920" i="33"/>
  <c r="L2691" i="33"/>
  <c r="L327" i="33"/>
  <c r="L289" i="29"/>
  <c r="L303" i="17"/>
  <c r="L2067" i="33"/>
  <c r="L3244" i="33"/>
  <c r="L1475" i="33"/>
  <c r="L2659" i="33"/>
  <c r="L888" i="33"/>
  <c r="L295" i="33"/>
  <c r="L257" i="29"/>
  <c r="L271" i="17"/>
  <c r="L2035" i="33"/>
  <c r="L3212" i="33"/>
  <c r="L1443" i="33"/>
  <c r="L856" i="33"/>
  <c r="L2627" i="33"/>
  <c r="L263" i="33"/>
  <c r="L225" i="29"/>
  <c r="L239" i="17"/>
  <c r="L368" i="17"/>
  <c r="L304" i="17"/>
  <c r="U87" i="29"/>
  <c r="H92" i="29"/>
  <c r="U90" i="29"/>
  <c r="U91" i="29"/>
  <c r="H88" i="29"/>
  <c r="H90" i="29"/>
  <c r="H91" i="29"/>
  <c r="U88" i="29"/>
  <c r="U89" i="29"/>
  <c r="U92" i="29"/>
  <c r="H87" i="29"/>
  <c r="H89" i="29"/>
  <c r="L3354" i="33"/>
  <c r="L2177" i="33"/>
  <c r="L1585" i="33"/>
  <c r="L998" i="33"/>
  <c r="L2769" i="33"/>
  <c r="L405" i="33"/>
  <c r="L381" i="17"/>
  <c r="L367" i="29"/>
  <c r="L3282" i="33"/>
  <c r="L2105" i="33"/>
  <c r="L1513" i="33"/>
  <c r="L926" i="33"/>
  <c r="L2697" i="33"/>
  <c r="J2477" i="33" s="1"/>
  <c r="L333" i="33"/>
  <c r="L309" i="17"/>
  <c r="L295" i="29"/>
  <c r="L3365" i="33"/>
  <c r="L2188" i="33"/>
  <c r="L1596" i="33"/>
  <c r="L2780" i="33"/>
  <c r="L1009" i="33"/>
  <c r="L416" i="33"/>
  <c r="L378" i="29"/>
  <c r="L3349" i="33"/>
  <c r="L2172" i="33"/>
  <c r="L1580" i="33"/>
  <c r="L2764" i="33"/>
  <c r="L993" i="33"/>
  <c r="L400" i="33"/>
  <c r="L362" i="29"/>
  <c r="L3325" i="33"/>
  <c r="L1556" i="33"/>
  <c r="L2148" i="33"/>
  <c r="L2740" i="33"/>
  <c r="L969" i="33"/>
  <c r="L376" i="33"/>
  <c r="L338" i="29"/>
  <c r="L3301" i="33"/>
  <c r="L2124" i="33"/>
  <c r="L1532" i="33"/>
  <c r="L2716" i="33"/>
  <c r="L945" i="33"/>
  <c r="L352" i="33"/>
  <c r="L314" i="29"/>
  <c r="L3285" i="33"/>
  <c r="L1516" i="33"/>
  <c r="J1295" i="33" s="1"/>
  <c r="L2108" i="33"/>
  <c r="L2700" i="33"/>
  <c r="L929" i="33"/>
  <c r="L336" i="33"/>
  <c r="L298" i="29"/>
  <c r="L3269" i="33"/>
  <c r="L1500" i="33"/>
  <c r="L2092" i="33"/>
  <c r="L2684" i="33"/>
  <c r="L913" i="33"/>
  <c r="L320" i="33"/>
  <c r="L282" i="29"/>
  <c r="L2068" i="33"/>
  <c r="L3245" i="33"/>
  <c r="L1476" i="33"/>
  <c r="L2660" i="33"/>
  <c r="L889" i="33"/>
  <c r="J695" i="33" s="1"/>
  <c r="L296" i="33"/>
  <c r="L258" i="29"/>
  <c r="L272" i="17"/>
  <c r="J91" i="17" s="1"/>
  <c r="L2052" i="33"/>
  <c r="L3229" i="33"/>
  <c r="L1460" i="33"/>
  <c r="L2644" i="33"/>
  <c r="L873" i="33"/>
  <c r="L280" i="33"/>
  <c r="L256" i="17"/>
  <c r="L242" i="29"/>
  <c r="L2028" i="33"/>
  <c r="L3205" i="33"/>
  <c r="L1436" i="33"/>
  <c r="L2620" i="33"/>
  <c r="L849" i="33"/>
  <c r="L256" i="33"/>
  <c r="L232" i="17"/>
  <c r="J89" i="17" s="1"/>
  <c r="L218" i="29"/>
  <c r="L2187" i="33"/>
  <c r="L3364" i="33"/>
  <c r="L1595" i="33"/>
  <c r="L1008" i="33"/>
  <c r="L2779" i="33"/>
  <c r="L415" i="33"/>
  <c r="L391" i="17"/>
  <c r="L377" i="29"/>
  <c r="L2171" i="33"/>
  <c r="L3348" i="33"/>
  <c r="L1579" i="33"/>
  <c r="L992" i="33"/>
  <c r="L2763" i="33"/>
  <c r="L399" i="33"/>
  <c r="L361" i="29"/>
  <c r="L375" i="17"/>
  <c r="L2155" i="33"/>
  <c r="L3332" i="33"/>
  <c r="L1563" i="33"/>
  <c r="L976" i="33"/>
  <c r="J701" i="33" s="1"/>
  <c r="L2747" i="33"/>
  <c r="L383" i="33"/>
  <c r="L359" i="17"/>
  <c r="J96" i="17" s="1"/>
  <c r="L345" i="29"/>
  <c r="L2147" i="33"/>
  <c r="L3324" i="33"/>
  <c r="L1555" i="33"/>
  <c r="L968" i="33"/>
  <c r="L2739" i="33"/>
  <c r="L375" i="33"/>
  <c r="L351" i="17"/>
  <c r="L337" i="29"/>
  <c r="L2131" i="33"/>
  <c r="L3308" i="33"/>
  <c r="L1539" i="33"/>
  <c r="L952" i="33"/>
  <c r="L2723" i="33"/>
  <c r="L359" i="33"/>
  <c r="L321" i="29"/>
  <c r="L335" i="17"/>
  <c r="L2123" i="33"/>
  <c r="L3300" i="33"/>
  <c r="L1531" i="33"/>
  <c r="L944" i="33"/>
  <c r="L2715" i="33"/>
  <c r="L351" i="33"/>
  <c r="L327" i="17"/>
  <c r="L313" i="29"/>
  <c r="L2107" i="33"/>
  <c r="L3284" i="33"/>
  <c r="L1515" i="33"/>
  <c r="L928" i="33"/>
  <c r="L2699" i="33"/>
  <c r="L335" i="33"/>
  <c r="L297" i="29"/>
  <c r="L311" i="17"/>
  <c r="L2091" i="33"/>
  <c r="L3268" i="33"/>
  <c r="L1499" i="33"/>
  <c r="L912" i="33"/>
  <c r="L2683" i="33"/>
  <c r="L319" i="33"/>
  <c r="L295" i="17"/>
  <c r="L281" i="29"/>
  <c r="L2083" i="33"/>
  <c r="L3260" i="33"/>
  <c r="L1491" i="33"/>
  <c r="L904" i="33"/>
  <c r="L2675" i="33"/>
  <c r="L311" i="33"/>
  <c r="L287" i="17"/>
  <c r="L273" i="29"/>
  <c r="L2075" i="33"/>
  <c r="L3252" i="33"/>
  <c r="L1483" i="33"/>
  <c r="L896" i="33"/>
  <c r="L2667" i="33"/>
  <c r="J2475" i="33" s="1"/>
  <c r="L303" i="33"/>
  <c r="L265" i="29"/>
  <c r="L279" i="17"/>
  <c r="L2059" i="33"/>
  <c r="L3236" i="33"/>
  <c r="L1467" i="33"/>
  <c r="L2651" i="33"/>
  <c r="L880" i="33"/>
  <c r="L287" i="33"/>
  <c r="L263" i="17"/>
  <c r="L249" i="29"/>
  <c r="L2051" i="33"/>
  <c r="L3228" i="33"/>
  <c r="L1459" i="33"/>
  <c r="L2643" i="33"/>
  <c r="J2476" i="33" s="1"/>
  <c r="L872" i="33"/>
  <c r="L279" i="33"/>
  <c r="L255" i="17"/>
  <c r="L241" i="29"/>
  <c r="L2043" i="33"/>
  <c r="L3220" i="33"/>
  <c r="L1451" i="33"/>
  <c r="L2635" i="33"/>
  <c r="L864" i="33"/>
  <c r="L271" i="33"/>
  <c r="L233" i="29"/>
  <c r="L247" i="17"/>
  <c r="L2027" i="33"/>
  <c r="L3204" i="33"/>
  <c r="L1435" i="33"/>
  <c r="L848" i="33"/>
  <c r="L2619" i="33"/>
  <c r="L255" i="33"/>
  <c r="L231" i="17"/>
  <c r="L217" i="29"/>
  <c r="L3363" i="33"/>
  <c r="L1594" i="33"/>
  <c r="L2186" i="33"/>
  <c r="L2778" i="33"/>
  <c r="L376" i="29"/>
  <c r="L1007" i="33"/>
  <c r="L414" i="33"/>
  <c r="L390" i="17"/>
  <c r="L3355" i="33"/>
  <c r="L2178" i="33"/>
  <c r="L1586" i="33"/>
  <c r="L2770" i="33"/>
  <c r="L368" i="29"/>
  <c r="L406" i="33"/>
  <c r="L999" i="33"/>
  <c r="L382" i="17"/>
  <c r="L3347" i="33"/>
  <c r="L1578" i="33"/>
  <c r="L2170" i="33"/>
  <c r="L2762" i="33"/>
  <c r="L360" i="29"/>
  <c r="L398" i="33"/>
  <c r="L991" i="33"/>
  <c r="L374" i="17"/>
  <c r="L3339" i="33"/>
  <c r="L1570" i="33"/>
  <c r="L2162" i="33"/>
  <c r="L2754" i="33"/>
  <c r="L352" i="29"/>
  <c r="L390" i="33"/>
  <c r="L983" i="33"/>
  <c r="L366" i="17"/>
  <c r="L3331" i="33"/>
  <c r="L1562" i="33"/>
  <c r="L2154" i="33"/>
  <c r="L2746" i="33"/>
  <c r="L344" i="29"/>
  <c r="L975" i="33"/>
  <c r="J700" i="33" s="1"/>
  <c r="L382" i="33"/>
  <c r="L358" i="17"/>
  <c r="J95" i="17" s="1"/>
  <c r="L3323" i="33"/>
  <c r="L1554" i="33"/>
  <c r="L2146" i="33"/>
  <c r="L967" i="33"/>
  <c r="L2738" i="33"/>
  <c r="L336" i="29"/>
  <c r="L374" i="33"/>
  <c r="L350" i="17"/>
  <c r="L3315" i="33"/>
  <c r="L1546" i="33"/>
  <c r="L2138" i="33"/>
  <c r="L959" i="33"/>
  <c r="L2730" i="33"/>
  <c r="L328" i="29"/>
  <c r="L366" i="33"/>
  <c r="L342" i="17"/>
  <c r="L3307" i="33"/>
  <c r="L1538" i="33"/>
  <c r="L2130" i="33"/>
  <c r="L951" i="33"/>
  <c r="L2722" i="33"/>
  <c r="L320" i="29"/>
  <c r="L358" i="33"/>
  <c r="L334" i="17"/>
  <c r="L3299" i="33"/>
  <c r="L1530" i="33"/>
  <c r="L2122" i="33"/>
  <c r="L943" i="33"/>
  <c r="L2714" i="33"/>
  <c r="L312" i="29"/>
  <c r="L350" i="33"/>
  <c r="L326" i="17"/>
  <c r="L3291" i="33"/>
  <c r="L1522" i="33"/>
  <c r="L2114" i="33"/>
  <c r="L935" i="33"/>
  <c r="L2706" i="33"/>
  <c r="L304" i="29"/>
  <c r="L342" i="33"/>
  <c r="L318" i="17"/>
  <c r="L3283" i="33"/>
  <c r="L1514" i="33"/>
  <c r="L2106" i="33"/>
  <c r="L927" i="33"/>
  <c r="L2698" i="33"/>
  <c r="L296" i="29"/>
  <c r="L334" i="33"/>
  <c r="L310" i="17"/>
  <c r="L3275" i="33"/>
  <c r="L2098" i="33"/>
  <c r="L1506" i="33"/>
  <c r="L919" i="33"/>
  <c r="L2690" i="33"/>
  <c r="L288" i="29"/>
  <c r="L326" i="33"/>
  <c r="L302" i="17"/>
  <c r="L3267" i="33"/>
  <c r="L1498" i="33"/>
  <c r="L2090" i="33"/>
  <c r="J1885" i="33" s="1"/>
  <c r="L911" i="33"/>
  <c r="L2682" i="33"/>
  <c r="L280" i="29"/>
  <c r="L318" i="33"/>
  <c r="L294" i="17"/>
  <c r="L3259" i="33"/>
  <c r="L1490" i="33"/>
  <c r="L2082" i="33"/>
  <c r="L903" i="33"/>
  <c r="L2674" i="33"/>
  <c r="L272" i="29"/>
  <c r="L310" i="33"/>
  <c r="L286" i="17"/>
  <c r="L3251" i="33"/>
  <c r="L1482" i="33"/>
  <c r="L2074" i="33"/>
  <c r="L895" i="33"/>
  <c r="L2666" i="33"/>
  <c r="L264" i="29"/>
  <c r="J92" i="29" s="1"/>
  <c r="L302" i="33"/>
  <c r="L278" i="17"/>
  <c r="L3243" i="33"/>
  <c r="L1474" i="33"/>
  <c r="L2066" i="33"/>
  <c r="L887" i="33"/>
  <c r="L2658" i="33"/>
  <c r="L256" i="29"/>
  <c r="L294" i="33"/>
  <c r="L270" i="17"/>
  <c r="L3235" i="33"/>
  <c r="L2058" i="33"/>
  <c r="L1466" i="33"/>
  <c r="L2650" i="33"/>
  <c r="L879" i="33"/>
  <c r="L248" i="29"/>
  <c r="L286" i="33"/>
  <c r="L262" i="17"/>
  <c r="L3227" i="33"/>
  <c r="L1458" i="33"/>
  <c r="L2050" i="33"/>
  <c r="L2642" i="33"/>
  <c r="L871" i="33"/>
  <c r="J704" i="33" s="1"/>
  <c r="L240" i="29"/>
  <c r="L278" i="33"/>
  <c r="L254" i="17"/>
  <c r="J98" i="17" s="1"/>
  <c r="L3219" i="33"/>
  <c r="L1450" i="33"/>
  <c r="L2042" i="33"/>
  <c r="L2634" i="33"/>
  <c r="L863" i="33"/>
  <c r="L232" i="29"/>
  <c r="L270" i="33"/>
  <c r="L246" i="17"/>
  <c r="L3211" i="33"/>
  <c r="L1442" i="33"/>
  <c r="L2034" i="33"/>
  <c r="L855" i="33"/>
  <c r="L2626" i="33"/>
  <c r="L224" i="29"/>
  <c r="L262" i="33"/>
  <c r="L238" i="17"/>
  <c r="L3203" i="33"/>
  <c r="L1434" i="33"/>
  <c r="L2026" i="33"/>
  <c r="L847" i="33"/>
  <c r="L2618" i="33"/>
  <c r="L216" i="29"/>
  <c r="L254" i="33"/>
  <c r="L230" i="17"/>
  <c r="L360" i="17"/>
  <c r="L296" i="17"/>
  <c r="L3346" i="33"/>
  <c r="L2169" i="33"/>
  <c r="L1577" i="33"/>
  <c r="L990" i="33"/>
  <c r="J698" i="33" s="1"/>
  <c r="L2761" i="33"/>
  <c r="L397" i="33"/>
  <c r="L373" i="17"/>
  <c r="J93" i="17" s="1"/>
  <c r="L359" i="29"/>
  <c r="L3298" i="33"/>
  <c r="L2121" i="33"/>
  <c r="L1529" i="33"/>
  <c r="L942" i="33"/>
  <c r="L2713" i="33"/>
  <c r="J2478" i="33" s="1"/>
  <c r="L349" i="33"/>
  <c r="L325" i="17"/>
  <c r="L311" i="29"/>
  <c r="L3250" i="33"/>
  <c r="L2073" i="33"/>
  <c r="L1481" i="33"/>
  <c r="L894" i="33"/>
  <c r="L2665" i="33"/>
  <c r="L301" i="33"/>
  <c r="L277" i="17"/>
  <c r="L263" i="29"/>
  <c r="L3202" i="33"/>
  <c r="L2025" i="33"/>
  <c r="L1433" i="33"/>
  <c r="L846" i="33"/>
  <c r="L2617" i="33"/>
  <c r="L253" i="33"/>
  <c r="L229" i="17"/>
  <c r="L215" i="29"/>
  <c r="L352" i="17"/>
  <c r="L3330" i="33"/>
  <c r="L2153" i="33"/>
  <c r="L1561" i="33"/>
  <c r="L974" i="33"/>
  <c r="L2745" i="33"/>
  <c r="L381" i="33"/>
  <c r="L357" i="17"/>
  <c r="L343" i="29"/>
  <c r="L3266" i="33"/>
  <c r="L2089" i="33"/>
  <c r="L1497" i="33"/>
  <c r="L910" i="33"/>
  <c r="L2681" i="33"/>
  <c r="L317" i="33"/>
  <c r="L293" i="17"/>
  <c r="L279" i="29"/>
  <c r="L3218" i="33"/>
  <c r="L2041" i="33"/>
  <c r="L1449" i="33"/>
  <c r="L2633" i="33"/>
  <c r="L862" i="33"/>
  <c r="L269" i="33"/>
  <c r="L245" i="17"/>
  <c r="L231" i="29"/>
  <c r="L3353" i="33"/>
  <c r="L2176" i="33"/>
  <c r="L1584" i="33"/>
  <c r="L997" i="33"/>
  <c r="L2768" i="33"/>
  <c r="L404" i="33"/>
  <c r="L366" i="29"/>
  <c r="L380" i="17"/>
  <c r="L3321" i="33"/>
  <c r="L2144" i="33"/>
  <c r="L1552" i="33"/>
  <c r="L965" i="33"/>
  <c r="L2736" i="33"/>
  <c r="L372" i="33"/>
  <c r="L334" i="29"/>
  <c r="L348" i="17"/>
  <c r="L3297" i="33"/>
  <c r="L1528" i="33"/>
  <c r="L2120" i="33"/>
  <c r="L941" i="33"/>
  <c r="L2712" i="33"/>
  <c r="L348" i="33"/>
  <c r="L310" i="29"/>
  <c r="L324" i="17"/>
  <c r="L3273" i="33"/>
  <c r="L2096" i="33"/>
  <c r="L1504" i="33"/>
  <c r="L917" i="33"/>
  <c r="L2688" i="33"/>
  <c r="L324" i="33"/>
  <c r="L286" i="29"/>
  <c r="L300" i="17"/>
  <c r="L3249" i="33"/>
  <c r="L2072" i="33"/>
  <c r="L1480" i="33"/>
  <c r="J1296" i="33" s="1"/>
  <c r="L893" i="33"/>
  <c r="L2664" i="33"/>
  <c r="L300" i="33"/>
  <c r="L262" i="29"/>
  <c r="L276" i="17"/>
  <c r="L3241" i="33"/>
  <c r="L2064" i="33"/>
  <c r="L1472" i="33"/>
  <c r="L885" i="33"/>
  <c r="L2656" i="33"/>
  <c r="L292" i="33"/>
  <c r="L254" i="29"/>
  <c r="L268" i="17"/>
  <c r="L3217" i="33"/>
  <c r="L2040" i="33"/>
  <c r="L1448" i="33"/>
  <c r="L2632" i="33"/>
  <c r="L861" i="33"/>
  <c r="L268" i="33"/>
  <c r="L230" i="29"/>
  <c r="L244" i="17"/>
  <c r="L3209" i="33"/>
  <c r="L2032" i="33"/>
  <c r="L1440" i="33"/>
  <c r="L853" i="33"/>
  <c r="L2624" i="33"/>
  <c r="L260" i="33"/>
  <c r="L222" i="29"/>
  <c r="L236" i="17"/>
  <c r="L3201" i="33"/>
  <c r="L2024" i="33"/>
  <c r="L1432" i="33"/>
  <c r="L845" i="33"/>
  <c r="L2616" i="33"/>
  <c r="L252" i="33"/>
  <c r="L214" i="29"/>
  <c r="L228" i="17"/>
  <c r="U90" i="17"/>
  <c r="U98" i="17"/>
  <c r="H93" i="17"/>
  <c r="U91" i="17"/>
  <c r="U99" i="17"/>
  <c r="H94" i="17"/>
  <c r="U92" i="17"/>
  <c r="J97" i="17"/>
  <c r="H95" i="17"/>
  <c r="U93" i="17"/>
  <c r="J90" i="17"/>
  <c r="U94" i="17"/>
  <c r="J99" i="17"/>
  <c r="H89" i="17"/>
  <c r="H97" i="17"/>
  <c r="U95" i="17"/>
  <c r="H90" i="17"/>
  <c r="H98" i="17"/>
  <c r="U96" i="17"/>
  <c r="H91" i="17"/>
  <c r="H99" i="17"/>
  <c r="U89" i="17"/>
  <c r="U97" i="17"/>
  <c r="J94" i="17"/>
  <c r="H92" i="17"/>
  <c r="L344" i="17"/>
  <c r="L3314" i="33"/>
  <c r="L2137" i="33"/>
  <c r="L1545" i="33"/>
  <c r="L958" i="33"/>
  <c r="L2729" i="33"/>
  <c r="L365" i="33"/>
  <c r="L341" i="17"/>
  <c r="L327" i="29"/>
  <c r="L3258" i="33"/>
  <c r="L2081" i="33"/>
  <c r="L1489" i="33"/>
  <c r="L902" i="33"/>
  <c r="L2673" i="33"/>
  <c r="J2473" i="33" s="1"/>
  <c r="L309" i="33"/>
  <c r="L285" i="17"/>
  <c r="L271" i="29"/>
  <c r="L3210" i="33"/>
  <c r="L2033" i="33"/>
  <c r="L1441" i="33"/>
  <c r="L854" i="33"/>
  <c r="L2625" i="33"/>
  <c r="L261" i="33"/>
  <c r="L237" i="17"/>
  <c r="L223" i="29"/>
  <c r="L3345" i="33"/>
  <c r="L1576" i="33"/>
  <c r="L2168" i="33"/>
  <c r="L989" i="33"/>
  <c r="L2760" i="33"/>
  <c r="L396" i="33"/>
  <c r="L358" i="29"/>
  <c r="L372" i="17"/>
  <c r="L3329" i="33"/>
  <c r="L2152" i="33"/>
  <c r="L1560" i="33"/>
  <c r="L973" i="33"/>
  <c r="J697" i="33" s="1"/>
  <c r="L2744" i="33"/>
  <c r="L380" i="33"/>
  <c r="J115" i="33" s="1"/>
  <c r="L342" i="29"/>
  <c r="L356" i="17"/>
  <c r="L3305" i="33"/>
  <c r="L2128" i="33"/>
  <c r="L1536" i="33"/>
  <c r="L949" i="33"/>
  <c r="L2720" i="33"/>
  <c r="L356" i="33"/>
  <c r="L318" i="29"/>
  <c r="L332" i="17"/>
  <c r="L3289" i="33"/>
  <c r="L2112" i="33"/>
  <c r="L1520" i="33"/>
  <c r="L933" i="33"/>
  <c r="L2704" i="33"/>
  <c r="L340" i="33"/>
  <c r="L302" i="29"/>
  <c r="L316" i="17"/>
  <c r="L3265" i="33"/>
  <c r="L2088" i="33"/>
  <c r="L1496" i="33"/>
  <c r="L909" i="33"/>
  <c r="L2680" i="33"/>
  <c r="L316" i="33"/>
  <c r="L278" i="29"/>
  <c r="L292" i="17"/>
  <c r="L3233" i="33"/>
  <c r="L2056" i="33"/>
  <c r="L1464" i="33"/>
  <c r="L877" i="33"/>
  <c r="L2648" i="33"/>
  <c r="L284" i="33"/>
  <c r="L246" i="29"/>
  <c r="L260" i="17"/>
  <c r="L3360" i="33"/>
  <c r="L2183" i="33"/>
  <c r="L1591" i="33"/>
  <c r="L2775" i="33"/>
  <c r="L1004" i="33"/>
  <c r="L411" i="33"/>
  <c r="L373" i="29"/>
  <c r="L387" i="17"/>
  <c r="L3344" i="33"/>
  <c r="L1575" i="33"/>
  <c r="L2167" i="33"/>
  <c r="L2759" i="33"/>
  <c r="L988" i="33"/>
  <c r="J707" i="33" s="1"/>
  <c r="L395" i="33"/>
  <c r="L357" i="29"/>
  <c r="L371" i="17"/>
  <c r="L3320" i="33"/>
  <c r="L2143" i="33"/>
  <c r="L1551" i="33"/>
  <c r="L2735" i="33"/>
  <c r="L964" i="33"/>
  <c r="L371" i="33"/>
  <c r="L333" i="29"/>
  <c r="L347" i="17"/>
  <c r="L2127" i="33"/>
  <c r="L3304" i="33"/>
  <c r="L1535" i="33"/>
  <c r="L2719" i="33"/>
  <c r="L948" i="33"/>
  <c r="L355" i="33"/>
  <c r="L331" i="17"/>
  <c r="L317" i="29"/>
  <c r="L2111" i="33"/>
  <c r="L3288" i="33"/>
  <c r="L1519" i="33"/>
  <c r="L2703" i="33"/>
  <c r="L932" i="33"/>
  <c r="L339" i="33"/>
  <c r="L301" i="29"/>
  <c r="L315" i="17"/>
  <c r="L2087" i="33"/>
  <c r="J1883" i="33" s="1"/>
  <c r="L3264" i="33"/>
  <c r="L1495" i="33"/>
  <c r="L2679" i="33"/>
  <c r="L908" i="33"/>
  <c r="J696" i="33" s="1"/>
  <c r="L315" i="33"/>
  <c r="L277" i="29"/>
  <c r="L291" i="17"/>
  <c r="J92" i="17" s="1"/>
  <c r="L2071" i="33"/>
  <c r="L3248" i="33"/>
  <c r="L1479" i="33"/>
  <c r="L2663" i="33"/>
  <c r="L892" i="33"/>
  <c r="L299" i="33"/>
  <c r="L261" i="29"/>
  <c r="L275" i="17"/>
  <c r="L2055" i="33"/>
  <c r="L3232" i="33"/>
  <c r="L1463" i="33"/>
  <c r="L2647" i="33"/>
  <c r="L876" i="33"/>
  <c r="L283" i="33"/>
  <c r="L245" i="29"/>
  <c r="L259" i="17"/>
  <c r="L2039" i="33"/>
  <c r="L3216" i="33"/>
  <c r="L1447" i="33"/>
  <c r="L2631" i="33"/>
  <c r="L860" i="33"/>
  <c r="L267" i="33"/>
  <c r="L229" i="29"/>
  <c r="L243" i="17"/>
  <c r="L2023" i="33"/>
  <c r="L3200" i="33"/>
  <c r="L1431" i="33"/>
  <c r="L2615" i="33"/>
  <c r="L844" i="33"/>
  <c r="L251" i="33"/>
  <c r="L213" i="29"/>
  <c r="L227" i="17"/>
  <c r="H96" i="17"/>
  <c r="L336" i="17"/>
  <c r="U116" i="33"/>
  <c r="J117" i="33"/>
  <c r="H119" i="33"/>
  <c r="U117" i="33"/>
  <c r="J118" i="33"/>
  <c r="H120" i="33"/>
  <c r="U118" i="33"/>
  <c r="J119" i="33"/>
  <c r="H121" i="33"/>
  <c r="U119" i="33"/>
  <c r="J120" i="33"/>
  <c r="U120" i="33"/>
  <c r="J121" i="33"/>
  <c r="H115" i="33"/>
  <c r="U121" i="33"/>
  <c r="H116" i="33"/>
  <c r="H117" i="33"/>
  <c r="U115" i="33"/>
  <c r="J116" i="33"/>
  <c r="H118" i="33"/>
  <c r="U700" i="33"/>
  <c r="U708" i="33"/>
  <c r="H697" i="33"/>
  <c r="H705" i="33"/>
  <c r="U701" i="33"/>
  <c r="U709" i="33"/>
  <c r="H698" i="33"/>
  <c r="H706" i="33"/>
  <c r="U694" i="33"/>
  <c r="U702" i="33"/>
  <c r="U710" i="33"/>
  <c r="U695" i="33"/>
  <c r="U703" i="33"/>
  <c r="U711" i="33"/>
  <c r="H700" i="33"/>
  <c r="H708" i="33"/>
  <c r="U696" i="33"/>
  <c r="U704" i="33"/>
  <c r="H701" i="33"/>
  <c r="H709" i="33"/>
  <c r="U697" i="33"/>
  <c r="U705" i="33"/>
  <c r="H694" i="33"/>
  <c r="H702" i="33"/>
  <c r="H710" i="33"/>
  <c r="U698" i="33"/>
  <c r="U706" i="33"/>
  <c r="U699" i="33"/>
  <c r="U707" i="33"/>
  <c r="H696" i="33"/>
  <c r="H704" i="33"/>
  <c r="H711" i="33"/>
  <c r="H707" i="33"/>
  <c r="H703" i="33"/>
  <c r="H699" i="33"/>
  <c r="H695" i="33"/>
  <c r="U2471" i="33"/>
  <c r="U2479" i="33"/>
  <c r="U2475" i="33"/>
  <c r="U2476" i="33"/>
  <c r="U2472" i="33"/>
  <c r="H2477" i="33"/>
  <c r="U2473" i="33"/>
  <c r="H2470" i="33"/>
  <c r="H2478" i="33"/>
  <c r="U2474" i="33"/>
  <c r="H2471" i="33"/>
  <c r="H2479" i="33"/>
  <c r="U2477" i="33"/>
  <c r="H2472" i="33"/>
  <c r="H2480" i="33"/>
  <c r="U2478" i="33"/>
  <c r="H2473" i="33"/>
  <c r="H2481" i="33"/>
  <c r="U2480" i="33"/>
  <c r="H2474" i="33"/>
  <c r="U2481" i="33"/>
  <c r="H2475" i="33"/>
  <c r="U2470" i="33"/>
  <c r="H2476" i="33"/>
  <c r="H1883" i="33"/>
  <c r="H1884" i="33"/>
  <c r="H1886" i="33"/>
  <c r="H1887" i="33"/>
  <c r="H1888" i="33"/>
  <c r="U1298" i="33"/>
  <c r="J1297" i="33"/>
  <c r="H1297" i="33"/>
  <c r="U1299" i="33"/>
  <c r="H1298" i="33"/>
  <c r="U1292" i="33"/>
  <c r="U1300" i="33"/>
  <c r="J1299" i="33"/>
  <c r="H1299" i="33"/>
  <c r="U1293" i="33"/>
  <c r="J1292" i="33"/>
  <c r="J1300" i="33"/>
  <c r="H1292" i="33"/>
  <c r="H1300" i="33"/>
  <c r="U1294" i="33"/>
  <c r="J1293" i="33"/>
  <c r="H1293" i="33"/>
  <c r="U1295" i="33"/>
  <c r="J1294" i="33"/>
  <c r="H1294" i="33"/>
  <c r="U1296" i="33"/>
  <c r="H1295" i="33"/>
  <c r="U1297" i="33"/>
  <c r="H1296" i="33"/>
  <c r="U3063" i="33"/>
  <c r="U3064" i="33"/>
  <c r="J3063" i="33"/>
  <c r="H3063" i="33"/>
  <c r="H3064" i="33"/>
  <c r="U1886" i="33"/>
  <c r="J1887" i="33"/>
  <c r="H1889" i="33"/>
  <c r="U1887" i="33"/>
  <c r="J1888" i="33"/>
  <c r="U1888" i="33"/>
  <c r="J1889" i="33"/>
  <c r="U1889" i="33"/>
  <c r="U1883" i="33"/>
  <c r="J1884" i="33"/>
  <c r="U1884" i="33"/>
  <c r="H1885" i="33"/>
  <c r="J1886" i="33"/>
  <c r="U1885" i="33"/>
  <c r="J710" i="33" l="1"/>
  <c r="J89" i="29"/>
  <c r="J91" i="29"/>
  <c r="J88" i="29"/>
  <c r="J2470" i="33"/>
  <c r="J709" i="33"/>
  <c r="J711" i="33"/>
  <c r="J16" i="29" l="1"/>
  <c r="J17" i="29"/>
  <c r="J18" i="29"/>
  <c r="J19" i="29"/>
  <c r="J20" i="29"/>
  <c r="J21" i="29"/>
  <c r="J22" i="29"/>
  <c r="D171" i="31"/>
  <c r="D154" i="31"/>
  <c r="D137" i="31"/>
  <c r="D120" i="31"/>
  <c r="D103" i="31"/>
  <c r="D86" i="31"/>
  <c r="D69" i="31"/>
  <c r="D52" i="31"/>
  <c r="D35" i="31"/>
  <c r="D216" i="30"/>
  <c r="D181" i="30"/>
  <c r="D163" i="30"/>
  <c r="D145" i="30"/>
  <c r="D127" i="30"/>
  <c r="D109" i="30"/>
  <c r="D91" i="30"/>
  <c r="D73" i="30"/>
  <c r="D55" i="30"/>
  <c r="D37" i="30"/>
  <c r="D19" i="30"/>
  <c r="D38" i="29"/>
  <c r="C167" i="31" s="1"/>
  <c r="D37" i="29"/>
  <c r="C150" i="31" s="1"/>
  <c r="D36" i="29"/>
  <c r="C133" i="31" s="1"/>
  <c r="D35" i="29"/>
  <c r="C116" i="31" s="1"/>
  <c r="D34" i="29"/>
  <c r="C99" i="31" s="1"/>
  <c r="D33" i="29"/>
  <c r="C82" i="31" s="1"/>
  <c r="D32" i="29"/>
  <c r="C65" i="31" s="1"/>
  <c r="D29" i="29"/>
  <c r="C48" i="31" s="1"/>
  <c r="D28" i="29"/>
  <c r="C31" i="31" s="1"/>
  <c r="D27" i="29"/>
  <c r="C14" i="31" s="1"/>
  <c r="C190" i="14"/>
  <c r="D101" i="14"/>
  <c r="C170" i="14"/>
  <c r="C149" i="14"/>
  <c r="D100" i="14"/>
  <c r="C128" i="14"/>
  <c r="H26" i="15"/>
  <c r="D1138" i="34"/>
  <c r="D1122" i="34"/>
  <c r="D1106" i="34"/>
  <c r="D1090" i="34"/>
  <c r="D1074" i="34"/>
  <c r="D1058" i="34"/>
  <c r="D1042" i="34"/>
  <c r="D1026" i="34"/>
  <c r="D1010" i="34"/>
  <c r="D994" i="34"/>
  <c r="D2991" i="33"/>
  <c r="D2990" i="33"/>
  <c r="D2989" i="33"/>
  <c r="D2988" i="33"/>
  <c r="D2987" i="33"/>
  <c r="D2986" i="33"/>
  <c r="D2985" i="33"/>
  <c r="D2982" i="33"/>
  <c r="D2981" i="33"/>
  <c r="D2980" i="33"/>
  <c r="D2206" i="35"/>
  <c r="D2189" i="35"/>
  <c r="D2172" i="35"/>
  <c r="D2155" i="35"/>
  <c r="D2138" i="35"/>
  <c r="D2121" i="35"/>
  <c r="D2104" i="35"/>
  <c r="D2087" i="35"/>
  <c r="D2070" i="35"/>
  <c r="D2053" i="35"/>
  <c r="D1159" i="34"/>
  <c r="D943" i="34"/>
  <c r="D927" i="34"/>
  <c r="D911" i="34"/>
  <c r="D895" i="34"/>
  <c r="D879" i="34"/>
  <c r="D863" i="34"/>
  <c r="D847" i="34"/>
  <c r="D831" i="34"/>
  <c r="D815" i="34"/>
  <c r="D799" i="34"/>
  <c r="D1807" i="33"/>
  <c r="D1806" i="33"/>
  <c r="D1805" i="33"/>
  <c r="D1804" i="33"/>
  <c r="D1803" i="33"/>
  <c r="D1802" i="33"/>
  <c r="D1801" i="33"/>
  <c r="D1798" i="33"/>
  <c r="D1797" i="33"/>
  <c r="D1796" i="33"/>
  <c r="D1799" i="35"/>
  <c r="D1782" i="35"/>
  <c r="D1765" i="35"/>
  <c r="D1748" i="35"/>
  <c r="D1731" i="35"/>
  <c r="D1714" i="35"/>
  <c r="D1697" i="35"/>
  <c r="D1680" i="35"/>
  <c r="D1663" i="35"/>
  <c r="D1646" i="35"/>
  <c r="D964" i="34"/>
  <c r="D748" i="34"/>
  <c r="D732" i="34"/>
  <c r="D716" i="34"/>
  <c r="D700" i="34"/>
  <c r="D684" i="34"/>
  <c r="D668" i="34"/>
  <c r="D652" i="34"/>
  <c r="D636" i="34"/>
  <c r="D620" i="34"/>
  <c r="D604" i="34"/>
  <c r="D1220" i="33"/>
  <c r="D1219" i="33"/>
  <c r="D1218" i="33"/>
  <c r="D1217" i="33"/>
  <c r="D1216" i="33"/>
  <c r="D1215" i="33"/>
  <c r="D1214" i="33"/>
  <c r="D1211" i="33"/>
  <c r="D1210" i="33"/>
  <c r="D1209" i="33"/>
  <c r="D1392" i="35"/>
  <c r="D1375" i="35"/>
  <c r="D1358" i="35"/>
  <c r="D1341" i="35"/>
  <c r="D1324" i="35"/>
  <c r="D1307" i="35"/>
  <c r="D1290" i="35"/>
  <c r="D1273" i="35"/>
  <c r="D1256" i="35"/>
  <c r="D1239" i="35"/>
  <c r="D769" i="34"/>
  <c r="D553" i="34"/>
  <c r="D537" i="34"/>
  <c r="D521" i="34"/>
  <c r="D505" i="34"/>
  <c r="D489" i="34"/>
  <c r="D473" i="34"/>
  <c r="D457" i="34"/>
  <c r="D441" i="34"/>
  <c r="D425" i="34"/>
  <c r="D409" i="34"/>
  <c r="D2399" i="33"/>
  <c r="D2398" i="33"/>
  <c r="D2397" i="33"/>
  <c r="D2396" i="33"/>
  <c r="D2395" i="33"/>
  <c r="D2394" i="33"/>
  <c r="D2393" i="33"/>
  <c r="D2390" i="33"/>
  <c r="D2389" i="33"/>
  <c r="D2388" i="33"/>
  <c r="D985" i="35"/>
  <c r="D968" i="35"/>
  <c r="D951" i="35"/>
  <c r="D934" i="35"/>
  <c r="D917" i="35"/>
  <c r="D900" i="35"/>
  <c r="D883" i="35"/>
  <c r="D866" i="35"/>
  <c r="D849" i="35"/>
  <c r="D832" i="35"/>
  <c r="D574" i="34"/>
  <c r="D358" i="34"/>
  <c r="D342" i="34"/>
  <c r="D326" i="34"/>
  <c r="D310" i="34"/>
  <c r="D294" i="34"/>
  <c r="D278" i="34"/>
  <c r="D262" i="34"/>
  <c r="D246" i="34"/>
  <c r="D230" i="34"/>
  <c r="D214" i="34"/>
  <c r="D627" i="33"/>
  <c r="D626" i="33"/>
  <c r="D625" i="33"/>
  <c r="D624" i="33"/>
  <c r="D623" i="33"/>
  <c r="D622" i="33"/>
  <c r="D621" i="33"/>
  <c r="D618" i="33"/>
  <c r="D617" i="33"/>
  <c r="D616" i="33"/>
  <c r="D578" i="35"/>
  <c r="D561" i="35"/>
  <c r="D544" i="35"/>
  <c r="D527" i="35"/>
  <c r="D510" i="35"/>
  <c r="D493" i="35"/>
  <c r="D476" i="35"/>
  <c r="D459" i="35"/>
  <c r="D442" i="35"/>
  <c r="D425" i="35"/>
  <c r="D379" i="34"/>
  <c r="D163" i="34"/>
  <c r="D147" i="34"/>
  <c r="D131" i="34"/>
  <c r="D115" i="34"/>
  <c r="D99" i="34"/>
  <c r="D83" i="34"/>
  <c r="D67" i="34"/>
  <c r="D51" i="34"/>
  <c r="D35" i="34"/>
  <c r="D19" i="34"/>
  <c r="D50" i="33"/>
  <c r="D49" i="33"/>
  <c r="D48" i="33"/>
  <c r="D47" i="33"/>
  <c r="D46" i="33"/>
  <c r="D45" i="33"/>
  <c r="D44" i="33"/>
  <c r="D41" i="33"/>
  <c r="D40" i="33"/>
  <c r="D39" i="33"/>
  <c r="D171" i="35"/>
  <c r="D154" i="35"/>
  <c r="D137" i="35"/>
  <c r="D120" i="35"/>
  <c r="D103" i="35"/>
  <c r="D86" i="35"/>
  <c r="D69" i="35"/>
  <c r="D52" i="35"/>
  <c r="D35" i="35"/>
  <c r="D18" i="35"/>
  <c r="D184" i="34"/>
  <c r="D72" i="29" l="1"/>
  <c r="K52" i="29"/>
  <c r="D52" i="29"/>
  <c r="D60" i="29"/>
  <c r="G13" i="4"/>
  <c r="M381" i="82"/>
  <c r="M382" i="82"/>
  <c r="M383" i="82"/>
  <c r="M384" i="82"/>
  <c r="M385" i="82"/>
  <c r="M386" i="82"/>
  <c r="M387" i="82"/>
  <c r="M388" i="82"/>
  <c r="M389" i="82"/>
  <c r="M390" i="82"/>
  <c r="M391" i="82"/>
  <c r="M392" i="82"/>
  <c r="M393" i="82"/>
  <c r="M394" i="82"/>
  <c r="M395" i="82"/>
  <c r="M396" i="82"/>
  <c r="M397" i="82"/>
  <c r="M398" i="82"/>
  <c r="M399" i="82"/>
  <c r="M400" i="82"/>
  <c r="M401" i="82"/>
  <c r="M402" i="82"/>
  <c r="M403" i="82"/>
  <c r="M404" i="82"/>
  <c r="M405" i="82"/>
  <c r="M406" i="82"/>
  <c r="M407" i="82"/>
  <c r="M408" i="82"/>
  <c r="M409" i="82"/>
  <c r="M410" i="82"/>
  <c r="M411" i="82"/>
  <c r="M412" i="82"/>
  <c r="M413" i="82"/>
  <c r="L381" i="82"/>
  <c r="L382" i="82"/>
  <c r="L383" i="82"/>
  <c r="L384" i="82"/>
  <c r="L385" i="82"/>
  <c r="L386" i="82"/>
  <c r="L387" i="82"/>
  <c r="L388" i="82"/>
  <c r="L389" i="82"/>
  <c r="L390" i="82"/>
  <c r="L391" i="82"/>
  <c r="L392" i="82"/>
  <c r="L393" i="82"/>
  <c r="L394" i="82"/>
  <c r="L395" i="82"/>
  <c r="L396" i="82"/>
  <c r="L397" i="82"/>
  <c r="L398" i="82"/>
  <c r="L399" i="82"/>
  <c r="L400" i="82"/>
  <c r="L401" i="82"/>
  <c r="L402" i="82"/>
  <c r="L403" i="82"/>
  <c r="L404" i="82"/>
  <c r="L405" i="82"/>
  <c r="L406" i="82"/>
  <c r="L407" i="82"/>
  <c r="L408" i="82"/>
  <c r="L409" i="82"/>
  <c r="L410" i="82"/>
  <c r="L411" i="82"/>
  <c r="L412" i="82"/>
  <c r="L413" i="82"/>
  <c r="L380" i="82"/>
  <c r="L209" i="82"/>
  <c r="P83" i="82"/>
  <c r="O83" i="82"/>
  <c r="M84" i="82"/>
  <c r="M85" i="82"/>
  <c r="M86" i="82"/>
  <c r="M87" i="82"/>
  <c r="M88" i="82"/>
  <c r="M89" i="82"/>
  <c r="M90" i="82"/>
  <c r="M91" i="82"/>
  <c r="M92" i="82"/>
  <c r="M93" i="82"/>
  <c r="M94" i="82"/>
  <c r="M95" i="82"/>
  <c r="M96" i="82"/>
  <c r="M97" i="82"/>
  <c r="M98" i="82"/>
  <c r="M99" i="82"/>
  <c r="M100" i="82"/>
  <c r="M101" i="82"/>
  <c r="M102" i="82"/>
  <c r="M103" i="82"/>
  <c r="M104" i="82"/>
  <c r="M105" i="82"/>
  <c r="M106" i="82"/>
  <c r="M107" i="82"/>
  <c r="M108" i="82"/>
  <c r="M109" i="82"/>
  <c r="M110" i="82"/>
  <c r="M111" i="82"/>
  <c r="M112" i="82"/>
  <c r="M113" i="82"/>
  <c r="M114" i="82"/>
  <c r="M115" i="82"/>
  <c r="M116" i="82"/>
  <c r="M117" i="82"/>
  <c r="M118" i="82"/>
  <c r="M119" i="82"/>
  <c r="M120" i="82"/>
  <c r="M121" i="82"/>
  <c r="M122" i="82"/>
  <c r="M123" i="82"/>
  <c r="M124" i="82"/>
  <c r="M125" i="82"/>
  <c r="M126" i="82"/>
  <c r="M127" i="82"/>
  <c r="M128" i="82"/>
  <c r="M129" i="82"/>
  <c r="M130" i="82"/>
  <c r="M131" i="82"/>
  <c r="M132" i="82"/>
  <c r="M133" i="82"/>
  <c r="M134" i="82"/>
  <c r="M135" i="82"/>
  <c r="M136" i="82"/>
  <c r="M137" i="82"/>
  <c r="M138" i="82"/>
  <c r="M139" i="82"/>
  <c r="M140" i="82"/>
  <c r="M141" i="82"/>
  <c r="M142" i="82"/>
  <c r="M143" i="82"/>
  <c r="M144" i="82"/>
  <c r="M145" i="82"/>
  <c r="M146" i="82"/>
  <c r="M147" i="82"/>
  <c r="M148" i="82"/>
  <c r="M149" i="82"/>
  <c r="M150" i="82"/>
  <c r="M151" i="82"/>
  <c r="M152" i="82"/>
  <c r="M153" i="82"/>
  <c r="M154" i="82"/>
  <c r="M155" i="82"/>
  <c r="M156" i="82"/>
  <c r="M157" i="82"/>
  <c r="M158" i="82"/>
  <c r="M159" i="82"/>
  <c r="M160" i="82"/>
  <c r="M161" i="82"/>
  <c r="M162" i="82"/>
  <c r="M163" i="82"/>
  <c r="M164" i="82"/>
  <c r="M165" i="82"/>
  <c r="M166" i="82"/>
  <c r="M167" i="82"/>
  <c r="M168" i="82"/>
  <c r="M169" i="82"/>
  <c r="M170" i="82"/>
  <c r="M171" i="82"/>
  <c r="M172" i="82"/>
  <c r="M173" i="82"/>
  <c r="M174" i="82"/>
  <c r="M175" i="82"/>
  <c r="M176" i="82"/>
  <c r="M177" i="82"/>
  <c r="M178" i="82"/>
  <c r="M179" i="82"/>
  <c r="M180" i="82"/>
  <c r="M181" i="82"/>
  <c r="M182" i="82"/>
  <c r="M183" i="82"/>
  <c r="M184" i="82"/>
  <c r="M185" i="82"/>
  <c r="M186" i="82"/>
  <c r="M187" i="82"/>
  <c r="M188" i="82"/>
  <c r="M189" i="82"/>
  <c r="M190" i="82"/>
  <c r="M191" i="82"/>
  <c r="M192" i="82"/>
  <c r="M193" i="82"/>
  <c r="M194" i="82"/>
  <c r="M195" i="82"/>
  <c r="M196" i="82"/>
  <c r="M197" i="82"/>
  <c r="M198" i="82"/>
  <c r="M199" i="82"/>
  <c r="M200" i="82"/>
  <c r="M201" i="82"/>
  <c r="M202" i="82"/>
  <c r="M203" i="82"/>
  <c r="M204" i="82"/>
  <c r="M205" i="82"/>
  <c r="M206" i="82"/>
  <c r="L84" i="82"/>
  <c r="P84" i="82" s="1"/>
  <c r="L85" i="82"/>
  <c r="P85" i="82" s="1"/>
  <c r="L86" i="82"/>
  <c r="P86" i="82" s="1"/>
  <c r="L87" i="82"/>
  <c r="P87" i="82" s="1"/>
  <c r="L88" i="82"/>
  <c r="P88" i="82" s="1"/>
  <c r="L89" i="82"/>
  <c r="O89" i="82" s="1"/>
  <c r="L90" i="82"/>
  <c r="O90" i="82" s="1"/>
  <c r="L91" i="82"/>
  <c r="O91" i="82" s="1"/>
  <c r="L92" i="82"/>
  <c r="P92" i="82" s="1"/>
  <c r="L93" i="82"/>
  <c r="P93" i="82" s="1"/>
  <c r="L94" i="82"/>
  <c r="P94" i="82" s="1"/>
  <c r="L95" i="82"/>
  <c r="P95" i="82" s="1"/>
  <c r="L96" i="82"/>
  <c r="P96" i="82" s="1"/>
  <c r="L97" i="82"/>
  <c r="O97" i="82" s="1"/>
  <c r="L98" i="82"/>
  <c r="O98" i="82" s="1"/>
  <c r="L99" i="82"/>
  <c r="O99" i="82" s="1"/>
  <c r="L100" i="82"/>
  <c r="P100" i="82" s="1"/>
  <c r="L101" i="82"/>
  <c r="P101" i="82" s="1"/>
  <c r="L102" i="82"/>
  <c r="P102" i="82" s="1"/>
  <c r="L103" i="82"/>
  <c r="P103" i="82" s="1"/>
  <c r="L104" i="82"/>
  <c r="P104" i="82" s="1"/>
  <c r="L105" i="82"/>
  <c r="O105" i="82" s="1"/>
  <c r="L106" i="82"/>
  <c r="O106" i="82" s="1"/>
  <c r="L107" i="82"/>
  <c r="O107" i="82" s="1"/>
  <c r="L108" i="82"/>
  <c r="P108" i="82" s="1"/>
  <c r="L109" i="82"/>
  <c r="P109" i="82" s="1"/>
  <c r="L110" i="82"/>
  <c r="P110" i="82" s="1"/>
  <c r="L111" i="82"/>
  <c r="P111" i="82" s="1"/>
  <c r="L112" i="82"/>
  <c r="P112" i="82" s="1"/>
  <c r="L113" i="82"/>
  <c r="O113" i="82" s="1"/>
  <c r="L114" i="82"/>
  <c r="O114" i="82" s="1"/>
  <c r="L115" i="82"/>
  <c r="O115" i="82" s="1"/>
  <c r="L116" i="82"/>
  <c r="P116" i="82" s="1"/>
  <c r="L117" i="82"/>
  <c r="P117" i="82" s="1"/>
  <c r="L118" i="82"/>
  <c r="P118" i="82" s="1"/>
  <c r="L119" i="82"/>
  <c r="P119" i="82" s="1"/>
  <c r="L120" i="82"/>
  <c r="P120" i="82" s="1"/>
  <c r="L121" i="82"/>
  <c r="O121" i="82" s="1"/>
  <c r="L122" i="82"/>
  <c r="O122" i="82" s="1"/>
  <c r="L123" i="82"/>
  <c r="O123" i="82" s="1"/>
  <c r="L124" i="82"/>
  <c r="P124" i="82" s="1"/>
  <c r="L125" i="82"/>
  <c r="P125" i="82" s="1"/>
  <c r="L126" i="82"/>
  <c r="P126" i="82" s="1"/>
  <c r="L127" i="82"/>
  <c r="P127" i="82" s="1"/>
  <c r="L128" i="82"/>
  <c r="P128" i="82" s="1"/>
  <c r="L129" i="82"/>
  <c r="O129" i="82" s="1"/>
  <c r="L130" i="82"/>
  <c r="O130" i="82" s="1"/>
  <c r="L131" i="82"/>
  <c r="O131" i="82" s="1"/>
  <c r="L132" i="82"/>
  <c r="P132" i="82" s="1"/>
  <c r="L133" i="82"/>
  <c r="P133" i="82" s="1"/>
  <c r="L134" i="82"/>
  <c r="P134" i="82" s="1"/>
  <c r="L135" i="82"/>
  <c r="P135" i="82" s="1"/>
  <c r="L136" i="82"/>
  <c r="P136" i="82" s="1"/>
  <c r="L137" i="82"/>
  <c r="O137" i="82" s="1"/>
  <c r="L138" i="82"/>
  <c r="O138" i="82" s="1"/>
  <c r="L139" i="82"/>
  <c r="O139" i="82" s="1"/>
  <c r="L140" i="82"/>
  <c r="P140" i="82" s="1"/>
  <c r="L141" i="82"/>
  <c r="P141" i="82" s="1"/>
  <c r="L142" i="82"/>
  <c r="P142" i="82" s="1"/>
  <c r="L143" i="82"/>
  <c r="P143" i="82" s="1"/>
  <c r="L144" i="82"/>
  <c r="P144" i="82" s="1"/>
  <c r="L145" i="82"/>
  <c r="O145" i="82" s="1"/>
  <c r="L146" i="82"/>
  <c r="O146" i="82" s="1"/>
  <c r="L147" i="82"/>
  <c r="O147" i="82" s="1"/>
  <c r="L148" i="82"/>
  <c r="P148" i="82" s="1"/>
  <c r="L149" i="82"/>
  <c r="P149" i="82" s="1"/>
  <c r="L150" i="82"/>
  <c r="P150" i="82" s="1"/>
  <c r="L151" i="82"/>
  <c r="P151" i="82" s="1"/>
  <c r="L152" i="82"/>
  <c r="P152" i="82" s="1"/>
  <c r="L153" i="82"/>
  <c r="O153" i="82" s="1"/>
  <c r="L154" i="82"/>
  <c r="O154" i="82" s="1"/>
  <c r="L155" i="82"/>
  <c r="O155" i="82" s="1"/>
  <c r="L156" i="82"/>
  <c r="P156" i="82" s="1"/>
  <c r="L157" i="82"/>
  <c r="P157" i="82" s="1"/>
  <c r="L158" i="82"/>
  <c r="P158" i="82" s="1"/>
  <c r="L159" i="82"/>
  <c r="P159" i="82" s="1"/>
  <c r="L160" i="82"/>
  <c r="P160" i="82" s="1"/>
  <c r="L161" i="82"/>
  <c r="O161" i="82" s="1"/>
  <c r="L162" i="82"/>
  <c r="O162" i="82" s="1"/>
  <c r="L163" i="82"/>
  <c r="O163" i="82" s="1"/>
  <c r="L164" i="82"/>
  <c r="P164" i="82" s="1"/>
  <c r="L165" i="82"/>
  <c r="P165" i="82" s="1"/>
  <c r="L166" i="82"/>
  <c r="P166" i="82" s="1"/>
  <c r="L167" i="82"/>
  <c r="P167" i="82" s="1"/>
  <c r="L168" i="82"/>
  <c r="P168" i="82" s="1"/>
  <c r="L169" i="82"/>
  <c r="O169" i="82" s="1"/>
  <c r="L170" i="82"/>
  <c r="O170" i="82" s="1"/>
  <c r="L171" i="82"/>
  <c r="O171" i="82" s="1"/>
  <c r="L172" i="82"/>
  <c r="P172" i="82" s="1"/>
  <c r="L173" i="82"/>
  <c r="P173" i="82" s="1"/>
  <c r="L174" i="82"/>
  <c r="P174" i="82" s="1"/>
  <c r="L175" i="82"/>
  <c r="P175" i="82" s="1"/>
  <c r="L176" i="82"/>
  <c r="P176" i="82" s="1"/>
  <c r="L177" i="82"/>
  <c r="O177" i="82" s="1"/>
  <c r="L178" i="82"/>
  <c r="O178" i="82" s="1"/>
  <c r="L179" i="82"/>
  <c r="O179" i="82" s="1"/>
  <c r="L180" i="82"/>
  <c r="P180" i="82" s="1"/>
  <c r="L181" i="82"/>
  <c r="P181" i="82" s="1"/>
  <c r="L182" i="82"/>
  <c r="P182" i="82" s="1"/>
  <c r="L183" i="82"/>
  <c r="P183" i="82" s="1"/>
  <c r="L184" i="82"/>
  <c r="P184" i="82" s="1"/>
  <c r="L185" i="82"/>
  <c r="O185" i="82" s="1"/>
  <c r="L186" i="82"/>
  <c r="O186" i="82" s="1"/>
  <c r="L187" i="82"/>
  <c r="O187" i="82" s="1"/>
  <c r="L188" i="82"/>
  <c r="P188" i="82" s="1"/>
  <c r="L189" i="82"/>
  <c r="P189" i="82" s="1"/>
  <c r="L190" i="82"/>
  <c r="P190" i="82" s="1"/>
  <c r="L191" i="82"/>
  <c r="P191" i="82" s="1"/>
  <c r="L192" i="82"/>
  <c r="P192" i="82" s="1"/>
  <c r="L193" i="82"/>
  <c r="O193" i="82" s="1"/>
  <c r="L194" i="82"/>
  <c r="O194" i="82" s="1"/>
  <c r="L195" i="82"/>
  <c r="O195" i="82" s="1"/>
  <c r="L196" i="82"/>
  <c r="P196" i="82" s="1"/>
  <c r="L197" i="82"/>
  <c r="P197" i="82" s="1"/>
  <c r="L198" i="82"/>
  <c r="P198" i="82" s="1"/>
  <c r="L199" i="82"/>
  <c r="P199" i="82" s="1"/>
  <c r="L200" i="82"/>
  <c r="P200" i="82" s="1"/>
  <c r="L201" i="82"/>
  <c r="O201" i="82" s="1"/>
  <c r="L202" i="82"/>
  <c r="O202" i="82" s="1"/>
  <c r="L203" i="82"/>
  <c r="O203" i="82" s="1"/>
  <c r="L204" i="82"/>
  <c r="P204" i="82" s="1"/>
  <c r="L205" i="82"/>
  <c r="P205" i="82" s="1"/>
  <c r="L206" i="82"/>
  <c r="P206" i="82" s="1"/>
  <c r="L83" i="82"/>
  <c r="M47" i="82"/>
  <c r="M48" i="82"/>
  <c r="M49" i="82"/>
  <c r="M50" i="82"/>
  <c r="M51" i="82"/>
  <c r="M52" i="82"/>
  <c r="M53" i="82"/>
  <c r="M54" i="82"/>
  <c r="M55" i="82"/>
  <c r="M56" i="82"/>
  <c r="M57" i="82"/>
  <c r="M58" i="82"/>
  <c r="M59" i="82"/>
  <c r="M60" i="82"/>
  <c r="M61" i="82"/>
  <c r="M62" i="82"/>
  <c r="M63" i="82"/>
  <c r="M64" i="82"/>
  <c r="M65" i="82"/>
  <c r="M66" i="82"/>
  <c r="M67" i="82"/>
  <c r="M68" i="82"/>
  <c r="M69" i="82"/>
  <c r="M70" i="82"/>
  <c r="M71" i="82"/>
  <c r="M72" i="82"/>
  <c r="M73" i="82"/>
  <c r="M74" i="82"/>
  <c r="M75" i="82"/>
  <c r="M76" i="82"/>
  <c r="M77" i="82"/>
  <c r="L47" i="82"/>
  <c r="L48" i="82"/>
  <c r="L49" i="82"/>
  <c r="L195" i="17" s="1"/>
  <c r="L50" i="82"/>
  <c r="L51" i="82"/>
  <c r="L52" i="82"/>
  <c r="L53" i="82"/>
  <c r="L199" i="17" s="1"/>
  <c r="L54" i="82"/>
  <c r="L200" i="17" s="1"/>
  <c r="L55" i="82"/>
  <c r="L56" i="82"/>
  <c r="L188" i="29" s="1"/>
  <c r="L57" i="82"/>
  <c r="L203" i="17" s="1"/>
  <c r="L58" i="82"/>
  <c r="L228" i="33" s="1"/>
  <c r="L59" i="82"/>
  <c r="L205" i="17" s="1"/>
  <c r="L60" i="82"/>
  <c r="L61" i="82"/>
  <c r="L62" i="82"/>
  <c r="L232" i="33" s="1"/>
  <c r="L63" i="82"/>
  <c r="L64" i="82"/>
  <c r="L196" i="29" s="1"/>
  <c r="L65" i="82"/>
  <c r="L197" i="29" s="1"/>
  <c r="L66" i="82"/>
  <c r="L67" i="82"/>
  <c r="L68" i="82"/>
  <c r="L69" i="82"/>
  <c r="L215" i="17" s="1"/>
  <c r="L70" i="82"/>
  <c r="L71" i="82"/>
  <c r="L72" i="82"/>
  <c r="L73" i="82"/>
  <c r="L74" i="82"/>
  <c r="L75" i="82"/>
  <c r="L76" i="82"/>
  <c r="L77" i="82"/>
  <c r="L223" i="17" s="1"/>
  <c r="L46" i="82"/>
  <c r="M14" i="82"/>
  <c r="M15" i="82"/>
  <c r="M16" i="82"/>
  <c r="M17" i="82"/>
  <c r="M18" i="82"/>
  <c r="M19" i="82"/>
  <c r="M20" i="82"/>
  <c r="M21" i="82"/>
  <c r="M22" i="82"/>
  <c r="M23" i="82"/>
  <c r="M24" i="82"/>
  <c r="M25" i="82"/>
  <c r="M26" i="82"/>
  <c r="M27" i="82"/>
  <c r="M28" i="82"/>
  <c r="M29" i="82"/>
  <c r="M30" i="82"/>
  <c r="M31" i="82"/>
  <c r="M32" i="82"/>
  <c r="M33" i="82"/>
  <c r="M34" i="82"/>
  <c r="M35" i="82"/>
  <c r="M36" i="82"/>
  <c r="M37" i="82"/>
  <c r="M38" i="82"/>
  <c r="M39" i="82"/>
  <c r="M40" i="82"/>
  <c r="M41" i="82"/>
  <c r="M42" i="82"/>
  <c r="M43" i="82"/>
  <c r="M44" i="82"/>
  <c r="L14" i="82"/>
  <c r="L1364" i="33" s="1"/>
  <c r="L15" i="82"/>
  <c r="L1365" i="33" s="1"/>
  <c r="L16" i="82"/>
  <c r="L2550" i="33" s="1"/>
  <c r="L17" i="82"/>
  <c r="L2551" i="33" s="1"/>
  <c r="L18" i="82"/>
  <c r="L3137" i="33" s="1"/>
  <c r="L19" i="82"/>
  <c r="L3138" i="33" s="1"/>
  <c r="L20" i="82"/>
  <c r="L21" i="82"/>
  <c r="L1963" i="33" s="1"/>
  <c r="L22" i="82"/>
  <c r="L1372" i="33" s="1"/>
  <c r="L23" i="82"/>
  <c r="L1373" i="33" s="1"/>
  <c r="L24" i="82"/>
  <c r="L2558" i="33" s="1"/>
  <c r="L25" i="82"/>
  <c r="L2559" i="33" s="1"/>
  <c r="L26" i="82"/>
  <c r="L3145" i="33" s="1"/>
  <c r="L27" i="82"/>
  <c r="L3146" i="33" s="1"/>
  <c r="L28" i="82"/>
  <c r="L1970" i="33" s="1"/>
  <c r="L29" i="82"/>
  <c r="L1971" i="33" s="1"/>
  <c r="L30" i="82"/>
  <c r="L1380" i="33" s="1"/>
  <c r="L31" i="82"/>
  <c r="L1381" i="33" s="1"/>
  <c r="L32" i="82"/>
  <c r="L2566" i="33" s="1"/>
  <c r="L33" i="82"/>
  <c r="L2567" i="33" s="1"/>
  <c r="L34" i="82"/>
  <c r="L3153" i="33" s="1"/>
  <c r="L35" i="82"/>
  <c r="L3154" i="33" s="1"/>
  <c r="L36" i="82"/>
  <c r="L1978" i="33" s="1"/>
  <c r="L37" i="82"/>
  <c r="L1979" i="33" s="1"/>
  <c r="L38" i="82"/>
  <c r="L1388" i="33" s="1"/>
  <c r="L39" i="82"/>
  <c r="L1389" i="33" s="1"/>
  <c r="L40" i="82"/>
  <c r="L2574" i="33" s="1"/>
  <c r="L41" i="82"/>
  <c r="L2575" i="33" s="1"/>
  <c r="L42" i="82"/>
  <c r="L3161" i="33" s="1"/>
  <c r="L43" i="82"/>
  <c r="L3162" i="33" s="1"/>
  <c r="L44" i="82"/>
  <c r="L1986" i="33" s="1"/>
  <c r="L13" i="82"/>
  <c r="D3493" i="33"/>
  <c r="D3494" i="33"/>
  <c r="D3495" i="33"/>
  <c r="D3496" i="33"/>
  <c r="D3497" i="33"/>
  <c r="D3498" i="33"/>
  <c r="D3499" i="33"/>
  <c r="D3500" i="33"/>
  <c r="D3501" i="33"/>
  <c r="D3502" i="33"/>
  <c r="D3503" i="33"/>
  <c r="D3504" i="33"/>
  <c r="D3505" i="33"/>
  <c r="D3506" i="33"/>
  <c r="D3507" i="33"/>
  <c r="D3508" i="33"/>
  <c r="D3509" i="33"/>
  <c r="D3510" i="33"/>
  <c r="D3511" i="33"/>
  <c r="D3512" i="33"/>
  <c r="D3513" i="33"/>
  <c r="D3514" i="33"/>
  <c r="D3515" i="33"/>
  <c r="D3516" i="33"/>
  <c r="D3517" i="33"/>
  <c r="D3518" i="33"/>
  <c r="D3519" i="33"/>
  <c r="D3520" i="33"/>
  <c r="D3521" i="33"/>
  <c r="D3522" i="33"/>
  <c r="D3523" i="33"/>
  <c r="D3524" i="33"/>
  <c r="D3525" i="33"/>
  <c r="D2316" i="33"/>
  <c r="D2317" i="33"/>
  <c r="D2318" i="33"/>
  <c r="D2319" i="33"/>
  <c r="D2320" i="33"/>
  <c r="D2321" i="33"/>
  <c r="D2322" i="33"/>
  <c r="D2323" i="33"/>
  <c r="D2324" i="33"/>
  <c r="D2325" i="33"/>
  <c r="D2326" i="33"/>
  <c r="D2327" i="33"/>
  <c r="D2328" i="33"/>
  <c r="D2329" i="33"/>
  <c r="D2330" i="33"/>
  <c r="D2331" i="33"/>
  <c r="D2332" i="33"/>
  <c r="D2333" i="33"/>
  <c r="D2334" i="33"/>
  <c r="D2335" i="33"/>
  <c r="D2336" i="33"/>
  <c r="D2337" i="33"/>
  <c r="D2338" i="33"/>
  <c r="D2339" i="33"/>
  <c r="D2340" i="33"/>
  <c r="D2341" i="33"/>
  <c r="D2342" i="33"/>
  <c r="D2343" i="33"/>
  <c r="D2344" i="33"/>
  <c r="D2345" i="33"/>
  <c r="D2346" i="33"/>
  <c r="D2347" i="33"/>
  <c r="D2348" i="33"/>
  <c r="D1724" i="33"/>
  <c r="D1725" i="33"/>
  <c r="D1726" i="33"/>
  <c r="D1727" i="33"/>
  <c r="D1728" i="33"/>
  <c r="D1729" i="33"/>
  <c r="D1730" i="33"/>
  <c r="D1731" i="33"/>
  <c r="D1732" i="33"/>
  <c r="D1733" i="33"/>
  <c r="D1734" i="33"/>
  <c r="D1735" i="33"/>
  <c r="D1736" i="33"/>
  <c r="D1737" i="33"/>
  <c r="D1738" i="33"/>
  <c r="D1739" i="33"/>
  <c r="D1740" i="33"/>
  <c r="D1741" i="33"/>
  <c r="D1742" i="33"/>
  <c r="D1743" i="33"/>
  <c r="D1744" i="33"/>
  <c r="D1745" i="33"/>
  <c r="D1746" i="33"/>
  <c r="D1747" i="33"/>
  <c r="D1748" i="33"/>
  <c r="D1749" i="33"/>
  <c r="D1750" i="33"/>
  <c r="D1751" i="33"/>
  <c r="D1752" i="33"/>
  <c r="D1753" i="33"/>
  <c r="D1754" i="33"/>
  <c r="D1755" i="33"/>
  <c r="D1756" i="33"/>
  <c r="D2908" i="33"/>
  <c r="D2909" i="33"/>
  <c r="D2910" i="33"/>
  <c r="D2911" i="33"/>
  <c r="D2912" i="33"/>
  <c r="D2913" i="33"/>
  <c r="D2914" i="33"/>
  <c r="D2915" i="33"/>
  <c r="D2916" i="33"/>
  <c r="D2917" i="33"/>
  <c r="D2918" i="33"/>
  <c r="D2919" i="33"/>
  <c r="D2920" i="33"/>
  <c r="D2921" i="33"/>
  <c r="D2922" i="33"/>
  <c r="D2923" i="33"/>
  <c r="D2924" i="33"/>
  <c r="D2925" i="33"/>
  <c r="D2926" i="33"/>
  <c r="D2927" i="33"/>
  <c r="D2928" i="33"/>
  <c r="D2929" i="33"/>
  <c r="D2930" i="33"/>
  <c r="D2931" i="33"/>
  <c r="D2932" i="33"/>
  <c r="D2933" i="33"/>
  <c r="D2934" i="33"/>
  <c r="D2935" i="33"/>
  <c r="D2936" i="33"/>
  <c r="D2937" i="33"/>
  <c r="D2938" i="33"/>
  <c r="D2939" i="33"/>
  <c r="D2940" i="33"/>
  <c r="D1137" i="33"/>
  <c r="D1138" i="33"/>
  <c r="D1139" i="33"/>
  <c r="D1140" i="33"/>
  <c r="D1141" i="33"/>
  <c r="D1142" i="33"/>
  <c r="D1143" i="33"/>
  <c r="D1144" i="33"/>
  <c r="D1145" i="33"/>
  <c r="D1146" i="33"/>
  <c r="D1147" i="33"/>
  <c r="D1148" i="33"/>
  <c r="D1149" i="33"/>
  <c r="D1150" i="33"/>
  <c r="D1151" i="33"/>
  <c r="D1152" i="33"/>
  <c r="D1153" i="33"/>
  <c r="D1154" i="33"/>
  <c r="D1155" i="33"/>
  <c r="D1156" i="33"/>
  <c r="D1157" i="33"/>
  <c r="D1158" i="33"/>
  <c r="D1159" i="33"/>
  <c r="D1160" i="33"/>
  <c r="D1161" i="33"/>
  <c r="D1162" i="33"/>
  <c r="D1163" i="33"/>
  <c r="D1164" i="33"/>
  <c r="D1165" i="33"/>
  <c r="D1166" i="33"/>
  <c r="D1167" i="33"/>
  <c r="D1168" i="33"/>
  <c r="D1169" i="33"/>
  <c r="D544" i="33"/>
  <c r="D545" i="33"/>
  <c r="D546" i="33"/>
  <c r="D547" i="33"/>
  <c r="D548" i="33"/>
  <c r="D549" i="33"/>
  <c r="D550" i="33"/>
  <c r="D551" i="33"/>
  <c r="D552" i="33"/>
  <c r="D553" i="33"/>
  <c r="D554" i="33"/>
  <c r="D555" i="33"/>
  <c r="D556" i="33"/>
  <c r="D557" i="33"/>
  <c r="D558" i="33"/>
  <c r="D559" i="33"/>
  <c r="D560" i="33"/>
  <c r="D561" i="33"/>
  <c r="D562" i="33"/>
  <c r="D563" i="33"/>
  <c r="D564" i="33"/>
  <c r="D565" i="33"/>
  <c r="D566" i="33"/>
  <c r="D567" i="33"/>
  <c r="D568" i="33"/>
  <c r="D569" i="33"/>
  <c r="D570" i="33"/>
  <c r="D571" i="33"/>
  <c r="D572" i="33"/>
  <c r="D573" i="33"/>
  <c r="D574" i="33"/>
  <c r="D575" i="33"/>
  <c r="D576" i="33"/>
  <c r="D506" i="29"/>
  <c r="D507" i="29"/>
  <c r="D508" i="29"/>
  <c r="D509" i="29"/>
  <c r="D510" i="29"/>
  <c r="D511" i="29"/>
  <c r="D512" i="29"/>
  <c r="D513" i="29"/>
  <c r="D514" i="29"/>
  <c r="D515" i="29"/>
  <c r="D516" i="29"/>
  <c r="D517" i="29"/>
  <c r="D518" i="29"/>
  <c r="D519" i="29"/>
  <c r="D520" i="29"/>
  <c r="D521" i="29"/>
  <c r="D522" i="29"/>
  <c r="D523" i="29"/>
  <c r="D524" i="29"/>
  <c r="D525" i="29"/>
  <c r="D526" i="29"/>
  <c r="D527" i="29"/>
  <c r="D528" i="29"/>
  <c r="D529" i="29"/>
  <c r="D530" i="29"/>
  <c r="D531" i="29"/>
  <c r="D532" i="29"/>
  <c r="D533" i="29"/>
  <c r="D534" i="29"/>
  <c r="D535" i="29"/>
  <c r="D536" i="29"/>
  <c r="D537" i="29"/>
  <c r="D538" i="29"/>
  <c r="D3368" i="33"/>
  <c r="D3369" i="33"/>
  <c r="D3370" i="33"/>
  <c r="D3371" i="33"/>
  <c r="D3372" i="33"/>
  <c r="D3373" i="33"/>
  <c r="D3374" i="33"/>
  <c r="D3375" i="33"/>
  <c r="D3376" i="33"/>
  <c r="D3377" i="33"/>
  <c r="D3378" i="33"/>
  <c r="D3379" i="33"/>
  <c r="D3380" i="33"/>
  <c r="D3381" i="33"/>
  <c r="D3382" i="33"/>
  <c r="D3383" i="33"/>
  <c r="D3384" i="33"/>
  <c r="D3385" i="33"/>
  <c r="D3386" i="33"/>
  <c r="D3387" i="33"/>
  <c r="D3388" i="33"/>
  <c r="D3389" i="33"/>
  <c r="D3390" i="33"/>
  <c r="D3391" i="33"/>
  <c r="D3392" i="33"/>
  <c r="D3393" i="33"/>
  <c r="D3394" i="33"/>
  <c r="D3395" i="33"/>
  <c r="D3396" i="33"/>
  <c r="D3397" i="33"/>
  <c r="D3398" i="33"/>
  <c r="D3399" i="33"/>
  <c r="D3400" i="33"/>
  <c r="D3401" i="33"/>
  <c r="D3402" i="33"/>
  <c r="D3403" i="33"/>
  <c r="D3404" i="33"/>
  <c r="D3405" i="33"/>
  <c r="D3406" i="33"/>
  <c r="D3407" i="33"/>
  <c r="D3408" i="33"/>
  <c r="D3409" i="33"/>
  <c r="D3410" i="33"/>
  <c r="D3411" i="33"/>
  <c r="D3412" i="33"/>
  <c r="D3413" i="33"/>
  <c r="D3414" i="33"/>
  <c r="D3415" i="33"/>
  <c r="D3416" i="33"/>
  <c r="D3417" i="33"/>
  <c r="D3418" i="33"/>
  <c r="D3419" i="33"/>
  <c r="D3420" i="33"/>
  <c r="D3421" i="33"/>
  <c r="D3422" i="33"/>
  <c r="D3423" i="33"/>
  <c r="D3424" i="33"/>
  <c r="D3425" i="33"/>
  <c r="D3426" i="33"/>
  <c r="D3427" i="33"/>
  <c r="D3428" i="33"/>
  <c r="D3429" i="33"/>
  <c r="D3430" i="33"/>
  <c r="D3431" i="33"/>
  <c r="D3432" i="33"/>
  <c r="D3433" i="33"/>
  <c r="D3434" i="33"/>
  <c r="D3435" i="33"/>
  <c r="D3436" i="33"/>
  <c r="D3437" i="33"/>
  <c r="D3438" i="33"/>
  <c r="D3439" i="33"/>
  <c r="D3440" i="33"/>
  <c r="D3441" i="33"/>
  <c r="D3442" i="33"/>
  <c r="D3443" i="33"/>
  <c r="D3444" i="33"/>
  <c r="D3445" i="33"/>
  <c r="D3446" i="33"/>
  <c r="D3447" i="33"/>
  <c r="D3448" i="33"/>
  <c r="D3449" i="33"/>
  <c r="D3450" i="33"/>
  <c r="D3451" i="33"/>
  <c r="D3452" i="33"/>
  <c r="D3453" i="33"/>
  <c r="D3454" i="33"/>
  <c r="D3455" i="33"/>
  <c r="D3456" i="33"/>
  <c r="D3457" i="33"/>
  <c r="D3458" i="33"/>
  <c r="D3459" i="33"/>
  <c r="D3460" i="33"/>
  <c r="D3461" i="33"/>
  <c r="D3462" i="33"/>
  <c r="D3463" i="33"/>
  <c r="D3464" i="33"/>
  <c r="D3465" i="33"/>
  <c r="D3466" i="33"/>
  <c r="D3467" i="33"/>
  <c r="D3468" i="33"/>
  <c r="D3469" i="33"/>
  <c r="D3470" i="33"/>
  <c r="D3471" i="33"/>
  <c r="D3472" i="33"/>
  <c r="D3473" i="33"/>
  <c r="D3474" i="33"/>
  <c r="D3475" i="33"/>
  <c r="D3476" i="33"/>
  <c r="D3477" i="33"/>
  <c r="D3478" i="33"/>
  <c r="D3479" i="33"/>
  <c r="D3480" i="33"/>
  <c r="D3481" i="33"/>
  <c r="D3482" i="33"/>
  <c r="D3483" i="33"/>
  <c r="D3484" i="33"/>
  <c r="D3485" i="33"/>
  <c r="D3486" i="33"/>
  <c r="D3487" i="33"/>
  <c r="D3488" i="33"/>
  <c r="D3489" i="33"/>
  <c r="D3490" i="33"/>
  <c r="D2191" i="33"/>
  <c r="D2192" i="33"/>
  <c r="D2193" i="33"/>
  <c r="D2194" i="33"/>
  <c r="D2195" i="33"/>
  <c r="D2196" i="33"/>
  <c r="D2197" i="33"/>
  <c r="D2198" i="33"/>
  <c r="D2199" i="33"/>
  <c r="D2200" i="33"/>
  <c r="D2201" i="33"/>
  <c r="D2202" i="33"/>
  <c r="D2203" i="33"/>
  <c r="D2204" i="33"/>
  <c r="D2205" i="33"/>
  <c r="D2206" i="33"/>
  <c r="D2207" i="33"/>
  <c r="D2208" i="33"/>
  <c r="D2209" i="33"/>
  <c r="D2210" i="33"/>
  <c r="D2211" i="33"/>
  <c r="D2212" i="33"/>
  <c r="D2213" i="33"/>
  <c r="D2214" i="33"/>
  <c r="D2215" i="33"/>
  <c r="D2216" i="33"/>
  <c r="D2217" i="33"/>
  <c r="D2218" i="33"/>
  <c r="D2219" i="33"/>
  <c r="D2220" i="33"/>
  <c r="D2221" i="33"/>
  <c r="D2222" i="33"/>
  <c r="D2223" i="33"/>
  <c r="D2224" i="33"/>
  <c r="D2225" i="33"/>
  <c r="D2226" i="33"/>
  <c r="D2227" i="33"/>
  <c r="D2228" i="33"/>
  <c r="D2229" i="33"/>
  <c r="D2230" i="33"/>
  <c r="D2231" i="33"/>
  <c r="D2232" i="33"/>
  <c r="D2233" i="33"/>
  <c r="D2234" i="33"/>
  <c r="D2235" i="33"/>
  <c r="D2236" i="33"/>
  <c r="D2237" i="33"/>
  <c r="D2238" i="33"/>
  <c r="D2239" i="33"/>
  <c r="D2240" i="33"/>
  <c r="D2241" i="33"/>
  <c r="D2242" i="33"/>
  <c r="D2243" i="33"/>
  <c r="D2244" i="33"/>
  <c r="D2245" i="33"/>
  <c r="D2246" i="33"/>
  <c r="D2247" i="33"/>
  <c r="D2248" i="33"/>
  <c r="D2249" i="33"/>
  <c r="D2250" i="33"/>
  <c r="D2251" i="33"/>
  <c r="D2252" i="33"/>
  <c r="D2253" i="33"/>
  <c r="D2254" i="33"/>
  <c r="D2255" i="33"/>
  <c r="D2256" i="33"/>
  <c r="D2257" i="33"/>
  <c r="D2258" i="33"/>
  <c r="D2259" i="33"/>
  <c r="D2260" i="33"/>
  <c r="D2261" i="33"/>
  <c r="D2262" i="33"/>
  <c r="D2263" i="33"/>
  <c r="D2264" i="33"/>
  <c r="D2265" i="33"/>
  <c r="D2266" i="33"/>
  <c r="D2267" i="33"/>
  <c r="D2268" i="33"/>
  <c r="D2269" i="33"/>
  <c r="D2270" i="33"/>
  <c r="D2271" i="33"/>
  <c r="D2272" i="33"/>
  <c r="D2273" i="33"/>
  <c r="D2274" i="33"/>
  <c r="D2275" i="33"/>
  <c r="D2276" i="33"/>
  <c r="D2277" i="33"/>
  <c r="D2278" i="33"/>
  <c r="D2279" i="33"/>
  <c r="D2280" i="33"/>
  <c r="D2281" i="33"/>
  <c r="D2282" i="33"/>
  <c r="D2283" i="33"/>
  <c r="D2284" i="33"/>
  <c r="D2285" i="33"/>
  <c r="D2286" i="33"/>
  <c r="D2287" i="33"/>
  <c r="D2288" i="33"/>
  <c r="D2289" i="33"/>
  <c r="D2290" i="33"/>
  <c r="D2291" i="33"/>
  <c r="D2292" i="33"/>
  <c r="D2293" i="33"/>
  <c r="D2294" i="33"/>
  <c r="D2295" i="33"/>
  <c r="D2296" i="33"/>
  <c r="D2297" i="33"/>
  <c r="D2298" i="33"/>
  <c r="D2299" i="33"/>
  <c r="D2300" i="33"/>
  <c r="D2301" i="33"/>
  <c r="D2302" i="33"/>
  <c r="D2303" i="33"/>
  <c r="D2304" i="33"/>
  <c r="D2305" i="33"/>
  <c r="D2306" i="33"/>
  <c r="D2307" i="33"/>
  <c r="D2308" i="33"/>
  <c r="D2309" i="33"/>
  <c r="D2310" i="33"/>
  <c r="D2311" i="33"/>
  <c r="D2312" i="33"/>
  <c r="D2313" i="33"/>
  <c r="D1599" i="33"/>
  <c r="D1600" i="33"/>
  <c r="D1601" i="33"/>
  <c r="D1602" i="33"/>
  <c r="D1603" i="33"/>
  <c r="D1604" i="33"/>
  <c r="D1605" i="33"/>
  <c r="D1606" i="33"/>
  <c r="D1607" i="33"/>
  <c r="D1608" i="33"/>
  <c r="D1609" i="33"/>
  <c r="D1610" i="33"/>
  <c r="D1611" i="33"/>
  <c r="D1612" i="33"/>
  <c r="D1613" i="33"/>
  <c r="D1614" i="33"/>
  <c r="D1615" i="33"/>
  <c r="D1616" i="33"/>
  <c r="D1617" i="33"/>
  <c r="D1618" i="33"/>
  <c r="D1619" i="33"/>
  <c r="D1620" i="33"/>
  <c r="D1621" i="33"/>
  <c r="D1622" i="33"/>
  <c r="D1623" i="33"/>
  <c r="D1624" i="33"/>
  <c r="D1625" i="33"/>
  <c r="D1626" i="33"/>
  <c r="D1627" i="33"/>
  <c r="D1628" i="33"/>
  <c r="D1629" i="33"/>
  <c r="D1630" i="33"/>
  <c r="D1631" i="33"/>
  <c r="D1632" i="33"/>
  <c r="D1633" i="33"/>
  <c r="D1634" i="33"/>
  <c r="D1635" i="33"/>
  <c r="D1636" i="33"/>
  <c r="D1637" i="33"/>
  <c r="D1638" i="33"/>
  <c r="D1639" i="33"/>
  <c r="D1640" i="33"/>
  <c r="D1641" i="33"/>
  <c r="D1642" i="33"/>
  <c r="D1643" i="33"/>
  <c r="D1644" i="33"/>
  <c r="D1645" i="33"/>
  <c r="D1646" i="33"/>
  <c r="D1647" i="33"/>
  <c r="D1648" i="33"/>
  <c r="D1649" i="33"/>
  <c r="D1650" i="33"/>
  <c r="D1651" i="33"/>
  <c r="D1652" i="33"/>
  <c r="D1653" i="33"/>
  <c r="D1654" i="33"/>
  <c r="D1655" i="33"/>
  <c r="D1656" i="33"/>
  <c r="D1657" i="33"/>
  <c r="D1658" i="33"/>
  <c r="D1659" i="33"/>
  <c r="D1660" i="33"/>
  <c r="D1661" i="33"/>
  <c r="D1662" i="33"/>
  <c r="D1663" i="33"/>
  <c r="D1664" i="33"/>
  <c r="D1665" i="33"/>
  <c r="D1666" i="33"/>
  <c r="D1667" i="33"/>
  <c r="D1668" i="33"/>
  <c r="D1669" i="33"/>
  <c r="D1670" i="33"/>
  <c r="D1671" i="33"/>
  <c r="D1672" i="33"/>
  <c r="D1673" i="33"/>
  <c r="D1674" i="33"/>
  <c r="D1675" i="33"/>
  <c r="D1676" i="33"/>
  <c r="D1677" i="33"/>
  <c r="D1678" i="33"/>
  <c r="D1679" i="33"/>
  <c r="D1680" i="33"/>
  <c r="D1681" i="33"/>
  <c r="D1682" i="33"/>
  <c r="D1683" i="33"/>
  <c r="D1684" i="33"/>
  <c r="D1685" i="33"/>
  <c r="D1686" i="33"/>
  <c r="D1687" i="33"/>
  <c r="D1688" i="33"/>
  <c r="D1689" i="33"/>
  <c r="D1690" i="33"/>
  <c r="D1691" i="33"/>
  <c r="D1692" i="33"/>
  <c r="D1693" i="33"/>
  <c r="D1694" i="33"/>
  <c r="D1695" i="33"/>
  <c r="D1696" i="33"/>
  <c r="D1697" i="33"/>
  <c r="D1698" i="33"/>
  <c r="D1699" i="33"/>
  <c r="D1700" i="33"/>
  <c r="D1701" i="33"/>
  <c r="D1702" i="33"/>
  <c r="D1703" i="33"/>
  <c r="D1704" i="33"/>
  <c r="D1705" i="33"/>
  <c r="D1706" i="33"/>
  <c r="D1707" i="33"/>
  <c r="D1708" i="33"/>
  <c r="D1709" i="33"/>
  <c r="D1710" i="33"/>
  <c r="D1711" i="33"/>
  <c r="D1712" i="33"/>
  <c r="D1713" i="33"/>
  <c r="D1714" i="33"/>
  <c r="D1715" i="33"/>
  <c r="D1716" i="33"/>
  <c r="D1717" i="33"/>
  <c r="D1718" i="33"/>
  <c r="D1719" i="33"/>
  <c r="D1720" i="33"/>
  <c r="D1721" i="33"/>
  <c r="D2783" i="33"/>
  <c r="D2784" i="33"/>
  <c r="D2785" i="33"/>
  <c r="D2786" i="33"/>
  <c r="D2787" i="33"/>
  <c r="D2788" i="33"/>
  <c r="D2789" i="33"/>
  <c r="D2790" i="33"/>
  <c r="D2791" i="33"/>
  <c r="D2792" i="33"/>
  <c r="D2793" i="33"/>
  <c r="D2794" i="33"/>
  <c r="D2795" i="33"/>
  <c r="D2796" i="33"/>
  <c r="D2797" i="33"/>
  <c r="D2798" i="33"/>
  <c r="D2799" i="33"/>
  <c r="D2800" i="33"/>
  <c r="D2801" i="33"/>
  <c r="D2802" i="33"/>
  <c r="D2803" i="33"/>
  <c r="D2804" i="33"/>
  <c r="D2805" i="33"/>
  <c r="D2806" i="33"/>
  <c r="D2807" i="33"/>
  <c r="D2808" i="33"/>
  <c r="D2809" i="33"/>
  <c r="D2810" i="33"/>
  <c r="D2811" i="33"/>
  <c r="D2812" i="33"/>
  <c r="D2813" i="33"/>
  <c r="D2814" i="33"/>
  <c r="D2815" i="33"/>
  <c r="D2816" i="33"/>
  <c r="D2817" i="33"/>
  <c r="D2818" i="33"/>
  <c r="D2819" i="33"/>
  <c r="D2820" i="33"/>
  <c r="D2821" i="33"/>
  <c r="D2822" i="33"/>
  <c r="D2823" i="33"/>
  <c r="D2824" i="33"/>
  <c r="D2825" i="33"/>
  <c r="D2826" i="33"/>
  <c r="D2827" i="33"/>
  <c r="D2828" i="33"/>
  <c r="D2829" i="33"/>
  <c r="D2830" i="33"/>
  <c r="D2831" i="33"/>
  <c r="D2832" i="33"/>
  <c r="D2833" i="33"/>
  <c r="D2834" i="33"/>
  <c r="D2835" i="33"/>
  <c r="D2836" i="33"/>
  <c r="D2837" i="33"/>
  <c r="D2838" i="33"/>
  <c r="D2839" i="33"/>
  <c r="D2840" i="33"/>
  <c r="D2841" i="33"/>
  <c r="D2842" i="33"/>
  <c r="D2843" i="33"/>
  <c r="D2844" i="33"/>
  <c r="D2845" i="33"/>
  <c r="D2846" i="33"/>
  <c r="D2847" i="33"/>
  <c r="D2848" i="33"/>
  <c r="D2849" i="33"/>
  <c r="D2850" i="33"/>
  <c r="D2851" i="33"/>
  <c r="D2852" i="33"/>
  <c r="D2853" i="33"/>
  <c r="D2854" i="33"/>
  <c r="D2855" i="33"/>
  <c r="D2856" i="33"/>
  <c r="D2857" i="33"/>
  <c r="D2858" i="33"/>
  <c r="D2859" i="33"/>
  <c r="D2860" i="33"/>
  <c r="D2861" i="33"/>
  <c r="D2862" i="33"/>
  <c r="D2863" i="33"/>
  <c r="D2864" i="33"/>
  <c r="D2865" i="33"/>
  <c r="D2866" i="33"/>
  <c r="D2867" i="33"/>
  <c r="D2868" i="33"/>
  <c r="D2869" i="33"/>
  <c r="D2870" i="33"/>
  <c r="D2871" i="33"/>
  <c r="D2872" i="33"/>
  <c r="D2873" i="33"/>
  <c r="D2874" i="33"/>
  <c r="D2875" i="33"/>
  <c r="D2876" i="33"/>
  <c r="D2877" i="33"/>
  <c r="D2878" i="33"/>
  <c r="D2879" i="33"/>
  <c r="D2880" i="33"/>
  <c r="D2881" i="33"/>
  <c r="D2882" i="33"/>
  <c r="D2883" i="33"/>
  <c r="D2884" i="33"/>
  <c r="D2885" i="33"/>
  <c r="D2886" i="33"/>
  <c r="D2887" i="33"/>
  <c r="D2888" i="33"/>
  <c r="D2889" i="33"/>
  <c r="D2890" i="33"/>
  <c r="D2891" i="33"/>
  <c r="D2892" i="33"/>
  <c r="D2893" i="33"/>
  <c r="D2894" i="33"/>
  <c r="D2895" i="33"/>
  <c r="D2896" i="33"/>
  <c r="D2897" i="33"/>
  <c r="D2898" i="33"/>
  <c r="D2899" i="33"/>
  <c r="D2900" i="33"/>
  <c r="D2901" i="33"/>
  <c r="D2902" i="33"/>
  <c r="D2903" i="33"/>
  <c r="D2904" i="33"/>
  <c r="D2905" i="33"/>
  <c r="D1012" i="33"/>
  <c r="D1013" i="33"/>
  <c r="D1014" i="33"/>
  <c r="D1015" i="33"/>
  <c r="D1016" i="33"/>
  <c r="D1017" i="33"/>
  <c r="D1018" i="33"/>
  <c r="D1019" i="33"/>
  <c r="D1020" i="33"/>
  <c r="D1021" i="33"/>
  <c r="D1022" i="33"/>
  <c r="D1023" i="33"/>
  <c r="D1024" i="33"/>
  <c r="D1025" i="33"/>
  <c r="D1026" i="33"/>
  <c r="D1027" i="33"/>
  <c r="D1028" i="33"/>
  <c r="D1029" i="33"/>
  <c r="D1030" i="33"/>
  <c r="D1031" i="33"/>
  <c r="D1032" i="33"/>
  <c r="D1033" i="33"/>
  <c r="D1034" i="33"/>
  <c r="D1035" i="33"/>
  <c r="D1036" i="33"/>
  <c r="D1037" i="33"/>
  <c r="D1038" i="33"/>
  <c r="D1039" i="33"/>
  <c r="D1040" i="33"/>
  <c r="D1041" i="33"/>
  <c r="D1042" i="33"/>
  <c r="D1043" i="33"/>
  <c r="D1044" i="33"/>
  <c r="D1045" i="33"/>
  <c r="D1046" i="33"/>
  <c r="D1047" i="33"/>
  <c r="D1048" i="33"/>
  <c r="D1049" i="33"/>
  <c r="D1050" i="33"/>
  <c r="D1051" i="33"/>
  <c r="D1052" i="33"/>
  <c r="D1053" i="33"/>
  <c r="D1054" i="33"/>
  <c r="D1055" i="33"/>
  <c r="D1056" i="33"/>
  <c r="D1057" i="33"/>
  <c r="D1058" i="33"/>
  <c r="D1059" i="33"/>
  <c r="D1060" i="33"/>
  <c r="D1061" i="33"/>
  <c r="D1062" i="33"/>
  <c r="D1063" i="33"/>
  <c r="D1064" i="33"/>
  <c r="D1065" i="33"/>
  <c r="D1066" i="33"/>
  <c r="D1067" i="33"/>
  <c r="D1068" i="33"/>
  <c r="D1069" i="33"/>
  <c r="D1070" i="33"/>
  <c r="D1071" i="33"/>
  <c r="D1072" i="33"/>
  <c r="D1073" i="33"/>
  <c r="D1074" i="33"/>
  <c r="D1075" i="33"/>
  <c r="D1076" i="33"/>
  <c r="D1077" i="33"/>
  <c r="D1078" i="33"/>
  <c r="D1079" i="33"/>
  <c r="D1080" i="33"/>
  <c r="D1081" i="33"/>
  <c r="D1082" i="33"/>
  <c r="D1083" i="33"/>
  <c r="D1084" i="33"/>
  <c r="D1085" i="33"/>
  <c r="D1086" i="33"/>
  <c r="D1087" i="33"/>
  <c r="D1088" i="33"/>
  <c r="D1089" i="33"/>
  <c r="D1090" i="33"/>
  <c r="D1091" i="33"/>
  <c r="D1092" i="33"/>
  <c r="D1093" i="33"/>
  <c r="D1094" i="33"/>
  <c r="D1095" i="33"/>
  <c r="D1096" i="33"/>
  <c r="D1097" i="33"/>
  <c r="D1098" i="33"/>
  <c r="D1099" i="33"/>
  <c r="D1100" i="33"/>
  <c r="D1101" i="33"/>
  <c r="D1102" i="33"/>
  <c r="D1103" i="33"/>
  <c r="D1104" i="33"/>
  <c r="D1105" i="33"/>
  <c r="D1106" i="33"/>
  <c r="D1107" i="33"/>
  <c r="D1108" i="33"/>
  <c r="D1109" i="33"/>
  <c r="D1110" i="33"/>
  <c r="D1111" i="33"/>
  <c r="D1112" i="33"/>
  <c r="D1113" i="33"/>
  <c r="D1114" i="33"/>
  <c r="D1115" i="33"/>
  <c r="D1116" i="33"/>
  <c r="D1117" i="33"/>
  <c r="D1118" i="33"/>
  <c r="D1119" i="33"/>
  <c r="D1120" i="33"/>
  <c r="D1121" i="33"/>
  <c r="D1122" i="33"/>
  <c r="D1123" i="33"/>
  <c r="D1124" i="33"/>
  <c r="D1125" i="33"/>
  <c r="D1126" i="33"/>
  <c r="D1127" i="33"/>
  <c r="D1128" i="33"/>
  <c r="D1129" i="33"/>
  <c r="D1130" i="33"/>
  <c r="D1131" i="33"/>
  <c r="D1132" i="33"/>
  <c r="D1133" i="33"/>
  <c r="D1134" i="33"/>
  <c r="D419" i="33"/>
  <c r="D420" i="33"/>
  <c r="D421" i="33"/>
  <c r="D422" i="33"/>
  <c r="D423" i="33"/>
  <c r="D424" i="33"/>
  <c r="D425" i="33"/>
  <c r="D426" i="33"/>
  <c r="D427" i="33"/>
  <c r="D428" i="33"/>
  <c r="D429" i="33"/>
  <c r="D430" i="33"/>
  <c r="D431" i="33"/>
  <c r="D432" i="33"/>
  <c r="D433" i="33"/>
  <c r="D434" i="33"/>
  <c r="D435" i="33"/>
  <c r="D436" i="33"/>
  <c r="D437" i="33"/>
  <c r="D438" i="33"/>
  <c r="D439" i="33"/>
  <c r="D440" i="33"/>
  <c r="D441" i="33"/>
  <c r="D442" i="33"/>
  <c r="D443" i="33"/>
  <c r="D444" i="33"/>
  <c r="D445" i="33"/>
  <c r="D446" i="33"/>
  <c r="D447" i="33"/>
  <c r="D448" i="33"/>
  <c r="D449" i="33"/>
  <c r="D450" i="33"/>
  <c r="D451" i="33"/>
  <c r="D452" i="33"/>
  <c r="D453" i="33"/>
  <c r="D454" i="33"/>
  <c r="D455" i="33"/>
  <c r="D456" i="33"/>
  <c r="D457" i="33"/>
  <c r="D458" i="33"/>
  <c r="D459" i="33"/>
  <c r="D460" i="33"/>
  <c r="D461" i="33"/>
  <c r="D462" i="33"/>
  <c r="D463" i="33"/>
  <c r="D464" i="33"/>
  <c r="D465" i="33"/>
  <c r="D466" i="33"/>
  <c r="D467" i="33"/>
  <c r="D468" i="33"/>
  <c r="D469" i="33"/>
  <c r="D470" i="33"/>
  <c r="D471" i="33"/>
  <c r="D472" i="33"/>
  <c r="D473" i="33"/>
  <c r="D474" i="33"/>
  <c r="D475" i="33"/>
  <c r="D476" i="33"/>
  <c r="D477" i="33"/>
  <c r="D478" i="33"/>
  <c r="D479" i="33"/>
  <c r="D480" i="33"/>
  <c r="D481" i="33"/>
  <c r="D482" i="33"/>
  <c r="D483" i="33"/>
  <c r="D484" i="33"/>
  <c r="D485" i="33"/>
  <c r="D486" i="33"/>
  <c r="D487" i="33"/>
  <c r="D488" i="33"/>
  <c r="D489" i="33"/>
  <c r="D490" i="33"/>
  <c r="D491" i="33"/>
  <c r="D492" i="33"/>
  <c r="D493" i="33"/>
  <c r="D494" i="33"/>
  <c r="D495" i="33"/>
  <c r="D496" i="33"/>
  <c r="D497" i="33"/>
  <c r="D498" i="33"/>
  <c r="D499" i="33"/>
  <c r="D500" i="33"/>
  <c r="D501" i="33"/>
  <c r="D502" i="33"/>
  <c r="D503" i="33"/>
  <c r="D504" i="33"/>
  <c r="D505" i="33"/>
  <c r="D506" i="33"/>
  <c r="D507" i="33"/>
  <c r="D508" i="33"/>
  <c r="D509" i="33"/>
  <c r="D510" i="33"/>
  <c r="D511" i="33"/>
  <c r="D512" i="33"/>
  <c r="D513" i="33"/>
  <c r="D514" i="33"/>
  <c r="D515" i="33"/>
  <c r="D516" i="33"/>
  <c r="D517" i="33"/>
  <c r="D518" i="33"/>
  <c r="D519" i="33"/>
  <c r="D520" i="33"/>
  <c r="D521" i="33"/>
  <c r="D522" i="33"/>
  <c r="D523" i="33"/>
  <c r="D524" i="33"/>
  <c r="D525" i="33"/>
  <c r="D526" i="33"/>
  <c r="D527" i="33"/>
  <c r="D528" i="33"/>
  <c r="D529" i="33"/>
  <c r="D530" i="33"/>
  <c r="D531" i="33"/>
  <c r="D532" i="33"/>
  <c r="D533" i="33"/>
  <c r="D534" i="33"/>
  <c r="D535" i="33"/>
  <c r="D536" i="33"/>
  <c r="D537" i="33"/>
  <c r="D538" i="33"/>
  <c r="D539" i="33"/>
  <c r="D540" i="33"/>
  <c r="D541" i="33"/>
  <c r="D381" i="29"/>
  <c r="D382" i="29"/>
  <c r="D383" i="29"/>
  <c r="D384" i="29"/>
  <c r="D385" i="29"/>
  <c r="D386" i="29"/>
  <c r="D387" i="29"/>
  <c r="D388" i="29"/>
  <c r="D389" i="29"/>
  <c r="D390" i="29"/>
  <c r="D391" i="29"/>
  <c r="D392" i="29"/>
  <c r="D393" i="29"/>
  <c r="D394" i="29"/>
  <c r="D395" i="29"/>
  <c r="D396" i="29"/>
  <c r="D397" i="29"/>
  <c r="D398" i="29"/>
  <c r="D399" i="29"/>
  <c r="D400" i="29"/>
  <c r="D401" i="29"/>
  <c r="D402" i="29"/>
  <c r="D403" i="29"/>
  <c r="D404" i="29"/>
  <c r="D405" i="29"/>
  <c r="D406" i="29"/>
  <c r="D407" i="29"/>
  <c r="D408" i="29"/>
  <c r="D409" i="29"/>
  <c r="D410" i="29"/>
  <c r="D411" i="29"/>
  <c r="D412" i="29"/>
  <c r="D413" i="29"/>
  <c r="D414" i="29"/>
  <c r="D415" i="29"/>
  <c r="D416" i="29"/>
  <c r="D417" i="29"/>
  <c r="D418" i="29"/>
  <c r="D419" i="29"/>
  <c r="D420" i="29"/>
  <c r="D421" i="29"/>
  <c r="D422" i="29"/>
  <c r="D423" i="29"/>
  <c r="D424" i="29"/>
  <c r="D425" i="29"/>
  <c r="D426" i="29"/>
  <c r="D427" i="29"/>
  <c r="D428" i="29"/>
  <c r="D429" i="29"/>
  <c r="D430" i="29"/>
  <c r="D431" i="29"/>
  <c r="D432" i="29"/>
  <c r="D433" i="29"/>
  <c r="D434" i="29"/>
  <c r="D435" i="29"/>
  <c r="D436" i="29"/>
  <c r="D437" i="29"/>
  <c r="D438" i="29"/>
  <c r="D439" i="29"/>
  <c r="D440" i="29"/>
  <c r="D441" i="29"/>
  <c r="D442" i="29"/>
  <c r="D443" i="29"/>
  <c r="D444" i="29"/>
  <c r="D445" i="29"/>
  <c r="D446" i="29"/>
  <c r="D447" i="29"/>
  <c r="D448" i="29"/>
  <c r="D449" i="29"/>
  <c r="D450" i="29"/>
  <c r="D451" i="29"/>
  <c r="D452" i="29"/>
  <c r="D453" i="29"/>
  <c r="D454" i="29"/>
  <c r="D455" i="29"/>
  <c r="D456" i="29"/>
  <c r="D457" i="29"/>
  <c r="D458" i="29"/>
  <c r="D459" i="29"/>
  <c r="D460" i="29"/>
  <c r="D461" i="29"/>
  <c r="D462" i="29"/>
  <c r="D463" i="29"/>
  <c r="D464" i="29"/>
  <c r="D465" i="29"/>
  <c r="D466" i="29"/>
  <c r="D467" i="29"/>
  <c r="D468" i="29"/>
  <c r="D469" i="29"/>
  <c r="D470" i="29"/>
  <c r="D471" i="29"/>
  <c r="D472" i="29"/>
  <c r="D473" i="29"/>
  <c r="D474" i="29"/>
  <c r="D475" i="29"/>
  <c r="D476" i="29"/>
  <c r="D477" i="29"/>
  <c r="D478" i="29"/>
  <c r="D479" i="29"/>
  <c r="D480" i="29"/>
  <c r="D481" i="29"/>
  <c r="D482" i="29"/>
  <c r="D483" i="29"/>
  <c r="D484" i="29"/>
  <c r="D485" i="29"/>
  <c r="D486" i="29"/>
  <c r="D487" i="29"/>
  <c r="D488" i="29"/>
  <c r="D489" i="29"/>
  <c r="D490" i="29"/>
  <c r="D491" i="29"/>
  <c r="D492" i="29"/>
  <c r="D493" i="29"/>
  <c r="D494" i="29"/>
  <c r="D495" i="29"/>
  <c r="D496" i="29"/>
  <c r="D497" i="29"/>
  <c r="D498" i="29"/>
  <c r="D499" i="29"/>
  <c r="D500" i="29"/>
  <c r="D501" i="29"/>
  <c r="D502" i="29"/>
  <c r="D503" i="29"/>
  <c r="D395" i="17"/>
  <c r="D396" i="17"/>
  <c r="D397" i="17"/>
  <c r="D398" i="17"/>
  <c r="D399" i="17"/>
  <c r="D400" i="17"/>
  <c r="D401" i="17"/>
  <c r="D402" i="17"/>
  <c r="D403" i="17"/>
  <c r="D404" i="17"/>
  <c r="D405" i="17"/>
  <c r="D406" i="17"/>
  <c r="D407" i="17"/>
  <c r="D408" i="17"/>
  <c r="D409" i="17"/>
  <c r="D410" i="17"/>
  <c r="D411" i="17"/>
  <c r="D412" i="17"/>
  <c r="D413" i="17"/>
  <c r="D414" i="17"/>
  <c r="D415" i="17"/>
  <c r="D416" i="17"/>
  <c r="D417" i="17"/>
  <c r="D418" i="17"/>
  <c r="D419" i="17"/>
  <c r="D420" i="17"/>
  <c r="D421" i="17"/>
  <c r="D422" i="17"/>
  <c r="D423" i="17"/>
  <c r="D424" i="17"/>
  <c r="D425" i="17"/>
  <c r="D426" i="17"/>
  <c r="D427" i="17"/>
  <c r="D428" i="17"/>
  <c r="D429" i="17"/>
  <c r="D430" i="17"/>
  <c r="D431" i="17"/>
  <c r="D432" i="17"/>
  <c r="D433" i="17"/>
  <c r="D434" i="17"/>
  <c r="D435" i="17"/>
  <c r="D436" i="17"/>
  <c r="D437" i="17"/>
  <c r="D438" i="17"/>
  <c r="D439" i="17"/>
  <c r="D440" i="17"/>
  <c r="D441" i="17"/>
  <c r="D442" i="17"/>
  <c r="D443" i="17"/>
  <c r="D444" i="17"/>
  <c r="D445" i="17"/>
  <c r="D446" i="17"/>
  <c r="D447" i="17"/>
  <c r="D448" i="17"/>
  <c r="D449" i="17"/>
  <c r="D450" i="17"/>
  <c r="D451" i="17"/>
  <c r="D452" i="17"/>
  <c r="D453" i="17"/>
  <c r="D454" i="17"/>
  <c r="D455" i="17"/>
  <c r="D456" i="17"/>
  <c r="D457" i="17"/>
  <c r="D458" i="17"/>
  <c r="D459" i="17"/>
  <c r="D460" i="17"/>
  <c r="D461" i="17"/>
  <c r="D462" i="17"/>
  <c r="D463" i="17"/>
  <c r="D464" i="17"/>
  <c r="D465" i="17"/>
  <c r="D466" i="17"/>
  <c r="D467" i="17"/>
  <c r="D468" i="17"/>
  <c r="D469" i="17"/>
  <c r="D470" i="17"/>
  <c r="D471" i="17"/>
  <c r="D472" i="17"/>
  <c r="D473" i="17"/>
  <c r="D474" i="17"/>
  <c r="D475" i="17"/>
  <c r="D476" i="17"/>
  <c r="D477" i="17"/>
  <c r="D478" i="17"/>
  <c r="D479" i="17"/>
  <c r="D480" i="17"/>
  <c r="D481" i="17"/>
  <c r="D482" i="17"/>
  <c r="D483" i="17"/>
  <c r="D484" i="17"/>
  <c r="D485" i="17"/>
  <c r="D486" i="17"/>
  <c r="D487" i="17"/>
  <c r="D488" i="17"/>
  <c r="D489" i="17"/>
  <c r="D490" i="17"/>
  <c r="D491" i="17"/>
  <c r="D492" i="17"/>
  <c r="D493" i="17"/>
  <c r="D494" i="17"/>
  <c r="D495" i="17"/>
  <c r="D496" i="17"/>
  <c r="D497" i="17"/>
  <c r="D498" i="17"/>
  <c r="D499" i="17"/>
  <c r="D500" i="17"/>
  <c r="D501" i="17"/>
  <c r="D502" i="17"/>
  <c r="D503" i="17"/>
  <c r="D504" i="17"/>
  <c r="D505" i="17"/>
  <c r="D506" i="17"/>
  <c r="D507" i="17"/>
  <c r="D508" i="17"/>
  <c r="D509" i="17"/>
  <c r="D510" i="17"/>
  <c r="D511" i="17"/>
  <c r="D512" i="17"/>
  <c r="D513" i="17"/>
  <c r="D514" i="17"/>
  <c r="D515" i="17"/>
  <c r="D516" i="17"/>
  <c r="D517" i="17"/>
  <c r="D3166" i="33"/>
  <c r="D3167" i="33"/>
  <c r="D3168" i="33"/>
  <c r="D3169" i="33"/>
  <c r="D3170" i="33"/>
  <c r="D3171" i="33"/>
  <c r="D3172" i="33"/>
  <c r="D3173" i="33"/>
  <c r="D3174" i="33"/>
  <c r="D3175" i="33"/>
  <c r="D3176" i="33"/>
  <c r="D3177" i="33"/>
  <c r="D3178" i="33"/>
  <c r="D3179" i="33"/>
  <c r="D3180" i="33"/>
  <c r="D3181" i="33"/>
  <c r="D3182" i="33"/>
  <c r="D3183" i="33"/>
  <c r="D3184" i="33"/>
  <c r="D3185" i="33"/>
  <c r="D3186" i="33"/>
  <c r="D3187" i="33"/>
  <c r="D3188" i="33"/>
  <c r="D3189" i="33"/>
  <c r="D3190" i="33"/>
  <c r="D3191" i="33"/>
  <c r="D3192" i="33"/>
  <c r="D3193" i="33"/>
  <c r="D3194" i="33"/>
  <c r="D3195" i="33"/>
  <c r="D3196" i="33"/>
  <c r="D1989" i="33"/>
  <c r="D1990" i="33"/>
  <c r="D1991" i="33"/>
  <c r="D1992" i="33"/>
  <c r="D1993" i="33"/>
  <c r="D1994" i="33"/>
  <c r="D1995" i="33"/>
  <c r="D1996" i="33"/>
  <c r="D1997" i="33"/>
  <c r="D1998" i="33"/>
  <c r="D1999" i="33"/>
  <c r="D2000" i="33"/>
  <c r="D2001" i="33"/>
  <c r="D2002" i="33"/>
  <c r="D2003" i="33"/>
  <c r="D2004" i="33"/>
  <c r="D2005" i="33"/>
  <c r="D2006" i="33"/>
  <c r="D2007" i="33"/>
  <c r="D2008" i="33"/>
  <c r="D2009" i="33"/>
  <c r="D2010" i="33"/>
  <c r="D2011" i="33"/>
  <c r="D2012" i="33"/>
  <c r="D2013" i="33"/>
  <c r="D2014" i="33"/>
  <c r="D2015" i="33"/>
  <c r="D2016" i="33"/>
  <c r="D2017" i="33"/>
  <c r="D2018" i="33"/>
  <c r="D2019" i="33"/>
  <c r="D1397" i="33"/>
  <c r="D1398" i="33"/>
  <c r="D1399" i="33"/>
  <c r="D1400" i="33"/>
  <c r="D1401" i="33"/>
  <c r="D1402" i="33"/>
  <c r="D1403" i="33"/>
  <c r="D1404" i="33"/>
  <c r="D1405" i="33"/>
  <c r="D1406" i="33"/>
  <c r="D1407" i="33"/>
  <c r="D1408" i="33"/>
  <c r="D1409" i="33"/>
  <c r="D1410" i="33"/>
  <c r="D1411" i="33"/>
  <c r="D1412" i="33"/>
  <c r="D1413" i="33"/>
  <c r="D1414" i="33"/>
  <c r="D1415" i="33"/>
  <c r="D1416" i="33"/>
  <c r="D1417" i="33"/>
  <c r="D1418" i="33"/>
  <c r="D1419" i="33"/>
  <c r="D1420" i="33"/>
  <c r="D1421" i="33"/>
  <c r="D1422" i="33"/>
  <c r="D1423" i="33"/>
  <c r="D1424" i="33"/>
  <c r="D1425" i="33"/>
  <c r="D1426" i="33"/>
  <c r="D1427" i="33"/>
  <c r="D2581" i="33"/>
  <c r="D2582" i="33"/>
  <c r="D2583" i="33"/>
  <c r="D2584" i="33"/>
  <c r="D2585" i="33"/>
  <c r="D2586" i="33"/>
  <c r="D2587" i="33"/>
  <c r="D2588" i="33"/>
  <c r="D2589" i="33"/>
  <c r="D2590" i="33"/>
  <c r="D2591" i="33"/>
  <c r="D2592" i="33"/>
  <c r="D2593" i="33"/>
  <c r="D2594" i="33"/>
  <c r="D2595" i="33"/>
  <c r="D2596" i="33"/>
  <c r="D2597" i="33"/>
  <c r="D2598" i="33"/>
  <c r="D2599" i="33"/>
  <c r="D2600" i="33"/>
  <c r="D2601" i="33"/>
  <c r="D2602" i="33"/>
  <c r="D2603" i="33"/>
  <c r="D2604" i="33"/>
  <c r="D2605" i="33"/>
  <c r="D2606" i="33"/>
  <c r="D2607" i="33"/>
  <c r="D2608" i="33"/>
  <c r="D2609" i="33"/>
  <c r="D2610" i="33"/>
  <c r="D2611" i="33"/>
  <c r="D810" i="33"/>
  <c r="D811" i="33"/>
  <c r="D812" i="33"/>
  <c r="D813" i="33"/>
  <c r="D814" i="33"/>
  <c r="D815" i="33"/>
  <c r="D816" i="33"/>
  <c r="D817" i="33"/>
  <c r="D818" i="33"/>
  <c r="D819" i="33"/>
  <c r="D820" i="33"/>
  <c r="D821" i="33"/>
  <c r="D822" i="33"/>
  <c r="D823" i="33"/>
  <c r="D824" i="33"/>
  <c r="D825" i="33"/>
  <c r="D826" i="33"/>
  <c r="D827" i="33"/>
  <c r="D828" i="33"/>
  <c r="D829" i="33"/>
  <c r="D830" i="33"/>
  <c r="D831" i="33"/>
  <c r="D832" i="33"/>
  <c r="D833" i="33"/>
  <c r="D834" i="33"/>
  <c r="D835" i="33"/>
  <c r="D836" i="33"/>
  <c r="D837" i="33"/>
  <c r="D838" i="33"/>
  <c r="D839" i="33"/>
  <c r="D840"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179" i="29"/>
  <c r="D180" i="29"/>
  <c r="D181" i="29"/>
  <c r="D182" i="29"/>
  <c r="D183" i="29"/>
  <c r="D184" i="29"/>
  <c r="D185" i="29"/>
  <c r="D186" i="29"/>
  <c r="D187" i="29"/>
  <c r="D188" i="29"/>
  <c r="D189" i="29"/>
  <c r="D190" i="29"/>
  <c r="D191" i="29"/>
  <c r="D192" i="29"/>
  <c r="D193" i="29"/>
  <c r="D194" i="29"/>
  <c r="D195" i="29"/>
  <c r="D196" i="29"/>
  <c r="D197" i="29"/>
  <c r="D198" i="29"/>
  <c r="D199" i="29"/>
  <c r="D200" i="29"/>
  <c r="D201" i="29"/>
  <c r="D202" i="29"/>
  <c r="D203" i="29"/>
  <c r="D204" i="29"/>
  <c r="D205" i="29"/>
  <c r="D206" i="29"/>
  <c r="D207" i="29"/>
  <c r="D208" i="29"/>
  <c r="D209" i="29"/>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3133" i="33"/>
  <c r="D3134" i="33"/>
  <c r="D3135" i="33"/>
  <c r="D3136" i="33"/>
  <c r="D3137" i="33"/>
  <c r="D3138" i="33"/>
  <c r="D3139" i="33"/>
  <c r="D3140" i="33"/>
  <c r="D3141" i="33"/>
  <c r="D3142" i="33"/>
  <c r="D3143" i="33"/>
  <c r="D3144" i="33"/>
  <c r="D3145" i="33"/>
  <c r="D3146" i="33"/>
  <c r="D3147" i="33"/>
  <c r="D3148" i="33"/>
  <c r="D3149" i="33"/>
  <c r="D3150" i="33"/>
  <c r="D3151" i="33"/>
  <c r="D3152" i="33"/>
  <c r="D3153" i="33"/>
  <c r="D3154" i="33"/>
  <c r="D3155" i="33"/>
  <c r="D3156" i="33"/>
  <c r="D3157" i="33"/>
  <c r="D3158" i="33"/>
  <c r="D3159" i="33"/>
  <c r="D3160" i="33"/>
  <c r="D3161" i="33"/>
  <c r="D3162" i="33"/>
  <c r="D3163" i="33"/>
  <c r="D1956" i="33"/>
  <c r="D1957" i="33"/>
  <c r="D1958" i="33"/>
  <c r="D1959" i="33"/>
  <c r="D1960" i="33"/>
  <c r="D1961" i="33"/>
  <c r="D1962" i="33"/>
  <c r="D1963" i="33"/>
  <c r="D1964" i="33"/>
  <c r="D1965" i="33"/>
  <c r="D1966" i="33"/>
  <c r="D1967" i="33"/>
  <c r="D1968" i="33"/>
  <c r="D1969" i="33"/>
  <c r="D1970" i="33"/>
  <c r="D1971" i="33"/>
  <c r="D1972" i="33"/>
  <c r="D1973" i="33"/>
  <c r="D1974" i="33"/>
  <c r="D1975" i="33"/>
  <c r="D1976" i="33"/>
  <c r="D1977" i="33"/>
  <c r="D1978" i="33"/>
  <c r="D1979" i="33"/>
  <c r="D1980" i="33"/>
  <c r="D1981" i="33"/>
  <c r="D1982" i="33"/>
  <c r="D1983" i="33"/>
  <c r="D1984" i="33"/>
  <c r="D1985" i="33"/>
  <c r="D1986" i="33"/>
  <c r="D1364" i="33"/>
  <c r="D1365" i="33"/>
  <c r="D1366" i="33"/>
  <c r="D1367" i="33"/>
  <c r="D1368" i="33"/>
  <c r="D1369" i="33"/>
  <c r="D1370" i="33"/>
  <c r="D1371" i="33"/>
  <c r="D1372" i="33"/>
  <c r="D1373" i="33"/>
  <c r="D1374" i="33"/>
  <c r="D1375" i="33"/>
  <c r="D1376" i="33"/>
  <c r="D1377" i="33"/>
  <c r="D1378" i="33"/>
  <c r="D1379" i="33"/>
  <c r="D1380" i="33"/>
  <c r="D1381" i="33"/>
  <c r="D1382" i="33"/>
  <c r="D1383" i="33"/>
  <c r="D1384" i="33"/>
  <c r="D1385" i="33"/>
  <c r="D1386" i="33"/>
  <c r="D1387" i="33"/>
  <c r="D1388" i="33"/>
  <c r="D1389" i="33"/>
  <c r="D1390" i="33"/>
  <c r="D1391" i="33"/>
  <c r="D1392" i="33"/>
  <c r="D1393" i="33"/>
  <c r="D1394" i="33"/>
  <c r="D2548" i="33"/>
  <c r="D2549" i="33"/>
  <c r="D2550" i="33"/>
  <c r="D2551" i="33"/>
  <c r="D2552" i="33"/>
  <c r="D2553" i="33"/>
  <c r="D2554" i="33"/>
  <c r="D2555" i="33"/>
  <c r="D2556" i="33"/>
  <c r="D2557" i="33"/>
  <c r="D2558" i="33"/>
  <c r="D2559" i="33"/>
  <c r="D2560" i="33"/>
  <c r="D2561" i="33"/>
  <c r="D2562" i="33"/>
  <c r="D2563" i="33"/>
  <c r="D2564" i="33"/>
  <c r="D2565" i="33"/>
  <c r="D2566" i="33"/>
  <c r="D2567" i="33"/>
  <c r="D2568" i="33"/>
  <c r="D2569" i="33"/>
  <c r="D2570" i="33"/>
  <c r="D2571" i="33"/>
  <c r="D2572" i="33"/>
  <c r="D2573" i="33"/>
  <c r="D2574" i="33"/>
  <c r="D2575" i="33"/>
  <c r="D2576" i="33"/>
  <c r="D2577" i="33"/>
  <c r="D2578"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5" i="33"/>
  <c r="D806" i="33"/>
  <c r="D807" i="33"/>
  <c r="D184" i="33"/>
  <c r="D185" i="33"/>
  <c r="D186" i="33"/>
  <c r="D187" i="33"/>
  <c r="D188"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146" i="29"/>
  <c r="D147" i="29"/>
  <c r="D148" i="29"/>
  <c r="D149" i="29"/>
  <c r="D150" i="29"/>
  <c r="D151" i="29"/>
  <c r="D152" i="29"/>
  <c r="D153" i="29"/>
  <c r="D154" i="29"/>
  <c r="D155" i="29"/>
  <c r="D156" i="29"/>
  <c r="D157" i="29"/>
  <c r="D158" i="29"/>
  <c r="D159" i="29"/>
  <c r="D160" i="29"/>
  <c r="D161" i="29"/>
  <c r="D162" i="29"/>
  <c r="D163" i="29"/>
  <c r="D164" i="29"/>
  <c r="D165" i="29"/>
  <c r="D166" i="29"/>
  <c r="D167" i="29"/>
  <c r="D168" i="29"/>
  <c r="D169" i="29"/>
  <c r="D170" i="29"/>
  <c r="D171" i="29"/>
  <c r="D172" i="29"/>
  <c r="D173" i="29"/>
  <c r="D174" i="29"/>
  <c r="D175" i="29"/>
  <c r="D176" i="29"/>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I3130" i="33"/>
  <c r="H324" i="37" s="1"/>
  <c r="I324" i="37" s="1"/>
  <c r="I1953" i="33"/>
  <c r="H323" i="37" s="1"/>
  <c r="I323" i="37" s="1"/>
  <c r="I1361" i="33"/>
  <c r="H322" i="37" s="1"/>
  <c r="I322" i="37" s="1"/>
  <c r="I2545" i="33"/>
  <c r="H321" i="37" s="1"/>
  <c r="I321" i="37" s="1"/>
  <c r="I774" i="33"/>
  <c r="H320" i="37" s="1"/>
  <c r="I320" i="37" s="1"/>
  <c r="I181" i="33"/>
  <c r="H319" i="37" s="1"/>
  <c r="I319" i="37" s="1"/>
  <c r="I143" i="29"/>
  <c r="H318" i="37" s="1"/>
  <c r="I318" i="37" s="1"/>
  <c r="I157" i="17"/>
  <c r="H317" i="37" s="1"/>
  <c r="I317" i="37" s="1"/>
  <c r="D46" i="82"/>
  <c r="D13" i="82"/>
  <c r="L193" i="17"/>
  <c r="L201" i="17"/>
  <c r="L193" i="29"/>
  <c r="L195" i="29"/>
  <c r="L216" i="17"/>
  <c r="L1962" i="33"/>
  <c r="G417" i="82"/>
  <c r="K52" i="10" s="1"/>
  <c r="M52" i="10" s="1"/>
  <c r="D328" i="20"/>
  <c r="D140" i="20"/>
  <c r="C24" i="29"/>
  <c r="L38" i="29"/>
  <c r="L37" i="29"/>
  <c r="L36" i="29"/>
  <c r="L35" i="29"/>
  <c r="L34" i="29"/>
  <c r="L33" i="29"/>
  <c r="L32" i="29"/>
  <c r="L29" i="29"/>
  <c r="L28" i="29"/>
  <c r="L27" i="29"/>
  <c r="H155" i="37" l="1"/>
  <c r="I155" i="37" s="1"/>
  <c r="H476" i="37"/>
  <c r="I476" i="37" s="1"/>
  <c r="U181" i="33"/>
  <c r="H477" i="37"/>
  <c r="I477" i="37" s="1"/>
  <c r="H156" i="37"/>
  <c r="I156" i="37" s="1"/>
  <c r="U774" i="33"/>
  <c r="H480" i="37"/>
  <c r="I480" i="37" s="1"/>
  <c r="H162" i="37"/>
  <c r="I162" i="37" s="1"/>
  <c r="U2545" i="33"/>
  <c r="H478" i="37"/>
  <c r="I478" i="37" s="1"/>
  <c r="H160" i="37"/>
  <c r="I160" i="37" s="1"/>
  <c r="U1361" i="33"/>
  <c r="H479" i="37"/>
  <c r="I479" i="37" s="1"/>
  <c r="H161" i="37"/>
  <c r="I161" i="37" s="1"/>
  <c r="U1953" i="33"/>
  <c r="H481" i="37"/>
  <c r="I481" i="37" s="1"/>
  <c r="H163" i="37"/>
  <c r="I163" i="37" s="1"/>
  <c r="U3130" i="33"/>
  <c r="H151" i="37"/>
  <c r="I151" i="37" s="1"/>
  <c r="H475" i="37"/>
  <c r="I475" i="37" s="1"/>
  <c r="U157" i="17"/>
  <c r="H147" i="37"/>
  <c r="I147" i="37" s="1"/>
  <c r="H474" i="37"/>
  <c r="I474" i="37" s="1"/>
  <c r="O222" i="31"/>
  <c r="J218" i="31"/>
  <c r="J217" i="31"/>
  <c r="M225" i="31"/>
  <c r="O216" i="31"/>
  <c r="M224" i="31"/>
  <c r="L220" i="31"/>
  <c r="O223" i="31"/>
  <c r="L217" i="31"/>
  <c r="O218" i="31"/>
  <c r="J222" i="31"/>
  <c r="K223" i="31"/>
  <c r="J219" i="31"/>
  <c r="K220" i="31"/>
  <c r="J216" i="31"/>
  <c r="M218" i="31"/>
  <c r="J225" i="31"/>
  <c r="O224" i="31"/>
  <c r="K225" i="31"/>
  <c r="O221" i="31"/>
  <c r="K224" i="31"/>
  <c r="N217" i="31"/>
  <c r="L225" i="31"/>
  <c r="L40" i="143" s="1"/>
  <c r="K217" i="31"/>
  <c r="N223" i="31"/>
  <c r="M223" i="31"/>
  <c r="M221" i="31"/>
  <c r="M220" i="31"/>
  <c r="N220" i="31"/>
  <c r="N35" i="143" s="1"/>
  <c r="L216" i="31"/>
  <c r="J224" i="31"/>
  <c r="L222" i="31"/>
  <c r="K222" i="31"/>
  <c r="M217" i="31"/>
  <c r="N224" i="31"/>
  <c r="K219" i="31"/>
  <c r="N225" i="31"/>
  <c r="L223" i="31"/>
  <c r="N222" i="31"/>
  <c r="M222" i="31"/>
  <c r="J221" i="31"/>
  <c r="O220" i="31"/>
  <c r="K221" i="31"/>
  <c r="O217" i="31"/>
  <c r="L224" i="31"/>
  <c r="O219" i="31"/>
  <c r="L221" i="31"/>
  <c r="K216" i="31"/>
  <c r="N219" i="31"/>
  <c r="M219" i="31"/>
  <c r="N216" i="31"/>
  <c r="M216" i="31"/>
  <c r="J223" i="31"/>
  <c r="J220" i="31"/>
  <c r="L219" i="31"/>
  <c r="L218" i="31"/>
  <c r="K218" i="31"/>
  <c r="O225" i="31"/>
  <c r="N221" i="31"/>
  <c r="N218" i="31"/>
  <c r="P203" i="82"/>
  <c r="P195" i="82"/>
  <c r="P187" i="82"/>
  <c r="P179" i="82"/>
  <c r="P171" i="82"/>
  <c r="P163" i="82"/>
  <c r="P155" i="82"/>
  <c r="P147" i="82"/>
  <c r="P139" i="82"/>
  <c r="P131" i="82"/>
  <c r="P123" i="82"/>
  <c r="P115" i="82"/>
  <c r="P107" i="82"/>
  <c r="P99" i="82"/>
  <c r="P91" i="82"/>
  <c r="P202" i="82"/>
  <c r="P194" i="82"/>
  <c r="P186" i="82"/>
  <c r="P178" i="82"/>
  <c r="P170" i="82"/>
  <c r="P162" i="82"/>
  <c r="P154" i="82"/>
  <c r="P146" i="82"/>
  <c r="P138" i="82"/>
  <c r="P130" i="82"/>
  <c r="P122" i="82"/>
  <c r="P114" i="82"/>
  <c r="P106" i="82"/>
  <c r="P98" i="82"/>
  <c r="P90" i="82"/>
  <c r="P201" i="82"/>
  <c r="P193" i="82"/>
  <c r="P185" i="82"/>
  <c r="P177" i="82"/>
  <c r="P169" i="82"/>
  <c r="P161" i="82"/>
  <c r="P153" i="82"/>
  <c r="P145" i="82"/>
  <c r="P137" i="82"/>
  <c r="P129" i="82"/>
  <c r="P121" i="82"/>
  <c r="P113" i="82"/>
  <c r="P105" i="82"/>
  <c r="P97" i="82"/>
  <c r="P89" i="82"/>
  <c r="O200" i="82"/>
  <c r="O192" i="82"/>
  <c r="O184" i="82"/>
  <c r="O176" i="82"/>
  <c r="O168" i="82"/>
  <c r="O160" i="82"/>
  <c r="O152" i="82"/>
  <c r="O144" i="82"/>
  <c r="O136" i="82"/>
  <c r="O128" i="82"/>
  <c r="O120" i="82"/>
  <c r="O112" i="82"/>
  <c r="O104" i="82"/>
  <c r="O96" i="82"/>
  <c r="O88" i="82"/>
  <c r="O199" i="82"/>
  <c r="O191" i="82"/>
  <c r="O183" i="82"/>
  <c r="O175" i="82"/>
  <c r="O167" i="82"/>
  <c r="O159" i="82"/>
  <c r="O151" i="82"/>
  <c r="O143" i="82"/>
  <c r="O135" i="82"/>
  <c r="O127" i="82"/>
  <c r="O119" i="82"/>
  <c r="O111" i="82"/>
  <c r="O103" i="82"/>
  <c r="O95" i="82"/>
  <c r="O87" i="82"/>
  <c r="O206" i="82"/>
  <c r="O198" i="82"/>
  <c r="O190" i="82"/>
  <c r="O182" i="82"/>
  <c r="O174" i="82"/>
  <c r="O166" i="82"/>
  <c r="O158" i="82"/>
  <c r="O150" i="82"/>
  <c r="O142" i="82"/>
  <c r="O134" i="82"/>
  <c r="O126" i="82"/>
  <c r="O118" i="82"/>
  <c r="O110" i="82"/>
  <c r="O102" i="82"/>
  <c r="O94" i="82"/>
  <c r="O86" i="82"/>
  <c r="O205" i="82"/>
  <c r="O197" i="82"/>
  <c r="O189" i="82"/>
  <c r="O181" i="82"/>
  <c r="O173" i="82"/>
  <c r="O165" i="82"/>
  <c r="O157" i="82"/>
  <c r="O149" i="82"/>
  <c r="O141" i="82"/>
  <c r="O133" i="82"/>
  <c r="O125" i="82"/>
  <c r="O117" i="82"/>
  <c r="O109" i="82"/>
  <c r="O101" i="82"/>
  <c r="O93" i="82"/>
  <c r="O85" i="82"/>
  <c r="O204" i="82"/>
  <c r="O196" i="82"/>
  <c r="O188" i="82"/>
  <c r="O180" i="82"/>
  <c r="O172" i="82"/>
  <c r="O164" i="82"/>
  <c r="O156" i="82"/>
  <c r="O148" i="82"/>
  <c r="O140" i="82"/>
  <c r="O132" i="82"/>
  <c r="O124" i="82"/>
  <c r="O116" i="82"/>
  <c r="O108" i="82"/>
  <c r="O100" i="82"/>
  <c r="O92" i="82"/>
  <c r="O84" i="82"/>
  <c r="L3195" i="33"/>
  <c r="L2610" i="33"/>
  <c r="L222" i="17"/>
  <c r="L1426" i="33"/>
  <c r="L2018" i="33"/>
  <c r="L246" i="33"/>
  <c r="L3187" i="33"/>
  <c r="L2602" i="33"/>
  <c r="L214" i="17"/>
  <c r="L1418" i="33"/>
  <c r="L2010" i="33"/>
  <c r="L238" i="33"/>
  <c r="L3179" i="33"/>
  <c r="L823" i="33"/>
  <c r="L2594" i="33"/>
  <c r="L206" i="17"/>
  <c r="L1410" i="33"/>
  <c r="L2002" i="33"/>
  <c r="L230" i="33"/>
  <c r="L3171" i="33"/>
  <c r="L815" i="33"/>
  <c r="L2586" i="33"/>
  <c r="L198" i="17"/>
  <c r="L1402" i="33"/>
  <c r="L1994" i="33"/>
  <c r="L222" i="33"/>
  <c r="J3490" i="33"/>
  <c r="J1721" i="33"/>
  <c r="J2313" i="33"/>
  <c r="J2905" i="33"/>
  <c r="J541" i="33"/>
  <c r="J1134" i="33"/>
  <c r="J517" i="17"/>
  <c r="J503" i="29"/>
  <c r="J3482" i="33"/>
  <c r="J1713" i="33"/>
  <c r="J2305" i="33"/>
  <c r="J2897" i="33"/>
  <c r="J533" i="33"/>
  <c r="J1126" i="33"/>
  <c r="J509" i="17"/>
  <c r="J495" i="29"/>
  <c r="J3474" i="33"/>
  <c r="J1705" i="33"/>
  <c r="J2297" i="33"/>
  <c r="J2889" i="33"/>
  <c r="J1118" i="33"/>
  <c r="J525" i="33"/>
  <c r="J487" i="29"/>
  <c r="J501" i="17"/>
  <c r="J3466" i="33"/>
  <c r="J1697" i="33"/>
  <c r="J2289" i="33"/>
  <c r="J2881" i="33"/>
  <c r="J517" i="33"/>
  <c r="J1110" i="33"/>
  <c r="J493" i="17"/>
  <c r="J479" i="29"/>
  <c r="J3458" i="33"/>
  <c r="J1689" i="33"/>
  <c r="J2281" i="33"/>
  <c r="J2873" i="33"/>
  <c r="J509" i="33"/>
  <c r="J1102" i="33"/>
  <c r="J485" i="17"/>
  <c r="J471" i="29"/>
  <c r="J3450" i="33"/>
  <c r="J1681" i="33"/>
  <c r="J2273" i="33"/>
  <c r="J2865" i="33"/>
  <c r="J501" i="33"/>
  <c r="J1094" i="33"/>
  <c r="J477" i="17"/>
  <c r="J463" i="29"/>
  <c r="J3442" i="33"/>
  <c r="J1673" i="33"/>
  <c r="J2265" i="33"/>
  <c r="J2857" i="33"/>
  <c r="J1086" i="33"/>
  <c r="J493" i="33"/>
  <c r="J455" i="29"/>
  <c r="J469" i="17"/>
  <c r="J3434" i="33"/>
  <c r="J1665" i="33"/>
  <c r="J2257" i="33"/>
  <c r="J2849" i="33"/>
  <c r="J485" i="33"/>
  <c r="J1078" i="33"/>
  <c r="J461" i="17"/>
  <c r="J447" i="29"/>
  <c r="J3426" i="33"/>
  <c r="J1657" i="33"/>
  <c r="J2249" i="33"/>
  <c r="J2841" i="33"/>
  <c r="J477" i="33"/>
  <c r="J1070" i="33"/>
  <c r="J453" i="17"/>
  <c r="J439" i="29"/>
  <c r="J3418" i="33"/>
  <c r="J1649" i="33"/>
  <c r="J2241" i="33"/>
  <c r="J2833" i="33"/>
  <c r="J469" i="33"/>
  <c r="J1062" i="33"/>
  <c r="J445" i="17"/>
  <c r="J431" i="29"/>
  <c r="J3410" i="33"/>
  <c r="J1641" i="33"/>
  <c r="J2233" i="33"/>
  <c r="J2825" i="33"/>
  <c r="J1054" i="33"/>
  <c r="J461" i="33"/>
  <c r="J437" i="17"/>
  <c r="J423" i="29"/>
  <c r="J3402" i="33"/>
  <c r="J1633" i="33"/>
  <c r="J2225" i="33"/>
  <c r="J2817" i="33"/>
  <c r="J453" i="33"/>
  <c r="J1046" i="33"/>
  <c r="J429" i="17"/>
  <c r="J415" i="29"/>
  <c r="J3394" i="33"/>
  <c r="J1625" i="33"/>
  <c r="J2217" i="33"/>
  <c r="J2809" i="33"/>
  <c r="J445" i="33"/>
  <c r="J1038" i="33"/>
  <c r="J407" i="29"/>
  <c r="J421" i="17"/>
  <c r="J3386" i="33"/>
  <c r="J1617" i="33"/>
  <c r="J2209" i="33"/>
  <c r="J2801" i="33"/>
  <c r="J437" i="33"/>
  <c r="J1030" i="33"/>
  <c r="J413" i="17"/>
  <c r="J399" i="29"/>
  <c r="J3378" i="33"/>
  <c r="J1609" i="33"/>
  <c r="J2201" i="33"/>
  <c r="J2793" i="33"/>
  <c r="J1022" i="33"/>
  <c r="J429" i="33"/>
  <c r="J405" i="17"/>
  <c r="J391" i="29"/>
  <c r="J3370" i="33"/>
  <c r="J1601" i="33"/>
  <c r="J2193" i="33"/>
  <c r="J2785" i="33"/>
  <c r="J421" i="33"/>
  <c r="J1014" i="33"/>
  <c r="J397" i="17"/>
  <c r="J383" i="29"/>
  <c r="L1751" i="33"/>
  <c r="L533" i="29"/>
  <c r="L2935" i="33"/>
  <c r="L3520" i="33"/>
  <c r="L1164" i="33"/>
  <c r="L2343" i="33"/>
  <c r="L571" i="33"/>
  <c r="L1743" i="33"/>
  <c r="L525" i="29"/>
  <c r="L2927" i="33"/>
  <c r="L3512" i="33"/>
  <c r="L1156" i="33"/>
  <c r="L2335" i="33"/>
  <c r="L563" i="33"/>
  <c r="L1735" i="33"/>
  <c r="L517" i="29"/>
  <c r="L2919" i="33"/>
  <c r="L3504" i="33"/>
  <c r="L1148" i="33"/>
  <c r="L2327" i="33"/>
  <c r="L555" i="33"/>
  <c r="L1727" i="33"/>
  <c r="L509" i="29"/>
  <c r="L2911" i="33"/>
  <c r="L3496" i="33"/>
  <c r="L1140" i="33"/>
  <c r="L2319" i="33"/>
  <c r="L547" i="33"/>
  <c r="L185" i="17"/>
  <c r="L177" i="17"/>
  <c r="L169" i="17"/>
  <c r="L161" i="17"/>
  <c r="L169" i="29"/>
  <c r="L161" i="29"/>
  <c r="L153" i="29"/>
  <c r="L213" i="33"/>
  <c r="L205" i="33"/>
  <c r="L197" i="33"/>
  <c r="L189" i="33"/>
  <c r="L804" i="33"/>
  <c r="L796" i="33"/>
  <c r="L788" i="33"/>
  <c r="L780" i="33"/>
  <c r="L2573" i="33"/>
  <c r="L2565" i="33"/>
  <c r="L2557" i="33"/>
  <c r="L2549" i="33"/>
  <c r="L1387" i="33"/>
  <c r="L1379" i="33"/>
  <c r="L1371" i="33"/>
  <c r="L1985" i="33"/>
  <c r="L1977" i="33"/>
  <c r="L1969" i="33"/>
  <c r="L1961" i="33"/>
  <c r="L3160" i="33"/>
  <c r="L3152" i="33"/>
  <c r="L3144" i="33"/>
  <c r="L3136" i="33"/>
  <c r="L200" i="29"/>
  <c r="L189" i="29"/>
  <c r="L3194" i="33"/>
  <c r="L838" i="33"/>
  <c r="L2609" i="33"/>
  <c r="L1425" i="33"/>
  <c r="L2017" i="33"/>
  <c r="L245" i="33"/>
  <c r="L3186" i="33"/>
  <c r="L830" i="33"/>
  <c r="L2601" i="33"/>
  <c r="L1417" i="33"/>
  <c r="L2009" i="33"/>
  <c r="L237" i="33"/>
  <c r="L3178" i="33"/>
  <c r="L822" i="33"/>
  <c r="L2593" i="33"/>
  <c r="L1409" i="33"/>
  <c r="L2001" i="33"/>
  <c r="L229" i="33"/>
  <c r="L3170" i="33"/>
  <c r="L814" i="33"/>
  <c r="L2585" i="33"/>
  <c r="L1401" i="33"/>
  <c r="L1993" i="33"/>
  <c r="L221" i="33"/>
  <c r="J3489" i="33"/>
  <c r="J2312" i="33"/>
  <c r="J1720" i="33"/>
  <c r="J2904" i="33"/>
  <c r="J540" i="33"/>
  <c r="J1133" i="33"/>
  <c r="J502" i="29"/>
  <c r="J516" i="17"/>
  <c r="J3481" i="33"/>
  <c r="J2304" i="33"/>
  <c r="J1712" i="33"/>
  <c r="J2896" i="33"/>
  <c r="J532" i="33"/>
  <c r="J1125" i="33"/>
  <c r="J494" i="29"/>
  <c r="J508" i="17"/>
  <c r="J3473" i="33"/>
  <c r="J2296" i="33"/>
  <c r="J1704" i="33"/>
  <c r="J2888" i="33"/>
  <c r="J1117" i="33"/>
  <c r="J524" i="33"/>
  <c r="J486" i="29"/>
  <c r="J500" i="17"/>
  <c r="J3465" i="33"/>
  <c r="J2288" i="33"/>
  <c r="J1696" i="33"/>
  <c r="J2880" i="33"/>
  <c r="J516" i="33"/>
  <c r="J1109" i="33"/>
  <c r="J478" i="29"/>
  <c r="J492" i="17"/>
  <c r="J3457" i="33"/>
  <c r="J2280" i="33"/>
  <c r="J1688" i="33"/>
  <c r="J2872" i="33"/>
  <c r="J508" i="33"/>
  <c r="J1101" i="33"/>
  <c r="J470" i="29"/>
  <c r="J484" i="17"/>
  <c r="J3449" i="33"/>
  <c r="J2272" i="33"/>
  <c r="J1680" i="33"/>
  <c r="J2864" i="33"/>
  <c r="J500" i="33"/>
  <c r="J1093" i="33"/>
  <c r="J462" i="29"/>
  <c r="J476" i="17"/>
  <c r="J3441" i="33"/>
  <c r="J2264" i="33"/>
  <c r="J1672" i="33"/>
  <c r="J2856" i="33"/>
  <c r="J1085" i="33"/>
  <c r="J492" i="33"/>
  <c r="J454" i="29"/>
  <c r="J468" i="17"/>
  <c r="J3433" i="33"/>
  <c r="J2256" i="33"/>
  <c r="J1664" i="33"/>
  <c r="J2848" i="33"/>
  <c r="J484" i="33"/>
  <c r="J1077" i="33"/>
  <c r="J446" i="29"/>
  <c r="J460" i="17"/>
  <c r="J3425" i="33"/>
  <c r="J2248" i="33"/>
  <c r="J1656" i="33"/>
  <c r="J2840" i="33"/>
  <c r="J476" i="33"/>
  <c r="J1069" i="33"/>
  <c r="J438" i="29"/>
  <c r="J452" i="17"/>
  <c r="J3417" i="33"/>
  <c r="J2240" i="33"/>
  <c r="J1648" i="33"/>
  <c r="J2832" i="33"/>
  <c r="J468" i="33"/>
  <c r="J1061" i="33"/>
  <c r="J430" i="29"/>
  <c r="J444" i="17"/>
  <c r="J3409" i="33"/>
  <c r="J2232" i="33"/>
  <c r="J1640" i="33"/>
  <c r="J2824" i="33"/>
  <c r="J1053" i="33"/>
  <c r="J460" i="33"/>
  <c r="J422" i="29"/>
  <c r="J436" i="17"/>
  <c r="J3401" i="33"/>
  <c r="J2224" i="33"/>
  <c r="J1632" i="33"/>
  <c r="J2816" i="33"/>
  <c r="J452" i="33"/>
  <c r="J1045" i="33"/>
  <c r="J414" i="29"/>
  <c r="J428" i="17"/>
  <c r="J3393" i="33"/>
  <c r="J2216" i="33"/>
  <c r="J1624" i="33"/>
  <c r="J2808" i="33"/>
  <c r="J444" i="33"/>
  <c r="J1037" i="33"/>
  <c r="J406" i="29"/>
  <c r="J420" i="17"/>
  <c r="J3385" i="33"/>
  <c r="J2208" i="33"/>
  <c r="J1616" i="33"/>
  <c r="J2800" i="33"/>
  <c r="J436" i="33"/>
  <c r="J1029" i="33"/>
  <c r="J398" i="29"/>
  <c r="J412" i="17"/>
  <c r="J3377" i="33"/>
  <c r="J2200" i="33"/>
  <c r="J1608" i="33"/>
  <c r="J2792" i="33"/>
  <c r="J1021" i="33"/>
  <c r="J428" i="33"/>
  <c r="J390" i="29"/>
  <c r="J404" i="17"/>
  <c r="J3369" i="33"/>
  <c r="J2192" i="33"/>
  <c r="J1600" i="33"/>
  <c r="J2784" i="33"/>
  <c r="J420" i="33"/>
  <c r="J1013" i="33"/>
  <c r="J382" i="29"/>
  <c r="J396" i="17"/>
  <c r="L1750" i="33"/>
  <c r="L532" i="29"/>
  <c r="L2934" i="33"/>
  <c r="L3519" i="33"/>
  <c r="L1163" i="33"/>
  <c r="L2342" i="33"/>
  <c r="L570" i="33"/>
  <c r="L1742" i="33"/>
  <c r="L524" i="29"/>
  <c r="L2926" i="33"/>
  <c r="L3511" i="33"/>
  <c r="L1155" i="33"/>
  <c r="L2334" i="33"/>
  <c r="L562" i="33"/>
  <c r="L1734" i="33"/>
  <c r="L516" i="29"/>
  <c r="L2918" i="33"/>
  <c r="L3503" i="33"/>
  <c r="L1147" i="33"/>
  <c r="L2326" i="33"/>
  <c r="L554" i="33"/>
  <c r="L1726" i="33"/>
  <c r="L508" i="29"/>
  <c r="L2910" i="33"/>
  <c r="L3495" i="33"/>
  <c r="L1139" i="33"/>
  <c r="L2318" i="33"/>
  <c r="L546" i="33"/>
  <c r="L184" i="17"/>
  <c r="L176" i="17"/>
  <c r="L168" i="17"/>
  <c r="L160" i="17"/>
  <c r="L176" i="29"/>
  <c r="L168" i="29"/>
  <c r="L160" i="29"/>
  <c r="L152" i="29"/>
  <c r="L212" i="33"/>
  <c r="L204" i="33"/>
  <c r="L196" i="33"/>
  <c r="L188" i="33"/>
  <c r="L803" i="33"/>
  <c r="L795" i="33"/>
  <c r="L787" i="33"/>
  <c r="L779" i="33"/>
  <c r="L2572" i="33"/>
  <c r="L2564" i="33"/>
  <c r="L2556" i="33"/>
  <c r="L2548" i="33"/>
  <c r="L1394" i="33"/>
  <c r="L1386" i="33"/>
  <c r="L1378" i="33"/>
  <c r="L1370" i="33"/>
  <c r="L1984" i="33"/>
  <c r="L1976" i="33"/>
  <c r="L1968" i="33"/>
  <c r="L1960" i="33"/>
  <c r="L3159" i="33"/>
  <c r="L3151" i="33"/>
  <c r="L3143" i="33"/>
  <c r="L3135" i="33"/>
  <c r="L204" i="17"/>
  <c r="L209" i="29"/>
  <c r="L199" i="29"/>
  <c r="L2608" i="33"/>
  <c r="L1424" i="33"/>
  <c r="L206" i="29"/>
  <c r="L2016" i="33"/>
  <c r="L3193" i="33"/>
  <c r="L837" i="33"/>
  <c r="L2600" i="33"/>
  <c r="L1416" i="33"/>
  <c r="L198" i="29"/>
  <c r="L2008" i="33"/>
  <c r="L3185" i="33"/>
  <c r="L829" i="33"/>
  <c r="L2592" i="33"/>
  <c r="L1408" i="33"/>
  <c r="L190" i="29"/>
  <c r="L2000" i="33"/>
  <c r="L3177" i="33"/>
  <c r="L821" i="33"/>
  <c r="L2584" i="33"/>
  <c r="L1400" i="33"/>
  <c r="L182" i="29"/>
  <c r="L1992" i="33"/>
  <c r="L3169" i="33"/>
  <c r="L813" i="33"/>
  <c r="J3488" i="33"/>
  <c r="J2311" i="33"/>
  <c r="J2903" i="33"/>
  <c r="J1719" i="33"/>
  <c r="J1132" i="33"/>
  <c r="J501" i="29"/>
  <c r="J539" i="33"/>
  <c r="J515" i="17"/>
  <c r="J3480" i="33"/>
  <c r="J2303" i="33"/>
  <c r="J1711" i="33"/>
  <c r="J2895" i="33"/>
  <c r="J493" i="29"/>
  <c r="J1124" i="33"/>
  <c r="J531" i="33"/>
  <c r="J507" i="17"/>
  <c r="J3472" i="33"/>
  <c r="J2295" i="33"/>
  <c r="J1703" i="33"/>
  <c r="J2887" i="33"/>
  <c r="J485" i="29"/>
  <c r="J1116" i="33"/>
  <c r="J523" i="33"/>
  <c r="J499" i="17"/>
  <c r="J3464" i="33"/>
  <c r="J2287" i="33"/>
  <c r="J1695" i="33"/>
  <c r="J2879" i="33"/>
  <c r="J1108" i="33"/>
  <c r="J477" i="29"/>
  <c r="J515" i="33"/>
  <c r="J491" i="17"/>
  <c r="J3456" i="33"/>
  <c r="J2279" i="33"/>
  <c r="J1687" i="33"/>
  <c r="J2871" i="33"/>
  <c r="J1100" i="33"/>
  <c r="J469" i="29"/>
  <c r="J507" i="33"/>
  <c r="J483" i="17"/>
  <c r="J3448" i="33"/>
  <c r="J2271" i="33"/>
  <c r="J1679" i="33"/>
  <c r="J2863" i="33"/>
  <c r="J461" i="29"/>
  <c r="J1092" i="33"/>
  <c r="J499" i="33"/>
  <c r="J475" i="17"/>
  <c r="J3440" i="33"/>
  <c r="J2263" i="33"/>
  <c r="J1671" i="33"/>
  <c r="J2855" i="33"/>
  <c r="J453" i="29"/>
  <c r="J1084" i="33"/>
  <c r="J491" i="33"/>
  <c r="J467" i="17"/>
  <c r="J3432" i="33"/>
  <c r="J2255" i="33"/>
  <c r="J1663" i="33"/>
  <c r="J2847" i="33"/>
  <c r="J1076" i="33"/>
  <c r="J445" i="29"/>
  <c r="J483" i="33"/>
  <c r="J459" i="17"/>
  <c r="J3424" i="33"/>
  <c r="J2247" i="33"/>
  <c r="J1655" i="33"/>
  <c r="J2839" i="33"/>
  <c r="J1068" i="33"/>
  <c r="J437" i="29"/>
  <c r="J475" i="33"/>
  <c r="J451" i="17"/>
  <c r="J3416" i="33"/>
  <c r="J2239" i="33"/>
  <c r="J1647" i="33"/>
  <c r="J2831" i="33"/>
  <c r="J429" i="29"/>
  <c r="J1060" i="33"/>
  <c r="J467" i="33"/>
  <c r="J443" i="17"/>
  <c r="J3408" i="33"/>
  <c r="J2231" i="33"/>
  <c r="J1639" i="33"/>
  <c r="J2823" i="33"/>
  <c r="J421" i="29"/>
  <c r="J1052" i="33"/>
  <c r="J459" i="33"/>
  <c r="J435" i="17"/>
  <c r="J3400" i="33"/>
  <c r="J2223" i="33"/>
  <c r="J1631" i="33"/>
  <c r="J2815" i="33"/>
  <c r="J1044" i="33"/>
  <c r="J413" i="29"/>
  <c r="J451" i="33"/>
  <c r="J427" i="17"/>
  <c r="J3392" i="33"/>
  <c r="J2215" i="33"/>
  <c r="J1623" i="33"/>
  <c r="J2807" i="33"/>
  <c r="J1036" i="33"/>
  <c r="J405" i="29"/>
  <c r="J443" i="33"/>
  <c r="J419" i="17"/>
  <c r="J3384" i="33"/>
  <c r="J2207" i="33"/>
  <c r="J1615" i="33"/>
  <c r="J2799" i="33"/>
  <c r="J397" i="29"/>
  <c r="J1028" i="33"/>
  <c r="J435" i="33"/>
  <c r="J411" i="17"/>
  <c r="J3376" i="33"/>
  <c r="J2199" i="33"/>
  <c r="J1607" i="33"/>
  <c r="J2791" i="33"/>
  <c r="J389" i="29"/>
  <c r="J1020" i="33"/>
  <c r="J427" i="33"/>
  <c r="J403" i="17"/>
  <c r="J3368" i="33"/>
  <c r="J2191" i="33"/>
  <c r="J1599" i="33"/>
  <c r="J2783" i="33"/>
  <c r="J1012" i="33"/>
  <c r="J381" i="29"/>
  <c r="J419" i="33"/>
  <c r="J395" i="17"/>
  <c r="L2933" i="33"/>
  <c r="L3518" i="33"/>
  <c r="L1162" i="33"/>
  <c r="L2341" i="33"/>
  <c r="L569" i="33"/>
  <c r="L1749" i="33"/>
  <c r="L531" i="29"/>
  <c r="L2925" i="33"/>
  <c r="L3510" i="33"/>
  <c r="L1154" i="33"/>
  <c r="L2333" i="33"/>
  <c r="L561" i="33"/>
  <c r="L1741" i="33"/>
  <c r="L523" i="29"/>
  <c r="L2917" i="33"/>
  <c r="L3502" i="33"/>
  <c r="L1146" i="33"/>
  <c r="L2325" i="33"/>
  <c r="L553" i="33"/>
  <c r="L1733" i="33"/>
  <c r="L515" i="29"/>
  <c r="L2909" i="33"/>
  <c r="L3494" i="33"/>
  <c r="L1138" i="33"/>
  <c r="L2317" i="33"/>
  <c r="L545" i="33"/>
  <c r="L1725" i="33"/>
  <c r="L507" i="29"/>
  <c r="L183" i="17"/>
  <c r="L175" i="17"/>
  <c r="L167" i="17"/>
  <c r="L175" i="29"/>
  <c r="L167" i="29"/>
  <c r="L159" i="29"/>
  <c r="L151" i="29"/>
  <c r="L211" i="33"/>
  <c r="L203" i="33"/>
  <c r="L195" i="33"/>
  <c r="L187" i="33"/>
  <c r="L802" i="33"/>
  <c r="L794" i="33"/>
  <c r="L786" i="33"/>
  <c r="L778" i="33"/>
  <c r="L2571" i="33"/>
  <c r="L2563" i="33"/>
  <c r="L2555" i="33"/>
  <c r="L1393" i="33"/>
  <c r="L1385" i="33"/>
  <c r="L1377" i="33"/>
  <c r="L1369" i="33"/>
  <c r="L1983" i="33"/>
  <c r="L1975" i="33"/>
  <c r="L1967" i="33"/>
  <c r="L1959" i="33"/>
  <c r="L3158" i="33"/>
  <c r="L3150" i="33"/>
  <c r="L3142" i="33"/>
  <c r="L3134" i="33"/>
  <c r="L213" i="17"/>
  <c r="L208" i="29"/>
  <c r="L187" i="29"/>
  <c r="L224" i="33"/>
  <c r="L2607" i="33"/>
  <c r="L1423" i="33"/>
  <c r="L2015" i="33"/>
  <c r="L243" i="33"/>
  <c r="L3192" i="33"/>
  <c r="L836" i="33"/>
  <c r="L2599" i="33"/>
  <c r="L1415" i="33"/>
  <c r="L2007" i="33"/>
  <c r="L235" i="33"/>
  <c r="L3184" i="33"/>
  <c r="L828" i="33"/>
  <c r="L2591" i="33"/>
  <c r="L1407" i="33"/>
  <c r="L1999" i="33"/>
  <c r="L227" i="33"/>
  <c r="L3176" i="33"/>
  <c r="L820" i="33"/>
  <c r="L2583" i="33"/>
  <c r="L1399" i="33"/>
  <c r="L181" i="29"/>
  <c r="L1991" i="33"/>
  <c r="L219" i="33"/>
  <c r="L3168" i="33"/>
  <c r="L812" i="33"/>
  <c r="J3487" i="33"/>
  <c r="J2310" i="33"/>
  <c r="J2902" i="33"/>
  <c r="J1718" i="33"/>
  <c r="J1131" i="33"/>
  <c r="J538" i="33"/>
  <c r="J500" i="29"/>
  <c r="J514" i="17"/>
  <c r="J3479" i="33"/>
  <c r="J2302" i="33"/>
  <c r="J1710" i="33"/>
  <c r="J2894" i="33"/>
  <c r="J1123" i="33"/>
  <c r="J530" i="33"/>
  <c r="J492" i="29"/>
  <c r="J506" i="17"/>
  <c r="J3471" i="33"/>
  <c r="J2294" i="33"/>
  <c r="J2886" i="33"/>
  <c r="J1702" i="33"/>
  <c r="J1115" i="33"/>
  <c r="J522" i="33"/>
  <c r="J498" i="17"/>
  <c r="J484" i="29"/>
  <c r="J3463" i="33"/>
  <c r="J2286" i="33"/>
  <c r="J1694" i="33"/>
  <c r="J2878" i="33"/>
  <c r="J1107" i="33"/>
  <c r="J514" i="33"/>
  <c r="J476" i="29"/>
  <c r="J490" i="17"/>
  <c r="J3455" i="33"/>
  <c r="J2278" i="33"/>
  <c r="J1686" i="33"/>
  <c r="J2870" i="33"/>
  <c r="J1099" i="33"/>
  <c r="J506" i="33"/>
  <c r="J468" i="29"/>
  <c r="J482" i="17"/>
  <c r="J3447" i="33"/>
  <c r="J2270" i="33"/>
  <c r="J2862" i="33"/>
  <c r="J1678" i="33"/>
  <c r="J1091" i="33"/>
  <c r="J498" i="33"/>
  <c r="J460" i="29"/>
  <c r="J474" i="17"/>
  <c r="J3439" i="33"/>
  <c r="J2262" i="33"/>
  <c r="J1670" i="33"/>
  <c r="J2854" i="33"/>
  <c r="J1083" i="33"/>
  <c r="J490" i="33"/>
  <c r="J466" i="17"/>
  <c r="J452" i="29"/>
  <c r="J3431" i="33"/>
  <c r="J2254" i="33"/>
  <c r="J1662" i="33"/>
  <c r="J2846" i="33"/>
  <c r="J1075" i="33"/>
  <c r="J482" i="33"/>
  <c r="J444" i="29"/>
  <c r="J458" i="17"/>
  <c r="J3423" i="33"/>
  <c r="J2246" i="33"/>
  <c r="J2838" i="33"/>
  <c r="J1654" i="33"/>
  <c r="J1067" i="33"/>
  <c r="J474" i="33"/>
  <c r="J436" i="29"/>
  <c r="J450" i="17"/>
  <c r="J3415" i="33"/>
  <c r="J2238" i="33"/>
  <c r="J2830" i="33"/>
  <c r="J1646" i="33"/>
  <c r="J1059" i="33"/>
  <c r="J466" i="33"/>
  <c r="J428" i="29"/>
  <c r="J442" i="17"/>
  <c r="J3407" i="33"/>
  <c r="J2230" i="33"/>
  <c r="J1638" i="33"/>
  <c r="J2822" i="33"/>
  <c r="J1051" i="33"/>
  <c r="J458" i="33"/>
  <c r="J420" i="29"/>
  <c r="J434" i="17"/>
  <c r="J3399" i="33"/>
  <c r="J2222" i="33"/>
  <c r="J1630" i="33"/>
  <c r="J2814" i="33"/>
  <c r="J1043" i="33"/>
  <c r="J450" i="33"/>
  <c r="J412" i="29"/>
  <c r="J426" i="17"/>
  <c r="J3391" i="33"/>
  <c r="J2214" i="33"/>
  <c r="J2806" i="33"/>
  <c r="J1622" i="33"/>
  <c r="J1035" i="33"/>
  <c r="J442" i="33"/>
  <c r="J418" i="17"/>
  <c r="J404" i="29"/>
  <c r="J3383" i="33"/>
  <c r="J2206" i="33"/>
  <c r="J2798" i="33"/>
  <c r="J1614" i="33"/>
  <c r="J1027" i="33"/>
  <c r="J434" i="33"/>
  <c r="J396" i="29"/>
  <c r="J410" i="17"/>
  <c r="J3375" i="33"/>
  <c r="J2198" i="33"/>
  <c r="J1606" i="33"/>
  <c r="J2790" i="33"/>
  <c r="J1019" i="33"/>
  <c r="J426" i="33"/>
  <c r="J388" i="29"/>
  <c r="J402" i="17"/>
  <c r="L2940" i="33"/>
  <c r="L3525" i="33"/>
  <c r="L1169" i="33"/>
  <c r="L2348" i="33"/>
  <c r="L576" i="33"/>
  <c r="L1756" i="33"/>
  <c r="L538" i="29"/>
  <c r="L2932" i="33"/>
  <c r="L3517" i="33"/>
  <c r="L1161" i="33"/>
  <c r="L2340" i="33"/>
  <c r="L568" i="33"/>
  <c r="L1748" i="33"/>
  <c r="L530" i="29"/>
  <c r="L2924" i="33"/>
  <c r="L3509" i="33"/>
  <c r="L1153" i="33"/>
  <c r="L2332" i="33"/>
  <c r="L560" i="33"/>
  <c r="L1740" i="33"/>
  <c r="L522" i="29"/>
  <c r="L2916" i="33"/>
  <c r="L3501" i="33"/>
  <c r="L1145" i="33"/>
  <c r="L2324" i="33"/>
  <c r="L552" i="33"/>
  <c r="L1732" i="33"/>
  <c r="L514" i="29"/>
  <c r="L2908" i="33"/>
  <c r="L3493" i="33"/>
  <c r="L1137" i="33"/>
  <c r="L2316" i="33"/>
  <c r="L544" i="33"/>
  <c r="L1724" i="33"/>
  <c r="L506" i="29"/>
  <c r="L190" i="17"/>
  <c r="L182" i="17"/>
  <c r="L174" i="17"/>
  <c r="L166" i="17"/>
  <c r="L174" i="29"/>
  <c r="L166" i="29"/>
  <c r="L158" i="29"/>
  <c r="L150" i="29"/>
  <c r="L210" i="33"/>
  <c r="L202" i="33"/>
  <c r="L194" i="33"/>
  <c r="L186" i="33"/>
  <c r="L801" i="33"/>
  <c r="L793" i="33"/>
  <c r="L785" i="33"/>
  <c r="L777" i="33"/>
  <c r="L2578" i="33"/>
  <c r="L2570" i="33"/>
  <c r="L2562" i="33"/>
  <c r="L2554" i="33"/>
  <c r="L1392" i="33"/>
  <c r="L1384" i="33"/>
  <c r="L1376" i="33"/>
  <c r="L1368" i="33"/>
  <c r="L1982" i="33"/>
  <c r="L1974" i="33"/>
  <c r="L1966" i="33"/>
  <c r="L1958" i="33"/>
  <c r="L3157" i="33"/>
  <c r="L3149" i="33"/>
  <c r="L3141" i="33"/>
  <c r="L3133" i="33"/>
  <c r="L212" i="17"/>
  <c r="L207" i="29"/>
  <c r="L184" i="29"/>
  <c r="L220" i="33"/>
  <c r="L839" i="33"/>
  <c r="L1422" i="33"/>
  <c r="L2014" i="33"/>
  <c r="L242" i="33"/>
  <c r="L3191" i="33"/>
  <c r="L835" i="33"/>
  <c r="L2606" i="33"/>
  <c r="L218" i="17"/>
  <c r="L1414" i="33"/>
  <c r="L2006" i="33"/>
  <c r="L234" i="33"/>
  <c r="L3183" i="33"/>
  <c r="L827" i="33"/>
  <c r="L2598" i="33"/>
  <c r="L210" i="17"/>
  <c r="L1406" i="33"/>
  <c r="L1998" i="33"/>
  <c r="L226" i="33"/>
  <c r="L3175" i="33"/>
  <c r="L819" i="33"/>
  <c r="L2590" i="33"/>
  <c r="L202" i="17"/>
  <c r="L1398" i="33"/>
  <c r="L1990" i="33"/>
  <c r="L218" i="33"/>
  <c r="L3167" i="33"/>
  <c r="L811" i="33"/>
  <c r="L2582" i="33"/>
  <c r="L194" i="17"/>
  <c r="J3486" i="33"/>
  <c r="J2309" i="33"/>
  <c r="J1717" i="33"/>
  <c r="J2901" i="33"/>
  <c r="J1130" i="33"/>
  <c r="J537" i="33"/>
  <c r="J499" i="29"/>
  <c r="J513" i="17"/>
  <c r="J3478" i="33"/>
  <c r="J2301" i="33"/>
  <c r="J1709" i="33"/>
  <c r="J2893" i="33"/>
  <c r="J1122" i="33"/>
  <c r="J529" i="33"/>
  <c r="J491" i="29"/>
  <c r="J505" i="17"/>
  <c r="J3470" i="33"/>
  <c r="J2293" i="33"/>
  <c r="J1701" i="33"/>
  <c r="J2885" i="33"/>
  <c r="J521" i="33"/>
  <c r="J1114" i="33"/>
  <c r="J497" i="17"/>
  <c r="J483" i="29"/>
  <c r="J3462" i="33"/>
  <c r="J2285" i="33"/>
  <c r="J1693" i="33"/>
  <c r="J2877" i="33"/>
  <c r="J1106" i="33"/>
  <c r="J513" i="33"/>
  <c r="J489" i="17"/>
  <c r="J475" i="29"/>
  <c r="J3454" i="33"/>
  <c r="J2277" i="33"/>
  <c r="J1685" i="33"/>
  <c r="J2869" i="33"/>
  <c r="J1098" i="33"/>
  <c r="J505" i="33"/>
  <c r="J467" i="29"/>
  <c r="J481" i="17"/>
  <c r="J3446" i="33"/>
  <c r="J2269" i="33"/>
  <c r="J1677" i="33"/>
  <c r="J2861" i="33"/>
  <c r="J1090" i="33"/>
  <c r="J497" i="33"/>
  <c r="J459" i="29"/>
  <c r="J473" i="17"/>
  <c r="J3438" i="33"/>
  <c r="J2261" i="33"/>
  <c r="J1669" i="33"/>
  <c r="J2853" i="33"/>
  <c r="J489" i="33"/>
  <c r="J1082" i="33"/>
  <c r="J465" i="17"/>
  <c r="J451" i="29"/>
  <c r="J3430" i="33"/>
  <c r="J2253" i="33"/>
  <c r="J1661" i="33"/>
  <c r="J2845" i="33"/>
  <c r="J1074" i="33"/>
  <c r="J481" i="33"/>
  <c r="J457" i="17"/>
  <c r="J443" i="29"/>
  <c r="J3422" i="33"/>
  <c r="J2245" i="33"/>
  <c r="J1653" i="33"/>
  <c r="J2837" i="33"/>
  <c r="J1066" i="33"/>
  <c r="J473" i="33"/>
  <c r="J435" i="29"/>
  <c r="J449" i="17"/>
  <c r="J3414" i="33"/>
  <c r="J2237" i="33"/>
  <c r="J1645" i="33"/>
  <c r="J2829" i="33"/>
  <c r="J1058" i="33"/>
  <c r="J465" i="33"/>
  <c r="J427" i="29"/>
  <c r="J441" i="17"/>
  <c r="J3406" i="33"/>
  <c r="J2229" i="33"/>
  <c r="J1637" i="33"/>
  <c r="J2821" i="33"/>
  <c r="J457" i="33"/>
  <c r="J1050" i="33"/>
  <c r="J433" i="17"/>
  <c r="J419" i="29"/>
  <c r="J3398" i="33"/>
  <c r="J2221" i="33"/>
  <c r="J1629" i="33"/>
  <c r="J2813" i="33"/>
  <c r="J1042" i="33"/>
  <c r="J449" i="33"/>
  <c r="J411" i="29"/>
  <c r="J425" i="17"/>
  <c r="J3390" i="33"/>
  <c r="J2213" i="33"/>
  <c r="J1621" i="33"/>
  <c r="J2805" i="33"/>
  <c r="J1034" i="33"/>
  <c r="J441" i="33"/>
  <c r="J417" i="17"/>
  <c r="J403" i="29"/>
  <c r="J3382" i="33"/>
  <c r="J2205" i="33"/>
  <c r="J1613" i="33"/>
  <c r="J2797" i="33"/>
  <c r="J1026" i="33"/>
  <c r="J433" i="33"/>
  <c r="J395" i="29"/>
  <c r="J409" i="17"/>
  <c r="J3374" i="33"/>
  <c r="J2197" i="33"/>
  <c r="J1605" i="33"/>
  <c r="J2789" i="33"/>
  <c r="J425" i="33"/>
  <c r="J1018" i="33"/>
  <c r="J387" i="29"/>
  <c r="J401" i="17"/>
  <c r="L3524" i="33"/>
  <c r="L1168" i="33"/>
  <c r="L2347" i="33"/>
  <c r="L575" i="33"/>
  <c r="L1755" i="33"/>
  <c r="L537" i="29"/>
  <c r="L2939" i="33"/>
  <c r="L3516" i="33"/>
  <c r="L1160" i="33"/>
  <c r="L2339" i="33"/>
  <c r="L567" i="33"/>
  <c r="L1747" i="33"/>
  <c r="L529" i="29"/>
  <c r="L2931" i="33"/>
  <c r="L3508" i="33"/>
  <c r="L1152" i="33"/>
  <c r="L2331" i="33"/>
  <c r="L559" i="33"/>
  <c r="L1739" i="33"/>
  <c r="L521" i="29"/>
  <c r="L2923" i="33"/>
  <c r="L3500" i="33"/>
  <c r="L1144" i="33"/>
  <c r="L2323" i="33"/>
  <c r="L551" i="33"/>
  <c r="L1731" i="33"/>
  <c r="L513" i="29"/>
  <c r="L2915" i="33"/>
  <c r="L189" i="17"/>
  <c r="L181" i="17"/>
  <c r="L173" i="17"/>
  <c r="L165" i="17"/>
  <c r="L173" i="29"/>
  <c r="L165" i="29"/>
  <c r="L157" i="29"/>
  <c r="L149" i="29"/>
  <c r="L209" i="33"/>
  <c r="L201" i="33"/>
  <c r="L193" i="33"/>
  <c r="L185" i="33"/>
  <c r="L800" i="33"/>
  <c r="L792" i="33"/>
  <c r="L784" i="33"/>
  <c r="L2577" i="33"/>
  <c r="L2569" i="33"/>
  <c r="L2561" i="33"/>
  <c r="L2553" i="33"/>
  <c r="L1391" i="33"/>
  <c r="L1383" i="33"/>
  <c r="L1375" i="33"/>
  <c r="L1367" i="33"/>
  <c r="L1981" i="33"/>
  <c r="L1973" i="33"/>
  <c r="L1965" i="33"/>
  <c r="L1957" i="33"/>
  <c r="L3156" i="33"/>
  <c r="L3148" i="33"/>
  <c r="L3140" i="33"/>
  <c r="L221" i="17"/>
  <c r="L211" i="17"/>
  <c r="L205" i="29"/>
  <c r="L183" i="29"/>
  <c r="L831" i="33"/>
  <c r="L1421" i="33"/>
  <c r="L2013" i="33"/>
  <c r="L241" i="33"/>
  <c r="L3190" i="33"/>
  <c r="L834" i="33"/>
  <c r="L2605" i="33"/>
  <c r="L1413" i="33"/>
  <c r="L2005" i="33"/>
  <c r="L233" i="33"/>
  <c r="L3182" i="33"/>
  <c r="L826" i="33"/>
  <c r="L2597" i="33"/>
  <c r="L1405" i="33"/>
  <c r="L1997" i="33"/>
  <c r="L225" i="33"/>
  <c r="L3174" i="33"/>
  <c r="L818" i="33"/>
  <c r="L2589" i="33"/>
  <c r="L1397" i="33"/>
  <c r="L179" i="29"/>
  <c r="L1989" i="33"/>
  <c r="L217" i="33"/>
  <c r="L3166" i="33"/>
  <c r="L810" i="33"/>
  <c r="L2581" i="33"/>
  <c r="J3485" i="33"/>
  <c r="J1716" i="33"/>
  <c r="J2308" i="33"/>
  <c r="J2900" i="33"/>
  <c r="J1129" i="33"/>
  <c r="J536" i="33"/>
  <c r="J498" i="29"/>
  <c r="J512" i="17"/>
  <c r="J3477" i="33"/>
  <c r="J1708" i="33"/>
  <c r="J2300" i="33"/>
  <c r="J2892" i="33"/>
  <c r="J1121" i="33"/>
  <c r="J528" i="33"/>
  <c r="J490" i="29"/>
  <c r="J504" i="17"/>
  <c r="J3469" i="33"/>
  <c r="J1700" i="33"/>
  <c r="J2292" i="33"/>
  <c r="J2884" i="33"/>
  <c r="J520" i="33"/>
  <c r="J1113" i="33"/>
  <c r="J496" i="17"/>
  <c r="J482" i="29"/>
  <c r="J3461" i="33"/>
  <c r="J1692" i="33"/>
  <c r="J2284" i="33"/>
  <c r="J2876" i="33"/>
  <c r="J512" i="33"/>
  <c r="J1105" i="33"/>
  <c r="J488" i="17"/>
  <c r="J474" i="29"/>
  <c r="J3453" i="33"/>
  <c r="J1684" i="33"/>
  <c r="J2276" i="33"/>
  <c r="J2868" i="33"/>
  <c r="J1097" i="33"/>
  <c r="J504" i="33"/>
  <c r="J466" i="29"/>
  <c r="J480" i="17"/>
  <c r="J3445" i="33"/>
  <c r="J1676" i="33"/>
  <c r="J2268" i="33"/>
  <c r="J2860" i="33"/>
  <c r="J1089" i="33"/>
  <c r="J496" i="33"/>
  <c r="J458" i="29"/>
  <c r="J472" i="17"/>
  <c r="J3437" i="33"/>
  <c r="J1668" i="33"/>
  <c r="J2260" i="33"/>
  <c r="J2852" i="33"/>
  <c r="J488" i="33"/>
  <c r="J1081" i="33"/>
  <c r="J464" i="17"/>
  <c r="J450" i="29"/>
  <c r="J3429" i="33"/>
  <c r="J1660" i="33"/>
  <c r="J2252" i="33"/>
  <c r="J2844" i="33"/>
  <c r="J480" i="33"/>
  <c r="J1073" i="33"/>
  <c r="J456" i="17"/>
  <c r="J442" i="29"/>
  <c r="J3421" i="33"/>
  <c r="J1652" i="33"/>
  <c r="J2244" i="33"/>
  <c r="J2836" i="33"/>
  <c r="J434" i="29"/>
  <c r="J1065" i="33"/>
  <c r="J472" i="33"/>
  <c r="J448" i="17"/>
  <c r="J3413" i="33"/>
  <c r="J1644" i="33"/>
  <c r="J2236" i="33"/>
  <c r="J2828" i="33"/>
  <c r="J426" i="29"/>
  <c r="J1057" i="33"/>
  <c r="J464" i="33"/>
  <c r="J440" i="17"/>
  <c r="J3405" i="33"/>
  <c r="J1636" i="33"/>
  <c r="J2228" i="33"/>
  <c r="J2820" i="33"/>
  <c r="J418" i="29"/>
  <c r="J456" i="33"/>
  <c r="J1049" i="33"/>
  <c r="J432" i="17"/>
  <c r="J3397" i="33"/>
  <c r="J1628" i="33"/>
  <c r="J2220" i="33"/>
  <c r="J2812" i="33"/>
  <c r="J410" i="29"/>
  <c r="J448" i="33"/>
  <c r="J1041" i="33"/>
  <c r="J424" i="17"/>
  <c r="J3389" i="33"/>
  <c r="J1620" i="33"/>
  <c r="J2212" i="33"/>
  <c r="J2804" i="33"/>
  <c r="J402" i="29"/>
  <c r="J1033" i="33"/>
  <c r="J440" i="33"/>
  <c r="J416" i="17"/>
  <c r="J3381" i="33"/>
  <c r="J1612" i="33"/>
  <c r="J2204" i="33"/>
  <c r="J2796" i="33"/>
  <c r="J394" i="29"/>
  <c r="J1025" i="33"/>
  <c r="J432" i="33"/>
  <c r="J408" i="17"/>
  <c r="J3373" i="33"/>
  <c r="J1604" i="33"/>
  <c r="J2196" i="33"/>
  <c r="J2788" i="33"/>
  <c r="J386" i="29"/>
  <c r="J424" i="33"/>
  <c r="J1017" i="33"/>
  <c r="J400" i="17"/>
  <c r="L3523" i="33"/>
  <c r="L1167" i="33"/>
  <c r="L2346" i="33"/>
  <c r="L574" i="33"/>
  <c r="L1754" i="33"/>
  <c r="L536" i="29"/>
  <c r="L2938" i="33"/>
  <c r="L3515" i="33"/>
  <c r="L1159" i="33"/>
  <c r="L2338" i="33"/>
  <c r="L566" i="33"/>
  <c r="L1746" i="33"/>
  <c r="L528" i="29"/>
  <c r="L2930" i="33"/>
  <c r="L3507" i="33"/>
  <c r="L1151" i="33"/>
  <c r="L2330" i="33"/>
  <c r="L558" i="33"/>
  <c r="L1738" i="33"/>
  <c r="L520" i="29"/>
  <c r="L2922" i="33"/>
  <c r="L3499" i="33"/>
  <c r="L1143" i="33"/>
  <c r="L2322" i="33"/>
  <c r="L550" i="33"/>
  <c r="L1730" i="33"/>
  <c r="L512" i="29"/>
  <c r="L2914" i="33"/>
  <c r="L188" i="17"/>
  <c r="L180" i="17"/>
  <c r="L172" i="17"/>
  <c r="L164" i="17"/>
  <c r="L172" i="29"/>
  <c r="L164" i="29"/>
  <c r="L156" i="29"/>
  <c r="L148" i="29"/>
  <c r="L208" i="33"/>
  <c r="L200" i="33"/>
  <c r="L192" i="33"/>
  <c r="L184" i="33"/>
  <c r="L807" i="33"/>
  <c r="L799" i="33"/>
  <c r="L791" i="33"/>
  <c r="L783" i="33"/>
  <c r="L2576" i="33"/>
  <c r="L2568" i="33"/>
  <c r="L2560" i="33"/>
  <c r="L2552" i="33"/>
  <c r="L1390" i="33"/>
  <c r="L1382" i="33"/>
  <c r="L1374" i="33"/>
  <c r="L1366" i="33"/>
  <c r="L1980" i="33"/>
  <c r="L1972" i="33"/>
  <c r="L1964" i="33"/>
  <c r="L1956" i="33"/>
  <c r="L3163" i="33"/>
  <c r="L3155" i="33"/>
  <c r="L3147" i="33"/>
  <c r="L3139" i="33"/>
  <c r="L220" i="17"/>
  <c r="L209" i="17"/>
  <c r="L204" i="29"/>
  <c r="L180" i="29"/>
  <c r="L244" i="33"/>
  <c r="L2012" i="33"/>
  <c r="L3189" i="33"/>
  <c r="L833" i="33"/>
  <c r="L2604" i="33"/>
  <c r="L1420" i="33"/>
  <c r="L202" i="29"/>
  <c r="L2004" i="33"/>
  <c r="L3181" i="33"/>
  <c r="L825" i="33"/>
  <c r="L2596" i="33"/>
  <c r="L1412" i="33"/>
  <c r="L194" i="29"/>
  <c r="L1996" i="33"/>
  <c r="L3173" i="33"/>
  <c r="L817" i="33"/>
  <c r="L2588" i="33"/>
  <c r="L1404" i="33"/>
  <c r="L186" i="29"/>
  <c r="J3484" i="33"/>
  <c r="J2307" i="33"/>
  <c r="J2899" i="33"/>
  <c r="J1715" i="33"/>
  <c r="J1128" i="33"/>
  <c r="J535" i="33"/>
  <c r="J497" i="29"/>
  <c r="J511" i="17"/>
  <c r="J3476" i="33"/>
  <c r="J2299" i="33"/>
  <c r="J1707" i="33"/>
  <c r="J2891" i="33"/>
  <c r="J1120" i="33"/>
  <c r="J527" i="33"/>
  <c r="J489" i="29"/>
  <c r="J503" i="17"/>
  <c r="J3468" i="33"/>
  <c r="J2291" i="33"/>
  <c r="J2883" i="33"/>
  <c r="J1699" i="33"/>
  <c r="J519" i="33"/>
  <c r="J1112" i="33"/>
  <c r="J481" i="29"/>
  <c r="J495" i="17"/>
  <c r="J3460" i="33"/>
  <c r="J2283" i="33"/>
  <c r="J2875" i="33"/>
  <c r="J1691" i="33"/>
  <c r="J511" i="33"/>
  <c r="J1104" i="33"/>
  <c r="J473" i="29"/>
  <c r="J487" i="17"/>
  <c r="J3452" i="33"/>
  <c r="J2275" i="33"/>
  <c r="J2867" i="33"/>
  <c r="J1683" i="33"/>
  <c r="J1096" i="33"/>
  <c r="J503" i="33"/>
  <c r="J465" i="29"/>
  <c r="J479" i="17"/>
  <c r="J3444" i="33"/>
  <c r="J2267" i="33"/>
  <c r="J2859" i="33"/>
  <c r="J1675" i="33"/>
  <c r="J1088" i="33"/>
  <c r="J495" i="33"/>
  <c r="J457" i="29"/>
  <c r="J471" i="17"/>
  <c r="J3436" i="33"/>
  <c r="J1667" i="33"/>
  <c r="J2259" i="33"/>
  <c r="J2851" i="33"/>
  <c r="J487" i="33"/>
  <c r="J1080" i="33"/>
  <c r="J449" i="29"/>
  <c r="J463" i="17"/>
  <c r="J3428" i="33"/>
  <c r="J1659" i="33"/>
  <c r="J2251" i="33"/>
  <c r="J2843" i="33"/>
  <c r="J479" i="33"/>
  <c r="J1072" i="33"/>
  <c r="J441" i="29"/>
  <c r="J455" i="17"/>
  <c r="J3420" i="33"/>
  <c r="J1651" i="33"/>
  <c r="J2243" i="33"/>
  <c r="J2835" i="33"/>
  <c r="J1064" i="33"/>
  <c r="J471" i="33"/>
  <c r="J433" i="29"/>
  <c r="J447" i="17"/>
  <c r="J3412" i="33"/>
  <c r="J1643" i="33"/>
  <c r="J2235" i="33"/>
  <c r="J2827" i="33"/>
  <c r="J1056" i="33"/>
  <c r="J463" i="33"/>
  <c r="J425" i="29"/>
  <c r="J439" i="17"/>
  <c r="J3404" i="33"/>
  <c r="J1635" i="33"/>
  <c r="J2227" i="33"/>
  <c r="J2819" i="33"/>
  <c r="J455" i="33"/>
  <c r="J1048" i="33"/>
  <c r="J417" i="29"/>
  <c r="J431" i="17"/>
  <c r="J3396" i="33"/>
  <c r="J1627" i="33"/>
  <c r="J2219" i="33"/>
  <c r="J2811" i="33"/>
  <c r="J447" i="33"/>
  <c r="J1040" i="33"/>
  <c r="J409" i="29"/>
  <c r="J423" i="17"/>
  <c r="J3388" i="33"/>
  <c r="J1619" i="33"/>
  <c r="J2211" i="33"/>
  <c r="J2803" i="33"/>
  <c r="J1032" i="33"/>
  <c r="J439" i="33"/>
  <c r="J401" i="29"/>
  <c r="J415" i="17"/>
  <c r="J3380" i="33"/>
  <c r="J1611" i="33"/>
  <c r="J2203" i="33"/>
  <c r="J2795" i="33"/>
  <c r="J1024" i="33"/>
  <c r="J431" i="33"/>
  <c r="J393" i="29"/>
  <c r="J407" i="17"/>
  <c r="J3372" i="33"/>
  <c r="J1603" i="33"/>
  <c r="J2195" i="33"/>
  <c r="J2787" i="33"/>
  <c r="J423" i="33"/>
  <c r="J1016" i="33"/>
  <c r="J385" i="29"/>
  <c r="J399" i="17"/>
  <c r="L2345" i="33"/>
  <c r="L573" i="33"/>
  <c r="L1753" i="33"/>
  <c r="L535" i="29"/>
  <c r="L2937" i="33"/>
  <c r="L3522" i="33"/>
  <c r="L1166" i="33"/>
  <c r="L2337" i="33"/>
  <c r="L565" i="33"/>
  <c r="L1745" i="33"/>
  <c r="L527" i="29"/>
  <c r="L2929" i="33"/>
  <c r="L3514" i="33"/>
  <c r="L1158" i="33"/>
  <c r="L2329" i="33"/>
  <c r="L557" i="33"/>
  <c r="L1737" i="33"/>
  <c r="L519" i="29"/>
  <c r="L2921" i="33"/>
  <c r="L3506" i="33"/>
  <c r="L1150" i="33"/>
  <c r="L2321" i="33"/>
  <c r="L549" i="33"/>
  <c r="L1729" i="33"/>
  <c r="L511" i="29"/>
  <c r="L2913" i="33"/>
  <c r="L3498" i="33"/>
  <c r="L1142" i="33"/>
  <c r="L187" i="17"/>
  <c r="L179" i="17"/>
  <c r="L171" i="17"/>
  <c r="L163" i="17"/>
  <c r="L171" i="29"/>
  <c r="L163" i="29"/>
  <c r="L155" i="29"/>
  <c r="L147" i="29"/>
  <c r="L207" i="33"/>
  <c r="L199" i="33"/>
  <c r="L191" i="33"/>
  <c r="L806" i="33"/>
  <c r="L798" i="33"/>
  <c r="L790" i="33"/>
  <c r="L782" i="33"/>
  <c r="L219" i="17"/>
  <c r="L208" i="17"/>
  <c r="L197" i="17"/>
  <c r="L203" i="29"/>
  <c r="L192" i="29"/>
  <c r="L240" i="33"/>
  <c r="L2019" i="33"/>
  <c r="L247" i="33"/>
  <c r="L3196" i="33"/>
  <c r="L840" i="33"/>
  <c r="L2611" i="33"/>
  <c r="L1427" i="33"/>
  <c r="L2011" i="33"/>
  <c r="L239" i="33"/>
  <c r="L3188" i="33"/>
  <c r="L832" i="33"/>
  <c r="L2603" i="33"/>
  <c r="L1419" i="33"/>
  <c r="L2003" i="33"/>
  <c r="L231" i="33"/>
  <c r="L3180" i="33"/>
  <c r="L824" i="33"/>
  <c r="L2595" i="33"/>
  <c r="L1411" i="33"/>
  <c r="L1995" i="33"/>
  <c r="L223" i="33"/>
  <c r="L3172" i="33"/>
  <c r="L816" i="33"/>
  <c r="L2587" i="33"/>
  <c r="L1403" i="33"/>
  <c r="L185" i="29"/>
  <c r="J3483" i="33"/>
  <c r="J2306" i="33"/>
  <c r="J1714" i="33"/>
  <c r="J1127" i="33"/>
  <c r="J2898" i="33"/>
  <c r="J534" i="33"/>
  <c r="J510" i="17"/>
  <c r="J496" i="29"/>
  <c r="J3475" i="33"/>
  <c r="J2298" i="33"/>
  <c r="J1119" i="33"/>
  <c r="J1706" i="33"/>
  <c r="J2890" i="33"/>
  <c r="J526" i="33"/>
  <c r="J488" i="29"/>
  <c r="J502" i="17"/>
  <c r="J3467" i="33"/>
  <c r="J2290" i="33"/>
  <c r="J1111" i="33"/>
  <c r="J1698" i="33"/>
  <c r="J2882" i="33"/>
  <c r="J518" i="33"/>
  <c r="J494" i="17"/>
  <c r="J480" i="29"/>
  <c r="J3459" i="33"/>
  <c r="J2282" i="33"/>
  <c r="J1690" i="33"/>
  <c r="J1103" i="33"/>
  <c r="J2874" i="33"/>
  <c r="J510" i="33"/>
  <c r="J486" i="17"/>
  <c r="J472" i="29"/>
  <c r="J3451" i="33"/>
  <c r="J2274" i="33"/>
  <c r="J1095" i="33"/>
  <c r="J1682" i="33"/>
  <c r="J2866" i="33"/>
  <c r="J502" i="33"/>
  <c r="J478" i="17"/>
  <c r="J464" i="29"/>
  <c r="J3443" i="33"/>
  <c r="J2266" i="33"/>
  <c r="J1674" i="33"/>
  <c r="J1087" i="33"/>
  <c r="J2858" i="33"/>
  <c r="J494" i="33"/>
  <c r="J456" i="29"/>
  <c r="J470" i="17"/>
  <c r="J3435" i="33"/>
  <c r="J2258" i="33"/>
  <c r="J1666" i="33"/>
  <c r="J1079" i="33"/>
  <c r="J2850" i="33"/>
  <c r="J486" i="33"/>
  <c r="J462" i="17"/>
  <c r="J448" i="29"/>
  <c r="J3427" i="33"/>
  <c r="J2250" i="33"/>
  <c r="J1071" i="33"/>
  <c r="J1658" i="33"/>
  <c r="J2842" i="33"/>
  <c r="J478" i="33"/>
  <c r="J454" i="17"/>
  <c r="J440" i="29"/>
  <c r="J3419" i="33"/>
  <c r="J2242" i="33"/>
  <c r="J1063" i="33"/>
  <c r="J1650" i="33"/>
  <c r="J2834" i="33"/>
  <c r="J470" i="33"/>
  <c r="J432" i="29"/>
  <c r="J446" i="17"/>
  <c r="J3411" i="33"/>
  <c r="J2234" i="33"/>
  <c r="J1642" i="33"/>
  <c r="J1055" i="33"/>
  <c r="J2826" i="33"/>
  <c r="J462" i="33"/>
  <c r="J438" i="17"/>
  <c r="J424" i="29"/>
  <c r="J3403" i="33"/>
  <c r="J2226" i="33"/>
  <c r="J1634" i="33"/>
  <c r="J1047" i="33"/>
  <c r="J2818" i="33"/>
  <c r="J454" i="33"/>
  <c r="J430" i="17"/>
  <c r="J416" i="29"/>
  <c r="J3395" i="33"/>
  <c r="J2218" i="33"/>
  <c r="J1039" i="33"/>
  <c r="J1626" i="33"/>
  <c r="J2810" i="33"/>
  <c r="J446" i="33"/>
  <c r="J408" i="29"/>
  <c r="J422" i="17"/>
  <c r="J3387" i="33"/>
  <c r="J2210" i="33"/>
  <c r="J1031" i="33"/>
  <c r="J1618" i="33"/>
  <c r="J2802" i="33"/>
  <c r="J438" i="33"/>
  <c r="J414" i="17"/>
  <c r="J400" i="29"/>
  <c r="J3379" i="33"/>
  <c r="J2202" i="33"/>
  <c r="J1610" i="33"/>
  <c r="J1023" i="33"/>
  <c r="J2794" i="33"/>
  <c r="J430" i="33"/>
  <c r="J406" i="17"/>
  <c r="J392" i="29"/>
  <c r="J3371" i="33"/>
  <c r="J2194" i="33"/>
  <c r="J1602" i="33"/>
  <c r="J1015" i="33"/>
  <c r="J2786" i="33"/>
  <c r="J422" i="33"/>
  <c r="J398" i="17"/>
  <c r="J384" i="29"/>
  <c r="L2344" i="33"/>
  <c r="L572" i="33"/>
  <c r="L1752" i="33"/>
  <c r="L534" i="29"/>
  <c r="L2936" i="33"/>
  <c r="L3521" i="33"/>
  <c r="L1165" i="33"/>
  <c r="L2336" i="33"/>
  <c r="L564" i="33"/>
  <c r="L1744" i="33"/>
  <c r="L526" i="29"/>
  <c r="L2928" i="33"/>
  <c r="L3513" i="33"/>
  <c r="L1157" i="33"/>
  <c r="L2328" i="33"/>
  <c r="L556" i="33"/>
  <c r="L1736" i="33"/>
  <c r="L518" i="29"/>
  <c r="L2920" i="33"/>
  <c r="L3505" i="33"/>
  <c r="L1149" i="33"/>
  <c r="L2320" i="33"/>
  <c r="L548" i="33"/>
  <c r="L1728" i="33"/>
  <c r="L510" i="29"/>
  <c r="L2912" i="33"/>
  <c r="L3497" i="33"/>
  <c r="L1141" i="33"/>
  <c r="L186" i="17"/>
  <c r="L178" i="17"/>
  <c r="L170" i="17"/>
  <c r="L162" i="17"/>
  <c r="L170" i="29"/>
  <c r="L162" i="29"/>
  <c r="L154" i="29"/>
  <c r="L146" i="29"/>
  <c r="L214" i="33"/>
  <c r="L206" i="33"/>
  <c r="L198" i="33"/>
  <c r="L190" i="33"/>
  <c r="L805" i="33"/>
  <c r="L797" i="33"/>
  <c r="L789" i="33"/>
  <c r="L781" i="33"/>
  <c r="L217" i="17"/>
  <c r="L207" i="17"/>
  <c r="L196" i="17"/>
  <c r="L201" i="29"/>
  <c r="L191" i="29"/>
  <c r="L236" i="33"/>
  <c r="C1252" i="35"/>
  <c r="C438" i="35"/>
  <c r="C31" i="35"/>
  <c r="C1235" i="35"/>
  <c r="C421" i="35"/>
  <c r="C1388" i="35"/>
  <c r="C1371" i="35"/>
  <c r="C1354" i="35"/>
  <c r="C1337" i="35"/>
  <c r="C1320" i="35"/>
  <c r="C1303" i="35"/>
  <c r="C1286" i="35"/>
  <c r="C1269" i="35"/>
  <c r="C506" i="35"/>
  <c r="C489" i="35"/>
  <c r="C472" i="35"/>
  <c r="C150" i="35"/>
  <c r="C99" i="35"/>
  <c r="C82" i="35"/>
  <c r="C65" i="35"/>
  <c r="C133" i="35"/>
  <c r="C167" i="35"/>
  <c r="C2202" i="35"/>
  <c r="C981" i="35"/>
  <c r="C1795" i="35"/>
  <c r="C574" i="35"/>
  <c r="C2185" i="35"/>
  <c r="C964" i="35"/>
  <c r="C1778" i="35"/>
  <c r="C557" i="35"/>
  <c r="C2168" i="35"/>
  <c r="C947" i="35"/>
  <c r="C1761" i="35"/>
  <c r="C540" i="35"/>
  <c r="C2151" i="35"/>
  <c r="C930" i="35"/>
  <c r="C1744" i="35"/>
  <c r="C523" i="35"/>
  <c r="C116" i="35"/>
  <c r="C2134" i="35"/>
  <c r="C913" i="35"/>
  <c r="C1727" i="35"/>
  <c r="C2117" i="35"/>
  <c r="C896" i="35"/>
  <c r="C1710" i="35"/>
  <c r="C2100" i="35"/>
  <c r="C879" i="35"/>
  <c r="C1693" i="35"/>
  <c r="C2083" i="35"/>
  <c r="C862" i="35"/>
  <c r="C1676" i="35"/>
  <c r="C455" i="35"/>
  <c r="C48" i="35"/>
  <c r="C2066" i="35"/>
  <c r="C845" i="35"/>
  <c r="C1659" i="35"/>
  <c r="C2049" i="35"/>
  <c r="C828" i="35"/>
  <c r="C1642" i="35"/>
  <c r="D3047" i="33"/>
  <c r="D2454" i="33"/>
  <c r="D1867" i="33"/>
  <c r="D1276" i="33"/>
  <c r="D678" i="33"/>
  <c r="D100" i="33"/>
  <c r="D3028" i="33"/>
  <c r="D2436" i="33"/>
  <c r="D1844" i="33"/>
  <c r="D1257" i="33"/>
  <c r="D664" i="33"/>
  <c r="D87" i="33"/>
  <c r="B3001" i="33"/>
  <c r="B2409" i="33"/>
  <c r="B1817" i="33"/>
  <c r="B1230" i="33"/>
  <c r="B637" i="33"/>
  <c r="B60" i="33"/>
  <c r="L2991" i="33"/>
  <c r="L2399" i="33"/>
  <c r="L1807" i="33"/>
  <c r="L1220" i="33"/>
  <c r="L627" i="33"/>
  <c r="L50" i="33"/>
  <c r="L2990" i="33"/>
  <c r="L2398" i="33"/>
  <c r="L1806" i="33"/>
  <c r="L1219" i="33"/>
  <c r="L626" i="33"/>
  <c r="L49" i="33"/>
  <c r="L2989" i="33"/>
  <c r="L2397" i="33"/>
  <c r="L1805" i="33"/>
  <c r="L1218" i="33"/>
  <c r="L625" i="33"/>
  <c r="L48" i="33"/>
  <c r="L2988" i="33"/>
  <c r="L2396" i="33"/>
  <c r="L1804" i="33"/>
  <c r="L1217" i="33"/>
  <c r="L624" i="33"/>
  <c r="L47" i="33"/>
  <c r="L2987" i="33"/>
  <c r="L2395" i="33"/>
  <c r="L1803" i="33"/>
  <c r="L1216" i="33"/>
  <c r="L623" i="33"/>
  <c r="L46" i="33"/>
  <c r="L2986" i="33"/>
  <c r="L2394" i="33"/>
  <c r="L1802" i="33"/>
  <c r="L1215" i="33"/>
  <c r="L622" i="33"/>
  <c r="L45" i="33"/>
  <c r="L2985" i="33"/>
  <c r="L2393" i="33"/>
  <c r="L1801" i="33"/>
  <c r="L1214" i="33"/>
  <c r="L621" i="33"/>
  <c r="L44" i="33"/>
  <c r="L2982" i="33"/>
  <c r="L2390" i="33"/>
  <c r="L1798" i="33"/>
  <c r="L1211" i="33"/>
  <c r="L618" i="33"/>
  <c r="L41" i="33"/>
  <c r="L2981" i="33"/>
  <c r="L2389" i="33"/>
  <c r="L1797" i="33"/>
  <c r="L1210" i="33"/>
  <c r="L617" i="33"/>
  <c r="L40" i="33"/>
  <c r="L2980" i="33"/>
  <c r="L2388" i="33"/>
  <c r="L1796" i="33"/>
  <c r="L1209" i="33"/>
  <c r="L616" i="33"/>
  <c r="L39" i="33"/>
  <c r="L32" i="17"/>
  <c r="L31" i="17"/>
  <c r="L30" i="17"/>
  <c r="L29" i="17"/>
  <c r="L27" i="17"/>
  <c r="L26" i="17"/>
  <c r="L22" i="17"/>
  <c r="K33" i="143" l="1"/>
  <c r="N34" i="143"/>
  <c r="J36" i="143"/>
  <c r="K37" i="143"/>
  <c r="N38" i="143"/>
  <c r="J40" i="143"/>
  <c r="L32" i="143"/>
  <c r="O37" i="143"/>
  <c r="L33" i="143"/>
  <c r="K31" i="143"/>
  <c r="M37" i="143"/>
  <c r="L37" i="143"/>
  <c r="K32" i="143"/>
  <c r="M33" i="143"/>
  <c r="O38" i="143"/>
  <c r="L34" i="143"/>
  <c r="L36" i="143"/>
  <c r="N37" i="143"/>
  <c r="J39" i="143"/>
  <c r="J31" i="143"/>
  <c r="L35" i="143"/>
  <c r="J35" i="143"/>
  <c r="O34" i="143"/>
  <c r="L38" i="143"/>
  <c r="L31" i="143"/>
  <c r="N32" i="143"/>
  <c r="K35" i="143"/>
  <c r="M39" i="143"/>
  <c r="J38" i="143"/>
  <c r="L39" i="143"/>
  <c r="N40" i="143"/>
  <c r="K39" i="143"/>
  <c r="J34" i="143"/>
  <c r="O31" i="143"/>
  <c r="N33" i="143"/>
  <c r="M31" i="143"/>
  <c r="O32" i="143"/>
  <c r="K34" i="143"/>
  <c r="M35" i="143"/>
  <c r="O36" i="143"/>
  <c r="K38" i="143"/>
  <c r="M40" i="143"/>
  <c r="N36" i="143"/>
  <c r="N31" i="143"/>
  <c r="K36" i="143"/>
  <c r="N39" i="143"/>
  <c r="M36" i="143"/>
  <c r="K40" i="143"/>
  <c r="J37" i="143"/>
  <c r="J32" i="143"/>
  <c r="O40" i="143"/>
  <c r="M34" i="143"/>
  <c r="O35" i="143"/>
  <c r="M32" i="143"/>
  <c r="M38" i="143"/>
  <c r="O39" i="143"/>
  <c r="O33" i="143"/>
  <c r="J33" i="143"/>
  <c r="K629" i="35"/>
  <c r="K33" i="146" s="1"/>
  <c r="L627" i="35"/>
  <c r="L31" i="146" s="1"/>
  <c r="O633" i="35"/>
  <c r="O37" i="146" s="1"/>
  <c r="M628" i="35"/>
  <c r="M32" i="146" s="1"/>
  <c r="O631" i="35"/>
  <c r="O35" i="146" s="1"/>
  <c r="J633" i="35"/>
  <c r="J37" i="146" s="1"/>
  <c r="O635" i="35"/>
  <c r="O39" i="146" s="1"/>
  <c r="K630" i="35"/>
  <c r="K34" i="146" s="1"/>
  <c r="J634" i="35"/>
  <c r="J38" i="146" s="1"/>
  <c r="O627" i="35"/>
  <c r="O31" i="146" s="1"/>
  <c r="M627" i="35"/>
  <c r="M31" i="146" s="1"/>
  <c r="J635" i="35"/>
  <c r="J39" i="146" s="1"/>
  <c r="J631" i="35"/>
  <c r="J35" i="146" s="1"/>
  <c r="M635" i="35"/>
  <c r="M39" i="146" s="1"/>
  <c r="M633" i="35"/>
  <c r="M37" i="146" s="1"/>
  <c r="M634" i="35"/>
  <c r="M38" i="146" s="1"/>
  <c r="L633" i="35"/>
  <c r="L37" i="146" s="1"/>
  <c r="J629" i="35"/>
  <c r="J33" i="146" s="1"/>
  <c r="M630" i="35"/>
  <c r="M34" i="146" s="1"/>
  <c r="L629" i="35"/>
  <c r="L33" i="146" s="1"/>
  <c r="O636" i="35"/>
  <c r="O40" i="146" s="1"/>
  <c r="N635" i="35"/>
  <c r="N39" i="146" s="1"/>
  <c r="L636" i="35"/>
  <c r="L40" i="146" s="1"/>
  <c r="J630" i="35"/>
  <c r="J34" i="146" s="1"/>
  <c r="M632" i="35"/>
  <c r="M36" i="146" s="1"/>
  <c r="K627" i="35"/>
  <c r="K31" i="146" s="1"/>
  <c r="J627" i="35"/>
  <c r="J31" i="146" s="1"/>
  <c r="M629" i="35"/>
  <c r="M33" i="146" s="1"/>
  <c r="N636" i="35"/>
  <c r="N40" i="146" s="1"/>
  <c r="N633" i="35"/>
  <c r="N37" i="146" s="1"/>
  <c r="K636" i="35"/>
  <c r="K40" i="146" s="1"/>
  <c r="N631" i="35"/>
  <c r="N35" i="146" s="1"/>
  <c r="L631" i="35"/>
  <c r="L35" i="146" s="1"/>
  <c r="L628" i="35"/>
  <c r="L32" i="146" s="1"/>
  <c r="N632" i="35"/>
  <c r="N36" i="146" s="1"/>
  <c r="M636" i="35"/>
  <c r="M40" i="146" s="1"/>
  <c r="K631" i="35"/>
  <c r="K35" i="146" s="1"/>
  <c r="N629" i="35"/>
  <c r="N33" i="146" s="1"/>
  <c r="K632" i="35"/>
  <c r="K36" i="146" s="1"/>
  <c r="J636" i="35"/>
  <c r="J40" i="146" s="1"/>
  <c r="J632" i="35"/>
  <c r="J36" i="146" s="1"/>
  <c r="N627" i="35"/>
  <c r="N31" i="146" s="1"/>
  <c r="O630" i="35"/>
  <c r="O34" i="146" s="1"/>
  <c r="N628" i="35"/>
  <c r="N32" i="146" s="1"/>
  <c r="O632" i="35"/>
  <c r="O36" i="146" s="1"/>
  <c r="K628" i="35"/>
  <c r="K32" i="146" s="1"/>
  <c r="J628" i="35"/>
  <c r="J32" i="146" s="1"/>
  <c r="O628" i="35"/>
  <c r="O32" i="146" s="1"/>
  <c r="L634" i="35"/>
  <c r="L38" i="146" s="1"/>
  <c r="N630" i="35"/>
  <c r="N34" i="146" s="1"/>
  <c r="K633" i="35"/>
  <c r="K37" i="146" s="1"/>
  <c r="L635" i="35"/>
  <c r="L39" i="146" s="1"/>
  <c r="K635" i="35"/>
  <c r="K39" i="146" s="1"/>
  <c r="O629" i="35"/>
  <c r="O33" i="146" s="1"/>
  <c r="K634" i="35"/>
  <c r="K38" i="146" s="1"/>
  <c r="L632" i="35"/>
  <c r="L36" i="146" s="1"/>
  <c r="O634" i="35"/>
  <c r="O38" i="146" s="1"/>
  <c r="M631" i="35"/>
  <c r="M35" i="146" s="1"/>
  <c r="N634" i="35"/>
  <c r="N38" i="146" s="1"/>
  <c r="L630" i="35"/>
  <c r="L34" i="146" s="1"/>
  <c r="K2256" i="35"/>
  <c r="K32" i="150" s="1"/>
  <c r="J2264" i="35"/>
  <c r="K2257" i="35"/>
  <c r="K33" i="150" s="1"/>
  <c r="N2259" i="35"/>
  <c r="N35" i="150" s="1"/>
  <c r="K2262" i="35"/>
  <c r="K38" i="150" s="1"/>
  <c r="L2259" i="35"/>
  <c r="L35" i="150" s="1"/>
  <c r="N2257" i="35"/>
  <c r="N33" i="150" s="1"/>
  <c r="O2257" i="35"/>
  <c r="O33" i="150" s="1"/>
  <c r="O2262" i="35"/>
  <c r="O38" i="150" s="1"/>
  <c r="J2260" i="35"/>
  <c r="O2255" i="35"/>
  <c r="O31" i="150" s="1"/>
  <c r="N2255" i="35"/>
  <c r="N31" i="150" s="1"/>
  <c r="K2258" i="35"/>
  <c r="K34" i="150" s="1"/>
  <c r="L2255" i="35"/>
  <c r="L31" i="150" s="1"/>
  <c r="L2264" i="35"/>
  <c r="M2256" i="35"/>
  <c r="M32" i="150" s="1"/>
  <c r="O2258" i="35"/>
  <c r="O34" i="150" s="1"/>
  <c r="J2256" i="35"/>
  <c r="J32" i="150" s="1"/>
  <c r="L2262" i="35"/>
  <c r="O2264" i="35"/>
  <c r="J2262" i="35"/>
  <c r="J38" i="150" s="1"/>
  <c r="L2260" i="35"/>
  <c r="K2255" i="35"/>
  <c r="K31" i="150" s="1"/>
  <c r="N2262" i="35"/>
  <c r="O2263" i="35"/>
  <c r="L2258" i="35"/>
  <c r="L34" i="150" s="1"/>
  <c r="O2260" i="35"/>
  <c r="J2258" i="35"/>
  <c r="J34" i="150" s="1"/>
  <c r="L2256" i="35"/>
  <c r="L32" i="150" s="1"/>
  <c r="M2264" i="35"/>
  <c r="M40" i="150" s="1"/>
  <c r="M2261" i="35"/>
  <c r="N2258" i="35"/>
  <c r="N34" i="150" s="1"/>
  <c r="M2262" i="35"/>
  <c r="M38" i="150" s="1"/>
  <c r="O2256" i="35"/>
  <c r="O32" i="150" s="1"/>
  <c r="N2264" i="35"/>
  <c r="J2263" i="35"/>
  <c r="K2263" i="35"/>
  <c r="M2257" i="35"/>
  <c r="M33" i="150" s="1"/>
  <c r="K2261" i="35"/>
  <c r="J2261" i="35"/>
  <c r="M2263" i="35"/>
  <c r="N2260" i="35"/>
  <c r="J2259" i="35"/>
  <c r="J35" i="150" s="1"/>
  <c r="O2261" i="35"/>
  <c r="K2264" i="35"/>
  <c r="K40" i="150" s="1"/>
  <c r="L2261" i="35"/>
  <c r="O2259" i="35"/>
  <c r="O35" i="150" s="1"/>
  <c r="J2257" i="35"/>
  <c r="J33" i="150" s="1"/>
  <c r="M2259" i="35"/>
  <c r="M35" i="150" s="1"/>
  <c r="N2256" i="35"/>
  <c r="N32" i="150" s="1"/>
  <c r="M2260" i="35"/>
  <c r="K2260" i="35"/>
  <c r="L2257" i="35"/>
  <c r="L33" i="150" s="1"/>
  <c r="M2258" i="35"/>
  <c r="M34" i="150" s="1"/>
  <c r="N2263" i="35"/>
  <c r="M2255" i="35"/>
  <c r="M31" i="150" s="1"/>
  <c r="L2263" i="35"/>
  <c r="N2261" i="35"/>
  <c r="J2255" i="35"/>
  <c r="J31" i="150" s="1"/>
  <c r="K2259" i="35"/>
  <c r="K35" i="150" s="1"/>
  <c r="N1851" i="35"/>
  <c r="N34" i="148" s="1"/>
  <c r="O1848" i="35"/>
  <c r="O31" i="148" s="1"/>
  <c r="N1848" i="35"/>
  <c r="N31" i="148" s="1"/>
  <c r="K1851" i="35"/>
  <c r="K34" i="148" s="1"/>
  <c r="J1851" i="35"/>
  <c r="J34" i="148" s="1"/>
  <c r="O1850" i="35"/>
  <c r="O33" i="148" s="1"/>
  <c r="N1850" i="35"/>
  <c r="N33" i="148" s="1"/>
  <c r="M1850" i="35"/>
  <c r="M33" i="148" s="1"/>
  <c r="M1855" i="35"/>
  <c r="M38" i="148" s="1"/>
  <c r="L1855" i="35"/>
  <c r="L38" i="148" s="1"/>
  <c r="O1857" i="35"/>
  <c r="O40" i="148" s="1"/>
  <c r="M1857" i="35"/>
  <c r="M40" i="148" s="1"/>
  <c r="L1857" i="35"/>
  <c r="L40" i="148" s="1"/>
  <c r="K1857" i="35"/>
  <c r="K40" i="148" s="1"/>
  <c r="L1854" i="35"/>
  <c r="L37" i="148" s="1"/>
  <c r="M1851" i="35"/>
  <c r="M34" i="148" s="1"/>
  <c r="L1851" i="35"/>
  <c r="L34" i="148" s="1"/>
  <c r="O1853" i="35"/>
  <c r="O36" i="148" s="1"/>
  <c r="N1853" i="35"/>
  <c r="N36" i="148" s="1"/>
  <c r="M1853" i="35"/>
  <c r="M36" i="148" s="1"/>
  <c r="L1853" i="35"/>
  <c r="L36" i="148" s="1"/>
  <c r="K1853" i="35"/>
  <c r="K36" i="148" s="1"/>
  <c r="L1850" i="35"/>
  <c r="L33" i="148" s="1"/>
  <c r="O1849" i="35"/>
  <c r="O32" i="148" s="1"/>
  <c r="N1857" i="35"/>
  <c r="N40" i="148" s="1"/>
  <c r="N1849" i="35"/>
  <c r="N32" i="148" s="1"/>
  <c r="M1849" i="35"/>
  <c r="M32" i="148" s="1"/>
  <c r="L1849" i="35"/>
  <c r="L32" i="148" s="1"/>
  <c r="K1849" i="35"/>
  <c r="K32" i="148" s="1"/>
  <c r="K1854" i="35"/>
  <c r="K37" i="148" s="1"/>
  <c r="J1854" i="35"/>
  <c r="J37" i="148" s="1"/>
  <c r="M1856" i="35"/>
  <c r="M39" i="148" s="1"/>
  <c r="K1856" i="35"/>
  <c r="K39" i="148" s="1"/>
  <c r="J1856" i="35"/>
  <c r="J39" i="148" s="1"/>
  <c r="O1855" i="35"/>
  <c r="O38" i="148" s="1"/>
  <c r="J1857" i="35"/>
  <c r="J40" i="148" s="1"/>
  <c r="J1853" i="35"/>
  <c r="J36" i="148" s="1"/>
  <c r="K1850" i="35"/>
  <c r="K33" i="148" s="1"/>
  <c r="J1850" i="35"/>
  <c r="J33" i="148" s="1"/>
  <c r="M1852" i="35"/>
  <c r="M35" i="148" s="1"/>
  <c r="L1856" i="35"/>
  <c r="L39" i="148" s="1"/>
  <c r="L1852" i="35"/>
  <c r="L35" i="148" s="1"/>
  <c r="K1852" i="35"/>
  <c r="K35" i="148" s="1"/>
  <c r="J1852" i="35"/>
  <c r="J35" i="148" s="1"/>
  <c r="O1851" i="35"/>
  <c r="O34" i="148" s="1"/>
  <c r="J1849" i="35"/>
  <c r="J32" i="148" s="1"/>
  <c r="O1856" i="35"/>
  <c r="O39" i="148" s="1"/>
  <c r="N1856" i="35"/>
  <c r="N39" i="148" s="1"/>
  <c r="M1848" i="35"/>
  <c r="M31" i="148" s="1"/>
  <c r="L1848" i="35"/>
  <c r="L31" i="148" s="1"/>
  <c r="N1855" i="35"/>
  <c r="N38" i="148" s="1"/>
  <c r="O1852" i="35"/>
  <c r="O35" i="148" s="1"/>
  <c r="N1852" i="35"/>
  <c r="N35" i="148" s="1"/>
  <c r="K1855" i="35"/>
  <c r="K38" i="148" s="1"/>
  <c r="J1855" i="35"/>
  <c r="J38" i="148" s="1"/>
  <c r="O1854" i="35"/>
  <c r="O37" i="148" s="1"/>
  <c r="K1848" i="35"/>
  <c r="K31" i="148" s="1"/>
  <c r="N1854" i="35"/>
  <c r="N37" i="148" s="1"/>
  <c r="J1848" i="35"/>
  <c r="J31" i="148" s="1"/>
  <c r="M1854" i="35"/>
  <c r="M37" i="148" s="1"/>
  <c r="J1442" i="35"/>
  <c r="J32" i="147" s="1"/>
  <c r="L1447" i="35"/>
  <c r="L37" i="147" s="1"/>
  <c r="N1449" i="35"/>
  <c r="N39" i="147" s="1"/>
  <c r="N1441" i="35"/>
  <c r="N31" i="147" s="1"/>
  <c r="L1441" i="35"/>
  <c r="L31" i="147" s="1"/>
  <c r="M1450" i="35"/>
  <c r="M40" i="147" s="1"/>
  <c r="K1445" i="35"/>
  <c r="K35" i="147" s="1"/>
  <c r="K1446" i="35"/>
  <c r="K36" i="147" s="1"/>
  <c r="K1443" i="35"/>
  <c r="K33" i="147" s="1"/>
  <c r="O1450" i="35"/>
  <c r="O40" i="147" s="1"/>
  <c r="K1444" i="35"/>
  <c r="K34" i="147" s="1"/>
  <c r="N1450" i="35"/>
  <c r="N40" i="147" s="1"/>
  <c r="L1446" i="35"/>
  <c r="L36" i="147" s="1"/>
  <c r="J1441" i="35"/>
  <c r="J31" i="147" s="1"/>
  <c r="O1449" i="35"/>
  <c r="O39" i="147" s="1"/>
  <c r="K1448" i="35"/>
  <c r="K38" i="147" s="1"/>
  <c r="L1448" i="35"/>
  <c r="L38" i="147" s="1"/>
  <c r="L1444" i="35"/>
  <c r="L34" i="147" s="1"/>
  <c r="L1449" i="35"/>
  <c r="L39" i="147" s="1"/>
  <c r="K1449" i="35"/>
  <c r="K39" i="147" s="1"/>
  <c r="O1443" i="35"/>
  <c r="O33" i="147" s="1"/>
  <c r="K1450" i="35"/>
  <c r="K40" i="147" s="1"/>
  <c r="O1444" i="35"/>
  <c r="O34" i="147" s="1"/>
  <c r="O1445" i="35"/>
  <c r="O35" i="147" s="1"/>
  <c r="N1444" i="35"/>
  <c r="N34" i="147" s="1"/>
  <c r="M1445" i="35"/>
  <c r="M35" i="147" s="1"/>
  <c r="M1449" i="35"/>
  <c r="M39" i="147" s="1"/>
  <c r="J1448" i="35"/>
  <c r="J38" i="147" s="1"/>
  <c r="L1450" i="35"/>
  <c r="L40" i="147" s="1"/>
  <c r="J1445" i="35"/>
  <c r="J35" i="147" s="1"/>
  <c r="O1441" i="35"/>
  <c r="O31" i="147" s="1"/>
  <c r="J1447" i="35"/>
  <c r="J37" i="147" s="1"/>
  <c r="N1446" i="35"/>
  <c r="N36" i="147" s="1"/>
  <c r="O1447" i="35"/>
  <c r="O37" i="147" s="1"/>
  <c r="M1442" i="35"/>
  <c r="M32" i="147" s="1"/>
  <c r="J1450" i="35"/>
  <c r="J40" i="147" s="1"/>
  <c r="O1448" i="35"/>
  <c r="O38" i="147" s="1"/>
  <c r="M1443" i="35"/>
  <c r="M33" i="147" s="1"/>
  <c r="J1446" i="35"/>
  <c r="J36" i="147" s="1"/>
  <c r="M1448" i="35"/>
  <c r="M38" i="147" s="1"/>
  <c r="J1443" i="35"/>
  <c r="J33" i="147" s="1"/>
  <c r="L1443" i="35"/>
  <c r="L33" i="147" s="1"/>
  <c r="L1445" i="35"/>
  <c r="L35" i="147" s="1"/>
  <c r="J1449" i="35"/>
  <c r="J39" i="147" s="1"/>
  <c r="N1443" i="35"/>
  <c r="N33" i="147" s="1"/>
  <c r="N1448" i="35"/>
  <c r="N38" i="147" s="1"/>
  <c r="M1444" i="35"/>
  <c r="M34" i="147" s="1"/>
  <c r="O1446" i="35"/>
  <c r="O36" i="147" s="1"/>
  <c r="M1441" i="35"/>
  <c r="M31" i="147" s="1"/>
  <c r="J1444" i="35"/>
  <c r="J34" i="147" s="1"/>
  <c r="M1446" i="35"/>
  <c r="M36" i="147" s="1"/>
  <c r="K1441" i="35"/>
  <c r="K31" i="147" s="1"/>
  <c r="M1447" i="35"/>
  <c r="M37" i="147" s="1"/>
  <c r="K1442" i="35"/>
  <c r="K32" i="147" s="1"/>
  <c r="O1442" i="35"/>
  <c r="O32" i="147" s="1"/>
  <c r="N1445" i="35"/>
  <c r="N35" i="147" s="1"/>
  <c r="N1442" i="35"/>
  <c r="N32" i="147" s="1"/>
  <c r="N1447" i="35"/>
  <c r="N37" i="147" s="1"/>
  <c r="L1442" i="35"/>
  <c r="L32" i="147" s="1"/>
  <c r="K1447" i="35"/>
  <c r="K37" i="147" s="1"/>
  <c r="K226" i="31"/>
  <c r="J226" i="31"/>
  <c r="J1043" i="35"/>
  <c r="J1035" i="35"/>
  <c r="J32" i="149" s="1"/>
  <c r="L1036" i="35"/>
  <c r="L33" i="149" s="1"/>
  <c r="N1037" i="35"/>
  <c r="N34" i="149" s="1"/>
  <c r="J1039" i="35"/>
  <c r="N1041" i="35"/>
  <c r="L1040" i="35"/>
  <c r="L37" i="149" s="1"/>
  <c r="O1035" i="35"/>
  <c r="O32" i="149" s="1"/>
  <c r="O1040" i="35"/>
  <c r="J1034" i="35"/>
  <c r="J31" i="149" s="1"/>
  <c r="K1035" i="35"/>
  <c r="K32" i="149" s="1"/>
  <c r="K1036" i="35"/>
  <c r="K33" i="149" s="1"/>
  <c r="N1042" i="35"/>
  <c r="M1034" i="35"/>
  <c r="M31" i="149" s="1"/>
  <c r="N1039" i="35"/>
  <c r="N36" i="149" s="1"/>
  <c r="L1034" i="35"/>
  <c r="L31" i="149" s="1"/>
  <c r="M1039" i="35"/>
  <c r="L1043" i="35"/>
  <c r="O1034" i="35"/>
  <c r="O31" i="149" s="1"/>
  <c r="L1041" i="35"/>
  <c r="O1043" i="35"/>
  <c r="K1038" i="35"/>
  <c r="K35" i="149" s="1"/>
  <c r="J1042" i="35"/>
  <c r="J39" i="149" s="1"/>
  <c r="K1043" i="35"/>
  <c r="K40" i="149" s="1"/>
  <c r="J1040" i="35"/>
  <c r="M1042" i="35"/>
  <c r="N1043" i="35"/>
  <c r="L1038" i="35"/>
  <c r="L35" i="149" s="1"/>
  <c r="O1036" i="35"/>
  <c r="O33" i="149" s="1"/>
  <c r="N1040" i="35"/>
  <c r="O1041" i="35"/>
  <c r="O38" i="149" s="1"/>
  <c r="O1042" i="35"/>
  <c r="O39" i="149" s="1"/>
  <c r="N1038" i="35"/>
  <c r="N35" i="149" s="1"/>
  <c r="K1041" i="35"/>
  <c r="M1035" i="35"/>
  <c r="M32" i="149" s="1"/>
  <c r="L1039" i="35"/>
  <c r="M1040" i="35"/>
  <c r="M1041" i="35"/>
  <c r="L1037" i="35"/>
  <c r="L34" i="149" s="1"/>
  <c r="O1039" i="35"/>
  <c r="L1042" i="35"/>
  <c r="J1037" i="35"/>
  <c r="J34" i="149" s="1"/>
  <c r="K1034" i="35"/>
  <c r="K31" i="149" s="1"/>
  <c r="J1038" i="35"/>
  <c r="J35" i="149" s="1"/>
  <c r="K1039" i="35"/>
  <c r="K1040" i="35"/>
  <c r="J1036" i="35"/>
  <c r="J33" i="149" s="1"/>
  <c r="M1038" i="35"/>
  <c r="M35" i="149" s="1"/>
  <c r="M1043" i="35"/>
  <c r="N1036" i="35"/>
  <c r="N33" i="149" s="1"/>
  <c r="O1037" i="35"/>
  <c r="O34" i="149" s="1"/>
  <c r="O1038" i="35"/>
  <c r="O35" i="149" s="1"/>
  <c r="N1034" i="35"/>
  <c r="N31" i="149" s="1"/>
  <c r="K1037" i="35"/>
  <c r="K34" i="149" s="1"/>
  <c r="J1041" i="35"/>
  <c r="N1035" i="35"/>
  <c r="N32" i="149" s="1"/>
  <c r="K1042" i="35"/>
  <c r="L1035" i="35"/>
  <c r="L32" i="149" s="1"/>
  <c r="M1036" i="35"/>
  <c r="M33" i="149" s="1"/>
  <c r="M1037" i="35"/>
  <c r="M34" i="149" s="1"/>
  <c r="L226" i="31"/>
  <c r="O226" i="31"/>
  <c r="M226" i="31"/>
  <c r="N226" i="31"/>
  <c r="L229" i="35"/>
  <c r="L40" i="145" s="1"/>
  <c r="N227" i="35"/>
  <c r="N38" i="145" s="1"/>
  <c r="O228" i="35"/>
  <c r="O39" i="145" s="1"/>
  <c r="L223" i="35"/>
  <c r="L34" i="145" s="1"/>
  <c r="O229" i="35"/>
  <c r="O40" i="145" s="1"/>
  <c r="J227" i="35"/>
  <c r="J38" i="145" s="1"/>
  <c r="M225" i="35"/>
  <c r="M36" i="145" s="1"/>
  <c r="J228" i="35"/>
  <c r="J39" i="145" s="1"/>
  <c r="K229" i="35"/>
  <c r="K40" i="145" s="1"/>
  <c r="L226" i="35"/>
  <c r="L37" i="145" s="1"/>
  <c r="M227" i="35"/>
  <c r="M38" i="145" s="1"/>
  <c r="J222" i="35"/>
  <c r="J33" i="145" s="1"/>
  <c r="M228" i="35"/>
  <c r="M39" i="145" s="1"/>
  <c r="N225" i="35"/>
  <c r="N36" i="145" s="1"/>
  <c r="K224" i="35"/>
  <c r="K35" i="145" s="1"/>
  <c r="N226" i="35"/>
  <c r="N37" i="145" s="1"/>
  <c r="O227" i="35"/>
  <c r="O38" i="145" s="1"/>
  <c r="J225" i="35"/>
  <c r="J36" i="145" s="1"/>
  <c r="K226" i="35"/>
  <c r="K37" i="145" s="1"/>
  <c r="N220" i="35"/>
  <c r="N31" i="145" s="1"/>
  <c r="K227" i="35"/>
  <c r="K38" i="145" s="1"/>
  <c r="L224" i="35"/>
  <c r="L35" i="145" s="1"/>
  <c r="O222" i="35"/>
  <c r="O33" i="145" s="1"/>
  <c r="L225" i="35"/>
  <c r="L36" i="145" s="1"/>
  <c r="M226" i="35"/>
  <c r="M37" i="145" s="1"/>
  <c r="N223" i="35"/>
  <c r="N34" i="145" s="1"/>
  <c r="O224" i="35"/>
  <c r="O35" i="145" s="1"/>
  <c r="O225" i="35"/>
  <c r="O36" i="145" s="1"/>
  <c r="J223" i="35"/>
  <c r="J34" i="145" s="1"/>
  <c r="M221" i="35"/>
  <c r="M32" i="145" s="1"/>
  <c r="J224" i="35"/>
  <c r="J35" i="145" s="1"/>
  <c r="K225" i="35"/>
  <c r="K36" i="145" s="1"/>
  <c r="L222" i="35"/>
  <c r="L33" i="145" s="1"/>
  <c r="M223" i="35"/>
  <c r="M34" i="145" s="1"/>
  <c r="N228" i="35"/>
  <c r="N39" i="145" s="1"/>
  <c r="M224" i="35"/>
  <c r="M35" i="145" s="1"/>
  <c r="N221" i="35"/>
  <c r="N32" i="145" s="1"/>
  <c r="K220" i="35"/>
  <c r="K31" i="145" s="1"/>
  <c r="N222" i="35"/>
  <c r="N33" i="145" s="1"/>
  <c r="O223" i="35"/>
  <c r="O34" i="145" s="1"/>
  <c r="J221" i="35"/>
  <c r="J32" i="145" s="1"/>
  <c r="K222" i="35"/>
  <c r="K33" i="145" s="1"/>
  <c r="L227" i="35"/>
  <c r="L38" i="145" s="1"/>
  <c r="K223" i="35"/>
  <c r="K34" i="145" s="1"/>
  <c r="L220" i="35"/>
  <c r="L31" i="145" s="1"/>
  <c r="M229" i="35"/>
  <c r="M40" i="145" s="1"/>
  <c r="L221" i="35"/>
  <c r="L32" i="145" s="1"/>
  <c r="M222" i="35"/>
  <c r="M33" i="145" s="1"/>
  <c r="O220" i="35"/>
  <c r="O31" i="145" s="1"/>
  <c r="J226" i="35"/>
  <c r="J37" i="145" s="1"/>
  <c r="O221" i="35"/>
  <c r="O32" i="145" s="1"/>
  <c r="N229" i="35"/>
  <c r="N40" i="145" s="1"/>
  <c r="K228" i="35"/>
  <c r="K39" i="145" s="1"/>
  <c r="J220" i="35"/>
  <c r="J31" i="145" s="1"/>
  <c r="K221" i="35"/>
  <c r="K32" i="145" s="1"/>
  <c r="J229" i="35"/>
  <c r="J40" i="145" s="1"/>
  <c r="N224" i="35"/>
  <c r="N35" i="145" s="1"/>
  <c r="M220" i="35"/>
  <c r="M31" i="145" s="1"/>
  <c r="L228" i="35"/>
  <c r="L39" i="145" s="1"/>
  <c r="O226" i="35"/>
  <c r="O37" i="145" s="1"/>
  <c r="C14" i="35"/>
  <c r="L41" i="148" l="1"/>
  <c r="J41" i="148"/>
  <c r="K41" i="148"/>
  <c r="M41" i="148"/>
  <c r="M41" i="145"/>
  <c r="K38" i="149"/>
  <c r="M39" i="149"/>
  <c r="L40" i="149"/>
  <c r="J37" i="150"/>
  <c r="N38" i="150"/>
  <c r="O41" i="145"/>
  <c r="K39" i="149"/>
  <c r="M40" i="149"/>
  <c r="L39" i="149"/>
  <c r="J37" i="149"/>
  <c r="M36" i="149"/>
  <c r="O37" i="149"/>
  <c r="J40" i="149"/>
  <c r="O41" i="147"/>
  <c r="N41" i="148"/>
  <c r="N39" i="150"/>
  <c r="K37" i="150"/>
  <c r="M37" i="150"/>
  <c r="L40" i="150"/>
  <c r="J41" i="146"/>
  <c r="M41" i="146"/>
  <c r="O36" i="149"/>
  <c r="J41" i="147"/>
  <c r="O41" i="148"/>
  <c r="L37" i="150"/>
  <c r="L36" i="150"/>
  <c r="N41" i="146"/>
  <c r="K41" i="146"/>
  <c r="O41" i="146"/>
  <c r="L41" i="146"/>
  <c r="J38" i="149"/>
  <c r="L41" i="147"/>
  <c r="K39" i="150"/>
  <c r="J41" i="145"/>
  <c r="K41" i="145"/>
  <c r="K37" i="149"/>
  <c r="M38" i="149"/>
  <c r="N37" i="149"/>
  <c r="N38" i="149"/>
  <c r="K41" i="147"/>
  <c r="N41" i="147"/>
  <c r="K36" i="150"/>
  <c r="O37" i="150"/>
  <c r="J39" i="150"/>
  <c r="O40" i="150"/>
  <c r="L41" i="145"/>
  <c r="K36" i="149"/>
  <c r="M37" i="149"/>
  <c r="O40" i="149"/>
  <c r="N39" i="149"/>
  <c r="J36" i="149"/>
  <c r="M36" i="150"/>
  <c r="N40" i="150"/>
  <c r="O36" i="150"/>
  <c r="L38" i="150"/>
  <c r="N41" i="145"/>
  <c r="L36" i="149"/>
  <c r="L38" i="149"/>
  <c r="N37" i="150"/>
  <c r="N36" i="150"/>
  <c r="J36" i="150"/>
  <c r="J40" i="150"/>
  <c r="N40" i="149"/>
  <c r="M41" i="147"/>
  <c r="L39" i="150"/>
  <c r="M39" i="150"/>
  <c r="O39" i="150"/>
  <c r="K41" i="143"/>
  <c r="N41" i="143"/>
  <c r="O41" i="143"/>
  <c r="M41" i="143"/>
  <c r="J41" i="143"/>
  <c r="L41" i="143"/>
  <c r="J637" i="35"/>
  <c r="M637" i="35"/>
  <c r="N637" i="35"/>
  <c r="K637" i="35"/>
  <c r="O637" i="35"/>
  <c r="L637" i="35"/>
  <c r="M2265" i="35"/>
  <c r="K2265" i="35"/>
  <c r="L2265" i="35"/>
  <c r="N2265" i="35"/>
  <c r="J2265" i="35"/>
  <c r="O2265" i="35"/>
  <c r="J1858" i="35"/>
  <c r="N1858" i="35"/>
  <c r="L1858" i="35"/>
  <c r="O1858" i="35"/>
  <c r="K1858" i="35"/>
  <c r="M1858" i="35"/>
  <c r="O1451" i="35"/>
  <c r="J1451" i="35"/>
  <c r="L1451" i="35"/>
  <c r="K1451" i="35"/>
  <c r="N1451" i="35"/>
  <c r="M1451" i="35"/>
  <c r="N230" i="35"/>
  <c r="K1044" i="35"/>
  <c r="O1044" i="35"/>
  <c r="M230" i="35"/>
  <c r="J1044" i="35"/>
  <c r="O230" i="35"/>
  <c r="L1044" i="35"/>
  <c r="J230" i="35"/>
  <c r="K230" i="35"/>
  <c r="M1044" i="35"/>
  <c r="L230" i="35"/>
  <c r="N1044" i="35"/>
  <c r="L21" i="17"/>
  <c r="D164" i="19"/>
  <c r="D163" i="19"/>
  <c r="D149" i="19"/>
  <c r="D148" i="19"/>
  <c r="D134" i="19"/>
  <c r="D133" i="19"/>
  <c r="D119" i="19"/>
  <c r="D118" i="19"/>
  <c r="D104" i="19"/>
  <c r="D103" i="19"/>
  <c r="D89" i="19"/>
  <c r="D88" i="19"/>
  <c r="D74" i="19"/>
  <c r="D73" i="19"/>
  <c r="D59" i="19"/>
  <c r="D58" i="19"/>
  <c r="D44" i="19"/>
  <c r="D43" i="19"/>
  <c r="D29" i="19"/>
  <c r="D28" i="19"/>
  <c r="D74" i="17"/>
  <c r="D63" i="17"/>
  <c r="L28" i="17"/>
  <c r="L23" i="17"/>
  <c r="K41" i="150" l="1"/>
  <c r="L41" i="150"/>
  <c r="J41" i="149"/>
  <c r="M41" i="150"/>
  <c r="M41" i="149"/>
  <c r="O41" i="149"/>
  <c r="N41" i="150"/>
  <c r="O41" i="150"/>
  <c r="K41" i="149"/>
  <c r="J41" i="150"/>
  <c r="L41" i="149"/>
  <c r="N41" i="149"/>
  <c r="O163" i="19" l="1"/>
  <c r="O164" i="19" s="1"/>
  <c r="K163" i="19"/>
  <c r="K164" i="19" s="1"/>
  <c r="M163" i="19"/>
  <c r="M164" i="19" s="1"/>
  <c r="N163" i="19"/>
  <c r="N164" i="19" s="1"/>
  <c r="J163" i="19"/>
  <c r="J164" i="19" s="1"/>
  <c r="L163" i="19"/>
  <c r="L164" i="19" s="1"/>
  <c r="L148" i="19"/>
  <c r="L149" i="19" s="1"/>
  <c r="J148" i="19"/>
  <c r="J149" i="19" s="1"/>
  <c r="K148" i="19"/>
  <c r="K149" i="19" s="1"/>
  <c r="M148" i="19"/>
  <c r="M149" i="19" s="1"/>
  <c r="O148" i="19"/>
  <c r="O149" i="19" s="1"/>
  <c r="N148" i="19"/>
  <c r="N149" i="19" s="1"/>
  <c r="K133" i="19"/>
  <c r="K134" i="19" s="1"/>
  <c r="M133" i="19"/>
  <c r="M134" i="19" s="1"/>
  <c r="O133" i="19"/>
  <c r="O134" i="19" s="1"/>
  <c r="J133" i="19"/>
  <c r="J134" i="19" s="1"/>
  <c r="L133" i="19"/>
  <c r="L134" i="19" s="1"/>
  <c r="N133" i="19"/>
  <c r="N134" i="19" s="1"/>
  <c r="J118" i="19"/>
  <c r="J119" i="19" s="1"/>
  <c r="M118" i="19"/>
  <c r="M119" i="19" s="1"/>
  <c r="L118" i="19"/>
  <c r="L119" i="19" s="1"/>
  <c r="N118" i="19"/>
  <c r="N119" i="19" s="1"/>
  <c r="O118" i="19"/>
  <c r="O119" i="19" s="1"/>
  <c r="K118" i="19"/>
  <c r="K119" i="19" s="1"/>
  <c r="K103" i="19"/>
  <c r="K104" i="19" s="1"/>
  <c r="M103" i="19"/>
  <c r="M104" i="19" s="1"/>
  <c r="J103" i="19"/>
  <c r="J104" i="19" s="1"/>
  <c r="O103" i="19"/>
  <c r="O104" i="19" s="1"/>
  <c r="N103" i="19"/>
  <c r="N104" i="19" s="1"/>
  <c r="L103" i="19"/>
  <c r="L104" i="19" s="1"/>
  <c r="J88" i="19"/>
  <c r="J89" i="19" s="1"/>
  <c r="M88" i="19"/>
  <c r="M89" i="19" s="1"/>
  <c r="O88" i="19"/>
  <c r="O89" i="19" s="1"/>
  <c r="L88" i="19"/>
  <c r="L89" i="19" s="1"/>
  <c r="K88" i="19"/>
  <c r="K89" i="19" s="1"/>
  <c r="N88" i="19"/>
  <c r="N89" i="19" s="1"/>
  <c r="O73" i="19"/>
  <c r="O74" i="19" s="1"/>
  <c r="L73" i="19"/>
  <c r="L74" i="19" s="1"/>
  <c r="J73" i="19"/>
  <c r="J74" i="19" s="1"/>
  <c r="K73" i="19"/>
  <c r="K74" i="19" s="1"/>
  <c r="M73" i="19"/>
  <c r="M74" i="19" s="1"/>
  <c r="N73" i="19"/>
  <c r="N74" i="19" s="1"/>
  <c r="N58" i="19"/>
  <c r="N59" i="19" s="1"/>
  <c r="O58" i="19"/>
  <c r="O59" i="19" s="1"/>
  <c r="K58" i="19"/>
  <c r="K59" i="19" s="1"/>
  <c r="M58" i="19"/>
  <c r="M59" i="19" s="1"/>
  <c r="L58" i="19"/>
  <c r="L59" i="19" s="1"/>
  <c r="J58" i="19"/>
  <c r="J59" i="19" s="1"/>
  <c r="N43" i="19"/>
  <c r="N44" i="19" s="1"/>
  <c r="L43" i="19"/>
  <c r="L44" i="19" s="1"/>
  <c r="J43" i="19"/>
  <c r="J44" i="19" s="1"/>
  <c r="M43" i="19"/>
  <c r="M44" i="19" s="1"/>
  <c r="O43" i="19"/>
  <c r="O44" i="19" s="1"/>
  <c r="K43" i="19"/>
  <c r="K44" i="19" s="1"/>
  <c r="O28" i="19"/>
  <c r="O29" i="19" s="1"/>
  <c r="N28" i="19"/>
  <c r="N29" i="19" s="1"/>
  <c r="J28" i="19"/>
  <c r="J29" i="19" s="1"/>
  <c r="K28" i="19"/>
  <c r="K29" i="19" s="1"/>
  <c r="M28" i="19"/>
  <c r="M29" i="19" s="1"/>
  <c r="L28" i="19"/>
  <c r="L29" i="19" s="1"/>
  <c r="D2527" i="36" l="1"/>
  <c r="D2528" i="36"/>
  <c r="D2529" i="36"/>
  <c r="D2530" i="36"/>
  <c r="D2531" i="36"/>
  <c r="D2532" i="36"/>
  <c r="D2533" i="36"/>
  <c r="D2534" i="36"/>
  <c r="D2535" i="36"/>
  <c r="D2536" i="36"/>
  <c r="D2537" i="36"/>
  <c r="D2538" i="36"/>
  <c r="D2539" i="36"/>
  <c r="D2540" i="36"/>
  <c r="D2541" i="36"/>
  <c r="D2542" i="36"/>
  <c r="D2543" i="36"/>
  <c r="D2544" i="36"/>
  <c r="D2545" i="36"/>
  <c r="D2546" i="36"/>
  <c r="D2547" i="36"/>
  <c r="D2548" i="36"/>
  <c r="D2549" i="36"/>
  <c r="D2550" i="36"/>
  <c r="D2551" i="36"/>
  <c r="D2552" i="36"/>
  <c r="D2553" i="36"/>
  <c r="D2554" i="36"/>
  <c r="D2555" i="36"/>
  <c r="D2556" i="36"/>
  <c r="D2557" i="36"/>
  <c r="D2558" i="36"/>
  <c r="D2559" i="36"/>
  <c r="D2560" i="36"/>
  <c r="D2561" i="36"/>
  <c r="D2562" i="36"/>
  <c r="D2563" i="36"/>
  <c r="D2564" i="36"/>
  <c r="D2565" i="36"/>
  <c r="D2566" i="36"/>
  <c r="D2567" i="36"/>
  <c r="D2568" i="36"/>
  <c r="D2569" i="36"/>
  <c r="D2570" i="36"/>
  <c r="D2571" i="36"/>
  <c r="D2572" i="36"/>
  <c r="D2573" i="36"/>
  <c r="D2574" i="36"/>
  <c r="D2575" i="36"/>
  <c r="D2576" i="36"/>
  <c r="D2577" i="36"/>
  <c r="D2578" i="36"/>
  <c r="D2579" i="36"/>
  <c r="D2580" i="36"/>
  <c r="D2581" i="36"/>
  <c r="D2582" i="36"/>
  <c r="D2583" i="36"/>
  <c r="D2584" i="36"/>
  <c r="D2585" i="36"/>
  <c r="D2586" i="36"/>
  <c r="D2587" i="36"/>
  <c r="D2588" i="36"/>
  <c r="D2589" i="36"/>
  <c r="D2590" i="36"/>
  <c r="D2591" i="36"/>
  <c r="D2592" i="36"/>
  <c r="D2593" i="36"/>
  <c r="D2594" i="36"/>
  <c r="D2595" i="36"/>
  <c r="D2596" i="36"/>
  <c r="D2597" i="36"/>
  <c r="D2598" i="36"/>
  <c r="D2599" i="36"/>
  <c r="D2600" i="36"/>
  <c r="D2601" i="36"/>
  <c r="D2602" i="36"/>
  <c r="D2603" i="36"/>
  <c r="D2604" i="36"/>
  <c r="D2605" i="36"/>
  <c r="D2606" i="36"/>
  <c r="D2607" i="36"/>
  <c r="D2608" i="36"/>
  <c r="D2609" i="36"/>
  <c r="D2610" i="36"/>
  <c r="D2611" i="36"/>
  <c r="D2612" i="36"/>
  <c r="D2613" i="36"/>
  <c r="D2614" i="36"/>
  <c r="D2615" i="36"/>
  <c r="D2616" i="36"/>
  <c r="D2617" i="36"/>
  <c r="D2618" i="36"/>
  <c r="D2619" i="36"/>
  <c r="D2620" i="36"/>
  <c r="D2621" i="36"/>
  <c r="D2622" i="36"/>
  <c r="D2623" i="36"/>
  <c r="D2624" i="36"/>
  <c r="D2625" i="36"/>
  <c r="D2626" i="36"/>
  <c r="D2627" i="36"/>
  <c r="D2628" i="36"/>
  <c r="D2629" i="36"/>
  <c r="D2630" i="36"/>
  <c r="D2631" i="36"/>
  <c r="D2632" i="36"/>
  <c r="D2633" i="36"/>
  <c r="D2634" i="36"/>
  <c r="D2635" i="36"/>
  <c r="D2636" i="36"/>
  <c r="D2637" i="36"/>
  <c r="D2638" i="36"/>
  <c r="D2639" i="36"/>
  <c r="D2640" i="36"/>
  <c r="D2641" i="36"/>
  <c r="D2642" i="36"/>
  <c r="D2643" i="36"/>
  <c r="D2644" i="36"/>
  <c r="D2645" i="36"/>
  <c r="D2646" i="36"/>
  <c r="D2647" i="36"/>
  <c r="D2648" i="36"/>
  <c r="D2649" i="36"/>
  <c r="D1633" i="36"/>
  <c r="D1634" i="36"/>
  <c r="D1635" i="36"/>
  <c r="D1636" i="36"/>
  <c r="D1637" i="36"/>
  <c r="D1638" i="36"/>
  <c r="D1639" i="36"/>
  <c r="D1640" i="36"/>
  <c r="D1641" i="36"/>
  <c r="D1642" i="36"/>
  <c r="D1643" i="36"/>
  <c r="D1644" i="36"/>
  <c r="D1645" i="36"/>
  <c r="D1646" i="36"/>
  <c r="D1647" i="36"/>
  <c r="D1648" i="36"/>
  <c r="D1649" i="36"/>
  <c r="D1650" i="36"/>
  <c r="D1651" i="36"/>
  <c r="D1652" i="36"/>
  <c r="D1653" i="36"/>
  <c r="D1654" i="36"/>
  <c r="D1655" i="36"/>
  <c r="D1656" i="36"/>
  <c r="D1657" i="36"/>
  <c r="D1658" i="36"/>
  <c r="D1659" i="36"/>
  <c r="D1660" i="36"/>
  <c r="D1661" i="36"/>
  <c r="D1662" i="36"/>
  <c r="D1663" i="36"/>
  <c r="D1664" i="36"/>
  <c r="D1665" i="36"/>
  <c r="D1666" i="36"/>
  <c r="D1667" i="36"/>
  <c r="D1668" i="36"/>
  <c r="D1669" i="36"/>
  <c r="D1670" i="36"/>
  <c r="D1671" i="36"/>
  <c r="D1672" i="36"/>
  <c r="D1673" i="36"/>
  <c r="D1674" i="36"/>
  <c r="D1675" i="36"/>
  <c r="D1676" i="36"/>
  <c r="D1677" i="36"/>
  <c r="D1678" i="36"/>
  <c r="D1679" i="36"/>
  <c r="D1680" i="36"/>
  <c r="D1681" i="36"/>
  <c r="D1682" i="36"/>
  <c r="D1683" i="36"/>
  <c r="D1684" i="36"/>
  <c r="D1685" i="36"/>
  <c r="D1686" i="36"/>
  <c r="D1687" i="36"/>
  <c r="D1688" i="36"/>
  <c r="D1689" i="36"/>
  <c r="D1690" i="36"/>
  <c r="D1691" i="36"/>
  <c r="D1692" i="36"/>
  <c r="D1693" i="36"/>
  <c r="D1694" i="36"/>
  <c r="D1695" i="36"/>
  <c r="D1696" i="36"/>
  <c r="D1697" i="36"/>
  <c r="D1698" i="36"/>
  <c r="D1699" i="36"/>
  <c r="D1700" i="36"/>
  <c r="D1701" i="36"/>
  <c r="D1702" i="36"/>
  <c r="D1703" i="36"/>
  <c r="D1704" i="36"/>
  <c r="D1705" i="36"/>
  <c r="D1706" i="36"/>
  <c r="D1707" i="36"/>
  <c r="D1708" i="36"/>
  <c r="D1709" i="36"/>
  <c r="D1710" i="36"/>
  <c r="D1711" i="36"/>
  <c r="D1712" i="36"/>
  <c r="D1713" i="36"/>
  <c r="D1714" i="36"/>
  <c r="D1715" i="36"/>
  <c r="D1716" i="36"/>
  <c r="D1717" i="36"/>
  <c r="D1718" i="36"/>
  <c r="D1719" i="36"/>
  <c r="D1720" i="36"/>
  <c r="D1721" i="36"/>
  <c r="D1722" i="36"/>
  <c r="D1723" i="36"/>
  <c r="D1724" i="36"/>
  <c r="D1725" i="36"/>
  <c r="D1726" i="36"/>
  <c r="D1727" i="36"/>
  <c r="D1728" i="36"/>
  <c r="D1729" i="36"/>
  <c r="D1730" i="36"/>
  <c r="D1731" i="36"/>
  <c r="D1732" i="36"/>
  <c r="D1733" i="36"/>
  <c r="D1734" i="36"/>
  <c r="D1735" i="36"/>
  <c r="D1736" i="36"/>
  <c r="D1737" i="36"/>
  <c r="D1738" i="36"/>
  <c r="D1739" i="36"/>
  <c r="D1740" i="36"/>
  <c r="D1741" i="36"/>
  <c r="D1742" i="36"/>
  <c r="D1743" i="36"/>
  <c r="D1744" i="36"/>
  <c r="D1745" i="36"/>
  <c r="D1746" i="36"/>
  <c r="D1747" i="36"/>
  <c r="D1748" i="36"/>
  <c r="D1749" i="36"/>
  <c r="D1750" i="36"/>
  <c r="D1751" i="36"/>
  <c r="D1752" i="36"/>
  <c r="D1753" i="36"/>
  <c r="D1754" i="36"/>
  <c r="D1755" i="36"/>
  <c r="D1186" i="36"/>
  <c r="D1187" i="36"/>
  <c r="D1188" i="36"/>
  <c r="D1189" i="36"/>
  <c r="D1190" i="36"/>
  <c r="D1191" i="36"/>
  <c r="D1192" i="36"/>
  <c r="D1193" i="36"/>
  <c r="D1194" i="36"/>
  <c r="D1195" i="36"/>
  <c r="D1196" i="36"/>
  <c r="D1197" i="36"/>
  <c r="D1198" i="36"/>
  <c r="D1199" i="36"/>
  <c r="D1200" i="36"/>
  <c r="D1201" i="36"/>
  <c r="D1202" i="36"/>
  <c r="D1203" i="36"/>
  <c r="D1204" i="36"/>
  <c r="D1205" i="36"/>
  <c r="D1206" i="36"/>
  <c r="D1207" i="36"/>
  <c r="D1208" i="36"/>
  <c r="D1209" i="36"/>
  <c r="D1210" i="36"/>
  <c r="D1211" i="36"/>
  <c r="D1212" i="36"/>
  <c r="D1213" i="36"/>
  <c r="D1214" i="36"/>
  <c r="D1215" i="36"/>
  <c r="D1216" i="36"/>
  <c r="D1217" i="36"/>
  <c r="D1218" i="36"/>
  <c r="D1219" i="36"/>
  <c r="D1220" i="36"/>
  <c r="D1221" i="36"/>
  <c r="D1222" i="36"/>
  <c r="D1223" i="36"/>
  <c r="D1224" i="36"/>
  <c r="D1225" i="36"/>
  <c r="D1226" i="36"/>
  <c r="D1227" i="36"/>
  <c r="D1228" i="36"/>
  <c r="D1229" i="36"/>
  <c r="D1230" i="36"/>
  <c r="D1231" i="36"/>
  <c r="D1232" i="36"/>
  <c r="D1233" i="36"/>
  <c r="D1234" i="36"/>
  <c r="D1235" i="36"/>
  <c r="D1236" i="36"/>
  <c r="D1237" i="36"/>
  <c r="D1238" i="36"/>
  <c r="D1239" i="36"/>
  <c r="D1240" i="36"/>
  <c r="D1241" i="36"/>
  <c r="D1242" i="36"/>
  <c r="D1243" i="36"/>
  <c r="D1244" i="36"/>
  <c r="D1245" i="36"/>
  <c r="D1246" i="36"/>
  <c r="D1247" i="36"/>
  <c r="D1248" i="36"/>
  <c r="D1249" i="36"/>
  <c r="D1250" i="36"/>
  <c r="D1251" i="36"/>
  <c r="D1252" i="36"/>
  <c r="D1253" i="36"/>
  <c r="D1254" i="36"/>
  <c r="D1255" i="36"/>
  <c r="D1256" i="36"/>
  <c r="D1257" i="36"/>
  <c r="D1258" i="36"/>
  <c r="D1259" i="36"/>
  <c r="D1260" i="36"/>
  <c r="D1261" i="36"/>
  <c r="D1262" i="36"/>
  <c r="D1263" i="36"/>
  <c r="D1264" i="36"/>
  <c r="D1265" i="36"/>
  <c r="D1266" i="36"/>
  <c r="D1267" i="36"/>
  <c r="D1268" i="36"/>
  <c r="D1269" i="36"/>
  <c r="D1270" i="36"/>
  <c r="D1271" i="36"/>
  <c r="D1272" i="36"/>
  <c r="D1273" i="36"/>
  <c r="D1274" i="36"/>
  <c r="D1275" i="36"/>
  <c r="D1276" i="36"/>
  <c r="D1277" i="36"/>
  <c r="D1278" i="36"/>
  <c r="D1279" i="36"/>
  <c r="D1280" i="36"/>
  <c r="D1281" i="36"/>
  <c r="D1282" i="36"/>
  <c r="D1283" i="36"/>
  <c r="D1284" i="36"/>
  <c r="D1285" i="36"/>
  <c r="D1286" i="36"/>
  <c r="D1287" i="36"/>
  <c r="D1288" i="36"/>
  <c r="D1289" i="36"/>
  <c r="D1290" i="36"/>
  <c r="D1291" i="36"/>
  <c r="D1292" i="36"/>
  <c r="D1293" i="36"/>
  <c r="D1294" i="36"/>
  <c r="D1295" i="36"/>
  <c r="D1296" i="36"/>
  <c r="D1297" i="36"/>
  <c r="D1298" i="36"/>
  <c r="D1299" i="36"/>
  <c r="D1300" i="36"/>
  <c r="D1301" i="36"/>
  <c r="D1302" i="36"/>
  <c r="D1303" i="36"/>
  <c r="D1304" i="36"/>
  <c r="D1305" i="36"/>
  <c r="D1306" i="36"/>
  <c r="D1307" i="36"/>
  <c r="D1308" i="36"/>
  <c r="D2080" i="36"/>
  <c r="D2081" i="36"/>
  <c r="D2082" i="36"/>
  <c r="D2083" i="36"/>
  <c r="D2084" i="36"/>
  <c r="D2085" i="36"/>
  <c r="D2086" i="36"/>
  <c r="D2087" i="36"/>
  <c r="D2088" i="36"/>
  <c r="D2089" i="36"/>
  <c r="D2090" i="36"/>
  <c r="D2091" i="36"/>
  <c r="D2092" i="36"/>
  <c r="D2093" i="36"/>
  <c r="D2094" i="36"/>
  <c r="D2095" i="36"/>
  <c r="D2096" i="36"/>
  <c r="D2097" i="36"/>
  <c r="D2098" i="36"/>
  <c r="D2099" i="36"/>
  <c r="D2100" i="36"/>
  <c r="D2101" i="36"/>
  <c r="D2102" i="36"/>
  <c r="D2103" i="36"/>
  <c r="D2104" i="36"/>
  <c r="D2105" i="36"/>
  <c r="D2106" i="36"/>
  <c r="D2107" i="36"/>
  <c r="D2108" i="36"/>
  <c r="D2109" i="36"/>
  <c r="D2110" i="36"/>
  <c r="D2111" i="36"/>
  <c r="D2112" i="36"/>
  <c r="D2113" i="36"/>
  <c r="D2114" i="36"/>
  <c r="D2115" i="36"/>
  <c r="D2116" i="36"/>
  <c r="D2117" i="36"/>
  <c r="D2118" i="36"/>
  <c r="D2119" i="36"/>
  <c r="D2120" i="36"/>
  <c r="D2121" i="36"/>
  <c r="D2122" i="36"/>
  <c r="D2123" i="36"/>
  <c r="D2124" i="36"/>
  <c r="D2125" i="36"/>
  <c r="D2126" i="36"/>
  <c r="D2127" i="36"/>
  <c r="D2128" i="36"/>
  <c r="D2129" i="36"/>
  <c r="D2130" i="36"/>
  <c r="D2131" i="36"/>
  <c r="D2132" i="36"/>
  <c r="D2133" i="36"/>
  <c r="D2134" i="36"/>
  <c r="D2135" i="36"/>
  <c r="D2136" i="36"/>
  <c r="D2137" i="36"/>
  <c r="D2138" i="36"/>
  <c r="D2139" i="36"/>
  <c r="D2140" i="36"/>
  <c r="D2141" i="36"/>
  <c r="D2142" i="36"/>
  <c r="D2143" i="36"/>
  <c r="D2144" i="36"/>
  <c r="D2145" i="36"/>
  <c r="D2146" i="36"/>
  <c r="D2147" i="36"/>
  <c r="D2148" i="36"/>
  <c r="D2149" i="36"/>
  <c r="D2150" i="36"/>
  <c r="D2151" i="36"/>
  <c r="D2152" i="36"/>
  <c r="D2153" i="36"/>
  <c r="D2154" i="36"/>
  <c r="D2155" i="36"/>
  <c r="D2156" i="36"/>
  <c r="D2157" i="36"/>
  <c r="D2158" i="36"/>
  <c r="D2159" i="36"/>
  <c r="D2160" i="36"/>
  <c r="D2161" i="36"/>
  <c r="D2162" i="36"/>
  <c r="D2163" i="36"/>
  <c r="D2164" i="36"/>
  <c r="D2165" i="36"/>
  <c r="D2166" i="36"/>
  <c r="D2167" i="36"/>
  <c r="D2168" i="36"/>
  <c r="D2169" i="36"/>
  <c r="D2170" i="36"/>
  <c r="D2171" i="36"/>
  <c r="D2172" i="36"/>
  <c r="D2173" i="36"/>
  <c r="D2174" i="36"/>
  <c r="D2175" i="36"/>
  <c r="D2176" i="36"/>
  <c r="D2177" i="36"/>
  <c r="D2178" i="36"/>
  <c r="D2179" i="36"/>
  <c r="D2180" i="36"/>
  <c r="D2181" i="36"/>
  <c r="D2182" i="36"/>
  <c r="D2183" i="36"/>
  <c r="D2184" i="36"/>
  <c r="D2185" i="36"/>
  <c r="D2186" i="36"/>
  <c r="D2187" i="36"/>
  <c r="D2188" i="36"/>
  <c r="D2189" i="36"/>
  <c r="D2190" i="36"/>
  <c r="D2191" i="36"/>
  <c r="D2192" i="36"/>
  <c r="D2193" i="36"/>
  <c r="D2194" i="36"/>
  <c r="D2195" i="36"/>
  <c r="D2196" i="36"/>
  <c r="D2197" i="36"/>
  <c r="D2198" i="36"/>
  <c r="D2199" i="36"/>
  <c r="D2200" i="36"/>
  <c r="D2201" i="36"/>
  <c r="D2202" i="36"/>
  <c r="D739" i="36"/>
  <c r="D740" i="36"/>
  <c r="D741" i="36"/>
  <c r="D742" i="36"/>
  <c r="D743" i="36"/>
  <c r="D744" i="36"/>
  <c r="D745" i="36"/>
  <c r="D746" i="36"/>
  <c r="D747" i="36"/>
  <c r="D748" i="36"/>
  <c r="D749" i="36"/>
  <c r="D750" i="36"/>
  <c r="D751" i="36"/>
  <c r="D752" i="36"/>
  <c r="D753" i="36"/>
  <c r="D754" i="36"/>
  <c r="D755" i="36"/>
  <c r="D756" i="36"/>
  <c r="D757" i="36"/>
  <c r="D758" i="36"/>
  <c r="D759" i="36"/>
  <c r="D760" i="36"/>
  <c r="D761" i="36"/>
  <c r="D762" i="36"/>
  <c r="D763" i="36"/>
  <c r="D764" i="36"/>
  <c r="D765" i="36"/>
  <c r="D766" i="36"/>
  <c r="D767" i="36"/>
  <c r="D768" i="36"/>
  <c r="D769" i="36"/>
  <c r="D770" i="36"/>
  <c r="D771" i="36"/>
  <c r="D772" i="36"/>
  <c r="D773" i="36"/>
  <c r="D774" i="36"/>
  <c r="D775" i="36"/>
  <c r="D776" i="36"/>
  <c r="D777" i="36"/>
  <c r="D778" i="36"/>
  <c r="D779" i="36"/>
  <c r="D780" i="36"/>
  <c r="D781" i="36"/>
  <c r="D782" i="36"/>
  <c r="D783" i="36"/>
  <c r="D784" i="36"/>
  <c r="D785" i="36"/>
  <c r="D786" i="36"/>
  <c r="D787" i="36"/>
  <c r="D788" i="36"/>
  <c r="D789" i="36"/>
  <c r="D790" i="36"/>
  <c r="D791" i="36"/>
  <c r="D792" i="36"/>
  <c r="D793" i="36"/>
  <c r="D794" i="36"/>
  <c r="D795" i="36"/>
  <c r="D796" i="36"/>
  <c r="D797" i="36"/>
  <c r="D798" i="36"/>
  <c r="D799" i="36"/>
  <c r="D800" i="36"/>
  <c r="D801" i="36"/>
  <c r="D802" i="36"/>
  <c r="D803" i="36"/>
  <c r="D804" i="36"/>
  <c r="D805" i="36"/>
  <c r="D806" i="36"/>
  <c r="D807" i="36"/>
  <c r="D808" i="36"/>
  <c r="D809" i="36"/>
  <c r="D810" i="36"/>
  <c r="D811" i="36"/>
  <c r="D812" i="36"/>
  <c r="D813" i="36"/>
  <c r="D814" i="36"/>
  <c r="D815" i="36"/>
  <c r="D816" i="36"/>
  <c r="D817" i="36"/>
  <c r="D818" i="36"/>
  <c r="D819" i="36"/>
  <c r="D820" i="36"/>
  <c r="D821" i="36"/>
  <c r="D822" i="36"/>
  <c r="D823" i="36"/>
  <c r="D824" i="36"/>
  <c r="D825" i="36"/>
  <c r="D826" i="36"/>
  <c r="D827" i="36"/>
  <c r="D828" i="36"/>
  <c r="D829" i="36"/>
  <c r="D830" i="36"/>
  <c r="D831" i="36"/>
  <c r="D832" i="36"/>
  <c r="D833" i="36"/>
  <c r="D834" i="36"/>
  <c r="D835" i="36"/>
  <c r="D836" i="36"/>
  <c r="D837" i="36"/>
  <c r="D838" i="36"/>
  <c r="D839" i="36"/>
  <c r="D840" i="36"/>
  <c r="D841" i="36"/>
  <c r="D842" i="36"/>
  <c r="D843" i="36"/>
  <c r="D844" i="36"/>
  <c r="D845" i="36"/>
  <c r="D846" i="36"/>
  <c r="D847" i="36"/>
  <c r="D848" i="36"/>
  <c r="D849" i="36"/>
  <c r="D850" i="36"/>
  <c r="D851" i="36"/>
  <c r="D852" i="36"/>
  <c r="D853" i="36"/>
  <c r="D854" i="36"/>
  <c r="D855" i="36"/>
  <c r="D856" i="36"/>
  <c r="D857" i="36"/>
  <c r="D858" i="36"/>
  <c r="D859" i="36"/>
  <c r="D860" i="36"/>
  <c r="D861" i="36"/>
  <c r="D292" i="36"/>
  <c r="D293" i="36"/>
  <c r="D294" i="36"/>
  <c r="D295" i="36"/>
  <c r="D296" i="36"/>
  <c r="D297" i="36"/>
  <c r="D298" i="36"/>
  <c r="D299" i="36"/>
  <c r="D300" i="36"/>
  <c r="D301" i="36"/>
  <c r="D302" i="36"/>
  <c r="D303" i="36"/>
  <c r="D304" i="36"/>
  <c r="D305" i="36"/>
  <c r="D306" i="36"/>
  <c r="D307" i="36"/>
  <c r="D308" i="36"/>
  <c r="D309" i="36"/>
  <c r="D310" i="36"/>
  <c r="D311" i="36"/>
  <c r="D312" i="36"/>
  <c r="D313" i="36"/>
  <c r="D314" i="36"/>
  <c r="D315" i="36"/>
  <c r="D316" i="36"/>
  <c r="D317" i="36"/>
  <c r="D318" i="36"/>
  <c r="D319" i="36"/>
  <c r="D320" i="36"/>
  <c r="D321" i="36"/>
  <c r="D322" i="36"/>
  <c r="D323" i="36"/>
  <c r="D324" i="36"/>
  <c r="D325" i="36"/>
  <c r="D326" i="36"/>
  <c r="D327" i="36"/>
  <c r="D328" i="36"/>
  <c r="D329" i="36"/>
  <c r="D330" i="36"/>
  <c r="D331" i="36"/>
  <c r="D332" i="36"/>
  <c r="D333" i="36"/>
  <c r="D334" i="36"/>
  <c r="D335" i="36"/>
  <c r="D336" i="36"/>
  <c r="D337" i="36"/>
  <c r="D338" i="36"/>
  <c r="D339" i="36"/>
  <c r="D340" i="36"/>
  <c r="D341" i="36"/>
  <c r="D342" i="36"/>
  <c r="D343" i="36"/>
  <c r="D344" i="36"/>
  <c r="D345" i="36"/>
  <c r="D346" i="36"/>
  <c r="D347" i="36"/>
  <c r="D348" i="36"/>
  <c r="D349" i="36"/>
  <c r="D350" i="36"/>
  <c r="D351" i="36"/>
  <c r="D352" i="36"/>
  <c r="D353" i="36"/>
  <c r="D354" i="36"/>
  <c r="D355" i="36"/>
  <c r="D356" i="36"/>
  <c r="D357" i="36"/>
  <c r="D358" i="36"/>
  <c r="D359" i="36"/>
  <c r="D360" i="36"/>
  <c r="D361" i="36"/>
  <c r="D362" i="36"/>
  <c r="D363" i="36"/>
  <c r="D364" i="36"/>
  <c r="D365" i="36"/>
  <c r="D366" i="36"/>
  <c r="D367" i="36"/>
  <c r="D368" i="36"/>
  <c r="D369" i="36"/>
  <c r="D370" i="36"/>
  <c r="D371" i="36"/>
  <c r="D372" i="36"/>
  <c r="D373" i="36"/>
  <c r="D374" i="36"/>
  <c r="D375" i="36"/>
  <c r="D376" i="36"/>
  <c r="D377" i="36"/>
  <c r="D378" i="36"/>
  <c r="D379" i="36"/>
  <c r="D380" i="36"/>
  <c r="D381" i="36"/>
  <c r="D382" i="36"/>
  <c r="D383" i="36"/>
  <c r="D384" i="36"/>
  <c r="D385" i="36"/>
  <c r="D386" i="36"/>
  <c r="D387" i="36"/>
  <c r="D388" i="36"/>
  <c r="D389" i="36"/>
  <c r="D390" i="36"/>
  <c r="D391" i="36"/>
  <c r="D392" i="36"/>
  <c r="D393" i="36"/>
  <c r="D394" i="36"/>
  <c r="D395" i="36"/>
  <c r="D396" i="36"/>
  <c r="D397" i="36"/>
  <c r="D398" i="36"/>
  <c r="D399" i="36"/>
  <c r="D400" i="36"/>
  <c r="D401" i="36"/>
  <c r="D402" i="36"/>
  <c r="D403" i="36"/>
  <c r="D404" i="36"/>
  <c r="D405" i="36"/>
  <c r="D406" i="36"/>
  <c r="D407" i="36"/>
  <c r="D408" i="36"/>
  <c r="D409" i="36"/>
  <c r="D410" i="36"/>
  <c r="D411" i="36"/>
  <c r="D412" i="36"/>
  <c r="D413" i="36"/>
  <c r="D414" i="36"/>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0" i="18"/>
  <c r="D321" i="18"/>
  <c r="D322" i="18"/>
  <c r="D323" i="18"/>
  <c r="D324" i="18"/>
  <c r="D325" i="18"/>
  <c r="D326" i="18"/>
  <c r="D327" i="18"/>
  <c r="D328" i="18"/>
  <c r="D329" i="18"/>
  <c r="D330" i="18"/>
  <c r="D331" i="18"/>
  <c r="D332" i="18"/>
  <c r="D333" i="18"/>
  <c r="D334" i="18"/>
  <c r="D335" i="18"/>
  <c r="D336" i="18"/>
  <c r="D337" i="18"/>
  <c r="D338" i="18"/>
  <c r="D339" i="18"/>
  <c r="D340" i="18"/>
  <c r="D341" i="18"/>
  <c r="D342"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399" i="18"/>
  <c r="D400" i="18"/>
  <c r="D401" i="18"/>
  <c r="D402" i="18"/>
  <c r="D403" i="18"/>
  <c r="D404" i="18"/>
  <c r="D405" i="18"/>
  <c r="D406" i="18"/>
  <c r="D407" i="18"/>
  <c r="D408" i="18"/>
  <c r="D409" i="18"/>
  <c r="D410" i="18"/>
  <c r="D411" i="18"/>
  <c r="D412" i="18"/>
  <c r="D413" i="18"/>
  <c r="D414" i="18"/>
  <c r="D415" i="18"/>
  <c r="M3063" i="33" l="1"/>
  <c r="M3064" i="33"/>
  <c r="M3065" i="33"/>
  <c r="U105" i="29"/>
  <c r="J104" i="29"/>
  <c r="L104" i="29" s="1"/>
  <c r="U106" i="29"/>
  <c r="J105" i="29"/>
  <c r="L105" i="29" s="1"/>
  <c r="J106" i="29"/>
  <c r="L106" i="29" s="1"/>
  <c r="U104" i="29"/>
  <c r="L89" i="29"/>
  <c r="L90" i="29"/>
  <c r="L91" i="29"/>
  <c r="L92" i="29"/>
  <c r="L88" i="29"/>
  <c r="L87" i="29"/>
  <c r="L3475" i="33"/>
  <c r="L1706" i="33"/>
  <c r="L2298" i="33"/>
  <c r="L2890" i="33"/>
  <c r="L1119" i="33"/>
  <c r="L488" i="29"/>
  <c r="L526" i="33"/>
  <c r="L502" i="17"/>
  <c r="L3459" i="33"/>
  <c r="L1690" i="33"/>
  <c r="L2282" i="33"/>
  <c r="L2874" i="33"/>
  <c r="L1103" i="33"/>
  <c r="L472" i="29"/>
  <c r="L510" i="33"/>
  <c r="L486" i="17"/>
  <c r="L3427" i="33"/>
  <c r="L2250" i="33"/>
  <c r="L1658" i="33"/>
  <c r="L2842" i="33"/>
  <c r="L1071" i="33"/>
  <c r="L440" i="29"/>
  <c r="L478" i="33"/>
  <c r="L454" i="17"/>
  <c r="L3394" i="33"/>
  <c r="L1625" i="33"/>
  <c r="L2217" i="33"/>
  <c r="L2809" i="33"/>
  <c r="L1038" i="33"/>
  <c r="L445" i="33"/>
  <c r="L407" i="29"/>
  <c r="L421" i="17"/>
  <c r="L3458" i="33"/>
  <c r="L1689" i="33"/>
  <c r="L2281" i="33"/>
  <c r="L2873" i="33"/>
  <c r="L1102" i="33"/>
  <c r="L509" i="33"/>
  <c r="L471" i="29"/>
  <c r="L485" i="17"/>
  <c r="L3426" i="33"/>
  <c r="L1657" i="33"/>
  <c r="L2249" i="33"/>
  <c r="L2841" i="33"/>
  <c r="L1070" i="33"/>
  <c r="L477" i="33"/>
  <c r="L439" i="29"/>
  <c r="L453" i="17"/>
  <c r="L3387" i="33"/>
  <c r="L2210" i="33"/>
  <c r="L1618" i="33"/>
  <c r="L2802" i="33"/>
  <c r="L1031" i="33"/>
  <c r="L400" i="29"/>
  <c r="L438" i="33"/>
  <c r="L414" i="17"/>
  <c r="L3490" i="33"/>
  <c r="L1721" i="33"/>
  <c r="L2313" i="33"/>
  <c r="L2905" i="33"/>
  <c r="L1134" i="33"/>
  <c r="L541" i="33"/>
  <c r="L503" i="29"/>
  <c r="L517" i="17"/>
  <c r="L3451" i="33"/>
  <c r="L2274" i="33"/>
  <c r="L1682" i="33"/>
  <c r="L2866" i="33"/>
  <c r="L1095" i="33"/>
  <c r="L464" i="29"/>
  <c r="L502" i="33"/>
  <c r="L478" i="17"/>
  <c r="L3419" i="33"/>
  <c r="L2242" i="33"/>
  <c r="L1650" i="33"/>
  <c r="L2834" i="33"/>
  <c r="L1063" i="33"/>
  <c r="L432" i="29"/>
  <c r="L470" i="33"/>
  <c r="L446" i="17"/>
  <c r="L3386" i="33"/>
  <c r="L2209" i="33"/>
  <c r="L1617" i="33"/>
  <c r="L2801" i="33"/>
  <c r="L1030" i="33"/>
  <c r="L437" i="33"/>
  <c r="L399" i="29"/>
  <c r="L413" i="17"/>
  <c r="L3483" i="33"/>
  <c r="L1714" i="33"/>
  <c r="L2306" i="33"/>
  <c r="L2898" i="33"/>
  <c r="L1127" i="33"/>
  <c r="L496" i="29"/>
  <c r="L534" i="33"/>
  <c r="L510" i="17"/>
  <c r="L3450" i="33"/>
  <c r="L2273" i="33"/>
  <c r="L1681" i="33"/>
  <c r="L2865" i="33"/>
  <c r="L501" i="33"/>
  <c r="L1094" i="33"/>
  <c r="L463" i="29"/>
  <c r="L477" i="17"/>
  <c r="L3418" i="33"/>
  <c r="L2241" i="33"/>
  <c r="L1649" i="33"/>
  <c r="L2833" i="33"/>
  <c r="L1062" i="33"/>
  <c r="L469" i="33"/>
  <c r="L431" i="29"/>
  <c r="L445" i="17"/>
  <c r="L3379" i="33"/>
  <c r="L1610" i="33"/>
  <c r="L2202" i="33"/>
  <c r="L2794" i="33"/>
  <c r="L1023" i="33"/>
  <c r="L392" i="29"/>
  <c r="L430" i="33"/>
  <c r="L406" i="17"/>
  <c r="L3482" i="33"/>
  <c r="L1713" i="33"/>
  <c r="L2305" i="33"/>
  <c r="L2897" i="33"/>
  <c r="L533" i="33"/>
  <c r="L1126" i="33"/>
  <c r="L495" i="29"/>
  <c r="L509" i="17"/>
  <c r="L3443" i="33"/>
  <c r="L2266" i="33"/>
  <c r="L1674" i="33"/>
  <c r="L2858" i="33"/>
  <c r="L1087" i="33"/>
  <c r="L456" i="29"/>
  <c r="L494" i="33"/>
  <c r="L470" i="17"/>
  <c r="L3411" i="33"/>
  <c r="L1642" i="33"/>
  <c r="L2234" i="33"/>
  <c r="L2826" i="33"/>
  <c r="L1055" i="33"/>
  <c r="L424" i="29"/>
  <c r="L462" i="33"/>
  <c r="L438" i="17"/>
  <c r="L3378" i="33"/>
  <c r="L1609" i="33"/>
  <c r="L2201" i="33"/>
  <c r="L2793" i="33"/>
  <c r="L1022" i="33"/>
  <c r="L429" i="33"/>
  <c r="L391" i="29"/>
  <c r="L405" i="17"/>
  <c r="L3442" i="33"/>
  <c r="L2265" i="33"/>
  <c r="L1673" i="33"/>
  <c r="L2857" i="33"/>
  <c r="L1086" i="33"/>
  <c r="L493" i="33"/>
  <c r="L455" i="29"/>
  <c r="L469" i="17"/>
  <c r="L3403" i="33"/>
  <c r="L2226" i="33"/>
  <c r="L1634" i="33"/>
  <c r="L2818" i="33"/>
  <c r="L1047" i="33"/>
  <c r="L416" i="29"/>
  <c r="L454" i="33"/>
  <c r="L430" i="17"/>
  <c r="L3371" i="33"/>
  <c r="L2194" i="33"/>
  <c r="L1602" i="33"/>
  <c r="L2786" i="33"/>
  <c r="L1015" i="33"/>
  <c r="L384" i="29"/>
  <c r="L422" i="33"/>
  <c r="L398" i="17"/>
  <c r="L3467" i="33"/>
  <c r="L1698" i="33"/>
  <c r="L2290" i="33"/>
  <c r="L2882" i="33"/>
  <c r="L1111" i="33"/>
  <c r="L480" i="29"/>
  <c r="L518" i="33"/>
  <c r="L494" i="17"/>
  <c r="L3435" i="33"/>
  <c r="L1666" i="33"/>
  <c r="L2258" i="33"/>
  <c r="L2850" i="33"/>
  <c r="L1079" i="33"/>
  <c r="L448" i="29"/>
  <c r="L486" i="33"/>
  <c r="L462" i="17"/>
  <c r="L3402" i="33"/>
  <c r="L2225" i="33"/>
  <c r="L1633" i="33"/>
  <c r="L2817" i="33"/>
  <c r="L1046" i="33"/>
  <c r="L453" i="33"/>
  <c r="L415" i="29"/>
  <c r="L429" i="17"/>
  <c r="L3370" i="33"/>
  <c r="L2193" i="33"/>
  <c r="L1601" i="33"/>
  <c r="L2785" i="33"/>
  <c r="L1014" i="33"/>
  <c r="L421" i="33"/>
  <c r="L383" i="29"/>
  <c r="L397" i="17"/>
  <c r="L3466" i="33"/>
  <c r="L1697" i="33"/>
  <c r="L2289" i="33"/>
  <c r="L2881" i="33"/>
  <c r="L517" i="33"/>
  <c r="L1110" i="33"/>
  <c r="L479" i="29"/>
  <c r="L493" i="17"/>
  <c r="L3434" i="33"/>
  <c r="L1665" i="33"/>
  <c r="L2257" i="33"/>
  <c r="L2849" i="33"/>
  <c r="L485" i="33"/>
  <c r="L1078" i="33"/>
  <c r="L447" i="29"/>
  <c r="L461" i="17"/>
  <c r="L3395" i="33"/>
  <c r="L1626" i="33"/>
  <c r="L2218" i="33"/>
  <c r="L2810" i="33"/>
  <c r="L1039" i="33"/>
  <c r="L408" i="29"/>
  <c r="L446" i="33"/>
  <c r="L422" i="17"/>
  <c r="J116" i="17"/>
  <c r="U134" i="33"/>
  <c r="U135" i="33"/>
  <c r="U136" i="33"/>
  <c r="U137" i="33"/>
  <c r="U138" i="33"/>
  <c r="M706" i="33"/>
  <c r="L96" i="17"/>
  <c r="L89" i="17"/>
  <c r="L97" i="17"/>
  <c r="L90" i="17"/>
  <c r="L98" i="17"/>
  <c r="L91" i="17"/>
  <c r="L99" i="17"/>
  <c r="L92" i="17"/>
  <c r="L93" i="17"/>
  <c r="L94" i="17"/>
  <c r="L95" i="17"/>
  <c r="M701" i="33"/>
  <c r="M704" i="33"/>
  <c r="U725" i="33"/>
  <c r="U733" i="33"/>
  <c r="U726" i="33"/>
  <c r="U734" i="33"/>
  <c r="U727" i="33"/>
  <c r="U728" i="33"/>
  <c r="U729" i="33"/>
  <c r="U730" i="33"/>
  <c r="U731" i="33"/>
  <c r="U724" i="33"/>
  <c r="U732" i="33"/>
  <c r="M698" i="33"/>
  <c r="M705" i="33"/>
  <c r="M697" i="33"/>
  <c r="M696" i="33"/>
  <c r="M711" i="33"/>
  <c r="M703" i="33"/>
  <c r="M695" i="33"/>
  <c r="M710" i="33"/>
  <c r="M702" i="33"/>
  <c r="M694" i="33"/>
  <c r="M709" i="33"/>
  <c r="M708" i="33"/>
  <c r="M700" i="33"/>
  <c r="M707" i="33"/>
  <c r="M699" i="33"/>
  <c r="U3078" i="33"/>
  <c r="U117" i="17"/>
  <c r="U113" i="17"/>
  <c r="U121" i="17"/>
  <c r="U115" i="17"/>
  <c r="U119" i="17"/>
  <c r="U120" i="17"/>
  <c r="U114" i="17"/>
  <c r="U116" i="17"/>
  <c r="U118" i="17"/>
  <c r="J729" i="33"/>
  <c r="L729" i="33" s="1"/>
  <c r="J730" i="33"/>
  <c r="L730" i="33" s="1"/>
  <c r="J728" i="33"/>
  <c r="L728" i="33" s="1"/>
  <c r="J115" i="17"/>
  <c r="J114" i="17"/>
  <c r="J1907" i="33"/>
  <c r="J1905" i="33"/>
  <c r="J1909" i="33"/>
  <c r="J138" i="33"/>
  <c r="L138" i="33" s="1"/>
  <c r="J1902" i="33"/>
  <c r="J724" i="33"/>
  <c r="L724" i="33" s="1"/>
  <c r="J119" i="17"/>
  <c r="J1903" i="33"/>
  <c r="J1906" i="33"/>
  <c r="J113" i="17"/>
  <c r="J1904" i="33"/>
  <c r="J1908" i="33"/>
  <c r="J134" i="33"/>
  <c r="L134" i="33" s="1"/>
  <c r="J2496" i="33"/>
  <c r="J117" i="17"/>
  <c r="J1910" i="33"/>
  <c r="J2495" i="33"/>
  <c r="J2499" i="33"/>
  <c r="U2495" i="33"/>
  <c r="U2496" i="33"/>
  <c r="U2497" i="33"/>
  <c r="U2498" i="33"/>
  <c r="U2499" i="33"/>
  <c r="U2500" i="33"/>
  <c r="U2494" i="33"/>
  <c r="N1315" i="33"/>
  <c r="J1313" i="33"/>
  <c r="U1314" i="33"/>
  <c r="U1315" i="33"/>
  <c r="N1313" i="33"/>
  <c r="M1315" i="33"/>
  <c r="U1313" i="33"/>
  <c r="N1314" i="33"/>
  <c r="J1314" i="33"/>
  <c r="M1313" i="33"/>
  <c r="J1315" i="33"/>
  <c r="M1314" i="33"/>
  <c r="U1907" i="33"/>
  <c r="U1908" i="33"/>
  <c r="U1909" i="33"/>
  <c r="U1902" i="33"/>
  <c r="U1910" i="33"/>
  <c r="U1903" i="33"/>
  <c r="U1904" i="33"/>
  <c r="U1905" i="33"/>
  <c r="U1906" i="33"/>
  <c r="J3078" i="33"/>
  <c r="N3080" i="33"/>
  <c r="N3079" i="33"/>
  <c r="M3080" i="33"/>
  <c r="N3078" i="33"/>
  <c r="M3079" i="33"/>
  <c r="U3080" i="33"/>
  <c r="J3080" i="33"/>
  <c r="M3078" i="33"/>
  <c r="U3079" i="33"/>
  <c r="J3079" i="33"/>
  <c r="M3066" i="33" l="1"/>
  <c r="L107" i="29"/>
  <c r="G224" i="37" s="1"/>
  <c r="L93" i="29"/>
  <c r="K3394" i="33"/>
  <c r="K2217" i="33"/>
  <c r="K1625" i="33"/>
  <c r="K2809" i="33"/>
  <c r="K1038" i="33"/>
  <c r="K445" i="33"/>
  <c r="K421" i="17"/>
  <c r="K407" i="29"/>
  <c r="K3458" i="33"/>
  <c r="K2281" i="33"/>
  <c r="K1689" i="33"/>
  <c r="K2873" i="33"/>
  <c r="K1102" i="33"/>
  <c r="M730" i="33" s="1"/>
  <c r="K509" i="33"/>
  <c r="K485" i="17"/>
  <c r="K471" i="29"/>
  <c r="K3427" i="33"/>
  <c r="K2250" i="33"/>
  <c r="K1658" i="33"/>
  <c r="K2842" i="33"/>
  <c r="K440" i="29"/>
  <c r="K1071" i="33"/>
  <c r="K478" i="33"/>
  <c r="K454" i="17"/>
  <c r="K3468" i="33"/>
  <c r="K2291" i="33"/>
  <c r="K1699" i="33"/>
  <c r="K1112" i="33"/>
  <c r="K2883" i="33"/>
  <c r="K519" i="33"/>
  <c r="K481" i="29"/>
  <c r="K495" i="17"/>
  <c r="K3477" i="33"/>
  <c r="K1708" i="33"/>
  <c r="K2300" i="33"/>
  <c r="K2892" i="33"/>
  <c r="K528" i="33"/>
  <c r="K1121" i="33"/>
  <c r="K490" i="29"/>
  <c r="K504" i="17"/>
  <c r="K3478" i="33"/>
  <c r="K2301" i="33"/>
  <c r="K1122" i="33"/>
  <c r="K1709" i="33"/>
  <c r="K2893" i="33"/>
  <c r="K529" i="33"/>
  <c r="K491" i="29"/>
  <c r="K505" i="17"/>
  <c r="K3480" i="33"/>
  <c r="K1711" i="33"/>
  <c r="K2303" i="33"/>
  <c r="K2895" i="33"/>
  <c r="K493" i="29"/>
  <c r="K1124" i="33"/>
  <c r="K531" i="33"/>
  <c r="K507" i="17"/>
  <c r="K3390" i="33"/>
  <c r="K2213" i="33"/>
  <c r="K1034" i="33"/>
  <c r="K1621" i="33"/>
  <c r="K2805" i="33"/>
  <c r="K441" i="33"/>
  <c r="K417" i="17"/>
  <c r="K403" i="29"/>
  <c r="K3430" i="33"/>
  <c r="K2253" i="33"/>
  <c r="K1661" i="33"/>
  <c r="K1074" i="33"/>
  <c r="K2845" i="33"/>
  <c r="K481" i="33"/>
  <c r="K443" i="29"/>
  <c r="K457" i="17"/>
  <c r="K3462" i="33"/>
  <c r="K2285" i="33"/>
  <c r="K1693" i="33"/>
  <c r="K1106" i="33"/>
  <c r="K2877" i="33"/>
  <c r="K513" i="33"/>
  <c r="K475" i="29"/>
  <c r="K489" i="17"/>
  <c r="K3423" i="33"/>
  <c r="K1654" i="33"/>
  <c r="K2246" i="33"/>
  <c r="K2838" i="33"/>
  <c r="K474" i="33"/>
  <c r="K1067" i="33"/>
  <c r="K436" i="29"/>
  <c r="K450" i="17"/>
  <c r="K3375" i="33"/>
  <c r="K1606" i="33"/>
  <c r="K2198" i="33"/>
  <c r="K2790" i="33"/>
  <c r="K426" i="33"/>
  <c r="K1019" i="33"/>
  <c r="K388" i="29"/>
  <c r="K402" i="17"/>
  <c r="M117" i="17" s="1"/>
  <c r="L3431" i="33"/>
  <c r="L2254" i="33"/>
  <c r="L1662" i="33"/>
  <c r="L1075" i="33"/>
  <c r="N724" i="33" s="1"/>
  <c r="L2846" i="33"/>
  <c r="L482" i="33"/>
  <c r="L444" i="29"/>
  <c r="L458" i="17"/>
  <c r="K3368" i="33"/>
  <c r="K1599" i="33"/>
  <c r="K2191" i="33"/>
  <c r="K2783" i="33"/>
  <c r="M2497" i="33" s="1"/>
  <c r="K1012" i="33"/>
  <c r="M733" i="33" s="1"/>
  <c r="K381" i="29"/>
  <c r="M106" i="29" s="1"/>
  <c r="K419" i="33"/>
  <c r="M138" i="33" s="1"/>
  <c r="K395" i="17"/>
  <c r="M119" i="17" s="1"/>
  <c r="L2239" i="33"/>
  <c r="L3416" i="33"/>
  <c r="L1647" i="33"/>
  <c r="L2831" i="33"/>
  <c r="L467" i="33"/>
  <c r="L429" i="29"/>
  <c r="L1060" i="33"/>
  <c r="L443" i="17"/>
  <c r="K3448" i="33"/>
  <c r="K1679" i="33"/>
  <c r="K2271" i="33"/>
  <c r="K2863" i="33"/>
  <c r="K1092" i="33"/>
  <c r="K461" i="29"/>
  <c r="K499" i="33"/>
  <c r="K475" i="17"/>
  <c r="K3488" i="33"/>
  <c r="K1719" i="33"/>
  <c r="K2311" i="33"/>
  <c r="K2903" i="33"/>
  <c r="K501" i="29"/>
  <c r="K539" i="33"/>
  <c r="K1132" i="33"/>
  <c r="K515" i="17"/>
  <c r="L3369" i="33"/>
  <c r="L2192" i="33"/>
  <c r="L1600" i="33"/>
  <c r="L2784" i="33"/>
  <c r="L1013" i="33"/>
  <c r="L420" i="33"/>
  <c r="L382" i="29"/>
  <c r="L396" i="17"/>
  <c r="L3401" i="33"/>
  <c r="L2224" i="33"/>
  <c r="L1632" i="33"/>
  <c r="L1045" i="33"/>
  <c r="L2816" i="33"/>
  <c r="L452" i="33"/>
  <c r="L414" i="29"/>
  <c r="L428" i="17"/>
  <c r="L3433" i="33"/>
  <c r="L1664" i="33"/>
  <c r="L2256" i="33"/>
  <c r="L1077" i="33"/>
  <c r="L2848" i="33"/>
  <c r="L484" i="33"/>
  <c r="L446" i="29"/>
  <c r="L460" i="17"/>
  <c r="L3481" i="33"/>
  <c r="L2304" i="33"/>
  <c r="L1125" i="33"/>
  <c r="L1712" i="33"/>
  <c r="L2896" i="33"/>
  <c r="L532" i="33"/>
  <c r="L494" i="29"/>
  <c r="L508" i="17"/>
  <c r="L3396" i="33"/>
  <c r="L2219" i="33"/>
  <c r="L1627" i="33"/>
  <c r="L2811" i="33"/>
  <c r="L1040" i="33"/>
  <c r="L447" i="33"/>
  <c r="L409" i="29"/>
  <c r="L423" i="17"/>
  <c r="L3436" i="33"/>
  <c r="L2259" i="33"/>
  <c r="L1667" i="33"/>
  <c r="L2851" i="33"/>
  <c r="L1080" i="33"/>
  <c r="L487" i="33"/>
  <c r="L449" i="29"/>
  <c r="L463" i="17"/>
  <c r="L3468" i="33"/>
  <c r="L2291" i="33"/>
  <c r="L1699" i="33"/>
  <c r="L2883" i="33"/>
  <c r="L1112" i="33"/>
  <c r="L519" i="33"/>
  <c r="L481" i="29"/>
  <c r="L495" i="17"/>
  <c r="K3485" i="33"/>
  <c r="K1716" i="33"/>
  <c r="K2308" i="33"/>
  <c r="K2900" i="33"/>
  <c r="K536" i="33"/>
  <c r="K1129" i="33"/>
  <c r="K512" i="17"/>
  <c r="K498" i="29"/>
  <c r="K3397" i="33"/>
  <c r="K1628" i="33"/>
  <c r="K2220" i="33"/>
  <c r="K2812" i="33"/>
  <c r="K448" i="33"/>
  <c r="K1041" i="33"/>
  <c r="K410" i="29"/>
  <c r="K424" i="17"/>
  <c r="K3437" i="33"/>
  <c r="K1668" i="33"/>
  <c r="K2260" i="33"/>
  <c r="K2852" i="33"/>
  <c r="K488" i="33"/>
  <c r="K1081" i="33"/>
  <c r="M725" i="33" s="1"/>
  <c r="K464" i="17"/>
  <c r="K450" i="29"/>
  <c r="K3402" i="33"/>
  <c r="K2225" i="33"/>
  <c r="K1633" i="33"/>
  <c r="K2817" i="33"/>
  <c r="K1046" i="33"/>
  <c r="K453" i="33"/>
  <c r="K415" i="29"/>
  <c r="K429" i="17"/>
  <c r="K3466" i="33"/>
  <c r="K2289" i="33"/>
  <c r="K1697" i="33"/>
  <c r="K2881" i="33"/>
  <c r="K1110" i="33"/>
  <c r="K517" i="33"/>
  <c r="K479" i="29"/>
  <c r="K493" i="17"/>
  <c r="K3371" i="33"/>
  <c r="K2194" i="33"/>
  <c r="K1602" i="33"/>
  <c r="K2786" i="33"/>
  <c r="K1015" i="33"/>
  <c r="M729" i="33" s="1"/>
  <c r="K384" i="29"/>
  <c r="K422" i="33"/>
  <c r="K398" i="17"/>
  <c r="K3435" i="33"/>
  <c r="K2258" i="33"/>
  <c r="K1666" i="33"/>
  <c r="K2850" i="33"/>
  <c r="K1079" i="33"/>
  <c r="M727" i="33" s="1"/>
  <c r="K448" i="29"/>
  <c r="K486" i="33"/>
  <c r="K462" i="17"/>
  <c r="K3476" i="33"/>
  <c r="K2299" i="33"/>
  <c r="K1707" i="33"/>
  <c r="K1120" i="33"/>
  <c r="K2891" i="33"/>
  <c r="K527" i="33"/>
  <c r="K489" i="29"/>
  <c r="K503" i="17"/>
  <c r="L3398" i="33"/>
  <c r="L2221" i="33"/>
  <c r="L1629" i="33"/>
  <c r="L1042" i="33"/>
  <c r="L2813" i="33"/>
  <c r="L411" i="29"/>
  <c r="L449" i="33"/>
  <c r="L425" i="17"/>
  <c r="L3438" i="33"/>
  <c r="L1669" i="33"/>
  <c r="L2261" i="33"/>
  <c r="L2853" i="33"/>
  <c r="L451" i="29"/>
  <c r="L1082" i="33"/>
  <c r="L489" i="33"/>
  <c r="L465" i="17"/>
  <c r="L3470" i="33"/>
  <c r="L2293" i="33"/>
  <c r="L1701" i="33"/>
  <c r="L2885" i="33"/>
  <c r="L483" i="29"/>
  <c r="L1114" i="33"/>
  <c r="L521" i="33"/>
  <c r="L497" i="17"/>
  <c r="L3439" i="33"/>
  <c r="L2262" i="33"/>
  <c r="L1670" i="33"/>
  <c r="L1083" i="33"/>
  <c r="L2854" i="33"/>
  <c r="L490" i="33"/>
  <c r="L452" i="29"/>
  <c r="L466" i="17"/>
  <c r="L3383" i="33"/>
  <c r="L2206" i="33"/>
  <c r="L2798" i="33"/>
  <c r="L1614" i="33"/>
  <c r="L1027" i="33"/>
  <c r="L434" i="33"/>
  <c r="L396" i="29"/>
  <c r="L410" i="17"/>
  <c r="K3431" i="33"/>
  <c r="K1662" i="33"/>
  <c r="K2254" i="33"/>
  <c r="K2846" i="33"/>
  <c r="K1075" i="33"/>
  <c r="M724" i="33" s="1"/>
  <c r="K482" i="33"/>
  <c r="K444" i="29"/>
  <c r="K458" i="17"/>
  <c r="L2199" i="33"/>
  <c r="L3376" i="33"/>
  <c r="L1607" i="33"/>
  <c r="L2791" i="33"/>
  <c r="L427" i="33"/>
  <c r="L1020" i="33"/>
  <c r="L389" i="29"/>
  <c r="L403" i="17"/>
  <c r="L2247" i="33"/>
  <c r="L3424" i="33"/>
  <c r="L1655" i="33"/>
  <c r="L2839" i="33"/>
  <c r="L1068" i="33"/>
  <c r="L475" i="33"/>
  <c r="L437" i="29"/>
  <c r="L451" i="17"/>
  <c r="L2279" i="33"/>
  <c r="L3456" i="33"/>
  <c r="L1687" i="33"/>
  <c r="L2871" i="33"/>
  <c r="L507" i="33"/>
  <c r="L1100" i="33"/>
  <c r="L469" i="29"/>
  <c r="L483" i="17"/>
  <c r="L3457" i="33"/>
  <c r="L1688" i="33"/>
  <c r="L2280" i="33"/>
  <c r="L1101" i="33"/>
  <c r="L2872" i="33"/>
  <c r="L508" i="33"/>
  <c r="L470" i="29"/>
  <c r="L484" i="17"/>
  <c r="K3369" i="33"/>
  <c r="K2192" i="33"/>
  <c r="K1600" i="33"/>
  <c r="K2784" i="33"/>
  <c r="K1013" i="33"/>
  <c r="K420" i="33"/>
  <c r="K382" i="29"/>
  <c r="K396" i="17"/>
  <c r="K3401" i="33"/>
  <c r="K2224" i="33"/>
  <c r="K1632" i="33"/>
  <c r="K2816" i="33"/>
  <c r="K1045" i="33"/>
  <c r="K452" i="33"/>
  <c r="K414" i="29"/>
  <c r="K428" i="17"/>
  <c r="K3433" i="33"/>
  <c r="K2256" i="33"/>
  <c r="K1664" i="33"/>
  <c r="K2848" i="33"/>
  <c r="K1077" i="33"/>
  <c r="K484" i="33"/>
  <c r="K446" i="29"/>
  <c r="K460" i="17"/>
  <c r="K3481" i="33"/>
  <c r="K2304" i="33"/>
  <c r="K1712" i="33"/>
  <c r="K2896" i="33"/>
  <c r="K1125" i="33"/>
  <c r="K532" i="33"/>
  <c r="K494" i="29"/>
  <c r="K508" i="17"/>
  <c r="K3396" i="33"/>
  <c r="K2219" i="33"/>
  <c r="K1627" i="33"/>
  <c r="K1040" i="33"/>
  <c r="K2811" i="33"/>
  <c r="K447" i="33"/>
  <c r="K409" i="29"/>
  <c r="K423" i="17"/>
  <c r="K3436" i="33"/>
  <c r="K2259" i="33"/>
  <c r="K1667" i="33"/>
  <c r="K1080" i="33"/>
  <c r="M726" i="33" s="1"/>
  <c r="K2851" i="33"/>
  <c r="K487" i="33"/>
  <c r="K449" i="29"/>
  <c r="K463" i="17"/>
  <c r="L3476" i="33"/>
  <c r="L2299" i="33"/>
  <c r="L1707" i="33"/>
  <c r="L2891" i="33"/>
  <c r="L1120" i="33"/>
  <c r="L527" i="33"/>
  <c r="L503" i="17"/>
  <c r="L489" i="29"/>
  <c r="L2196" i="33"/>
  <c r="L3373" i="33"/>
  <c r="L1604" i="33"/>
  <c r="L2788" i="33"/>
  <c r="L1017" i="33"/>
  <c r="L386" i="29"/>
  <c r="L424" i="33"/>
  <c r="L400" i="17"/>
  <c r="L2228" i="33"/>
  <c r="L3405" i="33"/>
  <c r="L1636" i="33"/>
  <c r="L2820" i="33"/>
  <c r="L1049" i="33"/>
  <c r="L418" i="29"/>
  <c r="L456" i="33"/>
  <c r="L432" i="17"/>
  <c r="L3453" i="33"/>
  <c r="L2276" i="33"/>
  <c r="L1684" i="33"/>
  <c r="L2868" i="33"/>
  <c r="L1097" i="33"/>
  <c r="L466" i="29"/>
  <c r="L504" i="33"/>
  <c r="L480" i="17"/>
  <c r="K3410" i="33"/>
  <c r="K2233" i="33"/>
  <c r="K2825" i="33"/>
  <c r="K1641" i="33"/>
  <c r="K1054" i="33"/>
  <c r="K461" i="33"/>
  <c r="K437" i="17"/>
  <c r="K423" i="29"/>
  <c r="K3474" i="33"/>
  <c r="K2297" i="33"/>
  <c r="K2889" i="33"/>
  <c r="K1705" i="33"/>
  <c r="K1118" i="33"/>
  <c r="K525" i="33"/>
  <c r="K501" i="17"/>
  <c r="K487" i="29"/>
  <c r="K3379" i="33"/>
  <c r="K2202" i="33"/>
  <c r="K1610" i="33"/>
  <c r="K2794" i="33"/>
  <c r="K392" i="29"/>
  <c r="K1023" i="33"/>
  <c r="K430" i="33"/>
  <c r="K406" i="17"/>
  <c r="K3443" i="33"/>
  <c r="K2266" i="33"/>
  <c r="K1674" i="33"/>
  <c r="K2858" i="33"/>
  <c r="K456" i="29"/>
  <c r="K1087" i="33"/>
  <c r="K494" i="33"/>
  <c r="K470" i="17"/>
  <c r="K3398" i="33"/>
  <c r="K2221" i="33"/>
  <c r="M1906" i="33" s="1"/>
  <c r="K1629" i="33"/>
  <c r="K1042" i="33"/>
  <c r="K2813" i="33"/>
  <c r="K449" i="33"/>
  <c r="K411" i="29"/>
  <c r="K425" i="17"/>
  <c r="K3438" i="33"/>
  <c r="K2261" i="33"/>
  <c r="K1669" i="33"/>
  <c r="K1082" i="33"/>
  <c r="K2853" i="33"/>
  <c r="K489" i="33"/>
  <c r="K465" i="17"/>
  <c r="K451" i="29"/>
  <c r="L3478" i="33"/>
  <c r="L2301" i="33"/>
  <c r="L1709" i="33"/>
  <c r="L2893" i="33"/>
  <c r="L1122" i="33"/>
  <c r="L491" i="29"/>
  <c r="L529" i="33"/>
  <c r="L505" i="17"/>
  <c r="K3439" i="33"/>
  <c r="K1670" i="33"/>
  <c r="K2262" i="33"/>
  <c r="K2854" i="33"/>
  <c r="K490" i="33"/>
  <c r="K1083" i="33"/>
  <c r="K452" i="29"/>
  <c r="K466" i="17"/>
  <c r="K3383" i="33"/>
  <c r="K1614" i="33"/>
  <c r="K2206" i="33"/>
  <c r="K2798" i="33"/>
  <c r="K1027" i="33"/>
  <c r="K434" i="33"/>
  <c r="K396" i="29"/>
  <c r="K410" i="17"/>
  <c r="L3447" i="33"/>
  <c r="L2270" i="33"/>
  <c r="L1678" i="33"/>
  <c r="L1091" i="33"/>
  <c r="L2862" i="33"/>
  <c r="L498" i="33"/>
  <c r="L460" i="29"/>
  <c r="L474" i="17"/>
  <c r="K3376" i="33"/>
  <c r="K1607" i="33"/>
  <c r="K2199" i="33"/>
  <c r="K2791" i="33"/>
  <c r="K1020" i="33"/>
  <c r="K389" i="29"/>
  <c r="K427" i="33"/>
  <c r="K403" i="17"/>
  <c r="K3424" i="33"/>
  <c r="K1655" i="33"/>
  <c r="K2247" i="33"/>
  <c r="K2839" i="33"/>
  <c r="K1068" i="33"/>
  <c r="K437" i="29"/>
  <c r="K475" i="33"/>
  <c r="K451" i="17"/>
  <c r="K3456" i="33"/>
  <c r="K1687" i="33"/>
  <c r="K2279" i="33"/>
  <c r="K2871" i="33"/>
  <c r="K1100" i="33"/>
  <c r="K469" i="29"/>
  <c r="K507" i="33"/>
  <c r="K483" i="17"/>
  <c r="K3457" i="33"/>
  <c r="K2280" i="33"/>
  <c r="K1688" i="33"/>
  <c r="K2872" i="33"/>
  <c r="K1101" i="33"/>
  <c r="K508" i="33"/>
  <c r="K484" i="17"/>
  <c r="K470" i="29"/>
  <c r="L3377" i="33"/>
  <c r="L2200" i="33"/>
  <c r="L1608" i="33"/>
  <c r="L2792" i="33"/>
  <c r="L1021" i="33"/>
  <c r="L428" i="33"/>
  <c r="L390" i="29"/>
  <c r="L404" i="17"/>
  <c r="L3409" i="33"/>
  <c r="L2232" i="33"/>
  <c r="L1640" i="33"/>
  <c r="L1053" i="33"/>
  <c r="L2824" i="33"/>
  <c r="L460" i="33"/>
  <c r="L422" i="29"/>
  <c r="L436" i="17"/>
  <c r="L3441" i="33"/>
  <c r="L2264" i="33"/>
  <c r="L1672" i="33"/>
  <c r="L1085" i="33"/>
  <c r="L2856" i="33"/>
  <c r="L492" i="33"/>
  <c r="L454" i="29"/>
  <c r="L468" i="17"/>
  <c r="L3372" i="33"/>
  <c r="L2195" i="33"/>
  <c r="L1603" i="33"/>
  <c r="L2787" i="33"/>
  <c r="L1016" i="33"/>
  <c r="L423" i="33"/>
  <c r="L385" i="29"/>
  <c r="L399" i="17"/>
  <c r="L3404" i="33"/>
  <c r="L2227" i="33"/>
  <c r="L1635" i="33"/>
  <c r="L2819" i="33"/>
  <c r="L1048" i="33"/>
  <c r="L455" i="33"/>
  <c r="L431" i="17"/>
  <c r="L417" i="29"/>
  <c r="L3444" i="33"/>
  <c r="L2267" i="33"/>
  <c r="L1675" i="33"/>
  <c r="L2859" i="33"/>
  <c r="L1088" i="33"/>
  <c r="L495" i="33"/>
  <c r="L471" i="17"/>
  <c r="L457" i="29"/>
  <c r="L3484" i="33"/>
  <c r="L2307" i="33"/>
  <c r="L1715" i="33"/>
  <c r="L2899" i="33"/>
  <c r="L1128" i="33"/>
  <c r="L535" i="33"/>
  <c r="L511" i="17"/>
  <c r="L497" i="29"/>
  <c r="K3373" i="33"/>
  <c r="K1604" i="33"/>
  <c r="K2196" i="33"/>
  <c r="K2788" i="33"/>
  <c r="K424" i="33"/>
  <c r="K1017" i="33"/>
  <c r="K400" i="17"/>
  <c r="K386" i="29"/>
  <c r="L2236" i="33"/>
  <c r="L3413" i="33"/>
  <c r="L1644" i="33"/>
  <c r="L2828" i="33"/>
  <c r="L1057" i="33"/>
  <c r="L426" i="29"/>
  <c r="N104" i="29" s="1"/>
  <c r="L464" i="33"/>
  <c r="L440" i="17"/>
  <c r="K3453" i="33"/>
  <c r="K1684" i="33"/>
  <c r="K2276" i="33"/>
  <c r="K2868" i="33"/>
  <c r="K504" i="33"/>
  <c r="K1097" i="33"/>
  <c r="K480" i="17"/>
  <c r="K466" i="29"/>
  <c r="K3418" i="33"/>
  <c r="K2241" i="33"/>
  <c r="K2833" i="33"/>
  <c r="K1649" i="33"/>
  <c r="K1062" i="33"/>
  <c r="K469" i="33"/>
  <c r="K431" i="29"/>
  <c r="K445" i="17"/>
  <c r="K3482" i="33"/>
  <c r="K2305" i="33"/>
  <c r="K2897" i="33"/>
  <c r="K1713" i="33"/>
  <c r="K1126" i="33"/>
  <c r="K533" i="33"/>
  <c r="K495" i="29"/>
  <c r="K509" i="17"/>
  <c r="K3387" i="33"/>
  <c r="K2210" i="33"/>
  <c r="K1618" i="33"/>
  <c r="K2802" i="33"/>
  <c r="K1031" i="33"/>
  <c r="K400" i="29"/>
  <c r="K438" i="33"/>
  <c r="K414" i="17"/>
  <c r="K3451" i="33"/>
  <c r="K2274" i="33"/>
  <c r="K1682" i="33"/>
  <c r="K2866" i="33"/>
  <c r="K1095" i="33"/>
  <c r="K464" i="29"/>
  <c r="K502" i="33"/>
  <c r="K478" i="17"/>
  <c r="K3407" i="33"/>
  <c r="K1638" i="33"/>
  <c r="K2230" i="33"/>
  <c r="K2822" i="33"/>
  <c r="K458" i="33"/>
  <c r="K1051" i="33"/>
  <c r="K420" i="29"/>
  <c r="K434" i="17"/>
  <c r="K3384" i="33"/>
  <c r="K1615" i="33"/>
  <c r="K2207" i="33"/>
  <c r="K2799" i="33"/>
  <c r="K1028" i="33"/>
  <c r="K397" i="29"/>
  <c r="K435" i="33"/>
  <c r="K411" i="17"/>
  <c r="L3374" i="33"/>
  <c r="L2197" i="33"/>
  <c r="L1605" i="33"/>
  <c r="L1018" i="33"/>
  <c r="L2789" i="33"/>
  <c r="L387" i="29"/>
  <c r="L425" i="33"/>
  <c r="L401" i="17"/>
  <c r="L3406" i="33"/>
  <c r="L2229" i="33"/>
  <c r="L1637" i="33"/>
  <c r="L1050" i="33"/>
  <c r="L2821" i="33"/>
  <c r="L419" i="29"/>
  <c r="L457" i="33"/>
  <c r="L433" i="17"/>
  <c r="L3446" i="33"/>
  <c r="L2269" i="33"/>
  <c r="L1677" i="33"/>
  <c r="L2861" i="33"/>
  <c r="L1090" i="33"/>
  <c r="L459" i="29"/>
  <c r="L497" i="33"/>
  <c r="L473" i="17"/>
  <c r="L3486" i="33"/>
  <c r="L2309" i="33"/>
  <c r="L1717" i="33"/>
  <c r="L2901" i="33"/>
  <c r="L499" i="29"/>
  <c r="L1130" i="33"/>
  <c r="L537" i="33"/>
  <c r="L513" i="17"/>
  <c r="L3455" i="33"/>
  <c r="L2278" i="33"/>
  <c r="L1686" i="33"/>
  <c r="L1099" i="33"/>
  <c r="L2870" i="33"/>
  <c r="L506" i="33"/>
  <c r="L468" i="29"/>
  <c r="L482" i="17"/>
  <c r="L3391" i="33"/>
  <c r="L2214" i="33"/>
  <c r="L1622" i="33"/>
  <c r="L1035" i="33"/>
  <c r="L2806" i="33"/>
  <c r="L442" i="33"/>
  <c r="L404" i="29"/>
  <c r="L418" i="17"/>
  <c r="K3447" i="33"/>
  <c r="K1678" i="33"/>
  <c r="K2270" i="33"/>
  <c r="K2862" i="33"/>
  <c r="K1091" i="33"/>
  <c r="K498" i="33"/>
  <c r="K460" i="29"/>
  <c r="K474" i="17"/>
  <c r="L2207" i="33"/>
  <c r="L3384" i="33"/>
  <c r="L1615" i="33"/>
  <c r="L2799" i="33"/>
  <c r="L435" i="33"/>
  <c r="L397" i="29"/>
  <c r="L1028" i="33"/>
  <c r="L411" i="17"/>
  <c r="L2255" i="33"/>
  <c r="L3432" i="33"/>
  <c r="L1663" i="33"/>
  <c r="L2847" i="33"/>
  <c r="L483" i="33"/>
  <c r="L1076" i="33"/>
  <c r="L459" i="17"/>
  <c r="L445" i="29"/>
  <c r="L3464" i="33"/>
  <c r="L1695" i="33"/>
  <c r="L2287" i="33"/>
  <c r="L2879" i="33"/>
  <c r="L515" i="33"/>
  <c r="L1108" i="33"/>
  <c r="L491" i="17"/>
  <c r="L477" i="29"/>
  <c r="L3473" i="33"/>
  <c r="L2296" i="33"/>
  <c r="L1117" i="33"/>
  <c r="L1704" i="33"/>
  <c r="L2888" i="33"/>
  <c r="L524" i="33"/>
  <c r="L486" i="29"/>
  <c r="L500" i="17"/>
  <c r="K3377" i="33"/>
  <c r="K2200" i="33"/>
  <c r="K1608" i="33"/>
  <c r="K2792" i="33"/>
  <c r="K1021" i="33"/>
  <c r="K428" i="33"/>
  <c r="K404" i="17"/>
  <c r="K390" i="29"/>
  <c r="K3409" i="33"/>
  <c r="K2232" i="33"/>
  <c r="K1640" i="33"/>
  <c r="K2824" i="33"/>
  <c r="K1053" i="33"/>
  <c r="K460" i="33"/>
  <c r="K436" i="17"/>
  <c r="K422" i="29"/>
  <c r="K3441" i="33"/>
  <c r="K2264" i="33"/>
  <c r="M1907" i="33" s="1"/>
  <c r="K1672" i="33"/>
  <c r="K2856" i="33"/>
  <c r="K1085" i="33"/>
  <c r="K492" i="33"/>
  <c r="K468" i="17"/>
  <c r="K454" i="29"/>
  <c r="K3372" i="33"/>
  <c r="K2195" i="33"/>
  <c r="K1603" i="33"/>
  <c r="K1016" i="33"/>
  <c r="K2787" i="33"/>
  <c r="K423" i="33"/>
  <c r="K385" i="29"/>
  <c r="K399" i="17"/>
  <c r="L3412" i="33"/>
  <c r="L2235" i="33"/>
  <c r="N1910" i="33" s="1"/>
  <c r="L1643" i="33"/>
  <c r="L2827" i="33"/>
  <c r="L463" i="33"/>
  <c r="L1056" i="33"/>
  <c r="L439" i="17"/>
  <c r="L425" i="29"/>
  <c r="K3444" i="33"/>
  <c r="K2267" i="33"/>
  <c r="K1675" i="33"/>
  <c r="K1088" i="33"/>
  <c r="M731" i="33" s="1"/>
  <c r="K2859" i="33"/>
  <c r="K495" i="33"/>
  <c r="K457" i="29"/>
  <c r="K471" i="17"/>
  <c r="K3484" i="33"/>
  <c r="K2307" i="33"/>
  <c r="K1715" i="33"/>
  <c r="K2899" i="33"/>
  <c r="K535" i="33"/>
  <c r="K1128" i="33"/>
  <c r="K497" i="29"/>
  <c r="K511" i="17"/>
  <c r="L2204" i="33"/>
  <c r="L3381" i="33"/>
  <c r="L1612" i="33"/>
  <c r="L2796" i="33"/>
  <c r="L1025" i="33"/>
  <c r="L394" i="29"/>
  <c r="L432" i="33"/>
  <c r="L408" i="17"/>
  <c r="L2244" i="33"/>
  <c r="L3421" i="33"/>
  <c r="L1652" i="33"/>
  <c r="L2836" i="33"/>
  <c r="L1065" i="33"/>
  <c r="L434" i="29"/>
  <c r="L472" i="33"/>
  <c r="L448" i="17"/>
  <c r="L3461" i="33"/>
  <c r="L2284" i="33"/>
  <c r="L1692" i="33"/>
  <c r="L2876" i="33"/>
  <c r="L1105" i="33"/>
  <c r="L474" i="29"/>
  <c r="L512" i="33"/>
  <c r="L488" i="17"/>
  <c r="K3426" i="33"/>
  <c r="K2249" i="33"/>
  <c r="K1657" i="33"/>
  <c r="K2841" i="33"/>
  <c r="K1070" i="33"/>
  <c r="K477" i="33"/>
  <c r="K453" i="17"/>
  <c r="K439" i="29"/>
  <c r="K3490" i="33"/>
  <c r="K2313" i="33"/>
  <c r="K1721" i="33"/>
  <c r="K2905" i="33"/>
  <c r="K1134" i="33"/>
  <c r="K541" i="33"/>
  <c r="K517" i="17"/>
  <c r="K503" i="29"/>
  <c r="K3395" i="33"/>
  <c r="K2218" i="33"/>
  <c r="K1626" i="33"/>
  <c r="K2810" i="33"/>
  <c r="K408" i="29"/>
  <c r="K1039" i="33"/>
  <c r="K446" i="33"/>
  <c r="K422" i="17"/>
  <c r="K3459" i="33"/>
  <c r="K2282" i="33"/>
  <c r="K1690" i="33"/>
  <c r="K2874" i="33"/>
  <c r="K472" i="29"/>
  <c r="K1103" i="33"/>
  <c r="K510" i="33"/>
  <c r="K486" i="17"/>
  <c r="K3415" i="33"/>
  <c r="K1646" i="33"/>
  <c r="K2238" i="33"/>
  <c r="K2830" i="33"/>
  <c r="K1059" i="33"/>
  <c r="K466" i="33"/>
  <c r="K428" i="29"/>
  <c r="K442" i="17"/>
  <c r="M116" i="17" s="1"/>
  <c r="K3400" i="33"/>
  <c r="K1631" i="33"/>
  <c r="K2223" i="33"/>
  <c r="K2815" i="33"/>
  <c r="K1044" i="33"/>
  <c r="K413" i="29"/>
  <c r="K451" i="33"/>
  <c r="K427" i="17"/>
  <c r="K3374" i="33"/>
  <c r="K2197" i="33"/>
  <c r="K1605" i="33"/>
  <c r="K1018" i="33"/>
  <c r="K2789" i="33"/>
  <c r="K425" i="33"/>
  <c r="K401" i="17"/>
  <c r="K387" i="29"/>
  <c r="L3414" i="33"/>
  <c r="L2237" i="33"/>
  <c r="L1645" i="33"/>
  <c r="L1058" i="33"/>
  <c r="L2829" i="33"/>
  <c r="L427" i="29"/>
  <c r="L465" i="33"/>
  <c r="L441" i="17"/>
  <c r="K3446" i="33"/>
  <c r="K2269" i="33"/>
  <c r="K1090" i="33"/>
  <c r="K1677" i="33"/>
  <c r="K2861" i="33"/>
  <c r="K497" i="33"/>
  <c r="K459" i="29"/>
  <c r="K473" i="17"/>
  <c r="K3486" i="33"/>
  <c r="K2309" i="33"/>
  <c r="K1130" i="33"/>
  <c r="K1717" i="33"/>
  <c r="K2901" i="33"/>
  <c r="K537" i="33"/>
  <c r="K513" i="17"/>
  <c r="K499" i="29"/>
  <c r="K3455" i="33"/>
  <c r="K1686" i="33"/>
  <c r="K2278" i="33"/>
  <c r="M1902" i="33" s="1"/>
  <c r="K2870" i="33"/>
  <c r="K506" i="33"/>
  <c r="K1099" i="33"/>
  <c r="K468" i="29"/>
  <c r="K482" i="17"/>
  <c r="K3391" i="33"/>
  <c r="K1622" i="33"/>
  <c r="K2214" i="33"/>
  <c r="K2806" i="33"/>
  <c r="K442" i="33"/>
  <c r="K1035" i="33"/>
  <c r="K404" i="29"/>
  <c r="K418" i="17"/>
  <c r="L3463" i="33"/>
  <c r="L2286" i="33"/>
  <c r="L1694" i="33"/>
  <c r="L1107" i="33"/>
  <c r="L2878" i="33"/>
  <c r="L514" i="33"/>
  <c r="L476" i="29"/>
  <c r="L490" i="17"/>
  <c r="L2215" i="33"/>
  <c r="L3392" i="33"/>
  <c r="L1623" i="33"/>
  <c r="L2807" i="33"/>
  <c r="L1036" i="33"/>
  <c r="L443" i="33"/>
  <c r="L405" i="29"/>
  <c r="L419" i="17"/>
  <c r="K3432" i="33"/>
  <c r="K1663" i="33"/>
  <c r="K2255" i="33"/>
  <c r="K2847" i="33"/>
  <c r="K1076" i="33"/>
  <c r="K445" i="29"/>
  <c r="K483" i="33"/>
  <c r="K459" i="17"/>
  <c r="K3464" i="33"/>
  <c r="K1695" i="33"/>
  <c r="K2287" i="33"/>
  <c r="K2879" i="33"/>
  <c r="K1108" i="33"/>
  <c r="K477" i="29"/>
  <c r="K515" i="33"/>
  <c r="K491" i="17"/>
  <c r="K3473" i="33"/>
  <c r="K2296" i="33"/>
  <c r="K1704" i="33"/>
  <c r="K2888" i="33"/>
  <c r="K1117" i="33"/>
  <c r="K524" i="33"/>
  <c r="K500" i="17"/>
  <c r="K486" i="29"/>
  <c r="L3385" i="33"/>
  <c r="L2208" i="33"/>
  <c r="L1616" i="33"/>
  <c r="L1029" i="33"/>
  <c r="L2800" i="33"/>
  <c r="L436" i="33"/>
  <c r="L398" i="29"/>
  <c r="L412" i="17"/>
  <c r="L3417" i="33"/>
  <c r="L2240" i="33"/>
  <c r="L1648" i="33"/>
  <c r="L1061" i="33"/>
  <c r="L2832" i="33"/>
  <c r="L468" i="33"/>
  <c r="L430" i="29"/>
  <c r="L444" i="17"/>
  <c r="L3449" i="33"/>
  <c r="L1680" i="33"/>
  <c r="L2272" i="33"/>
  <c r="L1093" i="33"/>
  <c r="L2864" i="33"/>
  <c r="L500" i="33"/>
  <c r="L462" i="29"/>
  <c r="L476" i="17"/>
  <c r="L3380" i="33"/>
  <c r="L2203" i="33"/>
  <c r="L1611" i="33"/>
  <c r="L2795" i="33"/>
  <c r="L431" i="33"/>
  <c r="L1024" i="33"/>
  <c r="L393" i="29"/>
  <c r="L407" i="17"/>
  <c r="L3420" i="33"/>
  <c r="L2243" i="33"/>
  <c r="L1651" i="33"/>
  <c r="L2835" i="33"/>
  <c r="L1064" i="33"/>
  <c r="L471" i="33"/>
  <c r="L447" i="17"/>
  <c r="L433" i="29"/>
  <c r="L3452" i="33"/>
  <c r="L2275" i="33"/>
  <c r="L1683" i="33"/>
  <c r="L2867" i="33"/>
  <c r="L1096" i="33"/>
  <c r="L503" i="33"/>
  <c r="L479" i="17"/>
  <c r="L465" i="29"/>
  <c r="L3445" i="33"/>
  <c r="L2268" i="33"/>
  <c r="L1676" i="33"/>
  <c r="L2860" i="33"/>
  <c r="L1089" i="33"/>
  <c r="L458" i="29"/>
  <c r="L496" i="33"/>
  <c r="L472" i="17"/>
  <c r="K3381" i="33"/>
  <c r="K1612" i="33"/>
  <c r="K2204" i="33"/>
  <c r="K2796" i="33"/>
  <c r="K432" i="33"/>
  <c r="K1025" i="33"/>
  <c r="K394" i="29"/>
  <c r="K408" i="17"/>
  <c r="K3421" i="33"/>
  <c r="K1652" i="33"/>
  <c r="K2244" i="33"/>
  <c r="K2836" i="33"/>
  <c r="K472" i="33"/>
  <c r="K1065" i="33"/>
  <c r="K448" i="17"/>
  <c r="K434" i="29"/>
  <c r="K3461" i="33"/>
  <c r="K1692" i="33"/>
  <c r="K2284" i="33"/>
  <c r="M1904" i="33" s="1"/>
  <c r="K2876" i="33"/>
  <c r="K512" i="33"/>
  <c r="K1105" i="33"/>
  <c r="K474" i="29"/>
  <c r="K488" i="17"/>
  <c r="K3370" i="33"/>
  <c r="K2193" i="33"/>
  <c r="K1601" i="33"/>
  <c r="K2785" i="33"/>
  <c r="K1014" i="33"/>
  <c r="K421" i="33"/>
  <c r="K383" i="29"/>
  <c r="K397" i="17"/>
  <c r="K3434" i="33"/>
  <c r="K2257" i="33"/>
  <c r="K1665" i="33"/>
  <c r="K2849" i="33"/>
  <c r="K1078" i="33"/>
  <c r="M728" i="33" s="1"/>
  <c r="K485" i="33"/>
  <c r="K447" i="29"/>
  <c r="K461" i="17"/>
  <c r="K3403" i="33"/>
  <c r="K2226" i="33"/>
  <c r="K1634" i="33"/>
  <c r="K2818" i="33"/>
  <c r="K1047" i="33"/>
  <c r="K416" i="29"/>
  <c r="K454" i="33"/>
  <c r="K430" i="17"/>
  <c r="K3467" i="33"/>
  <c r="K2290" i="33"/>
  <c r="K1698" i="33"/>
  <c r="K2882" i="33"/>
  <c r="K1111" i="33"/>
  <c r="K480" i="29"/>
  <c r="K518" i="33"/>
  <c r="K494" i="17"/>
  <c r="K3405" i="33"/>
  <c r="K1636" i="33"/>
  <c r="K2228" i="33"/>
  <c r="M1908" i="33" s="1"/>
  <c r="K2820" i="33"/>
  <c r="K456" i="33"/>
  <c r="K1049" i="33"/>
  <c r="K432" i="17"/>
  <c r="K418" i="29"/>
  <c r="K3406" i="33"/>
  <c r="K2229" i="33"/>
  <c r="K1637" i="33"/>
  <c r="K1050" i="33"/>
  <c r="K2821" i="33"/>
  <c r="K457" i="33"/>
  <c r="K433" i="17"/>
  <c r="K419" i="29"/>
  <c r="K3471" i="33"/>
  <c r="K1702" i="33"/>
  <c r="K2294" i="33"/>
  <c r="K2886" i="33"/>
  <c r="K522" i="33"/>
  <c r="K1115" i="33"/>
  <c r="K484" i="29"/>
  <c r="K498" i="17"/>
  <c r="K3408" i="33"/>
  <c r="K1639" i="33"/>
  <c r="K2231" i="33"/>
  <c r="K2823" i="33"/>
  <c r="K1052" i="33"/>
  <c r="K421" i="29"/>
  <c r="K459" i="33"/>
  <c r="K435" i="17"/>
  <c r="L3382" i="33"/>
  <c r="L2205" i="33"/>
  <c r="L1613" i="33"/>
  <c r="L1026" i="33"/>
  <c r="L2797" i="33"/>
  <c r="L395" i="29"/>
  <c r="L433" i="33"/>
  <c r="L409" i="17"/>
  <c r="L3422" i="33"/>
  <c r="L2245" i="33"/>
  <c r="L1653" i="33"/>
  <c r="L1066" i="33"/>
  <c r="L2837" i="33"/>
  <c r="L435" i="29"/>
  <c r="L473" i="33"/>
  <c r="L449" i="17"/>
  <c r="L3454" i="33"/>
  <c r="L2277" i="33"/>
  <c r="L1685" i="33"/>
  <c r="L2869" i="33"/>
  <c r="L467" i="29"/>
  <c r="L1098" i="33"/>
  <c r="L505" i="33"/>
  <c r="L481" i="17"/>
  <c r="L3399" i="33"/>
  <c r="L2222" i="33"/>
  <c r="L1630" i="33"/>
  <c r="L1043" i="33"/>
  <c r="L2814" i="33"/>
  <c r="L450" i="33"/>
  <c r="L412" i="29"/>
  <c r="L426" i="17"/>
  <c r="N115" i="17" s="1"/>
  <c r="L3471" i="33"/>
  <c r="L2294" i="33"/>
  <c r="L1702" i="33"/>
  <c r="L1115" i="33"/>
  <c r="L2886" i="33"/>
  <c r="L522" i="33"/>
  <c r="L484" i="29"/>
  <c r="L498" i="17"/>
  <c r="L3407" i="33"/>
  <c r="L2230" i="33"/>
  <c r="L1638" i="33"/>
  <c r="L1051" i="33"/>
  <c r="L2822" i="33"/>
  <c r="L458" i="33"/>
  <c r="L420" i="29"/>
  <c r="L434" i="17"/>
  <c r="K3463" i="33"/>
  <c r="K1694" i="33"/>
  <c r="K2286" i="33"/>
  <c r="K2878" i="33"/>
  <c r="K1107" i="33"/>
  <c r="K514" i="33"/>
  <c r="K476" i="29"/>
  <c r="K490" i="17"/>
  <c r="K3392" i="33"/>
  <c r="K1623" i="33"/>
  <c r="K2215" i="33"/>
  <c r="K2807" i="33"/>
  <c r="K1036" i="33"/>
  <c r="K405" i="29"/>
  <c r="K443" i="33"/>
  <c r="K419" i="17"/>
  <c r="L2263" i="33"/>
  <c r="L3440" i="33"/>
  <c r="L1671" i="33"/>
  <c r="L2855" i="33"/>
  <c r="L491" i="33"/>
  <c r="L1084" i="33"/>
  <c r="L467" i="17"/>
  <c r="N113" i="17" s="1"/>
  <c r="L453" i="29"/>
  <c r="L3472" i="33"/>
  <c r="L1703" i="33"/>
  <c r="L2295" i="33"/>
  <c r="L2887" i="33"/>
  <c r="L523" i="33"/>
  <c r="L1116" i="33"/>
  <c r="L499" i="17"/>
  <c r="L485" i="29"/>
  <c r="L3489" i="33"/>
  <c r="L2312" i="33"/>
  <c r="L1720" i="33"/>
  <c r="L1133" i="33"/>
  <c r="L2904" i="33"/>
  <c r="L540" i="33"/>
  <c r="L502" i="29"/>
  <c r="L516" i="17"/>
  <c r="K3385" i="33"/>
  <c r="K2208" i="33"/>
  <c r="K1616" i="33"/>
  <c r="K2800" i="33"/>
  <c r="K1029" i="33"/>
  <c r="K436" i="33"/>
  <c r="K398" i="29"/>
  <c r="K412" i="17"/>
  <c r="K3417" i="33"/>
  <c r="K2240" i="33"/>
  <c r="K1648" i="33"/>
  <c r="K2832" i="33"/>
  <c r="K1061" i="33"/>
  <c r="K468" i="33"/>
  <c r="K430" i="29"/>
  <c r="K444" i="17"/>
  <c r="K3449" i="33"/>
  <c r="K2272" i="33"/>
  <c r="K1680" i="33"/>
  <c r="K2864" i="33"/>
  <c r="K1093" i="33"/>
  <c r="K500" i="33"/>
  <c r="K462" i="29"/>
  <c r="K476" i="17"/>
  <c r="K3380" i="33"/>
  <c r="K2203" i="33"/>
  <c r="K1611" i="33"/>
  <c r="K1024" i="33"/>
  <c r="K2795" i="33"/>
  <c r="K431" i="33"/>
  <c r="K393" i="29"/>
  <c r="K407" i="17"/>
  <c r="K3420" i="33"/>
  <c r="K2243" i="33"/>
  <c r="K1651" i="33"/>
  <c r="K1064" i="33"/>
  <c r="K2835" i="33"/>
  <c r="K471" i="33"/>
  <c r="K433" i="29"/>
  <c r="K447" i="17"/>
  <c r="K3452" i="33"/>
  <c r="K2275" i="33"/>
  <c r="K1683" i="33"/>
  <c r="K1096" i="33"/>
  <c r="K2867" i="33"/>
  <c r="K503" i="33"/>
  <c r="K465" i="29"/>
  <c r="K479" i="17"/>
  <c r="K3445" i="33"/>
  <c r="K1676" i="33"/>
  <c r="K2268" i="33"/>
  <c r="K2860" i="33"/>
  <c r="K496" i="33"/>
  <c r="K1089" i="33"/>
  <c r="K458" i="29"/>
  <c r="K472" i="17"/>
  <c r="L2212" i="33"/>
  <c r="L3389" i="33"/>
  <c r="L1620" i="33"/>
  <c r="L2804" i="33"/>
  <c r="L1033" i="33"/>
  <c r="L402" i="29"/>
  <c r="L440" i="33"/>
  <c r="N134" i="33" s="1"/>
  <c r="L416" i="17"/>
  <c r="L2252" i="33"/>
  <c r="L3429" i="33"/>
  <c r="L1660" i="33"/>
  <c r="L2844" i="33"/>
  <c r="L1073" i="33"/>
  <c r="L442" i="29"/>
  <c r="L480" i="33"/>
  <c r="L456" i="17"/>
  <c r="L3477" i="33"/>
  <c r="L2300" i="33"/>
  <c r="L2892" i="33"/>
  <c r="L1708" i="33"/>
  <c r="L1121" i="33"/>
  <c r="L490" i="29"/>
  <c r="L528" i="33"/>
  <c r="L504" i="17"/>
  <c r="K3378" i="33"/>
  <c r="K2201" i="33"/>
  <c r="K2793" i="33"/>
  <c r="K1609" i="33"/>
  <c r="K1022" i="33"/>
  <c r="K429" i="33"/>
  <c r="K405" i="17"/>
  <c r="K391" i="29"/>
  <c r="K3442" i="33"/>
  <c r="K2265" i="33"/>
  <c r="K2857" i="33"/>
  <c r="K1673" i="33"/>
  <c r="K1086" i="33"/>
  <c r="K493" i="33"/>
  <c r="K469" i="17"/>
  <c r="K455" i="29"/>
  <c r="K3411" i="33"/>
  <c r="K2234" i="33"/>
  <c r="K1642" i="33"/>
  <c r="K2826" i="33"/>
  <c r="K424" i="29"/>
  <c r="K1055" i="33"/>
  <c r="K462" i="33"/>
  <c r="K438" i="17"/>
  <c r="K3475" i="33"/>
  <c r="K2298" i="33"/>
  <c r="K1706" i="33"/>
  <c r="K2890" i="33"/>
  <c r="K488" i="29"/>
  <c r="K1119" i="33"/>
  <c r="K526" i="33"/>
  <c r="K502" i="17"/>
  <c r="K3404" i="33"/>
  <c r="K2227" i="33"/>
  <c r="K1635" i="33"/>
  <c r="K1048" i="33"/>
  <c r="K2819" i="33"/>
  <c r="K455" i="33"/>
  <c r="K417" i="29"/>
  <c r="K431" i="17"/>
  <c r="K3413" i="33"/>
  <c r="K1644" i="33"/>
  <c r="K2236" i="33"/>
  <c r="K2828" i="33"/>
  <c r="K464" i="33"/>
  <c r="K1057" i="33"/>
  <c r="K426" i="29"/>
  <c r="M104" i="29" s="1"/>
  <c r="K440" i="17"/>
  <c r="K3414" i="33"/>
  <c r="K2237" i="33"/>
  <c r="K1058" i="33"/>
  <c r="K1645" i="33"/>
  <c r="K2829" i="33"/>
  <c r="K465" i="33"/>
  <c r="K427" i="29"/>
  <c r="K441" i="17"/>
  <c r="K3479" i="33"/>
  <c r="K1710" i="33"/>
  <c r="K2302" i="33"/>
  <c r="K2894" i="33"/>
  <c r="K1123" i="33"/>
  <c r="K530" i="33"/>
  <c r="K492" i="29"/>
  <c r="K506" i="17"/>
  <c r="K3416" i="33"/>
  <c r="K1647" i="33"/>
  <c r="K2239" i="33"/>
  <c r="K2831" i="33"/>
  <c r="K1060" i="33"/>
  <c r="K429" i="29"/>
  <c r="K467" i="33"/>
  <c r="K443" i="17"/>
  <c r="K3382" i="33"/>
  <c r="K2205" i="33"/>
  <c r="K1026" i="33"/>
  <c r="K1613" i="33"/>
  <c r="K2797" i="33"/>
  <c r="K433" i="33"/>
  <c r="K395" i="29"/>
  <c r="K409" i="17"/>
  <c r="K3422" i="33"/>
  <c r="K2245" i="33"/>
  <c r="K1066" i="33"/>
  <c r="K1653" i="33"/>
  <c r="K2837" i="33"/>
  <c r="K473" i="33"/>
  <c r="K449" i="17"/>
  <c r="K435" i="29"/>
  <c r="K3454" i="33"/>
  <c r="K2277" i="33"/>
  <c r="M1903" i="33" s="1"/>
  <c r="K1098" i="33"/>
  <c r="K1685" i="33"/>
  <c r="K2869" i="33"/>
  <c r="K505" i="33"/>
  <c r="K481" i="17"/>
  <c r="K467" i="29"/>
  <c r="K3399" i="33"/>
  <c r="K1630" i="33"/>
  <c r="K2222" i="33"/>
  <c r="K2814" i="33"/>
  <c r="K1043" i="33"/>
  <c r="K450" i="33"/>
  <c r="K412" i="29"/>
  <c r="K426" i="17"/>
  <c r="M115" i="17" s="1"/>
  <c r="L3474" i="33"/>
  <c r="L1705" i="33"/>
  <c r="L2297" i="33"/>
  <c r="L2889" i="33"/>
  <c r="L1118" i="33"/>
  <c r="L525" i="33"/>
  <c r="L487" i="29"/>
  <c r="L501" i="17"/>
  <c r="L3415" i="33"/>
  <c r="L2238" i="33"/>
  <c r="L1646" i="33"/>
  <c r="L1059" i="33"/>
  <c r="L2830" i="33"/>
  <c r="L466" i="33"/>
  <c r="L428" i="29"/>
  <c r="L442" i="17"/>
  <c r="N116" i="17" s="1"/>
  <c r="L3479" i="33"/>
  <c r="L2302" i="33"/>
  <c r="L1710" i="33"/>
  <c r="L1123" i="33"/>
  <c r="L2894" i="33"/>
  <c r="L530" i="33"/>
  <c r="L492" i="29"/>
  <c r="L506" i="17"/>
  <c r="L2223" i="33"/>
  <c r="L3400" i="33"/>
  <c r="L1631" i="33"/>
  <c r="L2815" i="33"/>
  <c r="L451" i="33"/>
  <c r="L1044" i="33"/>
  <c r="L413" i="29"/>
  <c r="L427" i="17"/>
  <c r="K3440" i="33"/>
  <c r="K1671" i="33"/>
  <c r="K2263" i="33"/>
  <c r="K2855" i="33"/>
  <c r="K1084" i="33"/>
  <c r="K453" i="29"/>
  <c r="K491" i="33"/>
  <c r="K467" i="17"/>
  <c r="M113" i="17" s="1"/>
  <c r="L3480" i="33"/>
  <c r="L1711" i="33"/>
  <c r="L2303" i="33"/>
  <c r="L2895" i="33"/>
  <c r="L531" i="33"/>
  <c r="L1124" i="33"/>
  <c r="L507" i="17"/>
  <c r="L493" i="29"/>
  <c r="K3489" i="33"/>
  <c r="K2312" i="33"/>
  <c r="K1720" i="33"/>
  <c r="K2904" i="33"/>
  <c r="K1133" i="33"/>
  <c r="K540" i="33"/>
  <c r="K516" i="17"/>
  <c r="K502" i="29"/>
  <c r="L3393" i="33"/>
  <c r="L2216" i="33"/>
  <c r="L1624" i="33"/>
  <c r="L1037" i="33"/>
  <c r="L2808" i="33"/>
  <c r="L444" i="33"/>
  <c r="L406" i="29"/>
  <c r="L420" i="17"/>
  <c r="L3425" i="33"/>
  <c r="L1656" i="33"/>
  <c r="L2248" i="33"/>
  <c r="N1905" i="33" s="1"/>
  <c r="L1069" i="33"/>
  <c r="L2840" i="33"/>
  <c r="L476" i="33"/>
  <c r="L438" i="29"/>
  <c r="L452" i="17"/>
  <c r="L3465" i="33"/>
  <c r="L1696" i="33"/>
  <c r="L2288" i="33"/>
  <c r="L1109" i="33"/>
  <c r="L2880" i="33"/>
  <c r="L516" i="33"/>
  <c r="L478" i="29"/>
  <c r="L492" i="17"/>
  <c r="L3388" i="33"/>
  <c r="L2211" i="33"/>
  <c r="L1619" i="33"/>
  <c r="L2803" i="33"/>
  <c r="L1032" i="33"/>
  <c r="L439" i="33"/>
  <c r="L401" i="29"/>
  <c r="L415" i="17"/>
  <c r="L3428" i="33"/>
  <c r="L2251" i="33"/>
  <c r="L1659" i="33"/>
  <c r="L2843" i="33"/>
  <c r="L1072" i="33"/>
  <c r="L479" i="33"/>
  <c r="L441" i="29"/>
  <c r="L455" i="17"/>
  <c r="L3460" i="33"/>
  <c r="L2283" i="33"/>
  <c r="L1691" i="33"/>
  <c r="L2875" i="33"/>
  <c r="L1104" i="33"/>
  <c r="L511" i="33"/>
  <c r="L473" i="29"/>
  <c r="L487" i="17"/>
  <c r="L3469" i="33"/>
  <c r="L2292" i="33"/>
  <c r="L1700" i="33"/>
  <c r="L2884" i="33"/>
  <c r="L1113" i="33"/>
  <c r="L482" i="29"/>
  <c r="L520" i="33"/>
  <c r="L496" i="17"/>
  <c r="K3389" i="33"/>
  <c r="K1620" i="33"/>
  <c r="K2212" i="33"/>
  <c r="K2804" i="33"/>
  <c r="K440" i="33"/>
  <c r="M134" i="33" s="1"/>
  <c r="K1033" i="33"/>
  <c r="K416" i="17"/>
  <c r="K402" i="29"/>
  <c r="K3429" i="33"/>
  <c r="K1660" i="33"/>
  <c r="K2252" i="33"/>
  <c r="K2844" i="33"/>
  <c r="K480" i="33"/>
  <c r="K1073" i="33"/>
  <c r="K442" i="29"/>
  <c r="K456" i="17"/>
  <c r="L3487" i="33"/>
  <c r="L2310" i="33"/>
  <c r="L1718" i="33"/>
  <c r="L1131" i="33"/>
  <c r="L2902" i="33"/>
  <c r="L538" i="33"/>
  <c r="L500" i="29"/>
  <c r="L514" i="17"/>
  <c r="K3386" i="33"/>
  <c r="K2209" i="33"/>
  <c r="K2801" i="33"/>
  <c r="K1617" i="33"/>
  <c r="K1030" i="33"/>
  <c r="K437" i="33"/>
  <c r="K399" i="29"/>
  <c r="K413" i="17"/>
  <c r="K3450" i="33"/>
  <c r="K2273" i="33"/>
  <c r="K2865" i="33"/>
  <c r="K1681" i="33"/>
  <c r="K1094" i="33"/>
  <c r="K501" i="33"/>
  <c r="K463" i="29"/>
  <c r="K477" i="17"/>
  <c r="K3419" i="33"/>
  <c r="K2242" i="33"/>
  <c r="K1650" i="33"/>
  <c r="K2834" i="33"/>
  <c r="K1063" i="33"/>
  <c r="K432" i="29"/>
  <c r="K470" i="33"/>
  <c r="K446" i="17"/>
  <c r="K3483" i="33"/>
  <c r="K2306" i="33"/>
  <c r="K1714" i="33"/>
  <c r="K2898" i="33"/>
  <c r="K1127" i="33"/>
  <c r="K496" i="29"/>
  <c r="K534" i="33"/>
  <c r="K510" i="17"/>
  <c r="K3412" i="33"/>
  <c r="K2235" i="33"/>
  <c r="M1910" i="33" s="1"/>
  <c r="K1643" i="33"/>
  <c r="K1056" i="33"/>
  <c r="K2827" i="33"/>
  <c r="K463" i="33"/>
  <c r="K425" i="29"/>
  <c r="K439" i="17"/>
  <c r="K3469" i="33"/>
  <c r="K1700" i="33"/>
  <c r="K2292" i="33"/>
  <c r="K2884" i="33"/>
  <c r="K520" i="33"/>
  <c r="K1113" i="33"/>
  <c r="K496" i="17"/>
  <c r="K482" i="29"/>
  <c r="K3470" i="33"/>
  <c r="K2293" i="33"/>
  <c r="K1701" i="33"/>
  <c r="K1114" i="33"/>
  <c r="K2885" i="33"/>
  <c r="K521" i="33"/>
  <c r="K497" i="17"/>
  <c r="K483" i="29"/>
  <c r="K3472" i="33"/>
  <c r="K1703" i="33"/>
  <c r="K2295" i="33"/>
  <c r="K2887" i="33"/>
  <c r="K1116" i="33"/>
  <c r="K485" i="29"/>
  <c r="K523" i="33"/>
  <c r="K499" i="17"/>
  <c r="L3390" i="33"/>
  <c r="L2213" i="33"/>
  <c r="L1621" i="33"/>
  <c r="L1034" i="33"/>
  <c r="L2805" i="33"/>
  <c r="L403" i="29"/>
  <c r="L441" i="33"/>
  <c r="L417" i="17"/>
  <c r="L3430" i="33"/>
  <c r="L2253" i="33"/>
  <c r="L1661" i="33"/>
  <c r="L1074" i="33"/>
  <c r="L2845" i="33"/>
  <c r="L443" i="29"/>
  <c r="L481" i="33"/>
  <c r="L457" i="17"/>
  <c r="L3462" i="33"/>
  <c r="L2285" i="33"/>
  <c r="L1693" i="33"/>
  <c r="L2877" i="33"/>
  <c r="L1106" i="33"/>
  <c r="L475" i="29"/>
  <c r="L513" i="33"/>
  <c r="L489" i="17"/>
  <c r="L3423" i="33"/>
  <c r="L2246" i="33"/>
  <c r="L1654" i="33"/>
  <c r="L1067" i="33"/>
  <c r="L2838" i="33"/>
  <c r="L474" i="33"/>
  <c r="L436" i="29"/>
  <c r="L450" i="17"/>
  <c r="L3375" i="33"/>
  <c r="L2790" i="33"/>
  <c r="L2198" i="33"/>
  <c r="L1606" i="33"/>
  <c r="L1019" i="33"/>
  <c r="L426" i="33"/>
  <c r="L388" i="29"/>
  <c r="L402" i="17"/>
  <c r="N117" i="17" s="1"/>
  <c r="L2191" i="33"/>
  <c r="L3368" i="33"/>
  <c r="L1599" i="33"/>
  <c r="L2783" i="33"/>
  <c r="L419" i="33"/>
  <c r="L1012" i="33"/>
  <c r="N733" i="33" s="1"/>
  <c r="L381" i="29"/>
  <c r="N106" i="29" s="1"/>
  <c r="L395" i="17"/>
  <c r="L2231" i="33"/>
  <c r="L3408" i="33"/>
  <c r="L1639" i="33"/>
  <c r="L2823" i="33"/>
  <c r="L459" i="33"/>
  <c r="L1052" i="33"/>
  <c r="L421" i="29"/>
  <c r="L435" i="17"/>
  <c r="L2271" i="33"/>
  <c r="L3448" i="33"/>
  <c r="L1679" i="33"/>
  <c r="L2863" i="33"/>
  <c r="L499" i="33"/>
  <c r="L1092" i="33"/>
  <c r="L475" i="17"/>
  <c r="L461" i="29"/>
  <c r="L3488" i="33"/>
  <c r="L1719" i="33"/>
  <c r="L2311" i="33"/>
  <c r="L2903" i="33"/>
  <c r="L539" i="33"/>
  <c r="L1132" i="33"/>
  <c r="L515" i="17"/>
  <c r="L501" i="29"/>
  <c r="L3410" i="33"/>
  <c r="L1641" i="33"/>
  <c r="L2233" i="33"/>
  <c r="L2825" i="33"/>
  <c r="L1054" i="33"/>
  <c r="L461" i="33"/>
  <c r="L423" i="29"/>
  <c r="L437" i="17"/>
  <c r="K3393" i="33"/>
  <c r="K2216" i="33"/>
  <c r="K1624" i="33"/>
  <c r="K2808" i="33"/>
  <c r="K1037" i="33"/>
  <c r="K444" i="33"/>
  <c r="K420" i="17"/>
  <c r="K406" i="29"/>
  <c r="K3425" i="33"/>
  <c r="K2248" i="33"/>
  <c r="M1905" i="33" s="1"/>
  <c r="K1656" i="33"/>
  <c r="K2840" i="33"/>
  <c r="K1069" i="33"/>
  <c r="K476" i="33"/>
  <c r="K452" i="17"/>
  <c r="K438" i="29"/>
  <c r="K3465" i="33"/>
  <c r="K2288" i="33"/>
  <c r="K1696" i="33"/>
  <c r="K2880" i="33"/>
  <c r="K1109" i="33"/>
  <c r="K516" i="33"/>
  <c r="K478" i="29"/>
  <c r="K492" i="17"/>
  <c r="M114" i="17" s="1"/>
  <c r="K3388" i="33"/>
  <c r="K2211" i="33"/>
  <c r="K1619" i="33"/>
  <c r="K1032" i="33"/>
  <c r="K2803" i="33"/>
  <c r="K439" i="33"/>
  <c r="K401" i="29"/>
  <c r="K415" i="17"/>
  <c r="K3428" i="33"/>
  <c r="K2251" i="33"/>
  <c r="K1659" i="33"/>
  <c r="K1072" i="33"/>
  <c r="K2843" i="33"/>
  <c r="K479" i="33"/>
  <c r="K441" i="29"/>
  <c r="K455" i="17"/>
  <c r="K3460" i="33"/>
  <c r="K2283" i="33"/>
  <c r="K1691" i="33"/>
  <c r="K1104" i="33"/>
  <c r="K2875" i="33"/>
  <c r="K511" i="33"/>
  <c r="K473" i="29"/>
  <c r="K487" i="17"/>
  <c r="L3485" i="33"/>
  <c r="L2308" i="33"/>
  <c r="L1716" i="33"/>
  <c r="L2900" i="33"/>
  <c r="L1129" i="33"/>
  <c r="L536" i="33"/>
  <c r="L498" i="29"/>
  <c r="L512" i="17"/>
  <c r="L2220" i="33"/>
  <c r="L3397" i="33"/>
  <c r="L1628" i="33"/>
  <c r="L2812" i="33"/>
  <c r="L1041" i="33"/>
  <c r="L410" i="29"/>
  <c r="L448" i="33"/>
  <c r="L424" i="17"/>
  <c r="L3437" i="33"/>
  <c r="L1668" i="33"/>
  <c r="L2260" i="33"/>
  <c r="L2852" i="33"/>
  <c r="L1081" i="33"/>
  <c r="L450" i="29"/>
  <c r="L488" i="33"/>
  <c r="L464" i="17"/>
  <c r="K3487" i="33"/>
  <c r="K1718" i="33"/>
  <c r="K2310" i="33"/>
  <c r="K2902" i="33"/>
  <c r="K538" i="33"/>
  <c r="K1131" i="33"/>
  <c r="K500" i="29"/>
  <c r="K514" i="17"/>
  <c r="J2497" i="33"/>
  <c r="M1909" i="33"/>
  <c r="J2500" i="33"/>
  <c r="J2498" i="33"/>
  <c r="J2494" i="33"/>
  <c r="J135" i="33"/>
  <c r="L135" i="33" s="1"/>
  <c r="J137" i="33"/>
  <c r="L137" i="33" s="1"/>
  <c r="J136" i="33"/>
  <c r="L136" i="33" s="1"/>
  <c r="L100" i="17"/>
  <c r="H100" i="17"/>
  <c r="J727" i="33"/>
  <c r="L727" i="33" s="1"/>
  <c r="J734" i="33"/>
  <c r="L734" i="33" s="1"/>
  <c r="J725" i="33"/>
  <c r="L725" i="33" s="1"/>
  <c r="J732" i="33"/>
  <c r="L732" i="33" s="1"/>
  <c r="J726" i="33"/>
  <c r="L726" i="33" s="1"/>
  <c r="J733" i="33"/>
  <c r="L733" i="33" s="1"/>
  <c r="J731" i="33"/>
  <c r="L731" i="33" s="1"/>
  <c r="N1906" i="33"/>
  <c r="N1902" i="33"/>
  <c r="N1909" i="33"/>
  <c r="J121" i="17"/>
  <c r="N729" i="33"/>
  <c r="N1904" i="33"/>
  <c r="N728" i="33"/>
  <c r="J118" i="17"/>
  <c r="J120" i="17"/>
  <c r="N1908" i="33"/>
  <c r="M120" i="17"/>
  <c r="N1903" i="33"/>
  <c r="N1907" i="33"/>
  <c r="N730" i="33"/>
  <c r="M712" i="33"/>
  <c r="G247" i="37" l="1"/>
  <c r="M2499" i="33"/>
  <c r="M2500" i="33"/>
  <c r="M2495" i="33"/>
  <c r="M2496" i="33"/>
  <c r="M2498" i="33"/>
  <c r="M2494" i="33"/>
  <c r="M734" i="33"/>
  <c r="M105" i="29"/>
  <c r="M107" i="29" s="1"/>
  <c r="N105" i="29"/>
  <c r="N107" i="29" s="1"/>
  <c r="N114" i="17"/>
  <c r="M118" i="17"/>
  <c r="M121" i="17"/>
  <c r="M135" i="33"/>
  <c r="M136" i="33"/>
  <c r="M137" i="33"/>
  <c r="N2495" i="33"/>
  <c r="N2500" i="33"/>
  <c r="N2494" i="33"/>
  <c r="N2499" i="33"/>
  <c r="N2497" i="33"/>
  <c r="N2498" i="33"/>
  <c r="N2496" i="33"/>
  <c r="N135" i="33"/>
  <c r="L139" i="33"/>
  <c r="G225" i="37" s="1"/>
  <c r="N138" i="33"/>
  <c r="N136" i="33"/>
  <c r="N137" i="33"/>
  <c r="N727" i="33"/>
  <c r="N725" i="33"/>
  <c r="L735" i="33"/>
  <c r="G226" i="37" s="1"/>
  <c r="N734" i="33"/>
  <c r="N726" i="33"/>
  <c r="N731" i="33"/>
  <c r="N732" i="33"/>
  <c r="M732" i="33"/>
  <c r="N121" i="17"/>
  <c r="N118" i="17"/>
  <c r="N120" i="17"/>
  <c r="N119" i="17"/>
  <c r="G248" i="37" l="1"/>
  <c r="G249" i="37"/>
  <c r="M735" i="33"/>
  <c r="M139" i="33"/>
  <c r="N139" i="33"/>
  <c r="N735" i="33"/>
  <c r="C20" i="106"/>
  <c r="H86" i="14" l="1"/>
  <c r="H78" i="14"/>
  <c r="I107" i="143" s="1"/>
  <c r="H64" i="14"/>
  <c r="D63" i="14"/>
  <c r="C22" i="29" s="1"/>
  <c r="D62" i="14"/>
  <c r="C21" i="29" s="1"/>
  <c r="D61" i="14"/>
  <c r="C20" i="29" s="1"/>
  <c r="D60" i="14"/>
  <c r="C19" i="29" s="1"/>
  <c r="D59" i="14"/>
  <c r="C18" i="29" s="1"/>
  <c r="D58" i="14"/>
  <c r="C17" i="29" s="1"/>
  <c r="D57" i="14"/>
  <c r="C16" i="29" s="1"/>
  <c r="J16" i="33"/>
  <c r="J17" i="33"/>
  <c r="J18" i="33"/>
  <c r="J19" i="33"/>
  <c r="J20" i="33"/>
  <c r="J21" i="33"/>
  <c r="J22" i="33"/>
  <c r="J594" i="33"/>
  <c r="J595" i="33"/>
  <c r="J596" i="33"/>
  <c r="J597" i="33"/>
  <c r="J598" i="33"/>
  <c r="J599" i="33"/>
  <c r="J600" i="33"/>
  <c r="J2366" i="33"/>
  <c r="J2367" i="33"/>
  <c r="J2368" i="33"/>
  <c r="J2369" i="33"/>
  <c r="J2370" i="33"/>
  <c r="J2371" i="33"/>
  <c r="J2372" i="33"/>
  <c r="J1187" i="33"/>
  <c r="J1188" i="33"/>
  <c r="J1189" i="33"/>
  <c r="J1190" i="33"/>
  <c r="J1191" i="33"/>
  <c r="J1192" i="33"/>
  <c r="J1193" i="33"/>
  <c r="J1774" i="33"/>
  <c r="J1775" i="33"/>
  <c r="J1776" i="33"/>
  <c r="J1777" i="33"/>
  <c r="J1778" i="33"/>
  <c r="J1779" i="33"/>
  <c r="J1780" i="33"/>
  <c r="J2958" i="33"/>
  <c r="J2959" i="33"/>
  <c r="J2960" i="33"/>
  <c r="J2961" i="33"/>
  <c r="J2962" i="33"/>
  <c r="J2963" i="33"/>
  <c r="J2964" i="33"/>
  <c r="B2977" i="33"/>
  <c r="B2385" i="33"/>
  <c r="B1793" i="33"/>
  <c r="B1206" i="33"/>
  <c r="B613" i="33"/>
  <c r="B36" i="33"/>
  <c r="H256" i="19"/>
  <c r="I45" i="140" s="1"/>
  <c r="B18" i="17"/>
  <c r="C109" i="17"/>
  <c r="B35" i="17"/>
  <c r="H27" i="14"/>
  <c r="D26" i="14"/>
  <c r="C15" i="17" s="1"/>
  <c r="J15" i="17"/>
  <c r="I78" i="14" l="1"/>
  <c r="I82" i="14"/>
  <c r="I83" i="14"/>
  <c r="I84" i="14"/>
  <c r="I85" i="14"/>
  <c r="I79" i="14"/>
  <c r="J26" i="33" s="1"/>
  <c r="I80" i="14"/>
  <c r="I81" i="14"/>
  <c r="D81" i="14"/>
  <c r="D82" i="14"/>
  <c r="C120" i="143" s="1"/>
  <c r="C131" i="143" s="1"/>
  <c r="C2370" i="33"/>
  <c r="C1192" i="33"/>
  <c r="D116" i="14"/>
  <c r="D110" i="14"/>
  <c r="J12" i="29"/>
  <c r="C16" i="33"/>
  <c r="C2961" i="33"/>
  <c r="C2958" i="33"/>
  <c r="C1778" i="33"/>
  <c r="C1193" i="33"/>
  <c r="C2367" i="33"/>
  <c r="C595" i="33"/>
  <c r="C22" i="33"/>
  <c r="C2371" i="33"/>
  <c r="C20" i="33"/>
  <c r="C2962" i="33"/>
  <c r="C598" i="33"/>
  <c r="C1187" i="33"/>
  <c r="C2372" i="33"/>
  <c r="C2963" i="33"/>
  <c r="J2965" i="33"/>
  <c r="C2366" i="33"/>
  <c r="C600" i="33"/>
  <c r="C599" i="33"/>
  <c r="C2959" i="33"/>
  <c r="C1774" i="33"/>
  <c r="C594" i="33"/>
  <c r="C1780" i="33"/>
  <c r="C2964" i="33"/>
  <c r="C1776" i="33"/>
  <c r="D79" i="14"/>
  <c r="C1189" i="33"/>
  <c r="C2960" i="33"/>
  <c r="J1781" i="33"/>
  <c r="C2368" i="33"/>
  <c r="C18" i="33"/>
  <c r="C1190" i="33"/>
  <c r="J1194" i="33"/>
  <c r="C597" i="33"/>
  <c r="J601" i="33"/>
  <c r="C2369" i="33"/>
  <c r="D113" i="14"/>
  <c r="C1777" i="33"/>
  <c r="J23" i="33"/>
  <c r="J2373" i="33"/>
  <c r="C19" i="33"/>
  <c r="C1779" i="33"/>
  <c r="C1191" i="33"/>
  <c r="C596" i="33"/>
  <c r="C17" i="33"/>
  <c r="D85" i="14"/>
  <c r="C159" i="143" s="1"/>
  <c r="C170" i="143" s="1"/>
  <c r="D115" i="14"/>
  <c r="D84" i="14"/>
  <c r="C146" i="143" s="1"/>
  <c r="C157" i="143" s="1"/>
  <c r="D114" i="14"/>
  <c r="D83" i="14"/>
  <c r="C133" i="143" s="1"/>
  <c r="C144" i="143" s="1"/>
  <c r="C1188" i="33"/>
  <c r="D112" i="14"/>
  <c r="C1775" i="33"/>
  <c r="C21" i="33"/>
  <c r="D111" i="14"/>
  <c r="D80" i="14"/>
  <c r="J12" i="17"/>
  <c r="D2226" i="35"/>
  <c r="C16" i="150" s="1"/>
  <c r="C27" i="150" s="1"/>
  <c r="D1005" i="35"/>
  <c r="C16" i="149" s="1"/>
  <c r="C27" i="149" s="1"/>
  <c r="D1819" i="35"/>
  <c r="C16" i="148" s="1"/>
  <c r="C27" i="148" s="1"/>
  <c r="D1412" i="35"/>
  <c r="C16" i="147" s="1"/>
  <c r="C27" i="147" s="1"/>
  <c r="D598" i="35"/>
  <c r="C16" i="146" s="1"/>
  <c r="C27" i="146" s="1"/>
  <c r="D191" i="35"/>
  <c r="C16" i="145" s="1"/>
  <c r="C27" i="145" s="1"/>
  <c r="H2265" i="35"/>
  <c r="H1044" i="35"/>
  <c r="H1858" i="35"/>
  <c r="H1451" i="35"/>
  <c r="H637" i="35"/>
  <c r="H230" i="35"/>
  <c r="H2279" i="35"/>
  <c r="H1058" i="35"/>
  <c r="H1872" i="35"/>
  <c r="H1465" i="35"/>
  <c r="H651" i="35"/>
  <c r="H244" i="35"/>
  <c r="H2292" i="35"/>
  <c r="H1071" i="35"/>
  <c r="H1885" i="35"/>
  <c r="H1478" i="35"/>
  <c r="H664" i="35"/>
  <c r="H257" i="35"/>
  <c r="H2306" i="35"/>
  <c r="H1085" i="35"/>
  <c r="H1899" i="35"/>
  <c r="H1492" i="35"/>
  <c r="H678" i="35"/>
  <c r="H271" i="35"/>
  <c r="J316" i="111"/>
  <c r="K316" i="111"/>
  <c r="L316" i="111"/>
  <c r="M316" i="111"/>
  <c r="N316" i="111"/>
  <c r="O316" i="111"/>
  <c r="O297" i="111"/>
  <c r="O298" i="111"/>
  <c r="D157" i="112"/>
  <c r="D159" i="112"/>
  <c r="D160" i="112"/>
  <c r="D245" i="110"/>
  <c r="D158" i="112" s="1"/>
  <c r="D229" i="19"/>
  <c r="C31" i="140" s="1"/>
  <c r="D42" i="140" s="1"/>
  <c r="H56" i="14"/>
  <c r="H212" i="14" s="1"/>
  <c r="H211" i="14"/>
  <c r="C26" i="33" l="1"/>
  <c r="I241" i="20"/>
  <c r="I243" i="20"/>
  <c r="I240" i="20"/>
  <c r="I242" i="20"/>
  <c r="I239" i="20"/>
  <c r="I246" i="20"/>
  <c r="I238" i="20"/>
  <c r="I245" i="20"/>
  <c r="I237" i="20"/>
  <c r="I244" i="20"/>
  <c r="I264" i="20"/>
  <c r="I268" i="20"/>
  <c r="I280" i="20"/>
  <c r="I278" i="20"/>
  <c r="I270" i="20"/>
  <c r="I282" i="20"/>
  <c r="I259" i="20"/>
  <c r="I265" i="20"/>
  <c r="I284" i="20"/>
  <c r="I261" i="20"/>
  <c r="I273" i="20"/>
  <c r="I257" i="20"/>
  <c r="I263" i="20"/>
  <c r="I275" i="20"/>
  <c r="I279" i="20"/>
  <c r="I271" i="20"/>
  <c r="I269" i="20"/>
  <c r="I267" i="20"/>
  <c r="I266" i="20"/>
  <c r="I285" i="20"/>
  <c r="I283" i="20"/>
  <c r="I281" i="20"/>
  <c r="I258" i="20"/>
  <c r="I277" i="20"/>
  <c r="I262" i="20"/>
  <c r="I260" i="20"/>
  <c r="I272" i="20"/>
  <c r="I276" i="20"/>
  <c r="I274" i="20"/>
  <c r="I286" i="20"/>
  <c r="I255" i="20"/>
  <c r="I253" i="20"/>
  <c r="I251" i="20"/>
  <c r="I233" i="20"/>
  <c r="I247" i="20"/>
  <c r="I229" i="20"/>
  <c r="I235" i="20"/>
  <c r="I221" i="20"/>
  <c r="I231" i="20"/>
  <c r="I225" i="20"/>
  <c r="I227" i="20"/>
  <c r="I256" i="20"/>
  <c r="I219" i="20"/>
  <c r="I217" i="20"/>
  <c r="I223" i="20"/>
  <c r="I248" i="20"/>
  <c r="I222" i="20"/>
  <c r="I254" i="20"/>
  <c r="I252" i="20"/>
  <c r="I250" i="20"/>
  <c r="I232" i="20"/>
  <c r="I226" i="20"/>
  <c r="I230" i="20"/>
  <c r="I236" i="20"/>
  <c r="I234" i="20"/>
  <c r="I220" i="20"/>
  <c r="I228" i="20"/>
  <c r="I218" i="20"/>
  <c r="I224" i="20"/>
  <c r="I249" i="20"/>
  <c r="C1784" i="33"/>
  <c r="C2376" i="33"/>
  <c r="C27" i="33"/>
  <c r="C1197" i="33"/>
  <c r="C604" i="33"/>
  <c r="C2968" i="33"/>
  <c r="C2972" i="33"/>
  <c r="C1201" i="33"/>
  <c r="C608" i="33"/>
  <c r="C1788" i="33"/>
  <c r="C2380" i="33"/>
  <c r="C31" i="33"/>
  <c r="J1198" i="33"/>
  <c r="J605" i="33"/>
  <c r="J2377" i="33"/>
  <c r="J1785" i="33"/>
  <c r="J2969" i="33"/>
  <c r="J28" i="33"/>
  <c r="J2968" i="33"/>
  <c r="J1784" i="33"/>
  <c r="J2376" i="33"/>
  <c r="J27" i="33"/>
  <c r="J1197" i="33"/>
  <c r="J604" i="33"/>
  <c r="J32" i="33"/>
  <c r="J2973" i="33"/>
  <c r="J1202" i="33"/>
  <c r="J609" i="33"/>
  <c r="J1789" i="33"/>
  <c r="J2381" i="33"/>
  <c r="C2973" i="33"/>
  <c r="C1202" i="33"/>
  <c r="C609" i="33"/>
  <c r="C1789" i="33"/>
  <c r="C2381" i="33"/>
  <c r="C32" i="33"/>
  <c r="J31" i="33"/>
  <c r="J1201" i="33"/>
  <c r="J608" i="33"/>
  <c r="J2972" i="33"/>
  <c r="J1788" i="33"/>
  <c r="J2380" i="33"/>
  <c r="J2971" i="33"/>
  <c r="J1200" i="33"/>
  <c r="J607" i="33"/>
  <c r="J1787" i="33"/>
  <c r="J2379" i="33"/>
  <c r="J30" i="33"/>
  <c r="C1787" i="33"/>
  <c r="C2379" i="33"/>
  <c r="C30" i="33"/>
  <c r="C2971" i="33"/>
  <c r="C1200" i="33"/>
  <c r="C607" i="33"/>
  <c r="C1786" i="33"/>
  <c r="C2378" i="33"/>
  <c r="C29" i="33"/>
  <c r="C2970" i="33"/>
  <c r="C1199" i="33"/>
  <c r="C606" i="33"/>
  <c r="J2970" i="33"/>
  <c r="J1199" i="33"/>
  <c r="J606" i="33"/>
  <c r="J1786" i="33"/>
  <c r="J2378" i="33"/>
  <c r="J29" i="33"/>
  <c r="C28" i="33"/>
  <c r="C1785" i="33"/>
  <c r="C2377" i="33"/>
  <c r="C2969" i="33"/>
  <c r="C1198" i="33"/>
  <c r="C605" i="33"/>
  <c r="I86" i="14"/>
  <c r="D2321" i="36"/>
  <c r="D2322" i="36"/>
  <c r="D2323" i="36"/>
  <c r="D2324" i="36"/>
  <c r="D2325" i="36"/>
  <c r="D2326" i="36"/>
  <c r="D2327" i="36"/>
  <c r="D2328" i="36"/>
  <c r="D2329" i="36"/>
  <c r="D2330" i="36"/>
  <c r="D2331" i="36"/>
  <c r="D2332" i="36"/>
  <c r="D2333" i="36"/>
  <c r="D2334" i="36"/>
  <c r="D2335" i="36"/>
  <c r="D2336" i="36"/>
  <c r="D2337" i="36"/>
  <c r="D2338" i="36"/>
  <c r="D2339" i="36"/>
  <c r="D2340" i="36"/>
  <c r="D2341" i="36"/>
  <c r="D2342" i="36"/>
  <c r="D2343" i="36"/>
  <c r="D2344" i="36"/>
  <c r="D2345" i="36"/>
  <c r="D2346" i="36"/>
  <c r="D2347" i="36"/>
  <c r="D2348" i="36"/>
  <c r="D2349" i="36"/>
  <c r="D2350" i="36"/>
  <c r="D2351" i="36"/>
  <c r="D1427" i="36"/>
  <c r="D1428" i="36"/>
  <c r="D1429" i="36"/>
  <c r="D1430" i="36"/>
  <c r="D1431" i="36"/>
  <c r="D1432" i="36"/>
  <c r="D1433" i="36"/>
  <c r="D1434" i="36"/>
  <c r="D1435" i="36"/>
  <c r="D1436" i="36"/>
  <c r="D1437" i="36"/>
  <c r="D1438" i="36"/>
  <c r="D1439" i="36"/>
  <c r="D1440" i="36"/>
  <c r="D1441" i="36"/>
  <c r="D1442" i="36"/>
  <c r="D1443" i="36"/>
  <c r="D1444" i="36"/>
  <c r="D1445" i="36"/>
  <c r="D1446" i="36"/>
  <c r="D1447" i="36"/>
  <c r="D1448" i="36"/>
  <c r="D1449" i="36"/>
  <c r="D1450" i="36"/>
  <c r="D1451" i="36"/>
  <c r="D1452" i="36"/>
  <c r="D1453" i="36"/>
  <c r="D1454" i="36"/>
  <c r="D1455" i="36"/>
  <c r="D1456" i="36"/>
  <c r="D1457" i="36"/>
  <c r="D980" i="36"/>
  <c r="D981" i="36"/>
  <c r="D982" i="36"/>
  <c r="D983" i="36"/>
  <c r="D984" i="36"/>
  <c r="D985" i="36"/>
  <c r="D986" i="36"/>
  <c r="D987" i="36"/>
  <c r="D988" i="36"/>
  <c r="D989" i="36"/>
  <c r="D990" i="36"/>
  <c r="D991" i="36"/>
  <c r="D992" i="36"/>
  <c r="D993" i="36"/>
  <c r="D994" i="36"/>
  <c r="D995" i="36"/>
  <c r="D996" i="36"/>
  <c r="D997" i="36"/>
  <c r="D998" i="36"/>
  <c r="D999" i="36"/>
  <c r="D1000" i="36"/>
  <c r="D1001" i="36"/>
  <c r="D1002" i="36"/>
  <c r="D1003" i="36"/>
  <c r="D1004" i="36"/>
  <c r="D1005" i="36"/>
  <c r="D1006" i="36"/>
  <c r="D1007" i="36"/>
  <c r="D1008" i="36"/>
  <c r="D1009" i="36"/>
  <c r="D1010" i="36"/>
  <c r="D1874" i="36"/>
  <c r="D1875" i="36"/>
  <c r="D1876" i="36"/>
  <c r="D1877" i="36"/>
  <c r="D1878" i="36"/>
  <c r="D1879" i="36"/>
  <c r="D1880" i="36"/>
  <c r="D1881" i="36"/>
  <c r="D1882" i="36"/>
  <c r="D1883" i="36"/>
  <c r="D1884" i="36"/>
  <c r="D1885" i="36"/>
  <c r="D1886" i="36"/>
  <c r="D1887" i="36"/>
  <c r="D1888" i="36"/>
  <c r="D1889" i="36"/>
  <c r="D1890" i="36"/>
  <c r="D1891" i="36"/>
  <c r="D1892" i="36"/>
  <c r="D1893" i="36"/>
  <c r="D1894" i="36"/>
  <c r="D1895" i="36"/>
  <c r="D1896" i="36"/>
  <c r="D1897" i="36"/>
  <c r="D1898" i="36"/>
  <c r="D1899" i="36"/>
  <c r="D1900" i="36"/>
  <c r="D1901" i="36"/>
  <c r="D1902" i="36"/>
  <c r="D1903" i="36"/>
  <c r="D1904" i="36"/>
  <c r="D533" i="36"/>
  <c r="D534" i="36"/>
  <c r="D535" i="36"/>
  <c r="D536" i="36"/>
  <c r="D537" i="36"/>
  <c r="D538" i="36"/>
  <c r="D539" i="36"/>
  <c r="D540" i="36"/>
  <c r="D541" i="36"/>
  <c r="D542" i="36"/>
  <c r="D543" i="36"/>
  <c r="D544" i="36"/>
  <c r="D545" i="36"/>
  <c r="D546" i="36"/>
  <c r="D547" i="36"/>
  <c r="D548" i="36"/>
  <c r="D549" i="36"/>
  <c r="D550" i="36"/>
  <c r="D551" i="36"/>
  <c r="D552" i="36"/>
  <c r="D553" i="36"/>
  <c r="D554" i="36"/>
  <c r="D555" i="36"/>
  <c r="D556" i="36"/>
  <c r="D557" i="36"/>
  <c r="D558" i="36"/>
  <c r="D559" i="36"/>
  <c r="D560" i="36"/>
  <c r="D561" i="36"/>
  <c r="D562" i="36"/>
  <c r="D563" i="36"/>
  <c r="D86" i="36"/>
  <c r="D87" i="36"/>
  <c r="D88" i="36"/>
  <c r="D89" i="36"/>
  <c r="D90" i="36"/>
  <c r="D91" i="36"/>
  <c r="D92" i="36"/>
  <c r="D93" i="36"/>
  <c r="D94" i="36"/>
  <c r="D95" i="36"/>
  <c r="D96" i="36"/>
  <c r="D97" i="36"/>
  <c r="D98" i="36"/>
  <c r="D99" i="36"/>
  <c r="D100" i="36"/>
  <c r="D101" i="36"/>
  <c r="D102" i="36"/>
  <c r="D103" i="36"/>
  <c r="D104" i="36"/>
  <c r="D105" i="36"/>
  <c r="D106" i="36"/>
  <c r="D107" i="36"/>
  <c r="D108" i="36"/>
  <c r="D109" i="36"/>
  <c r="D110" i="36"/>
  <c r="D111" i="36"/>
  <c r="D112" i="36"/>
  <c r="D113" i="36"/>
  <c r="D114" i="36"/>
  <c r="D115" i="36"/>
  <c r="D116" i="36"/>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87" i="18"/>
  <c r="D88" i="18"/>
  <c r="D89" i="18"/>
  <c r="D90" i="18"/>
  <c r="D91" i="18"/>
  <c r="D92" i="18"/>
  <c r="D93" i="18"/>
  <c r="D94" i="18"/>
  <c r="D95" i="18"/>
  <c r="D96" i="18"/>
  <c r="D97" i="18"/>
  <c r="D98" i="18"/>
  <c r="D99" i="18"/>
  <c r="D100" i="18"/>
  <c r="D101" i="18"/>
  <c r="D102" i="18"/>
  <c r="D103" i="18"/>
  <c r="D104" i="18"/>
  <c r="D105" i="18"/>
  <c r="D106" i="18"/>
  <c r="D107" i="18"/>
  <c r="D108" i="18"/>
  <c r="D109" i="18"/>
  <c r="D110" i="18"/>
  <c r="D111" i="18"/>
  <c r="D112" i="18"/>
  <c r="D113" i="18"/>
  <c r="D114" i="18"/>
  <c r="D115" i="18"/>
  <c r="D116" i="18"/>
  <c r="D117" i="18"/>
  <c r="D2286" i="36"/>
  <c r="D2287" i="36"/>
  <c r="D2288" i="36"/>
  <c r="D2289" i="36"/>
  <c r="D2290" i="36"/>
  <c r="D2291" i="36"/>
  <c r="D2292" i="36"/>
  <c r="D2293" i="36"/>
  <c r="D2294" i="36"/>
  <c r="D2295" i="36"/>
  <c r="D2296" i="36"/>
  <c r="D2297" i="36"/>
  <c r="D2298" i="36"/>
  <c r="D2299" i="36"/>
  <c r="D2300" i="36"/>
  <c r="D2301" i="36"/>
  <c r="D2302" i="36"/>
  <c r="D2303" i="36"/>
  <c r="D2304" i="36"/>
  <c r="D2305" i="36"/>
  <c r="D2306" i="36"/>
  <c r="D2307" i="36"/>
  <c r="D2308" i="36"/>
  <c r="D2309" i="36"/>
  <c r="D2310" i="36"/>
  <c r="D2311" i="36"/>
  <c r="D2312" i="36"/>
  <c r="D2313" i="36"/>
  <c r="D2314" i="36"/>
  <c r="D2315" i="36"/>
  <c r="D2316" i="36"/>
  <c r="D1392" i="36"/>
  <c r="D1393" i="36"/>
  <c r="D1394" i="36"/>
  <c r="D1395" i="36"/>
  <c r="D1396" i="36"/>
  <c r="D1397" i="36"/>
  <c r="D1398" i="36"/>
  <c r="D1399" i="36"/>
  <c r="D1400" i="36"/>
  <c r="D1401" i="36"/>
  <c r="D1402" i="36"/>
  <c r="D1403" i="36"/>
  <c r="D1404" i="36"/>
  <c r="D1405" i="36"/>
  <c r="D1406" i="36"/>
  <c r="D1407" i="36"/>
  <c r="D1408" i="36"/>
  <c r="D1409" i="36"/>
  <c r="D1410" i="36"/>
  <c r="D1411" i="36"/>
  <c r="D1412" i="36"/>
  <c r="D1413" i="36"/>
  <c r="D1414" i="36"/>
  <c r="D1415" i="36"/>
  <c r="D1416" i="36"/>
  <c r="D1417" i="36"/>
  <c r="D1418" i="36"/>
  <c r="D1419" i="36"/>
  <c r="D1420" i="36"/>
  <c r="D1421" i="36"/>
  <c r="D1422" i="36"/>
  <c r="D945" i="36"/>
  <c r="D946" i="36"/>
  <c r="D947" i="36"/>
  <c r="D948" i="36"/>
  <c r="D949" i="36"/>
  <c r="D950" i="36"/>
  <c r="D951" i="36"/>
  <c r="D952" i="36"/>
  <c r="D953" i="36"/>
  <c r="D954" i="36"/>
  <c r="D955" i="36"/>
  <c r="D956" i="36"/>
  <c r="D957" i="36"/>
  <c r="D958" i="36"/>
  <c r="D959" i="36"/>
  <c r="D960" i="36"/>
  <c r="D961" i="36"/>
  <c r="D962" i="36"/>
  <c r="D963" i="36"/>
  <c r="D964" i="36"/>
  <c r="D965" i="36"/>
  <c r="D966" i="36"/>
  <c r="D967" i="36"/>
  <c r="D968" i="36"/>
  <c r="D969" i="36"/>
  <c r="D970" i="36"/>
  <c r="D971" i="36"/>
  <c r="D972" i="36"/>
  <c r="D973" i="36"/>
  <c r="D974" i="36"/>
  <c r="D975" i="36"/>
  <c r="D1839" i="36"/>
  <c r="D1840" i="36"/>
  <c r="D1841" i="36"/>
  <c r="D1842" i="36"/>
  <c r="D1843" i="36"/>
  <c r="D1844" i="36"/>
  <c r="D1845" i="36"/>
  <c r="D1846" i="36"/>
  <c r="D1847" i="36"/>
  <c r="D1848" i="36"/>
  <c r="D1849" i="36"/>
  <c r="D1850" i="36"/>
  <c r="D1851" i="36"/>
  <c r="D1852" i="36"/>
  <c r="D1853" i="36"/>
  <c r="D1854" i="36"/>
  <c r="D1855" i="36"/>
  <c r="D1856" i="36"/>
  <c r="D1857" i="36"/>
  <c r="D1858" i="36"/>
  <c r="D1859" i="36"/>
  <c r="D1860" i="36"/>
  <c r="D1861" i="36"/>
  <c r="D1862" i="36"/>
  <c r="D1863" i="36"/>
  <c r="D1864" i="36"/>
  <c r="D1865" i="36"/>
  <c r="D1866" i="36"/>
  <c r="D1867" i="36"/>
  <c r="D1868" i="36"/>
  <c r="D1869" i="36"/>
  <c r="D498" i="36"/>
  <c r="D499" i="36"/>
  <c r="D500" i="36"/>
  <c r="D501" i="36"/>
  <c r="D502" i="36"/>
  <c r="D503" i="36"/>
  <c r="D504" i="36"/>
  <c r="D505" i="36"/>
  <c r="D506" i="36"/>
  <c r="D507" i="36"/>
  <c r="D508" i="36"/>
  <c r="D509" i="36"/>
  <c r="D510" i="36"/>
  <c r="D511" i="36"/>
  <c r="D512" i="36"/>
  <c r="D513" i="36"/>
  <c r="D514" i="36"/>
  <c r="D515" i="36"/>
  <c r="D516" i="36"/>
  <c r="D517" i="36"/>
  <c r="D518" i="36"/>
  <c r="D519" i="36"/>
  <c r="D520" i="36"/>
  <c r="D521" i="36"/>
  <c r="D522" i="36"/>
  <c r="D523" i="36"/>
  <c r="D524" i="36"/>
  <c r="D525" i="36"/>
  <c r="D526" i="36"/>
  <c r="D527" i="36"/>
  <c r="D528" i="36"/>
  <c r="D51" i="36"/>
  <c r="U89" i="33" s="1"/>
  <c r="D52" i="36"/>
  <c r="D53" i="36"/>
  <c r="D54" i="36"/>
  <c r="D55" i="36"/>
  <c r="D56" i="36"/>
  <c r="D57" i="36"/>
  <c r="D58" i="36"/>
  <c r="D59" i="36"/>
  <c r="D60" i="36"/>
  <c r="D61" i="36"/>
  <c r="D62" i="36"/>
  <c r="D63" i="36"/>
  <c r="D64" i="36"/>
  <c r="D65" i="36"/>
  <c r="D66" i="36"/>
  <c r="D67" i="36"/>
  <c r="D68" i="36"/>
  <c r="D69" i="36"/>
  <c r="D70" i="36"/>
  <c r="D71" i="36"/>
  <c r="D72" i="36"/>
  <c r="D73" i="36"/>
  <c r="D74" i="36"/>
  <c r="D75" i="36"/>
  <c r="D76" i="36"/>
  <c r="D77" i="36"/>
  <c r="D78" i="36"/>
  <c r="D79" i="36"/>
  <c r="D80" i="36"/>
  <c r="D81" i="36"/>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J12" i="33" l="1"/>
  <c r="U1264" i="33"/>
  <c r="U1265" i="33"/>
  <c r="J1265" i="33"/>
  <c r="O1265" i="33" s="1"/>
  <c r="J1258" i="33"/>
  <c r="O1258" i="33" s="1"/>
  <c r="U1258" i="33"/>
  <c r="U1259" i="33"/>
  <c r="J1259" i="33"/>
  <c r="O1259" i="33" s="1"/>
  <c r="U1260" i="33"/>
  <c r="J1260" i="33"/>
  <c r="O1260" i="33" s="1"/>
  <c r="U1261" i="33"/>
  <c r="J1261" i="33"/>
  <c r="O1261" i="33" s="1"/>
  <c r="U1262" i="33"/>
  <c r="J1262" i="33"/>
  <c r="O1262" i="33" s="1"/>
  <c r="U1263" i="33"/>
  <c r="J1263" i="33"/>
  <c r="O1263" i="33" s="1"/>
  <c r="J1264" i="33"/>
  <c r="O1264" i="33" s="1"/>
  <c r="J2362" i="33"/>
  <c r="U1847" i="33"/>
  <c r="U1855" i="33"/>
  <c r="U1848" i="33"/>
  <c r="U1856" i="33"/>
  <c r="J1852" i="33"/>
  <c r="O1852" i="33" s="1"/>
  <c r="U1849" i="33"/>
  <c r="J1845" i="33"/>
  <c r="O1845" i="33" s="1"/>
  <c r="J1853" i="33"/>
  <c r="O1853" i="33" s="1"/>
  <c r="U1850" i="33"/>
  <c r="J1846" i="33"/>
  <c r="O1846" i="33" s="1"/>
  <c r="J1854" i="33"/>
  <c r="O1854" i="33" s="1"/>
  <c r="U1851" i="33"/>
  <c r="J1847" i="33"/>
  <c r="O1847" i="33" s="1"/>
  <c r="J1855" i="33"/>
  <c r="O1855" i="33" s="1"/>
  <c r="U1852" i="33"/>
  <c r="J1848" i="33"/>
  <c r="O1848" i="33" s="1"/>
  <c r="J1856" i="33"/>
  <c r="O1856" i="33" s="1"/>
  <c r="U1845" i="33"/>
  <c r="U1853" i="33"/>
  <c r="J1849" i="33"/>
  <c r="O1849" i="33" s="1"/>
  <c r="U1846" i="33"/>
  <c r="U1854" i="33"/>
  <c r="J1850" i="33"/>
  <c r="O1850" i="33" s="1"/>
  <c r="J1851" i="33"/>
  <c r="O1851" i="33" s="1"/>
  <c r="J590" i="33"/>
  <c r="J33" i="33"/>
  <c r="J1203" i="33"/>
  <c r="J2382" i="33"/>
  <c r="J1790" i="33"/>
  <c r="J2974" i="33"/>
  <c r="J610" i="33"/>
  <c r="J1183" i="33"/>
  <c r="J2954" i="33"/>
  <c r="J1770" i="33"/>
  <c r="J2442" i="33"/>
  <c r="J89" i="33"/>
  <c r="U61" i="29"/>
  <c r="U3029" i="33"/>
  <c r="U1870" i="33"/>
  <c r="U2456" i="33"/>
  <c r="U73" i="29"/>
  <c r="U74" i="29"/>
  <c r="U75" i="29"/>
  <c r="U680" i="33"/>
  <c r="U2439" i="33"/>
  <c r="U75" i="17"/>
  <c r="U76" i="17"/>
  <c r="J1278" i="33"/>
  <c r="J76" i="17"/>
  <c r="J74" i="29"/>
  <c r="J102" i="33"/>
  <c r="J75" i="17"/>
  <c r="U679" i="33"/>
  <c r="U1277" i="33"/>
  <c r="U681" i="33"/>
  <c r="U2455" i="33"/>
  <c r="U2457" i="33"/>
  <c r="U1869" i="33"/>
  <c r="J1870" i="33"/>
  <c r="J680" i="33"/>
  <c r="U101" i="33"/>
  <c r="U102" i="33"/>
  <c r="J101" i="33"/>
  <c r="U3048" i="33"/>
  <c r="J73" i="29"/>
  <c r="J2457" i="33"/>
  <c r="J3050" i="33"/>
  <c r="J1279" i="33"/>
  <c r="U1868" i="33"/>
  <c r="J1277" i="33"/>
  <c r="U1279" i="33"/>
  <c r="U3050" i="33"/>
  <c r="U1278" i="33"/>
  <c r="U3049" i="33"/>
  <c r="U2442" i="33"/>
  <c r="J3034" i="33"/>
  <c r="U88" i="33"/>
  <c r="U667" i="33"/>
  <c r="U64" i="17"/>
  <c r="U65" i="17"/>
  <c r="J65" i="17"/>
  <c r="J63" i="29"/>
  <c r="J665" i="33"/>
  <c r="U666" i="33"/>
  <c r="U2441" i="33"/>
  <c r="J3036" i="33"/>
  <c r="U3036" i="33"/>
  <c r="J62" i="29"/>
  <c r="U665" i="33"/>
  <c r="U2440" i="33"/>
  <c r="J3035" i="33"/>
  <c r="U3035" i="33"/>
  <c r="U3034" i="33"/>
  <c r="U63" i="29"/>
  <c r="J2440" i="33"/>
  <c r="U2438" i="33"/>
  <c r="J3030" i="33"/>
  <c r="J3033" i="33"/>
  <c r="U3033" i="33"/>
  <c r="J64" i="17"/>
  <c r="J61" i="29"/>
  <c r="U62" i="29"/>
  <c r="J667" i="33"/>
  <c r="U2437" i="33"/>
  <c r="J3029" i="33"/>
  <c r="J3032" i="33"/>
  <c r="U3032" i="33"/>
  <c r="J666" i="33"/>
  <c r="J3031" i="33"/>
  <c r="U3031" i="33"/>
  <c r="J88" i="33"/>
  <c r="U2443" i="33"/>
  <c r="U3030" i="33"/>
  <c r="J2443" i="33"/>
  <c r="H35" i="14"/>
  <c r="J231" i="140" s="1"/>
  <c r="O1266" i="33" l="1"/>
  <c r="O1857" i="33"/>
  <c r="J2441" i="33"/>
  <c r="J679" i="33"/>
  <c r="J681" i="33"/>
  <c r="J1869" i="33"/>
  <c r="J1868" i="33"/>
  <c r="J2438" i="33"/>
  <c r="J2439" i="33"/>
  <c r="J3048" i="33"/>
  <c r="J2437" i="33"/>
  <c r="J3049" i="33"/>
  <c r="J2455" i="33"/>
  <c r="J75" i="29"/>
  <c r="J2456" i="33"/>
  <c r="D760" i="34" l="1"/>
  <c r="D744" i="34"/>
  <c r="D728" i="34"/>
  <c r="D712" i="34"/>
  <c r="D696" i="34"/>
  <c r="D680" i="34"/>
  <c r="D664" i="34"/>
  <c r="D648" i="34"/>
  <c r="D632" i="34"/>
  <c r="D616" i="34"/>
  <c r="D370" i="34"/>
  <c r="D354" i="34"/>
  <c r="D338" i="34"/>
  <c r="D322" i="34"/>
  <c r="D306" i="34"/>
  <c r="D290" i="34"/>
  <c r="D274" i="34"/>
  <c r="D258" i="34"/>
  <c r="D242" i="34"/>
  <c r="D226" i="34"/>
  <c r="D538" i="35"/>
  <c r="D1150" i="34"/>
  <c r="D1134" i="34"/>
  <c r="D1118" i="34"/>
  <c r="D1102" i="34"/>
  <c r="D1086" i="34"/>
  <c r="D1070" i="34"/>
  <c r="D1054" i="34"/>
  <c r="D1038" i="34"/>
  <c r="D1022" i="34"/>
  <c r="D1006" i="34"/>
  <c r="D565" i="34"/>
  <c r="D549" i="34"/>
  <c r="D533" i="34"/>
  <c r="D517" i="34"/>
  <c r="D501" i="34"/>
  <c r="D485" i="34"/>
  <c r="D469" i="34"/>
  <c r="D453" i="34"/>
  <c r="D437" i="34"/>
  <c r="D421" i="34"/>
  <c r="D955" i="34"/>
  <c r="D939" i="34"/>
  <c r="D923" i="34"/>
  <c r="D907" i="34"/>
  <c r="D891" i="34"/>
  <c r="D875" i="34"/>
  <c r="D859" i="34"/>
  <c r="D843" i="34"/>
  <c r="D827" i="34"/>
  <c r="D811" i="34"/>
  <c r="D175" i="34"/>
  <c r="D159" i="34"/>
  <c r="D143" i="34"/>
  <c r="D127" i="34"/>
  <c r="D111" i="34"/>
  <c r="D95" i="34"/>
  <c r="D79" i="34"/>
  <c r="D63" i="34"/>
  <c r="D31" i="34"/>
  <c r="D47" i="34"/>
  <c r="D2654" i="36"/>
  <c r="D2655" i="36"/>
  <c r="D2656" i="36"/>
  <c r="D2657" i="36"/>
  <c r="D2658" i="36"/>
  <c r="D2659" i="36"/>
  <c r="D2660" i="36"/>
  <c r="D2661" i="36"/>
  <c r="D2662" i="36"/>
  <c r="D2663" i="36"/>
  <c r="D2664" i="36"/>
  <c r="D2665" i="36"/>
  <c r="D2666" i="36"/>
  <c r="D2667" i="36"/>
  <c r="D2668" i="36"/>
  <c r="D2669" i="36"/>
  <c r="D2670" i="36"/>
  <c r="D2671" i="36"/>
  <c r="D2672" i="36"/>
  <c r="D2673" i="36"/>
  <c r="D2674" i="36"/>
  <c r="D2675" i="36"/>
  <c r="D2676" i="36"/>
  <c r="D2677" i="36"/>
  <c r="D2678" i="36"/>
  <c r="D2679" i="36"/>
  <c r="D2680" i="36"/>
  <c r="D2681" i="36"/>
  <c r="D2682" i="36"/>
  <c r="D2683" i="36"/>
  <c r="D2684" i="36"/>
  <c r="D2685" i="36"/>
  <c r="D2686" i="36"/>
  <c r="D1760" i="36"/>
  <c r="D1761" i="36"/>
  <c r="D1762" i="36"/>
  <c r="D1763" i="36"/>
  <c r="D1764" i="36"/>
  <c r="D1765" i="36"/>
  <c r="D1766" i="36"/>
  <c r="D1767" i="36"/>
  <c r="D1768" i="36"/>
  <c r="D1769" i="36"/>
  <c r="D1770" i="36"/>
  <c r="D1771" i="36"/>
  <c r="D1772" i="36"/>
  <c r="D1773" i="36"/>
  <c r="D1774" i="36"/>
  <c r="D1775" i="36"/>
  <c r="D1776" i="36"/>
  <c r="D1777" i="36"/>
  <c r="D1778" i="36"/>
  <c r="D1779" i="36"/>
  <c r="D1780" i="36"/>
  <c r="D1781" i="36"/>
  <c r="D1782" i="36"/>
  <c r="D1783" i="36"/>
  <c r="D1784" i="36"/>
  <c r="D1785" i="36"/>
  <c r="D1786" i="36"/>
  <c r="D1787" i="36"/>
  <c r="D1788" i="36"/>
  <c r="D1789" i="36"/>
  <c r="D1790" i="36"/>
  <c r="D1791" i="36"/>
  <c r="D1792" i="36"/>
  <c r="D1313" i="36"/>
  <c r="D1314" i="36"/>
  <c r="D1315" i="36"/>
  <c r="D1316" i="36"/>
  <c r="D1317" i="36"/>
  <c r="D1318" i="36"/>
  <c r="D1319" i="36"/>
  <c r="D1320" i="36"/>
  <c r="D1321" i="36"/>
  <c r="D1322" i="36"/>
  <c r="D1323" i="36"/>
  <c r="D1324" i="36"/>
  <c r="D1325" i="36"/>
  <c r="D1326" i="36"/>
  <c r="D1327" i="36"/>
  <c r="D1328" i="36"/>
  <c r="D1329" i="36"/>
  <c r="D1330" i="36"/>
  <c r="D1331" i="36"/>
  <c r="D1332" i="36"/>
  <c r="D1333" i="36"/>
  <c r="D1334" i="36"/>
  <c r="D1335" i="36"/>
  <c r="D1336" i="36"/>
  <c r="D1337" i="36"/>
  <c r="D1338" i="36"/>
  <c r="D1339" i="36"/>
  <c r="D1340" i="36"/>
  <c r="D1341" i="36"/>
  <c r="D1342" i="36"/>
  <c r="D1343" i="36"/>
  <c r="D1344" i="36"/>
  <c r="D1345" i="36"/>
  <c r="D866" i="36"/>
  <c r="D867" i="36"/>
  <c r="D868" i="36"/>
  <c r="D869" i="36"/>
  <c r="D870" i="36"/>
  <c r="D871" i="36"/>
  <c r="D872" i="36"/>
  <c r="D873" i="36"/>
  <c r="D874" i="36"/>
  <c r="D875" i="36"/>
  <c r="D876" i="36"/>
  <c r="D877" i="36"/>
  <c r="D878" i="36"/>
  <c r="D879" i="36"/>
  <c r="D880" i="36"/>
  <c r="D881" i="36"/>
  <c r="D882" i="36"/>
  <c r="D883" i="36"/>
  <c r="D884" i="36"/>
  <c r="D885" i="36"/>
  <c r="D886" i="36"/>
  <c r="D887" i="36"/>
  <c r="D888" i="36"/>
  <c r="D889" i="36"/>
  <c r="D890" i="36"/>
  <c r="D891" i="36"/>
  <c r="D892" i="36"/>
  <c r="D893" i="36"/>
  <c r="D894" i="36"/>
  <c r="D895" i="36"/>
  <c r="D896" i="36"/>
  <c r="D897" i="36"/>
  <c r="D898" i="36"/>
  <c r="D419" i="36"/>
  <c r="D423" i="36"/>
  <c r="D424" i="36"/>
  <c r="D425" i="36"/>
  <c r="D426" i="36"/>
  <c r="D427" i="36"/>
  <c r="D428" i="36"/>
  <c r="D429" i="36"/>
  <c r="D430" i="36"/>
  <c r="D431" i="36"/>
  <c r="D432" i="36"/>
  <c r="D433" i="36"/>
  <c r="D434" i="36"/>
  <c r="D435" i="36"/>
  <c r="D436" i="36"/>
  <c r="D437" i="36"/>
  <c r="D438" i="36"/>
  <c r="D439" i="36"/>
  <c r="D440" i="36"/>
  <c r="D441" i="36"/>
  <c r="D442" i="36"/>
  <c r="D443" i="36"/>
  <c r="D444" i="36"/>
  <c r="D445" i="36"/>
  <c r="D446" i="36"/>
  <c r="D447" i="36"/>
  <c r="D448" i="36"/>
  <c r="D449" i="36"/>
  <c r="D450" i="36"/>
  <c r="D451" i="36"/>
  <c r="D420" i="36"/>
  <c r="D421" i="36"/>
  <c r="D422" i="36"/>
  <c r="D198" i="30"/>
  <c r="D193" i="30"/>
  <c r="D175" i="30"/>
  <c r="D157" i="30"/>
  <c r="D139" i="30"/>
  <c r="D121" i="30"/>
  <c r="D103" i="30"/>
  <c r="D85" i="30"/>
  <c r="D67" i="30"/>
  <c r="D49" i="30"/>
  <c r="D31" i="30"/>
  <c r="D131" i="31"/>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D450" i="32"/>
  <c r="D451" i="32"/>
  <c r="U1925" i="33" l="1"/>
  <c r="U1926" i="33"/>
  <c r="J1923" i="33"/>
  <c r="M1923" i="33" s="1"/>
  <c r="J1924" i="33"/>
  <c r="M1924" i="33" s="1"/>
  <c r="U1923" i="33"/>
  <c r="J1925" i="33"/>
  <c r="M1925" i="33" s="1"/>
  <c r="J1926" i="33"/>
  <c r="M1926" i="33" s="1"/>
  <c r="U1924" i="33"/>
  <c r="U153" i="33"/>
  <c r="U154" i="33"/>
  <c r="J154" i="33"/>
  <c r="M154" i="33" s="1"/>
  <c r="U151" i="33"/>
  <c r="U152" i="33"/>
  <c r="D1352" i="35"/>
  <c r="D131" i="35"/>
  <c r="D945" i="35"/>
  <c r="D1759" i="35"/>
  <c r="D2166" i="35"/>
  <c r="D996" i="35"/>
  <c r="D2217" i="35"/>
  <c r="D182" i="35"/>
  <c r="D589" i="35"/>
  <c r="D1403" i="35"/>
  <c r="D1810" i="35"/>
  <c r="D979" i="35"/>
  <c r="D2200" i="35"/>
  <c r="D165" i="35"/>
  <c r="D572" i="35"/>
  <c r="D1386" i="35"/>
  <c r="D1793" i="35"/>
  <c r="D962" i="35"/>
  <c r="D2183" i="35"/>
  <c r="D148" i="35"/>
  <c r="D555" i="35"/>
  <c r="D1369" i="35"/>
  <c r="D1776" i="35"/>
  <c r="J3097" i="33"/>
  <c r="J3101" i="33"/>
  <c r="J747" i="33"/>
  <c r="J3094" i="33"/>
  <c r="J1330" i="33"/>
  <c r="J3099" i="33"/>
  <c r="J3098" i="33"/>
  <c r="J151" i="33"/>
  <c r="M151" i="33" s="1"/>
  <c r="J3096" i="33"/>
  <c r="J3103" i="33"/>
  <c r="U3093" i="33"/>
  <c r="U3101" i="33"/>
  <c r="U3094" i="33"/>
  <c r="U3102" i="33"/>
  <c r="U3095" i="33"/>
  <c r="U3103" i="33"/>
  <c r="U3096" i="33"/>
  <c r="U3097" i="33"/>
  <c r="U3098" i="33"/>
  <c r="U3099" i="33"/>
  <c r="U3100" i="33"/>
  <c r="U1328" i="33"/>
  <c r="U1329" i="33"/>
  <c r="U1330" i="33"/>
  <c r="U1331" i="33"/>
  <c r="U1332" i="33"/>
  <c r="U1333" i="33"/>
  <c r="U1334" i="33"/>
  <c r="U747" i="33"/>
  <c r="D182" i="31"/>
  <c r="D165" i="31"/>
  <c r="D148" i="31"/>
  <c r="J120" i="29"/>
  <c r="U120" i="29"/>
  <c r="D2236" i="36"/>
  <c r="D2228" i="36"/>
  <c r="D2220" i="36"/>
  <c r="D2212" i="36"/>
  <c r="D2235" i="36"/>
  <c r="D2227" i="36"/>
  <c r="D2219" i="36"/>
  <c r="D2211" i="36"/>
  <c r="D2234" i="36"/>
  <c r="D2226" i="36"/>
  <c r="D2218" i="36"/>
  <c r="D2210" i="36"/>
  <c r="D2233" i="36"/>
  <c r="D2225" i="36"/>
  <c r="D2217" i="36"/>
  <c r="D2209" i="36"/>
  <c r="D2232" i="36"/>
  <c r="D2224" i="36"/>
  <c r="D2216" i="36"/>
  <c r="D2208" i="36"/>
  <c r="D2239" i="36"/>
  <c r="D2231" i="36"/>
  <c r="D2223" i="36"/>
  <c r="D2215" i="36"/>
  <c r="D2207" i="36"/>
  <c r="D2238" i="36"/>
  <c r="D2230" i="36"/>
  <c r="D2222" i="36"/>
  <c r="D2214" i="36"/>
  <c r="D2237" i="36"/>
  <c r="D2229" i="36"/>
  <c r="D2221" i="36"/>
  <c r="D2213" i="36"/>
  <c r="M1927" i="33" l="1"/>
  <c r="J153" i="33"/>
  <c r="M153" i="33" s="1"/>
  <c r="J152" i="33"/>
  <c r="M152" i="33" s="1"/>
  <c r="J3095" i="33"/>
  <c r="J3102" i="33"/>
  <c r="J1333" i="33"/>
  <c r="J1329" i="33"/>
  <c r="J3100" i="33"/>
  <c r="J1332" i="33"/>
  <c r="J1328" i="33"/>
  <c r="J1331" i="33"/>
  <c r="J1334" i="33"/>
  <c r="J3093" i="33"/>
  <c r="J2514" i="33"/>
  <c r="U2517" i="33"/>
  <c r="U2518" i="33"/>
  <c r="U2513" i="33"/>
  <c r="U2514" i="33"/>
  <c r="U2515" i="33"/>
  <c r="J2517" i="33"/>
  <c r="U2516" i="33"/>
  <c r="J2513" i="33"/>
  <c r="J2516" i="33"/>
  <c r="J2515" i="33"/>
  <c r="J2518" i="33"/>
  <c r="M155" i="33" l="1"/>
  <c r="L243" i="110"/>
  <c r="O243" i="110"/>
  <c r="J243" i="110"/>
  <c r="N243" i="110"/>
  <c r="K243" i="110"/>
  <c r="M243" i="110"/>
  <c r="D150" i="19" l="1"/>
  <c r="D162" i="19" s="1"/>
  <c r="D135" i="19"/>
  <c r="D147" i="19" s="1"/>
  <c r="D120" i="19"/>
  <c r="D132" i="19" s="1"/>
  <c r="D105" i="19"/>
  <c r="D117" i="19" s="1"/>
  <c r="D90" i="19" l="1"/>
  <c r="D102" i="19" s="1"/>
  <c r="D75" i="19"/>
  <c r="D87" i="19" s="1"/>
  <c r="D60" i="19"/>
  <c r="D72" i="19" s="1"/>
  <c r="D45" i="19"/>
  <c r="D57" i="19" s="1"/>
  <c r="D30" i="19"/>
  <c r="D42" i="19" s="1"/>
  <c r="D15" i="19"/>
  <c r="L424" i="82"/>
  <c r="M424" i="82"/>
  <c r="N424" i="82"/>
  <c r="K424" i="82"/>
  <c r="J424" i="82"/>
  <c r="I424" i="82"/>
  <c r="H424" i="82"/>
  <c r="G424" i="82"/>
  <c r="F424" i="82"/>
  <c r="C15" i="21"/>
  <c r="D27" i="19" l="1"/>
  <c r="B826" i="35"/>
  <c r="B1640" i="35"/>
  <c r="B1233" i="35"/>
  <c r="B419" i="35"/>
  <c r="B12" i="35"/>
  <c r="B2047" i="35"/>
  <c r="C143" i="155" l="1"/>
  <c r="C105" i="149"/>
  <c r="C143" i="152"/>
  <c r="C105" i="146"/>
  <c r="C143" i="151"/>
  <c r="C105" i="145"/>
  <c r="C143" i="153"/>
  <c r="C105" i="147"/>
  <c r="C143" i="156"/>
  <c r="C105" i="150"/>
  <c r="C143" i="154"/>
  <c r="C105" i="148"/>
  <c r="D2247" i="36"/>
  <c r="D2248" i="36"/>
  <c r="D2249" i="36"/>
  <c r="D2250" i="36"/>
  <c r="D2251" i="36"/>
  <c r="D2252" i="36"/>
  <c r="D2253" i="36"/>
  <c r="D1353" i="36"/>
  <c r="D1354" i="36"/>
  <c r="D1355" i="36"/>
  <c r="D1356" i="36"/>
  <c r="D1357" i="36"/>
  <c r="D1358" i="36"/>
  <c r="D1359" i="36"/>
  <c r="D906" i="36"/>
  <c r="D907" i="36"/>
  <c r="D908" i="36"/>
  <c r="D909" i="36"/>
  <c r="D910" i="36"/>
  <c r="D911" i="36"/>
  <c r="D912" i="36"/>
  <c r="D1800" i="36"/>
  <c r="D1801" i="36"/>
  <c r="D1802" i="36"/>
  <c r="D1803" i="36"/>
  <c r="D1804" i="36"/>
  <c r="D1805" i="36"/>
  <c r="D1806" i="36"/>
  <c r="D459" i="36"/>
  <c r="D460" i="36"/>
  <c r="D461" i="36"/>
  <c r="D462" i="36"/>
  <c r="D463" i="36"/>
  <c r="D464" i="36"/>
  <c r="D465" i="36"/>
  <c r="D12" i="36"/>
  <c r="D13" i="36"/>
  <c r="D14" i="36"/>
  <c r="D15" i="36"/>
  <c r="D16" i="36"/>
  <c r="D17" i="36"/>
  <c r="D18" i="36"/>
  <c r="D12" i="32"/>
  <c r="D13" i="32"/>
  <c r="D14" i="32"/>
  <c r="D15" i="32"/>
  <c r="D16" i="32"/>
  <c r="D17" i="32"/>
  <c r="D18" i="32"/>
  <c r="D12" i="18"/>
  <c r="D13" i="18"/>
  <c r="D14" i="18"/>
  <c r="D15" i="18"/>
  <c r="D16" i="18"/>
  <c r="D17" i="18"/>
  <c r="D18" i="18"/>
  <c r="J8" i="35"/>
  <c r="K8" i="35"/>
  <c r="L8" i="35"/>
  <c r="M8" i="35"/>
  <c r="N8" i="35"/>
  <c r="O8" i="35"/>
  <c r="J8" i="31"/>
  <c r="K8" i="31"/>
  <c r="L8" i="31"/>
  <c r="M8" i="31"/>
  <c r="N8" i="31"/>
  <c r="O8" i="31"/>
  <c r="J8" i="19"/>
  <c r="K8" i="19"/>
  <c r="L8" i="19"/>
  <c r="M8" i="19"/>
  <c r="N8" i="19"/>
  <c r="O8" i="19"/>
  <c r="J8" i="111"/>
  <c r="K8" i="111"/>
  <c r="L8" i="111"/>
  <c r="M8" i="111"/>
  <c r="N8" i="111"/>
  <c r="O8" i="111"/>
  <c r="J8" i="20"/>
  <c r="K8" i="20"/>
  <c r="L8" i="20"/>
  <c r="M8" i="20"/>
  <c r="N8" i="20"/>
  <c r="O8" i="20"/>
  <c r="J8" i="37"/>
  <c r="K8" i="37"/>
  <c r="L8" i="37"/>
  <c r="M8" i="37"/>
  <c r="N8" i="37"/>
  <c r="O8" i="37"/>
  <c r="J8" i="110"/>
  <c r="K8" i="110"/>
  <c r="L8" i="110"/>
  <c r="M8" i="110"/>
  <c r="N8" i="110"/>
  <c r="O8" i="110"/>
  <c r="J8" i="34"/>
  <c r="K8" i="34"/>
  <c r="L8" i="34"/>
  <c r="M8" i="34"/>
  <c r="N8" i="34"/>
  <c r="O8" i="34"/>
  <c r="J8" i="30"/>
  <c r="K8" i="30"/>
  <c r="L8" i="30"/>
  <c r="M8" i="30"/>
  <c r="N8" i="30"/>
  <c r="O8" i="30"/>
  <c r="J8" i="21"/>
  <c r="K8" i="21"/>
  <c r="L8" i="21"/>
  <c r="M8" i="21"/>
  <c r="N8" i="21"/>
  <c r="O8" i="21"/>
  <c r="J8" i="51"/>
  <c r="K8" i="51"/>
  <c r="L8" i="51"/>
  <c r="M8" i="51"/>
  <c r="N8" i="51"/>
  <c r="O8" i="51"/>
  <c r="J8" i="14"/>
  <c r="K8" i="14"/>
  <c r="L8" i="14"/>
  <c r="M8" i="14"/>
  <c r="N8" i="14"/>
  <c r="O8" i="14"/>
  <c r="J235" i="111"/>
  <c r="J236" i="111"/>
  <c r="J237" i="111"/>
  <c r="J238" i="111"/>
  <c r="J159" i="20"/>
  <c r="L159" i="20"/>
  <c r="M159" i="20"/>
  <c r="N159" i="20"/>
  <c r="O159" i="20"/>
  <c r="J158" i="20"/>
  <c r="K158" i="20"/>
  <c r="L158" i="20"/>
  <c r="M158" i="20"/>
  <c r="N158" i="20"/>
  <c r="O158" i="20"/>
  <c r="J32" i="20"/>
  <c r="J357" i="37"/>
  <c r="K357" i="37"/>
  <c r="L357" i="37"/>
  <c r="M357" i="37"/>
  <c r="N357" i="37"/>
  <c r="O357" i="37"/>
  <c r="B12" i="19"/>
  <c r="C126" i="142" l="1"/>
  <c r="C240" i="140"/>
  <c r="L277" i="20"/>
  <c r="L281" i="20"/>
  <c r="L285" i="20"/>
  <c r="L280" i="20"/>
  <c r="L284" i="20"/>
  <c r="L268" i="20"/>
  <c r="L272" i="20"/>
  <c r="L276" i="20"/>
  <c r="L261" i="20"/>
  <c r="L254" i="20"/>
  <c r="L255" i="20"/>
  <c r="L271" i="20"/>
  <c r="L263" i="20"/>
  <c r="L264" i="20"/>
  <c r="L273" i="20"/>
  <c r="L253" i="20"/>
  <c r="L278" i="20"/>
  <c r="L267" i="20"/>
  <c r="L257" i="20"/>
  <c r="L270" i="20"/>
  <c r="L249" i="20"/>
  <c r="L250" i="20"/>
  <c r="L251" i="20"/>
  <c r="L256" i="20"/>
  <c r="L260" i="20"/>
  <c r="L252" i="20"/>
  <c r="L279" i="20"/>
  <c r="L258" i="20"/>
  <c r="L259" i="20"/>
  <c r="L283" i="20"/>
  <c r="L286" i="20"/>
  <c r="L265" i="20"/>
  <c r="L275" i="20"/>
  <c r="L269" i="20"/>
  <c r="L266" i="20"/>
  <c r="L247" i="20"/>
  <c r="L274" i="20"/>
  <c r="L282" i="20"/>
  <c r="L248" i="20"/>
  <c r="L262" i="20"/>
  <c r="K280" i="20"/>
  <c r="K284" i="20"/>
  <c r="K268" i="20"/>
  <c r="K272" i="20"/>
  <c r="K276" i="20"/>
  <c r="K277" i="20"/>
  <c r="K281" i="20"/>
  <c r="K285" i="20"/>
  <c r="K261" i="20"/>
  <c r="K266" i="20"/>
  <c r="K274" i="20"/>
  <c r="K278" i="20"/>
  <c r="K269" i="20"/>
  <c r="K267" i="20"/>
  <c r="K270" i="20"/>
  <c r="K251" i="20"/>
  <c r="K249" i="20"/>
  <c r="K254" i="20"/>
  <c r="K260" i="20"/>
  <c r="K257" i="20"/>
  <c r="K262" i="20"/>
  <c r="K259" i="20"/>
  <c r="K279" i="20"/>
  <c r="K250" i="20"/>
  <c r="K258" i="20"/>
  <c r="K286" i="20"/>
  <c r="K248" i="20"/>
  <c r="K247" i="20"/>
  <c r="K256" i="20"/>
  <c r="K265" i="20"/>
  <c r="K275" i="20"/>
  <c r="K282" i="20"/>
  <c r="K273" i="20"/>
  <c r="K253" i="20"/>
  <c r="K255" i="20"/>
  <c r="K271" i="20"/>
  <c r="K264" i="20"/>
  <c r="K263" i="20"/>
  <c r="K252" i="20"/>
  <c r="K283" i="20"/>
  <c r="J280" i="20"/>
  <c r="J284" i="20"/>
  <c r="J268" i="20"/>
  <c r="J272" i="20"/>
  <c r="J276" i="20"/>
  <c r="J277" i="20"/>
  <c r="J281" i="20"/>
  <c r="J285" i="20"/>
  <c r="J283" i="20"/>
  <c r="J264" i="20"/>
  <c r="J247" i="20"/>
  <c r="J244" i="20"/>
  <c r="J227" i="20"/>
  <c r="J245" i="20"/>
  <c r="J273" i="20"/>
  <c r="J246" i="20"/>
  <c r="J259" i="20"/>
  <c r="J256" i="20"/>
  <c r="J239" i="20"/>
  <c r="J236" i="20"/>
  <c r="J219" i="20"/>
  <c r="J225" i="20"/>
  <c r="J253" i="20"/>
  <c r="J248" i="20"/>
  <c r="J231" i="20"/>
  <c r="J228" i="20"/>
  <c r="J233" i="20"/>
  <c r="J261" i="20"/>
  <c r="J240" i="20"/>
  <c r="J223" i="20"/>
  <c r="J220" i="20"/>
  <c r="J241" i="20"/>
  <c r="J269" i="20"/>
  <c r="J242" i="20"/>
  <c r="J286" i="20"/>
  <c r="J282" i="20"/>
  <c r="J232" i="20"/>
  <c r="J267" i="20"/>
  <c r="J275" i="20"/>
  <c r="J221" i="20"/>
  <c r="J249" i="20"/>
  <c r="J222" i="20"/>
  <c r="J250" i="20"/>
  <c r="J230" i="20"/>
  <c r="J258" i="20"/>
  <c r="J238" i="20"/>
  <c r="J224" i="20"/>
  <c r="J279" i="20"/>
  <c r="J251" i="20"/>
  <c r="J229" i="20"/>
  <c r="J257" i="20"/>
  <c r="J271" i="20"/>
  <c r="J260" i="20"/>
  <c r="J243" i="20"/>
  <c r="J237" i="20"/>
  <c r="J263" i="20"/>
  <c r="J255" i="20"/>
  <c r="J252" i="20"/>
  <c r="J235" i="20"/>
  <c r="J217" i="20"/>
  <c r="J265" i="20"/>
  <c r="J218" i="20"/>
  <c r="J266" i="20"/>
  <c r="J274" i="20"/>
  <c r="J278" i="20"/>
  <c r="J226" i="20"/>
  <c r="J254" i="20"/>
  <c r="J270" i="20"/>
  <c r="J234" i="20"/>
  <c r="J262" i="20"/>
  <c r="O277" i="20"/>
  <c r="O281" i="20"/>
  <c r="O285" i="20"/>
  <c r="O280" i="20"/>
  <c r="O284" i="20"/>
  <c r="O268" i="20"/>
  <c r="O272" i="20"/>
  <c r="O276" i="20"/>
  <c r="O251" i="20"/>
  <c r="O256" i="20"/>
  <c r="O253" i="20"/>
  <c r="O269" i="20"/>
  <c r="O286" i="20"/>
  <c r="O282" i="20"/>
  <c r="O259" i="20"/>
  <c r="O267" i="20"/>
  <c r="O247" i="20"/>
  <c r="O252" i="20"/>
  <c r="O249" i="20"/>
  <c r="O258" i="20"/>
  <c r="O278" i="20"/>
  <c r="O274" i="20"/>
  <c r="O265" i="20"/>
  <c r="O275" i="20"/>
  <c r="O283" i="20"/>
  <c r="O260" i="20"/>
  <c r="O257" i="20"/>
  <c r="O248" i="20"/>
  <c r="O273" i="20"/>
  <c r="O255" i="20"/>
  <c r="O266" i="20"/>
  <c r="O263" i="20"/>
  <c r="O279" i="20"/>
  <c r="O271" i="20"/>
  <c r="O254" i="20"/>
  <c r="O270" i="20"/>
  <c r="O262" i="20"/>
  <c r="O264" i="20"/>
  <c r="O261" i="20"/>
  <c r="O250" i="20"/>
  <c r="N277" i="20"/>
  <c r="N281" i="20"/>
  <c r="N285" i="20"/>
  <c r="N280" i="20"/>
  <c r="N284" i="20"/>
  <c r="N268" i="20"/>
  <c r="N272" i="20"/>
  <c r="N276" i="20"/>
  <c r="N286" i="20"/>
  <c r="N263" i="20"/>
  <c r="N279" i="20"/>
  <c r="N264" i="20"/>
  <c r="N265" i="20"/>
  <c r="N271" i="20"/>
  <c r="N278" i="20"/>
  <c r="N274" i="20"/>
  <c r="N270" i="20"/>
  <c r="N282" i="20"/>
  <c r="N251" i="20"/>
  <c r="N252" i="20"/>
  <c r="N261" i="20"/>
  <c r="N266" i="20"/>
  <c r="N262" i="20"/>
  <c r="N259" i="20"/>
  <c r="N260" i="20"/>
  <c r="N253" i="20"/>
  <c r="N247" i="20"/>
  <c r="N248" i="20"/>
  <c r="N258" i="20"/>
  <c r="N254" i="20"/>
  <c r="N267" i="20"/>
  <c r="N257" i="20"/>
  <c r="N269" i="20"/>
  <c r="N250" i="20"/>
  <c r="N273" i="20"/>
  <c r="N275" i="20"/>
  <c r="N283" i="20"/>
  <c r="N249" i="20"/>
  <c r="N255" i="20"/>
  <c r="N256" i="20"/>
  <c r="M277" i="20"/>
  <c r="M281" i="20"/>
  <c r="M285" i="20"/>
  <c r="M280" i="20"/>
  <c r="M284" i="20"/>
  <c r="M268" i="20"/>
  <c r="M272" i="20"/>
  <c r="M276" i="20"/>
  <c r="M270" i="20"/>
  <c r="M269" i="20"/>
  <c r="M271" i="20"/>
  <c r="M252" i="20"/>
  <c r="M263" i="20"/>
  <c r="M260" i="20"/>
  <c r="M255" i="20"/>
  <c r="M261" i="20"/>
  <c r="M258" i="20"/>
  <c r="M286" i="20"/>
  <c r="M267" i="20"/>
  <c r="M249" i="20"/>
  <c r="M257" i="20"/>
  <c r="M265" i="20"/>
  <c r="M266" i="20"/>
  <c r="M251" i="20"/>
  <c r="M248" i="20"/>
  <c r="M282" i="20"/>
  <c r="M283" i="20"/>
  <c r="M274" i="20"/>
  <c r="M259" i="20"/>
  <c r="M256" i="20"/>
  <c r="M254" i="20"/>
  <c r="M273" i="20"/>
  <c r="M262" i="20"/>
  <c r="M278" i="20"/>
  <c r="M247" i="20"/>
  <c r="M275" i="20"/>
  <c r="M279" i="20"/>
  <c r="M264" i="20"/>
  <c r="M253" i="20"/>
  <c r="M250" i="20"/>
  <c r="C133" i="17"/>
  <c r="K206" i="20"/>
  <c r="K210" i="20"/>
  <c r="K191" i="20"/>
  <c r="K195" i="20"/>
  <c r="K199" i="20"/>
  <c r="K205" i="20"/>
  <c r="K209" i="20"/>
  <c r="K190" i="20"/>
  <c r="K194" i="20"/>
  <c r="K198" i="20"/>
  <c r="K204" i="20"/>
  <c r="K208" i="20"/>
  <c r="K212" i="20"/>
  <c r="K193" i="20"/>
  <c r="K197" i="20"/>
  <c r="K203" i="20"/>
  <c r="K207" i="20"/>
  <c r="K211" i="20"/>
  <c r="K192" i="20"/>
  <c r="K196" i="20"/>
  <c r="K20" i="20"/>
  <c r="K24" i="20"/>
  <c r="K19" i="20"/>
  <c r="K23" i="20"/>
  <c r="K18" i="20"/>
  <c r="K22" i="20"/>
  <c r="K26" i="20"/>
  <c r="K17" i="20"/>
  <c r="K21" i="20"/>
  <c r="K25" i="20"/>
  <c r="J205" i="20"/>
  <c r="J209" i="20"/>
  <c r="J190" i="20"/>
  <c r="J194" i="20"/>
  <c r="J198" i="20"/>
  <c r="J204" i="20"/>
  <c r="J208" i="20"/>
  <c r="J212" i="20"/>
  <c r="J193" i="20"/>
  <c r="J197" i="20"/>
  <c r="J203" i="20"/>
  <c r="J207" i="20"/>
  <c r="J211" i="20"/>
  <c r="J192" i="20"/>
  <c r="J196" i="20"/>
  <c r="J206" i="20"/>
  <c r="J210" i="20"/>
  <c r="J191" i="20"/>
  <c r="J195" i="20"/>
  <c r="J199" i="20"/>
  <c r="J20" i="20"/>
  <c r="J24" i="20"/>
  <c r="J19" i="20"/>
  <c r="J23" i="20"/>
  <c r="J18" i="20"/>
  <c r="J22" i="20"/>
  <c r="J26" i="20"/>
  <c r="J17" i="20"/>
  <c r="J21" i="20"/>
  <c r="J25" i="20"/>
  <c r="O18" i="20"/>
  <c r="O22" i="20"/>
  <c r="O26" i="20"/>
  <c r="O17" i="20"/>
  <c r="O21" i="20"/>
  <c r="O25" i="20"/>
  <c r="O20" i="20"/>
  <c r="O24" i="20"/>
  <c r="O19" i="20"/>
  <c r="O23" i="20"/>
  <c r="N18" i="20"/>
  <c r="N22" i="20"/>
  <c r="N26" i="20"/>
  <c r="N17" i="20"/>
  <c r="N21" i="20"/>
  <c r="N25" i="20"/>
  <c r="N20" i="20"/>
  <c r="N24" i="20"/>
  <c r="N19" i="20"/>
  <c r="N23" i="20"/>
  <c r="M17" i="20"/>
  <c r="M21" i="20"/>
  <c r="M25" i="20"/>
  <c r="M20" i="20"/>
  <c r="M24" i="20"/>
  <c r="M19" i="20"/>
  <c r="M23" i="20"/>
  <c r="M18" i="20"/>
  <c r="M22" i="20"/>
  <c r="M26" i="20"/>
  <c r="L206" i="20"/>
  <c r="L210" i="20"/>
  <c r="L191" i="20"/>
  <c r="L195" i="20"/>
  <c r="L199" i="20"/>
  <c r="L205" i="20"/>
  <c r="L209" i="20"/>
  <c r="L190" i="20"/>
  <c r="L194" i="20"/>
  <c r="L198" i="20"/>
  <c r="L204" i="20"/>
  <c r="L208" i="20"/>
  <c r="L212" i="20"/>
  <c r="L193" i="20"/>
  <c r="L197" i="20"/>
  <c r="L203" i="20"/>
  <c r="L207" i="20"/>
  <c r="L211" i="20"/>
  <c r="L192" i="20"/>
  <c r="L196" i="20"/>
  <c r="L17" i="20"/>
  <c r="L21" i="20"/>
  <c r="L25" i="20"/>
  <c r="L20" i="20"/>
  <c r="L24" i="20"/>
  <c r="L19" i="20"/>
  <c r="L23" i="20"/>
  <c r="L18" i="20"/>
  <c r="L22" i="20"/>
  <c r="L26" i="20"/>
  <c r="J298" i="20" l="1"/>
  <c r="J311" i="20" s="1"/>
  <c r="J83" i="140" s="1"/>
  <c r="J294" i="20"/>
  <c r="J307" i="20" s="1"/>
  <c r="J79" i="140" s="1"/>
  <c r="J292" i="20"/>
  <c r="J305" i="20" s="1"/>
  <c r="J77" i="140" s="1"/>
  <c r="J287" i="20"/>
  <c r="J291" i="20"/>
  <c r="J304" i="20" s="1"/>
  <c r="J76" i="140" s="1"/>
  <c r="J300" i="20"/>
  <c r="J313" i="20" s="1"/>
  <c r="J85" i="140" s="1"/>
  <c r="J296" i="20"/>
  <c r="J309" i="20" s="1"/>
  <c r="J81" i="140" s="1"/>
  <c r="J295" i="20"/>
  <c r="J308" i="20" s="1"/>
  <c r="J80" i="140" s="1"/>
  <c r="J297" i="20"/>
  <c r="J310" i="20" s="1"/>
  <c r="J82" i="140" s="1"/>
  <c r="J299" i="20"/>
  <c r="J312" i="20" s="1"/>
  <c r="J84" i="140" s="1"/>
  <c r="J293" i="20"/>
  <c r="J306" i="20" s="1"/>
  <c r="J78" i="140" s="1"/>
  <c r="L41" i="20"/>
  <c r="L58" i="20" s="1"/>
  <c r="M44" i="20"/>
  <c r="M61" i="20" s="1"/>
  <c r="L45" i="20"/>
  <c r="L62" i="20" s="1"/>
  <c r="L40" i="20"/>
  <c r="L57" i="20" s="1"/>
  <c r="M39" i="20"/>
  <c r="M56" i="20" s="1"/>
  <c r="N45" i="20"/>
  <c r="N62" i="20" s="1"/>
  <c r="O42" i="20"/>
  <c r="O59" i="20" s="1"/>
  <c r="O41" i="20"/>
  <c r="O58" i="20" s="1"/>
  <c r="J161" i="20"/>
  <c r="N71" i="20"/>
  <c r="J37" i="20"/>
  <c r="J54" i="20" s="1"/>
  <c r="O71" i="20"/>
  <c r="J71" i="20"/>
  <c r="K71" i="20"/>
  <c r="L71" i="20"/>
  <c r="M71" i="20"/>
  <c r="K42" i="20"/>
  <c r="K59" i="20" s="1"/>
  <c r="K213" i="20"/>
  <c r="K200" i="20"/>
  <c r="L37" i="20"/>
  <c r="L54" i="20" s="1"/>
  <c r="M45" i="20"/>
  <c r="M62" i="20" s="1"/>
  <c r="M40" i="20"/>
  <c r="M57" i="20" s="1"/>
  <c r="N38" i="20"/>
  <c r="N55" i="20" s="1"/>
  <c r="N37" i="20"/>
  <c r="N54" i="20" s="1"/>
  <c r="O43" i="20"/>
  <c r="O60" i="20" s="1"/>
  <c r="J72" i="20"/>
  <c r="K72" i="20"/>
  <c r="L72" i="20"/>
  <c r="M72" i="20"/>
  <c r="J162" i="20"/>
  <c r="N72" i="20"/>
  <c r="J38" i="20"/>
  <c r="J55" i="20" s="1"/>
  <c r="O72" i="20"/>
  <c r="K44" i="20"/>
  <c r="K61" i="20" s="1"/>
  <c r="K43" i="20"/>
  <c r="K60" i="20" s="1"/>
  <c r="K38" i="20"/>
  <c r="K55" i="20" s="1"/>
  <c r="L42" i="20"/>
  <c r="L59" i="20" s="1"/>
  <c r="M41" i="20"/>
  <c r="M58" i="20" s="1"/>
  <c r="M27" i="20"/>
  <c r="M263" i="111" s="1"/>
  <c r="M36" i="20"/>
  <c r="N43" i="20"/>
  <c r="N60" i="20" s="1"/>
  <c r="O39" i="20"/>
  <c r="O56" i="20" s="1"/>
  <c r="L78" i="20"/>
  <c r="M78" i="20"/>
  <c r="J168" i="20"/>
  <c r="N78" i="20"/>
  <c r="J44" i="20"/>
  <c r="J61" i="20" s="1"/>
  <c r="O78" i="20"/>
  <c r="J78" i="20"/>
  <c r="K78" i="20"/>
  <c r="J77" i="20"/>
  <c r="K77" i="20"/>
  <c r="L77" i="20"/>
  <c r="M77" i="20"/>
  <c r="J167" i="20"/>
  <c r="N77" i="20"/>
  <c r="J43" i="20"/>
  <c r="J60" i="20" s="1"/>
  <c r="O77" i="20"/>
  <c r="K40" i="20"/>
  <c r="K57" i="20" s="1"/>
  <c r="K39" i="20"/>
  <c r="K56" i="20" s="1"/>
  <c r="N41" i="20"/>
  <c r="N58" i="20" s="1"/>
  <c r="O37" i="20"/>
  <c r="O54" i="20" s="1"/>
  <c r="L38" i="20"/>
  <c r="L55" i="20" s="1"/>
  <c r="M37" i="20"/>
  <c r="M54" i="20" s="1"/>
  <c r="N39" i="20"/>
  <c r="N56" i="20" s="1"/>
  <c r="O44" i="20"/>
  <c r="O61" i="20" s="1"/>
  <c r="L74" i="20"/>
  <c r="M74" i="20"/>
  <c r="J164" i="20"/>
  <c r="N74" i="20"/>
  <c r="J40" i="20"/>
  <c r="J57" i="20" s="1"/>
  <c r="O74" i="20"/>
  <c r="J74" i="20"/>
  <c r="K74" i="20"/>
  <c r="J73" i="20"/>
  <c r="K73" i="20"/>
  <c r="L73" i="20"/>
  <c r="M73" i="20"/>
  <c r="J163" i="20"/>
  <c r="N73" i="20"/>
  <c r="J39" i="20"/>
  <c r="J56" i="20" s="1"/>
  <c r="O73" i="20"/>
  <c r="K36" i="20"/>
  <c r="K53" i="20" s="1"/>
  <c r="K27" i="20"/>
  <c r="N42" i="20"/>
  <c r="N59" i="20" s="1"/>
  <c r="O38" i="20"/>
  <c r="O55" i="20" s="1"/>
  <c r="L43" i="20"/>
  <c r="L60" i="20" s="1"/>
  <c r="M42" i="20"/>
  <c r="M59" i="20" s="1"/>
  <c r="N44" i="20"/>
  <c r="N61" i="20" s="1"/>
  <c r="O40" i="20"/>
  <c r="O57" i="20" s="1"/>
  <c r="L70" i="20"/>
  <c r="M70" i="20"/>
  <c r="J160" i="20"/>
  <c r="N70" i="20"/>
  <c r="J36" i="20"/>
  <c r="J53" i="20" s="1"/>
  <c r="O70" i="20"/>
  <c r="J70" i="20"/>
  <c r="J27" i="20"/>
  <c r="J29" i="20" s="1"/>
  <c r="K70" i="20"/>
  <c r="K45" i="20"/>
  <c r="K62" i="20" s="1"/>
  <c r="J76" i="20"/>
  <c r="K76" i="20"/>
  <c r="L76" i="20"/>
  <c r="M76" i="20"/>
  <c r="J166" i="20"/>
  <c r="N76" i="20"/>
  <c r="J42" i="20"/>
  <c r="J59" i="20" s="1"/>
  <c r="O76" i="20"/>
  <c r="L39" i="20"/>
  <c r="L56" i="20" s="1"/>
  <c r="L213" i="20"/>
  <c r="L200" i="20"/>
  <c r="M38" i="20"/>
  <c r="M55" i="20" s="1"/>
  <c r="N40" i="20"/>
  <c r="N57" i="20" s="1"/>
  <c r="O27" i="20"/>
  <c r="O36" i="20"/>
  <c r="O53" i="20" s="1"/>
  <c r="J169" i="20"/>
  <c r="N79" i="20"/>
  <c r="J45" i="20"/>
  <c r="J62" i="20" s="1"/>
  <c r="O79" i="20"/>
  <c r="J79" i="20"/>
  <c r="K79" i="20"/>
  <c r="L79" i="20"/>
  <c r="M79" i="20"/>
  <c r="J213" i="20"/>
  <c r="J200" i="20"/>
  <c r="K41" i="20"/>
  <c r="K58" i="20" s="1"/>
  <c r="L27" i="20"/>
  <c r="L263" i="111" s="1"/>
  <c r="L36" i="20"/>
  <c r="L44" i="20"/>
  <c r="L61" i="20" s="1"/>
  <c r="M43" i="20"/>
  <c r="M60" i="20" s="1"/>
  <c r="N27" i="20"/>
  <c r="N36" i="20"/>
  <c r="N53" i="20" s="1"/>
  <c r="O45" i="20"/>
  <c r="O62" i="20" s="1"/>
  <c r="J165" i="20"/>
  <c r="N75" i="20"/>
  <c r="J41" i="20"/>
  <c r="J58" i="20" s="1"/>
  <c r="O75" i="20"/>
  <c r="J75" i="20"/>
  <c r="K75" i="20"/>
  <c r="L75" i="20"/>
  <c r="M75" i="20"/>
  <c r="K37" i="20"/>
  <c r="K54" i="20" s="1"/>
  <c r="K140" i="20"/>
  <c r="M140" i="20"/>
  <c r="J140" i="20"/>
  <c r="L140" i="20"/>
  <c r="O140" i="20"/>
  <c r="N140" i="20"/>
  <c r="J86" i="140" l="1"/>
  <c r="L46" i="20"/>
  <c r="L264" i="111" s="1"/>
  <c r="O46" i="20"/>
  <c r="J326" i="20"/>
  <c r="J97" i="140" s="1"/>
  <c r="J323" i="20"/>
  <c r="J94" i="140" s="1"/>
  <c r="J327" i="20"/>
  <c r="J98" i="140" s="1"/>
  <c r="J324" i="20"/>
  <c r="J95" i="140" s="1"/>
  <c r="J322" i="20"/>
  <c r="J93" i="140" s="1"/>
  <c r="J321" i="20"/>
  <c r="J92" i="140" s="1"/>
  <c r="J320" i="20"/>
  <c r="J91" i="140" s="1"/>
  <c r="N63" i="20"/>
  <c r="J46" i="20"/>
  <c r="J48" i="20" s="1"/>
  <c r="J301" i="20"/>
  <c r="M46" i="20"/>
  <c r="J335" i="20"/>
  <c r="J254" i="21" s="1"/>
  <c r="J338" i="20"/>
  <c r="J257" i="21" s="1"/>
  <c r="J340" i="20"/>
  <c r="J259" i="21" s="1"/>
  <c r="M53" i="20"/>
  <c r="M63" i="20" s="1"/>
  <c r="J314" i="20"/>
  <c r="J318" i="20"/>
  <c r="J89" i="140" s="1"/>
  <c r="L53" i="20"/>
  <c r="L63" i="20" s="1"/>
  <c r="J339" i="20"/>
  <c r="J258" i="21" s="1"/>
  <c r="J63" i="20"/>
  <c r="J342" i="20"/>
  <c r="J261" i="21" s="1"/>
  <c r="J333" i="20"/>
  <c r="J252" i="21" s="1"/>
  <c r="J170" i="20"/>
  <c r="K46" i="20"/>
  <c r="K264" i="111" s="1"/>
  <c r="J336" i="20"/>
  <c r="J255" i="21" s="1"/>
  <c r="K63" i="20"/>
  <c r="J341" i="20"/>
  <c r="J260" i="21" s="1"/>
  <c r="J325" i="20"/>
  <c r="J96" i="140" s="1"/>
  <c r="J319" i="20"/>
  <c r="J90" i="140" s="1"/>
  <c r="N46" i="20"/>
  <c r="N264" i="111" s="1"/>
  <c r="O63" i="20"/>
  <c r="J337" i="20"/>
  <c r="J256" i="21" s="1"/>
  <c r="J334" i="20"/>
  <c r="J253" i="21" s="1"/>
  <c r="O263" i="111"/>
  <c r="J30" i="20"/>
  <c r="J263" i="111"/>
  <c r="K29" i="20"/>
  <c r="K263" i="111"/>
  <c r="O29" i="20"/>
  <c r="N263" i="111"/>
  <c r="L29" i="20"/>
  <c r="M29" i="20"/>
  <c r="N29" i="20"/>
  <c r="J99" i="140" l="1"/>
  <c r="J328" i="20"/>
  <c r="J245" i="19"/>
  <c r="J106" i="140" s="1"/>
  <c r="J119" i="140" s="1"/>
  <c r="J246" i="19"/>
  <c r="J107" i="140" s="1"/>
  <c r="J120" i="140" s="1"/>
  <c r="J249" i="19"/>
  <c r="J110" i="140" s="1"/>
  <c r="J123" i="140" s="1"/>
  <c r="J244" i="19"/>
  <c r="J105" i="140" s="1"/>
  <c r="J118" i="140" s="1"/>
  <c r="J343" i="20"/>
  <c r="J250" i="19"/>
  <c r="J111" i="140" s="1"/>
  <c r="J124" i="140" s="1"/>
  <c r="J247" i="19"/>
  <c r="J108" i="140" s="1"/>
  <c r="J121" i="140" s="1"/>
  <c r="J251" i="19"/>
  <c r="J112" i="140" s="1"/>
  <c r="J125" i="140" s="1"/>
  <c r="J252" i="19"/>
  <c r="J113" i="140" s="1"/>
  <c r="J126" i="140" s="1"/>
  <c r="J248" i="19"/>
  <c r="J109" i="140" s="1"/>
  <c r="J122" i="140" s="1"/>
  <c r="O264" i="111"/>
  <c r="J65" i="20"/>
  <c r="J66" i="20" s="1"/>
  <c r="M30" i="20"/>
  <c r="L30" i="20"/>
  <c r="O30" i="20"/>
  <c r="N30" i="20"/>
  <c r="K30" i="20"/>
  <c r="O48" i="20"/>
  <c r="N48" i="20"/>
  <c r="K48" i="20"/>
  <c r="J264" i="111"/>
  <c r="L48" i="20"/>
  <c r="M264" i="111"/>
  <c r="M48" i="20"/>
  <c r="J49" i="20"/>
  <c r="J290" i="19" l="1"/>
  <c r="J289" i="19"/>
  <c r="J288" i="19"/>
  <c r="J294" i="19"/>
  <c r="J286" i="19"/>
  <c r="J292" i="19"/>
  <c r="J287" i="19"/>
  <c r="J293" i="19"/>
  <c r="J291" i="19"/>
  <c r="J262" i="21"/>
  <c r="J243" i="19"/>
  <c r="O65" i="20"/>
  <c r="O66" i="20" s="1"/>
  <c r="N65" i="20"/>
  <c r="N66" i="20" s="1"/>
  <c r="M49" i="20"/>
  <c r="N49" i="20"/>
  <c r="O49" i="20"/>
  <c r="K49" i="20"/>
  <c r="L49" i="20"/>
  <c r="O236" i="111"/>
  <c r="L185" i="35"/>
  <c r="J1406" i="35"/>
  <c r="J1408" i="35" s="1"/>
  <c r="M1406" i="35"/>
  <c r="L65" i="20"/>
  <c r="L66" i="20" s="1"/>
  <c r="K65" i="20"/>
  <c r="K66" i="20" s="1"/>
  <c r="M65" i="20"/>
  <c r="M66" i="20" s="1"/>
  <c r="K236" i="111"/>
  <c r="J104" i="140" l="1"/>
  <c r="J117" i="140" s="1"/>
  <c r="J127" i="140" s="1"/>
  <c r="J253" i="19"/>
  <c r="J285" i="19"/>
  <c r="J295" i="19" s="1"/>
  <c r="J276" i="19" s="1"/>
  <c r="J154" i="140" s="1"/>
  <c r="N236" i="111"/>
  <c r="M236" i="111"/>
  <c r="L236" i="111"/>
  <c r="K185" i="35"/>
  <c r="L187" i="35" s="1"/>
  <c r="L592" i="35"/>
  <c r="J999" i="35"/>
  <c r="J1001" i="35" s="1"/>
  <c r="K592" i="35"/>
  <c r="L1406" i="35"/>
  <c r="M1408" i="35" s="1"/>
  <c r="O185" i="35"/>
  <c r="J2220" i="35"/>
  <c r="J2222" i="35" s="1"/>
  <c r="M185" i="35"/>
  <c r="M187" i="35" s="1"/>
  <c r="L2220" i="35"/>
  <c r="N185" i="35"/>
  <c r="J185" i="35"/>
  <c r="J187" i="35" s="1"/>
  <c r="O999" i="35"/>
  <c r="O1813" i="35"/>
  <c r="L1813" i="35"/>
  <c r="L999" i="35"/>
  <c r="M1813" i="35"/>
  <c r="J592" i="35"/>
  <c r="J594" i="35" s="1"/>
  <c r="O2220" i="35"/>
  <c r="O1406" i="35"/>
  <c r="O592" i="35"/>
  <c r="K1813" i="35"/>
  <c r="K2220" i="35"/>
  <c r="M592" i="35"/>
  <c r="K999" i="35"/>
  <c r="N1813" i="35"/>
  <c r="K1406" i="35"/>
  <c r="K1408" i="35" s="1"/>
  <c r="M2220" i="35"/>
  <c r="N1406" i="35"/>
  <c r="N1408" i="35" s="1"/>
  <c r="M999" i="35"/>
  <c r="J1813" i="35"/>
  <c r="J1815" i="35" s="1"/>
  <c r="N999" i="35"/>
  <c r="N2220" i="35"/>
  <c r="N592" i="35"/>
  <c r="M237" i="111"/>
  <c r="L237" i="111"/>
  <c r="K237" i="111"/>
  <c r="J114" i="140" l="1"/>
  <c r="J128" i="140" s="1"/>
  <c r="J260" i="19"/>
  <c r="J138" i="140" s="1"/>
  <c r="J217" i="140" s="1"/>
  <c r="J267" i="19"/>
  <c r="J269" i="19"/>
  <c r="J278" i="19"/>
  <c r="J156" i="140" s="1"/>
  <c r="J273" i="19"/>
  <c r="J151" i="140" s="1"/>
  <c r="J282" i="19"/>
  <c r="J160" i="140" s="1"/>
  <c r="J277" i="19"/>
  <c r="J155" i="140" s="1"/>
  <c r="J279" i="19"/>
  <c r="J157" i="140" s="1"/>
  <c r="J275" i="19"/>
  <c r="J153" i="140" s="1"/>
  <c r="J281" i="19"/>
  <c r="J159" i="140" s="1"/>
  <c r="J274" i="19"/>
  <c r="J152" i="140" s="1"/>
  <c r="J280" i="19"/>
  <c r="J158" i="140" s="1"/>
  <c r="J265" i="19"/>
  <c r="J266" i="19"/>
  <c r="J262" i="19"/>
  <c r="J264" i="19"/>
  <c r="J261" i="19"/>
  <c r="J268" i="19"/>
  <c r="J263" i="19"/>
  <c r="N2222" i="35"/>
  <c r="N1815" i="35"/>
  <c r="M594" i="35"/>
  <c r="N187" i="35"/>
  <c r="L1001" i="35"/>
  <c r="O1001" i="35"/>
  <c r="K594" i="35"/>
  <c r="N1001" i="35"/>
  <c r="K1815" i="35"/>
  <c r="M1815" i="35"/>
  <c r="K1001" i="35"/>
  <c r="L2222" i="35"/>
  <c r="L594" i="35"/>
  <c r="O187" i="35"/>
  <c r="O594" i="35"/>
  <c r="N594" i="35"/>
  <c r="M1001" i="35"/>
  <c r="O1408" i="35"/>
  <c r="L1815" i="35"/>
  <c r="O2222" i="35"/>
  <c r="O1815" i="35"/>
  <c r="M2222" i="35"/>
  <c r="K2222" i="35"/>
  <c r="K187" i="35"/>
  <c r="L1408" i="35"/>
  <c r="O237" i="111"/>
  <c r="N237" i="111"/>
  <c r="J165" i="140" l="1"/>
  <c r="J204" i="140"/>
  <c r="J191" i="140"/>
  <c r="J161" i="140"/>
  <c r="J350" i="20"/>
  <c r="J363" i="20" s="1"/>
  <c r="J382" i="34" s="1"/>
  <c r="J49" i="146" s="1"/>
  <c r="J140" i="140"/>
  <c r="J219" i="140" s="1"/>
  <c r="J354" i="20"/>
  <c r="J367" i="20" s="1"/>
  <c r="J144" i="140"/>
  <c r="J223" i="140" s="1"/>
  <c r="J353" i="20"/>
  <c r="J366" i="20" s="1"/>
  <c r="J385" i="34" s="1"/>
  <c r="J52" i="146" s="1"/>
  <c r="J143" i="140"/>
  <c r="J222" i="140" s="1"/>
  <c r="J357" i="20"/>
  <c r="J370" i="20" s="1"/>
  <c r="J226" i="30" s="1"/>
  <c r="J147" i="140"/>
  <c r="J226" i="140" s="1"/>
  <c r="J356" i="20"/>
  <c r="J369" i="20" s="1"/>
  <c r="J388" i="34" s="1"/>
  <c r="J55" i="146" s="1"/>
  <c r="J146" i="140"/>
  <c r="J225" i="140" s="1"/>
  <c r="J355" i="20"/>
  <c r="J368" i="20" s="1"/>
  <c r="J224" i="30" s="1"/>
  <c r="J145" i="140"/>
  <c r="J224" i="140" s="1"/>
  <c r="J349" i="20"/>
  <c r="J362" i="20" s="1"/>
  <c r="J381" i="34" s="1"/>
  <c r="J48" i="146" s="1"/>
  <c r="J139" i="140"/>
  <c r="J218" i="140" s="1"/>
  <c r="J351" i="20"/>
  <c r="J364" i="20" s="1"/>
  <c r="J141" i="140"/>
  <c r="J220" i="140" s="1"/>
  <c r="J352" i="20"/>
  <c r="J365" i="20" s="1"/>
  <c r="J384" i="34" s="1"/>
  <c r="J51" i="146" s="1"/>
  <c r="J142" i="140"/>
  <c r="J221" i="140" s="1"/>
  <c r="J348" i="20"/>
  <c r="J361" i="20" s="1"/>
  <c r="H388" i="20"/>
  <c r="K61" i="10" s="1"/>
  <c r="M61" i="10" s="1"/>
  <c r="J283" i="19"/>
  <c r="J270" i="19"/>
  <c r="M1295" i="33"/>
  <c r="M1296" i="33"/>
  <c r="M1292" i="33"/>
  <c r="M1300" i="33"/>
  <c r="M1294" i="33"/>
  <c r="M1293" i="33"/>
  <c r="J642" i="35" l="1"/>
  <c r="J62" i="146" s="1"/>
  <c r="J645" i="35"/>
  <c r="J65" i="146" s="1"/>
  <c r="J643" i="35"/>
  <c r="J63" i="146" s="1"/>
  <c r="J649" i="35"/>
  <c r="J69" i="146" s="1"/>
  <c r="J646" i="35"/>
  <c r="J66" i="146" s="1"/>
  <c r="J55" i="143"/>
  <c r="J57" i="143"/>
  <c r="J238" i="31"/>
  <c r="J72" i="143" s="1"/>
  <c r="J236" i="31"/>
  <c r="J70" i="143" s="1"/>
  <c r="J227" i="140"/>
  <c r="J208" i="140"/>
  <c r="J212" i="140"/>
  <c r="J206" i="140"/>
  <c r="J207" i="140"/>
  <c r="J213" i="140"/>
  <c r="J205" i="140"/>
  <c r="J209" i="140"/>
  <c r="J211" i="140"/>
  <c r="J210" i="140"/>
  <c r="J169" i="140"/>
  <c r="J173" i="140"/>
  <c r="J167" i="140"/>
  <c r="J168" i="140"/>
  <c r="J174" i="140"/>
  <c r="J166" i="140"/>
  <c r="J170" i="140"/>
  <c r="J172" i="140"/>
  <c r="J171" i="140"/>
  <c r="J198" i="140"/>
  <c r="J197" i="140"/>
  <c r="J195" i="140"/>
  <c r="J199" i="140"/>
  <c r="J193" i="140"/>
  <c r="J194" i="140"/>
  <c r="J200" i="140"/>
  <c r="J192" i="140"/>
  <c r="J196" i="140"/>
  <c r="J148" i="140"/>
  <c r="M199" i="20"/>
  <c r="J779" i="34"/>
  <c r="J56" i="147" s="1"/>
  <c r="J972" i="34"/>
  <c r="J54" i="148" s="1"/>
  <c r="J192" i="34"/>
  <c r="J54" i="145" s="1"/>
  <c r="M212" i="20"/>
  <c r="J387" i="34"/>
  <c r="J54" i="146" s="1"/>
  <c r="J194" i="34"/>
  <c r="J56" i="145" s="1"/>
  <c r="J381" i="20"/>
  <c r="J974" i="34"/>
  <c r="J56" i="148" s="1"/>
  <c r="J582" i="34"/>
  <c r="J54" i="149" s="1"/>
  <c r="J777" i="34"/>
  <c r="J54" i="147" s="1"/>
  <c r="J389" i="34"/>
  <c r="J56" i="146" s="1"/>
  <c r="M197" i="20"/>
  <c r="J182" i="20"/>
  <c r="K155" i="20" s="1"/>
  <c r="K72" i="140" s="1"/>
  <c r="J1167" i="34"/>
  <c r="J54" i="150" s="1"/>
  <c r="M210" i="20"/>
  <c r="J383" i="20"/>
  <c r="J584" i="34"/>
  <c r="J56" i="149" s="1"/>
  <c r="J1169" i="34"/>
  <c r="J56" i="150" s="1"/>
  <c r="J180" i="20"/>
  <c r="K153" i="20" s="1"/>
  <c r="K70" i="140" s="1"/>
  <c r="J383" i="34"/>
  <c r="J50" i="146" s="1"/>
  <c r="J1166" i="34"/>
  <c r="J53" i="150" s="1"/>
  <c r="J386" i="34"/>
  <c r="J53" i="146" s="1"/>
  <c r="J1160" i="34"/>
  <c r="J47" i="150" s="1"/>
  <c r="J380" i="34"/>
  <c r="J47" i="146" s="1"/>
  <c r="J1164" i="34"/>
  <c r="J51" i="150" s="1"/>
  <c r="M209" i="20"/>
  <c r="J581" i="34"/>
  <c r="J53" i="149" s="1"/>
  <c r="J579" i="34"/>
  <c r="J51" i="149" s="1"/>
  <c r="J176" i="20"/>
  <c r="K149" i="20" s="1"/>
  <c r="K66" i="140" s="1"/>
  <c r="J380" i="20"/>
  <c r="M206" i="20"/>
  <c r="J1162" i="34"/>
  <c r="J49" i="150" s="1"/>
  <c r="J772" i="34"/>
  <c r="J49" i="147" s="1"/>
  <c r="J577" i="34"/>
  <c r="J49" i="149" s="1"/>
  <c r="M205" i="20"/>
  <c r="M192" i="20"/>
  <c r="J187" i="34"/>
  <c r="J49" i="145" s="1"/>
  <c r="J223" i="30"/>
  <c r="M207" i="20"/>
  <c r="J773" i="34"/>
  <c r="J50" i="147" s="1"/>
  <c r="J179" i="20"/>
  <c r="K152" i="20" s="1"/>
  <c r="K69" i="140" s="1"/>
  <c r="J377" i="20"/>
  <c r="J358" i="20"/>
  <c r="J578" i="34"/>
  <c r="J50" i="149" s="1"/>
  <c r="J1163" i="34"/>
  <c r="J50" i="150" s="1"/>
  <c r="J191" i="34"/>
  <c r="J53" i="145" s="1"/>
  <c r="M194" i="20"/>
  <c r="J193" i="34"/>
  <c r="J55" i="145" s="1"/>
  <c r="M211" i="20"/>
  <c r="J188" i="34"/>
  <c r="J50" i="145" s="1"/>
  <c r="J376" i="20"/>
  <c r="J175" i="20"/>
  <c r="K148" i="20" s="1"/>
  <c r="K65" i="140" s="1"/>
  <c r="J378" i="20"/>
  <c r="J220" i="30"/>
  <c r="J967" i="34"/>
  <c r="J49" i="148" s="1"/>
  <c r="M193" i="20"/>
  <c r="J968" i="34"/>
  <c r="J50" i="148" s="1"/>
  <c r="J219" i="30"/>
  <c r="J1165" i="34"/>
  <c r="J52" i="150" s="1"/>
  <c r="J775" i="34"/>
  <c r="J52" i="147" s="1"/>
  <c r="M195" i="20"/>
  <c r="J970" i="34"/>
  <c r="J52" i="148" s="1"/>
  <c r="M208" i="20"/>
  <c r="J178" i="20"/>
  <c r="K151" i="20" s="1"/>
  <c r="K68" i="140" s="1"/>
  <c r="J379" i="20"/>
  <c r="J222" i="30"/>
  <c r="J190" i="34"/>
  <c r="J52" i="145" s="1"/>
  <c r="J580" i="34"/>
  <c r="J52" i="149" s="1"/>
  <c r="J1161" i="34"/>
  <c r="J48" i="150" s="1"/>
  <c r="J186" i="34"/>
  <c r="J48" i="145" s="1"/>
  <c r="J576" i="34"/>
  <c r="J48" i="149" s="1"/>
  <c r="M204" i="20"/>
  <c r="M191" i="20"/>
  <c r="J174" i="20"/>
  <c r="K147" i="20" s="1"/>
  <c r="K64" i="140" s="1"/>
  <c r="J375" i="20"/>
  <c r="J771" i="34"/>
  <c r="J48" i="147" s="1"/>
  <c r="J218" i="30"/>
  <c r="J966" i="34"/>
  <c r="J48" i="148" s="1"/>
  <c r="J177" i="20"/>
  <c r="K150" i="20" s="1"/>
  <c r="K67" i="140" s="1"/>
  <c r="J225" i="30"/>
  <c r="J971" i="34"/>
  <c r="J53" i="148" s="1"/>
  <c r="J382" i="20"/>
  <c r="J778" i="34"/>
  <c r="J55" i="147" s="1"/>
  <c r="J776" i="34"/>
  <c r="J53" i="147" s="1"/>
  <c r="J1168" i="34"/>
  <c r="J55" i="150" s="1"/>
  <c r="J181" i="20"/>
  <c r="K154" i="20" s="1"/>
  <c r="K71" i="140" s="1"/>
  <c r="J973" i="34"/>
  <c r="J55" i="148" s="1"/>
  <c r="M198" i="20"/>
  <c r="J969" i="34"/>
  <c r="J51" i="148" s="1"/>
  <c r="J189" i="34"/>
  <c r="J51" i="145" s="1"/>
  <c r="J583" i="34"/>
  <c r="J55" i="149" s="1"/>
  <c r="J774" i="34"/>
  <c r="J51" i="147" s="1"/>
  <c r="M196" i="20"/>
  <c r="J221" i="30"/>
  <c r="J770" i="34"/>
  <c r="J47" i="147" s="1"/>
  <c r="J965" i="34"/>
  <c r="J47" i="148" s="1"/>
  <c r="J371" i="20"/>
  <c r="J217" i="30"/>
  <c r="J48" i="143" s="1"/>
  <c r="J185" i="34"/>
  <c r="J47" i="145" s="1"/>
  <c r="J575" i="34"/>
  <c r="J47" i="149" s="1"/>
  <c r="M203" i="20"/>
  <c r="M190" i="20"/>
  <c r="J173" i="20"/>
  <c r="J374" i="20"/>
  <c r="M1298" i="33"/>
  <c r="M1297" i="33"/>
  <c r="M1299" i="33"/>
  <c r="J659" i="35" l="1"/>
  <c r="J673" i="35" s="1"/>
  <c r="J662" i="35"/>
  <c r="J676" i="35" s="1"/>
  <c r="J656" i="35"/>
  <c r="J670" i="35" s="1"/>
  <c r="J658" i="35"/>
  <c r="J672" i="35" s="1"/>
  <c r="J655" i="35"/>
  <c r="J682" i="35" s="1"/>
  <c r="J78" i="146" s="1"/>
  <c r="J57" i="147"/>
  <c r="J57" i="145"/>
  <c r="J57" i="148"/>
  <c r="J57" i="149"/>
  <c r="J57" i="146"/>
  <c r="J57" i="150"/>
  <c r="J240" i="35"/>
  <c r="J67" i="145" s="1"/>
  <c r="J1459" i="35"/>
  <c r="J65" i="147" s="1"/>
  <c r="J1865" i="35"/>
  <c r="J64" i="148" s="1"/>
  <c r="J2272" i="35"/>
  <c r="J64" i="150" s="1"/>
  <c r="J236" i="35"/>
  <c r="J63" i="145" s="1"/>
  <c r="J1871" i="35"/>
  <c r="J70" i="148" s="1"/>
  <c r="J1868" i="35"/>
  <c r="J67" i="148" s="1"/>
  <c r="J1049" i="35"/>
  <c r="J62" i="149" s="1"/>
  <c r="J237" i="35"/>
  <c r="J64" i="145" s="1"/>
  <c r="J1051" i="35"/>
  <c r="J64" i="149" s="1"/>
  <c r="J647" i="35"/>
  <c r="J67" i="146" s="1"/>
  <c r="J241" i="35"/>
  <c r="J68" i="145" s="1"/>
  <c r="J1863" i="35"/>
  <c r="J62" i="148" s="1"/>
  <c r="J1052" i="35"/>
  <c r="J65" i="149" s="1"/>
  <c r="J1869" i="35"/>
  <c r="J68" i="148" s="1"/>
  <c r="J1056" i="35"/>
  <c r="J69" i="149" s="1"/>
  <c r="J2277" i="35"/>
  <c r="J69" i="150" s="1"/>
  <c r="J235" i="35"/>
  <c r="J62" i="145" s="1"/>
  <c r="J1867" i="35"/>
  <c r="J66" i="148" s="1"/>
  <c r="J2275" i="35"/>
  <c r="J67" i="150" s="1"/>
  <c r="J2278" i="35"/>
  <c r="J70" i="150" s="1"/>
  <c r="J238" i="35"/>
  <c r="J65" i="145" s="1"/>
  <c r="J1461" i="35"/>
  <c r="J67" i="147" s="1"/>
  <c r="J2270" i="35"/>
  <c r="J62" i="150" s="1"/>
  <c r="J242" i="35"/>
  <c r="J69" i="145" s="1"/>
  <c r="J1050" i="35"/>
  <c r="J63" i="149" s="1"/>
  <c r="J1054" i="35"/>
  <c r="J67" i="149" s="1"/>
  <c r="J2269" i="35"/>
  <c r="J61" i="150" s="1"/>
  <c r="J1464" i="35"/>
  <c r="J70" i="147" s="1"/>
  <c r="J1866" i="35"/>
  <c r="J65" i="148" s="1"/>
  <c r="J1463" i="35"/>
  <c r="J69" i="147" s="1"/>
  <c r="J1456" i="35"/>
  <c r="J62" i="147" s="1"/>
  <c r="J1053" i="35"/>
  <c r="J66" i="149" s="1"/>
  <c r="J1460" i="35"/>
  <c r="J66" i="147" s="1"/>
  <c r="J1864" i="35"/>
  <c r="J63" i="148" s="1"/>
  <c r="J1457" i="35"/>
  <c r="J63" i="147" s="1"/>
  <c r="J1057" i="35"/>
  <c r="J70" i="149" s="1"/>
  <c r="J650" i="35"/>
  <c r="J70" i="146" s="1"/>
  <c r="J239" i="35"/>
  <c r="J66" i="145" s="1"/>
  <c r="J2274" i="35"/>
  <c r="J66" i="150" s="1"/>
  <c r="J1458" i="35"/>
  <c r="J64" i="147" s="1"/>
  <c r="J2271" i="35"/>
  <c r="J63" i="150" s="1"/>
  <c r="J644" i="35"/>
  <c r="J64" i="146" s="1"/>
  <c r="J243" i="35"/>
  <c r="J70" i="145" s="1"/>
  <c r="J1462" i="35"/>
  <c r="J68" i="147" s="1"/>
  <c r="J1870" i="35"/>
  <c r="J69" i="148" s="1"/>
  <c r="J2273" i="35"/>
  <c r="J65" i="150" s="1"/>
  <c r="J2276" i="35"/>
  <c r="J68" i="150" s="1"/>
  <c r="J1055" i="35"/>
  <c r="J68" i="149" s="1"/>
  <c r="J648" i="35"/>
  <c r="J68" i="146" s="1"/>
  <c r="J56" i="143"/>
  <c r="J49" i="143"/>
  <c r="J51" i="143"/>
  <c r="J52" i="143"/>
  <c r="J53" i="143"/>
  <c r="J50" i="143"/>
  <c r="J54" i="143"/>
  <c r="J251" i="31"/>
  <c r="J237" i="31"/>
  <c r="J71" i="143" s="1"/>
  <c r="J230" i="31"/>
  <c r="J64" i="143" s="1"/>
  <c r="J249" i="31"/>
  <c r="J232" i="31"/>
  <c r="J66" i="143" s="1"/>
  <c r="J234" i="31"/>
  <c r="J68" i="143" s="1"/>
  <c r="J233" i="31"/>
  <c r="J67" i="143" s="1"/>
  <c r="J231" i="31"/>
  <c r="J65" i="143" s="1"/>
  <c r="J235" i="31"/>
  <c r="J69" i="143" s="1"/>
  <c r="J214" i="140"/>
  <c r="J175" i="140"/>
  <c r="J201" i="140"/>
  <c r="K169" i="20"/>
  <c r="K167" i="20"/>
  <c r="K161" i="20"/>
  <c r="K162" i="20"/>
  <c r="K165" i="20"/>
  <c r="K168" i="20"/>
  <c r="K164" i="20"/>
  <c r="K163" i="20"/>
  <c r="K166" i="20"/>
  <c r="J641" i="35"/>
  <c r="J61" i="146" s="1"/>
  <c r="J390" i="34"/>
  <c r="M200" i="20"/>
  <c r="J384" i="20"/>
  <c r="J780" i="34"/>
  <c r="M213" i="20"/>
  <c r="J1170" i="34"/>
  <c r="J1455" i="35"/>
  <c r="J61" i="147" s="1"/>
  <c r="J975" i="34"/>
  <c r="J1862" i="35"/>
  <c r="J61" i="148" s="1"/>
  <c r="J1048" i="35"/>
  <c r="J61" i="149" s="1"/>
  <c r="J585" i="34"/>
  <c r="J183" i="20"/>
  <c r="K146" i="20"/>
  <c r="K63" i="140" s="1"/>
  <c r="J195" i="34"/>
  <c r="J234" i="35"/>
  <c r="J61" i="145" s="1"/>
  <c r="J227" i="30"/>
  <c r="J229" i="31"/>
  <c r="J63" i="143" s="1"/>
  <c r="M1301" i="33"/>
  <c r="J71" i="145" l="1"/>
  <c r="J73" i="145" s="1"/>
  <c r="J71" i="149"/>
  <c r="J73" i="149" s="1"/>
  <c r="J71" i="148"/>
  <c r="J73" i="148" s="1"/>
  <c r="K238" i="20"/>
  <c r="J71" i="146"/>
  <c r="J73" i="146" s="1"/>
  <c r="J71" i="147"/>
  <c r="J73" i="147" s="1"/>
  <c r="J71" i="150"/>
  <c r="J73" i="150" s="1"/>
  <c r="J669" i="35"/>
  <c r="J1883" i="35"/>
  <c r="J1897" i="35" s="1"/>
  <c r="J663" i="35"/>
  <c r="J677" i="35" s="1"/>
  <c r="J1879" i="35"/>
  <c r="J1893" i="35" s="1"/>
  <c r="J251" i="35"/>
  <c r="J265" i="35" s="1"/>
  <c r="J1065" i="35"/>
  <c r="J1884" i="35"/>
  <c r="J1475" i="35"/>
  <c r="J1070" i="35"/>
  <c r="J1477" i="35"/>
  <c r="J2291" i="35"/>
  <c r="J2305" i="35" s="1"/>
  <c r="J1876" i="35"/>
  <c r="J249" i="35"/>
  <c r="J263" i="35" s="1"/>
  <c r="J256" i="35"/>
  <c r="J270" i="35" s="1"/>
  <c r="J1470" i="35"/>
  <c r="J2282" i="35"/>
  <c r="J2296" i="35" s="1"/>
  <c r="J2288" i="35"/>
  <c r="J254" i="35"/>
  <c r="J268" i="35" s="1"/>
  <c r="J2285" i="35"/>
  <c r="J2299" i="35" s="1"/>
  <c r="J657" i="35"/>
  <c r="J671" i="35" s="1"/>
  <c r="J1877" i="35"/>
  <c r="J1891" i="35" s="1"/>
  <c r="J1067" i="35"/>
  <c r="J1880" i="35"/>
  <c r="J660" i="35"/>
  <c r="J674" i="35" s="1"/>
  <c r="J1878" i="35"/>
  <c r="J661" i="35"/>
  <c r="J675" i="35" s="1"/>
  <c r="J2284" i="35"/>
  <c r="J2298" i="35" s="1"/>
  <c r="J1473" i="35"/>
  <c r="J1487" i="35" s="1"/>
  <c r="J1063" i="35"/>
  <c r="J248" i="35"/>
  <c r="J262" i="35" s="1"/>
  <c r="J1064" i="35"/>
  <c r="J1472" i="35"/>
  <c r="J1068" i="35"/>
  <c r="J1471" i="35"/>
  <c r="J1485" i="35" s="1"/>
  <c r="J1066" i="35"/>
  <c r="J1080" i="35" s="1"/>
  <c r="J255" i="35"/>
  <c r="J269" i="35" s="1"/>
  <c r="J2290" i="35"/>
  <c r="J2304" i="35" s="1"/>
  <c r="J250" i="35"/>
  <c r="J264" i="35" s="1"/>
  <c r="J253" i="35"/>
  <c r="J267" i="35" s="1"/>
  <c r="J2289" i="35"/>
  <c r="J2303" i="35" s="1"/>
  <c r="J2287" i="35"/>
  <c r="J1469" i="35"/>
  <c r="J1483" i="35" s="1"/>
  <c r="J2283" i="35"/>
  <c r="J2297" i="35" s="1"/>
  <c r="J1069" i="35"/>
  <c r="J1062" i="35"/>
  <c r="J1076" i="35" s="1"/>
  <c r="J685" i="35"/>
  <c r="J81" i="146" s="1"/>
  <c r="J2286" i="35"/>
  <c r="J2300" i="35" s="1"/>
  <c r="J252" i="35"/>
  <c r="J266" i="35" s="1"/>
  <c r="J1476" i="35"/>
  <c r="J1490" i="35" s="1"/>
  <c r="J1474" i="35"/>
  <c r="J1488" i="35" s="1"/>
  <c r="J1882" i="35"/>
  <c r="J1881" i="35"/>
  <c r="J2279" i="35"/>
  <c r="J1465" i="35"/>
  <c r="J250" i="31"/>
  <c r="J73" i="143"/>
  <c r="J75" i="143" s="1"/>
  <c r="J58" i="143"/>
  <c r="J264" i="31"/>
  <c r="J244" i="31"/>
  <c r="J243" i="31"/>
  <c r="J247" i="31"/>
  <c r="J260" i="31" s="1"/>
  <c r="J246" i="31"/>
  <c r="J245" i="31"/>
  <c r="J248" i="31"/>
  <c r="J262" i="31"/>
  <c r="K73" i="140"/>
  <c r="J651" i="35"/>
  <c r="J654" i="35"/>
  <c r="J1468" i="35"/>
  <c r="J1875" i="35"/>
  <c r="J1872" i="35"/>
  <c r="J244" i="35"/>
  <c r="J247" i="35"/>
  <c r="J239" i="31"/>
  <c r="J242" i="31"/>
  <c r="J1058" i="35"/>
  <c r="J1061" i="35"/>
  <c r="K156" i="20"/>
  <c r="K160" i="20"/>
  <c r="O2443" i="33"/>
  <c r="O2441" i="33"/>
  <c r="O2437" i="33"/>
  <c r="K241" i="20" l="1"/>
  <c r="J1079" i="35"/>
  <c r="J1890" i="35"/>
  <c r="J1489" i="35"/>
  <c r="J1491" i="35"/>
  <c r="J2317" i="35"/>
  <c r="J85" i="150" s="1"/>
  <c r="J1084" i="35"/>
  <c r="J2302" i="35"/>
  <c r="J1082" i="35"/>
  <c r="J1484" i="35"/>
  <c r="J1077" i="35"/>
  <c r="J1894" i="35"/>
  <c r="J1478" i="35"/>
  <c r="J1504" i="35" s="1"/>
  <c r="J86" i="147" s="1"/>
  <c r="J1081" i="35"/>
  <c r="J2301" i="35"/>
  <c r="J1486" i="35"/>
  <c r="J1078" i="35"/>
  <c r="J1898" i="35"/>
  <c r="J2292" i="35"/>
  <c r="J2309" i="35" s="1"/>
  <c r="J77" i="150" s="1"/>
  <c r="J1896" i="35"/>
  <c r="J1083" i="35"/>
  <c r="J1892" i="35"/>
  <c r="J1895" i="35"/>
  <c r="J263" i="31"/>
  <c r="J257" i="31"/>
  <c r="J259" i="31"/>
  <c r="J272" i="31"/>
  <c r="J83" i="143" s="1"/>
  <c r="J112" i="143" s="1"/>
  <c r="J269" i="31"/>
  <c r="J80" i="143" s="1"/>
  <c r="J109" i="143" s="1"/>
  <c r="J256" i="31"/>
  <c r="J258" i="31"/>
  <c r="J261" i="31"/>
  <c r="J664" i="35"/>
  <c r="J681" i="35" s="1"/>
  <c r="J77" i="146" s="1"/>
  <c r="J668" i="35"/>
  <c r="J678" i="35" s="1"/>
  <c r="J698" i="35" s="1"/>
  <c r="J94" i="146" s="1"/>
  <c r="J1482" i="35"/>
  <c r="J1885" i="35"/>
  <c r="J1907" i="35" s="1"/>
  <c r="J82" i="148" s="1"/>
  <c r="J1889" i="35"/>
  <c r="J252" i="31"/>
  <c r="J255" i="31"/>
  <c r="J257" i="35"/>
  <c r="J261" i="35"/>
  <c r="J271" i="35" s="1"/>
  <c r="J296" i="35" s="1"/>
  <c r="J99" i="145" s="1"/>
  <c r="J1071" i="35"/>
  <c r="J1090" i="35" s="1"/>
  <c r="J79" i="149" s="1"/>
  <c r="J1075" i="35"/>
  <c r="K170" i="20"/>
  <c r="O2440" i="33"/>
  <c r="O2439" i="33"/>
  <c r="O2442" i="33"/>
  <c r="O2438" i="33"/>
  <c r="J1903" i="35" l="1"/>
  <c r="J78" i="148" s="1"/>
  <c r="J1497" i="35"/>
  <c r="J79" i="147" s="1"/>
  <c r="J1502" i="35"/>
  <c r="J84" i="147" s="1"/>
  <c r="J1092" i="35"/>
  <c r="J81" i="149" s="1"/>
  <c r="J1492" i="35"/>
  <c r="J1908" i="35"/>
  <c r="J83" i="148" s="1"/>
  <c r="J1496" i="35"/>
  <c r="J78" i="147" s="1"/>
  <c r="J1500" i="35"/>
  <c r="J82" i="147" s="1"/>
  <c r="J1906" i="35"/>
  <c r="J81" i="148" s="1"/>
  <c r="J1091" i="35"/>
  <c r="J80" i="149" s="1"/>
  <c r="J1089" i="35"/>
  <c r="J78" i="149" s="1"/>
  <c r="J1095" i="35"/>
  <c r="J84" i="149" s="1"/>
  <c r="J1501" i="35"/>
  <c r="J83" i="147" s="1"/>
  <c r="J1503" i="35"/>
  <c r="J85" i="147" s="1"/>
  <c r="J1096" i="35"/>
  <c r="J85" i="149" s="1"/>
  <c r="J1094" i="35"/>
  <c r="J83" i="149" s="1"/>
  <c r="J1910" i="35"/>
  <c r="J85" i="148" s="1"/>
  <c r="J1909" i="35"/>
  <c r="J84" i="148" s="1"/>
  <c r="J1097" i="35"/>
  <c r="J86" i="149" s="1"/>
  <c r="J1495" i="35"/>
  <c r="J77" i="147" s="1"/>
  <c r="J1905" i="35"/>
  <c r="J80" i="148" s="1"/>
  <c r="J1904" i="35"/>
  <c r="J79" i="148" s="1"/>
  <c r="J1911" i="35"/>
  <c r="J86" i="148" s="1"/>
  <c r="J1093" i="35"/>
  <c r="J82" i="149" s="1"/>
  <c r="J1499" i="35"/>
  <c r="J81" i="147" s="1"/>
  <c r="J1498" i="35"/>
  <c r="J80" i="147" s="1"/>
  <c r="K237" i="20"/>
  <c r="J2306" i="35"/>
  <c r="J2326" i="35" s="1"/>
  <c r="J94" i="150" s="1"/>
  <c r="J1085" i="35"/>
  <c r="J1899" i="35"/>
  <c r="J161" i="143"/>
  <c r="J148" i="143"/>
  <c r="J164" i="143"/>
  <c r="J151" i="143"/>
  <c r="J135" i="143"/>
  <c r="J138" i="143"/>
  <c r="J122" i="143"/>
  <c r="J125" i="143"/>
  <c r="K218" i="20"/>
  <c r="K221" i="20"/>
  <c r="J265" i="31"/>
  <c r="J289" i="31" s="1"/>
  <c r="J101" i="143" s="1"/>
  <c r="J697" i="35"/>
  <c r="J93" i="146" s="1"/>
  <c r="J700" i="35"/>
  <c r="J96" i="146" s="1"/>
  <c r="J695" i="35"/>
  <c r="J91" i="146" s="1"/>
  <c r="J699" i="35"/>
  <c r="J95" i="146" s="1"/>
  <c r="J696" i="35"/>
  <c r="J92" i="146" s="1"/>
  <c r="J703" i="35"/>
  <c r="J99" i="146" s="1"/>
  <c r="J701" i="35"/>
  <c r="J97" i="146" s="1"/>
  <c r="J702" i="35"/>
  <c r="J98" i="146" s="1"/>
  <c r="J694" i="35"/>
  <c r="J90" i="146" s="1"/>
  <c r="J688" i="35"/>
  <c r="J84" i="146" s="1"/>
  <c r="J690" i="35"/>
  <c r="J86" i="146" s="1"/>
  <c r="J686" i="35"/>
  <c r="J82" i="146" s="1"/>
  <c r="J689" i="35"/>
  <c r="J85" i="146" s="1"/>
  <c r="J683" i="35"/>
  <c r="J79" i="146" s="1"/>
  <c r="J687" i="35"/>
  <c r="J83" i="146" s="1"/>
  <c r="J684" i="35"/>
  <c r="J80" i="146" s="1"/>
  <c r="J274" i="35"/>
  <c r="J77" i="145" s="1"/>
  <c r="J275" i="35"/>
  <c r="J78" i="145" s="1"/>
  <c r="J283" i="35"/>
  <c r="J86" i="145" s="1"/>
  <c r="J281" i="35"/>
  <c r="J84" i="145" s="1"/>
  <c r="J282" i="35"/>
  <c r="J85" i="145" s="1"/>
  <c r="J277" i="35"/>
  <c r="J80" i="145" s="1"/>
  <c r="J280" i="35"/>
  <c r="J83" i="145" s="1"/>
  <c r="J279" i="35"/>
  <c r="J82" i="145" s="1"/>
  <c r="J276" i="35"/>
  <c r="J79" i="145" s="1"/>
  <c r="J278" i="35"/>
  <c r="J81" i="145" s="1"/>
  <c r="J1902" i="35"/>
  <c r="J77" i="148" s="1"/>
  <c r="J289" i="35"/>
  <c r="J92" i="145" s="1"/>
  <c r="J295" i="35"/>
  <c r="J98" i="145" s="1"/>
  <c r="J294" i="35"/>
  <c r="J97" i="145" s="1"/>
  <c r="J1088" i="35"/>
  <c r="J77" i="149" s="1"/>
  <c r="J292" i="35"/>
  <c r="J95" i="145" s="1"/>
  <c r="J277" i="31"/>
  <c r="J88" i="143" s="1"/>
  <c r="J117" i="143" s="1"/>
  <c r="J275" i="31"/>
  <c r="J86" i="143" s="1"/>
  <c r="J115" i="143" s="1"/>
  <c r="J271" i="31"/>
  <c r="J82" i="143" s="1"/>
  <c r="J111" i="143" s="1"/>
  <c r="J270" i="31"/>
  <c r="J81" i="143" s="1"/>
  <c r="J110" i="143" s="1"/>
  <c r="J274" i="31"/>
  <c r="J85" i="143" s="1"/>
  <c r="J114" i="143" s="1"/>
  <c r="J273" i="31"/>
  <c r="J84" i="143" s="1"/>
  <c r="J113" i="143" s="1"/>
  <c r="J276" i="31"/>
  <c r="J87" i="143" s="1"/>
  <c r="J116" i="143" s="1"/>
  <c r="J290" i="35"/>
  <c r="J93" i="145" s="1"/>
  <c r="J291" i="35"/>
  <c r="J94" i="145" s="1"/>
  <c r="J287" i="35"/>
  <c r="J90" i="145" s="1"/>
  <c r="J268" i="31"/>
  <c r="J79" i="143" s="1"/>
  <c r="J108" i="143" s="1"/>
  <c r="J288" i="35"/>
  <c r="J91" i="145" s="1"/>
  <c r="J293" i="35"/>
  <c r="J96" i="145" s="1"/>
  <c r="O2444" i="33"/>
  <c r="J1920" i="35" l="1"/>
  <c r="J95" i="148" s="1"/>
  <c r="J1917" i="35"/>
  <c r="J92" i="148" s="1"/>
  <c r="J1916" i="35"/>
  <c r="J91" i="148" s="1"/>
  <c r="J1918" i="35"/>
  <c r="J93" i="148" s="1"/>
  <c r="J1923" i="35"/>
  <c r="J98" i="148" s="1"/>
  <c r="J1924" i="35"/>
  <c r="J99" i="148" s="1"/>
  <c r="J1915" i="35"/>
  <c r="J1921" i="35"/>
  <c r="J96" i="148" s="1"/>
  <c r="J1919" i="35"/>
  <c r="J94" i="148" s="1"/>
  <c r="J1922" i="35"/>
  <c r="J97" i="148" s="1"/>
  <c r="J1515" i="35"/>
  <c r="J97" i="147" s="1"/>
  <c r="J1516" i="35"/>
  <c r="J98" i="147" s="1"/>
  <c r="J1510" i="35"/>
  <c r="J92" i="147" s="1"/>
  <c r="J1513" i="35"/>
  <c r="J95" i="147" s="1"/>
  <c r="J1517" i="35"/>
  <c r="J99" i="147" s="1"/>
  <c r="J1511" i="35"/>
  <c r="J93" i="147" s="1"/>
  <c r="J1514" i="35"/>
  <c r="J96" i="147" s="1"/>
  <c r="J1509" i="35"/>
  <c r="J91" i="147" s="1"/>
  <c r="J1508" i="35"/>
  <c r="J1512" i="35"/>
  <c r="J94" i="147" s="1"/>
  <c r="J1105" i="35"/>
  <c r="J94" i="149" s="1"/>
  <c r="J1107" i="35"/>
  <c r="J96" i="149" s="1"/>
  <c r="J1101" i="35"/>
  <c r="J1103" i="35"/>
  <c r="J92" i="149" s="1"/>
  <c r="J1109" i="35"/>
  <c r="J98" i="149" s="1"/>
  <c r="J1108" i="35"/>
  <c r="J97" i="149" s="1"/>
  <c r="J1102" i="35"/>
  <c r="J91" i="149" s="1"/>
  <c r="J1106" i="35"/>
  <c r="J95" i="149" s="1"/>
  <c r="J1110" i="35"/>
  <c r="J99" i="149" s="1"/>
  <c r="J1104" i="35"/>
  <c r="J93" i="149" s="1"/>
  <c r="J2327" i="35"/>
  <c r="J95" i="150" s="1"/>
  <c r="J1505" i="35"/>
  <c r="J100" i="146"/>
  <c r="J287" i="31"/>
  <c r="J99" i="143" s="1"/>
  <c r="J282" i="31"/>
  <c r="J94" i="143" s="1"/>
  <c r="J87" i="149"/>
  <c r="J100" i="145"/>
  <c r="J87" i="148"/>
  <c r="J2314" i="35"/>
  <c r="J82" i="150" s="1"/>
  <c r="J87" i="147"/>
  <c r="J2313" i="35"/>
  <c r="J81" i="150" s="1"/>
  <c r="J87" i="146"/>
  <c r="J87" i="145"/>
  <c r="K235" i="20"/>
  <c r="J1912" i="35"/>
  <c r="K234" i="20"/>
  <c r="K242" i="20"/>
  <c r="K245" i="20"/>
  <c r="J1098" i="35"/>
  <c r="K236" i="20"/>
  <c r="K246" i="20"/>
  <c r="K231" i="20"/>
  <c r="K228" i="20"/>
  <c r="K292" i="20" s="1"/>
  <c r="K305" i="20" s="1"/>
  <c r="K77" i="140" s="1"/>
  <c r="K244" i="20"/>
  <c r="K229" i="20"/>
  <c r="K232" i="20"/>
  <c r="K240" i="20"/>
  <c r="K233" i="20"/>
  <c r="K243" i="20"/>
  <c r="K230" i="20"/>
  <c r="K239" i="20"/>
  <c r="K227" i="20"/>
  <c r="J286" i="31"/>
  <c r="J98" i="143" s="1"/>
  <c r="J2324" i="35"/>
  <c r="J92" i="150" s="1"/>
  <c r="J2323" i="35"/>
  <c r="J91" i="150" s="1"/>
  <c r="J2328" i="35"/>
  <c r="J96" i="150" s="1"/>
  <c r="J2331" i="35"/>
  <c r="J99" i="150" s="1"/>
  <c r="J290" i="31"/>
  <c r="J102" i="143" s="1"/>
  <c r="J2325" i="35"/>
  <c r="J93" i="150" s="1"/>
  <c r="J283" i="31"/>
  <c r="J95" i="143" s="1"/>
  <c r="J2322" i="35"/>
  <c r="J90" i="150" s="1"/>
  <c r="J2330" i="35"/>
  <c r="J98" i="150" s="1"/>
  <c r="J2329" i="35"/>
  <c r="J97" i="150" s="1"/>
  <c r="J285" i="31"/>
  <c r="J97" i="143" s="1"/>
  <c r="J118" i="143"/>
  <c r="J165" i="143"/>
  <c r="J152" i="143"/>
  <c r="J166" i="143"/>
  <c r="J153" i="143"/>
  <c r="J162" i="143"/>
  <c r="J149" i="143"/>
  <c r="J168" i="143"/>
  <c r="J155" i="143"/>
  <c r="J160" i="143"/>
  <c r="J147" i="143"/>
  <c r="J163" i="143"/>
  <c r="J150" i="143"/>
  <c r="J167" i="143"/>
  <c r="J154" i="143"/>
  <c r="J169" i="143"/>
  <c r="J156" i="143"/>
  <c r="J281" i="31"/>
  <c r="J93" i="143" s="1"/>
  <c r="J136" i="143"/>
  <c r="J143" i="143"/>
  <c r="J142" i="143"/>
  <c r="J139" i="143"/>
  <c r="J140" i="143"/>
  <c r="J137" i="143"/>
  <c r="J141" i="143"/>
  <c r="J134" i="143"/>
  <c r="J284" i="31"/>
  <c r="J96" i="143" s="1"/>
  <c r="J127" i="143"/>
  <c r="J124" i="143"/>
  <c r="J128" i="143"/>
  <c r="J130" i="143"/>
  <c r="J129" i="143"/>
  <c r="J123" i="143"/>
  <c r="J126" i="143"/>
  <c r="J121" i="143"/>
  <c r="J288" i="31"/>
  <c r="J100" i="143" s="1"/>
  <c r="K295" i="20"/>
  <c r="K308" i="20" s="1"/>
  <c r="K80" i="140" s="1"/>
  <c r="J89" i="143"/>
  <c r="K223" i="20"/>
  <c r="K224" i="20"/>
  <c r="K226" i="20"/>
  <c r="K219" i="20"/>
  <c r="K220" i="20"/>
  <c r="K225" i="20"/>
  <c r="K222" i="20"/>
  <c r="K217" i="20"/>
  <c r="J704" i="35"/>
  <c r="J691" i="35"/>
  <c r="J284" i="35"/>
  <c r="J297" i="35"/>
  <c r="J278" i="31"/>
  <c r="K296" i="20" l="1"/>
  <c r="K309" i="20" s="1"/>
  <c r="K81" i="140" s="1"/>
  <c r="K299" i="20"/>
  <c r="K312" i="20" s="1"/>
  <c r="K84" i="140" s="1"/>
  <c r="J90" i="148"/>
  <c r="J100" i="148" s="1"/>
  <c r="J1925" i="35"/>
  <c r="J90" i="147"/>
  <c r="J100" i="147" s="1"/>
  <c r="J1518" i="35"/>
  <c r="J90" i="149"/>
  <c r="J100" i="149" s="1"/>
  <c r="J1111" i="35"/>
  <c r="K298" i="20"/>
  <c r="K311" i="20" s="1"/>
  <c r="K83" i="140" s="1"/>
  <c r="K291" i="20"/>
  <c r="J100" i="150"/>
  <c r="J2318" i="35"/>
  <c r="J86" i="150" s="1"/>
  <c r="J2315" i="35"/>
  <c r="J83" i="150" s="1"/>
  <c r="J2316" i="35"/>
  <c r="J84" i="150" s="1"/>
  <c r="J2310" i="35"/>
  <c r="J78" i="150" s="1"/>
  <c r="J2311" i="35"/>
  <c r="J79" i="150" s="1"/>
  <c r="J2312" i="35"/>
  <c r="J80" i="150" s="1"/>
  <c r="K294" i="20"/>
  <c r="K307" i="20" s="1"/>
  <c r="K79" i="140" s="1"/>
  <c r="K293" i="20"/>
  <c r="K306" i="20" s="1"/>
  <c r="K78" i="140" s="1"/>
  <c r="K300" i="20"/>
  <c r="K313" i="20" s="1"/>
  <c r="K85" i="140" s="1"/>
  <c r="K297" i="20"/>
  <c r="K310" i="20" s="1"/>
  <c r="K82" i="140" s="1"/>
  <c r="J2332" i="35"/>
  <c r="J144" i="143"/>
  <c r="J170" i="143"/>
  <c r="J157" i="143"/>
  <c r="J103" i="143"/>
  <c r="J131" i="143"/>
  <c r="J291" i="31"/>
  <c r="K287" i="20"/>
  <c r="K337" i="20"/>
  <c r="K319" i="20"/>
  <c r="K90" i="140" s="1"/>
  <c r="K322" i="20"/>
  <c r="K93" i="140" s="1"/>
  <c r="K334" i="20"/>
  <c r="K253" i="21" s="1"/>
  <c r="H199" i="37"/>
  <c r="D396" i="37"/>
  <c r="K326" i="20" l="1"/>
  <c r="K97" i="140" s="1"/>
  <c r="K338" i="20"/>
  <c r="K257" i="21" s="1"/>
  <c r="K248" i="19" s="1"/>
  <c r="K109" i="140" s="1"/>
  <c r="K122" i="140" s="1"/>
  <c r="K323" i="20"/>
  <c r="K94" i="140" s="1"/>
  <c r="K341" i="20"/>
  <c r="K260" i="21" s="1"/>
  <c r="K251" i="19" s="1"/>
  <c r="K112" i="140" s="1"/>
  <c r="K125" i="140" s="1"/>
  <c r="K325" i="20"/>
  <c r="K96" i="140" s="1"/>
  <c r="K340" i="20"/>
  <c r="K259" i="21" s="1"/>
  <c r="K250" i="19" s="1"/>
  <c r="K111" i="140" s="1"/>
  <c r="K124" i="140" s="1"/>
  <c r="J87" i="150"/>
  <c r="K321" i="20"/>
  <c r="K92" i="140" s="1"/>
  <c r="J2319" i="35"/>
  <c r="K336" i="20"/>
  <c r="K255" i="21" s="1"/>
  <c r="K246" i="19" s="1"/>
  <c r="K107" i="140" s="1"/>
  <c r="K120" i="140" s="1"/>
  <c r="K342" i="20"/>
  <c r="K261" i="21" s="1"/>
  <c r="K252" i="19" s="1"/>
  <c r="K113" i="140" s="1"/>
  <c r="K126" i="140" s="1"/>
  <c r="K327" i="20"/>
  <c r="K98" i="140" s="1"/>
  <c r="K335" i="20"/>
  <c r="K254" i="21" s="1"/>
  <c r="K245" i="19" s="1"/>
  <c r="K106" i="140" s="1"/>
  <c r="K119" i="140" s="1"/>
  <c r="K320" i="20"/>
  <c r="K91" i="140" s="1"/>
  <c r="K339" i="20"/>
  <c r="K258" i="21" s="1"/>
  <c r="K249" i="19" s="1"/>
  <c r="K110" i="140" s="1"/>
  <c r="K123" i="140" s="1"/>
  <c r="K324" i="20"/>
  <c r="K95" i="140" s="1"/>
  <c r="K256" i="21"/>
  <c r="K247" i="19" s="1"/>
  <c r="K289" i="19" s="1"/>
  <c r="K244" i="19"/>
  <c r="K105" i="140" s="1"/>
  <c r="K118" i="140" s="1"/>
  <c r="K301" i="20"/>
  <c r="K304" i="20"/>
  <c r="J184" i="19"/>
  <c r="O184" i="19"/>
  <c r="B2949" i="33"/>
  <c r="B2357" i="33"/>
  <c r="B1765" i="33"/>
  <c r="B1178" i="33"/>
  <c r="B585" i="33"/>
  <c r="B7" i="33"/>
  <c r="D58" i="10" l="1"/>
  <c r="D59" i="10"/>
  <c r="D60" i="10"/>
  <c r="D55" i="10"/>
  <c r="D57" i="10"/>
  <c r="D56" i="10"/>
  <c r="C141" i="151"/>
  <c r="C103" i="145"/>
  <c r="C141" i="152"/>
  <c r="C103" i="146"/>
  <c r="C141" i="153"/>
  <c r="C103" i="147"/>
  <c r="C141" i="154"/>
  <c r="C103" i="148"/>
  <c r="C141" i="156"/>
  <c r="C103" i="150"/>
  <c r="C141" i="155"/>
  <c r="C103" i="149"/>
  <c r="K76" i="140"/>
  <c r="K86" i="140" s="1"/>
  <c r="K108" i="140"/>
  <c r="K121" i="140" s="1"/>
  <c r="K286" i="19"/>
  <c r="K294" i="19"/>
  <c r="K293" i="19"/>
  <c r="K291" i="19"/>
  <c r="K288" i="19"/>
  <c r="K292" i="19"/>
  <c r="K287" i="19"/>
  <c r="K314" i="20"/>
  <c r="K318" i="20"/>
  <c r="K333" i="20"/>
  <c r="K252" i="21" s="1"/>
  <c r="K290" i="19"/>
  <c r="B599" i="34"/>
  <c r="C601" i="34" s="1"/>
  <c r="B794" i="34"/>
  <c r="C796" i="34" s="1"/>
  <c r="B404" i="34"/>
  <c r="C406" i="34" s="1"/>
  <c r="B989" i="34"/>
  <c r="C991" i="34" s="1"/>
  <c r="B14" i="34"/>
  <c r="C16" i="34" s="1"/>
  <c r="B209" i="34"/>
  <c r="C211" i="34" s="1"/>
  <c r="M184" i="19"/>
  <c r="M185" i="19" s="1"/>
  <c r="N184" i="19"/>
  <c r="N185" i="19" s="1"/>
  <c r="L184" i="19"/>
  <c r="L185" i="19" s="1"/>
  <c r="K184" i="19"/>
  <c r="K185" i="19" s="1"/>
  <c r="O185" i="19"/>
  <c r="K10" i="91"/>
  <c r="K328" i="20" l="1"/>
  <c r="K89" i="140"/>
  <c r="K99" i="140" s="1"/>
  <c r="K343" i="20"/>
  <c r="I13" i="82"/>
  <c r="K262" i="21" l="1"/>
  <c r="K243" i="19"/>
  <c r="K104" i="140" s="1"/>
  <c r="I522" i="17"/>
  <c r="I148" i="37"/>
  <c r="I152" i="37"/>
  <c r="J38" i="17"/>
  <c r="I2942" i="33"/>
  <c r="I1171" i="33"/>
  <c r="I3527" i="33"/>
  <c r="I1758" i="33"/>
  <c r="I2350" i="33"/>
  <c r="I578" i="33"/>
  <c r="J59" i="29"/>
  <c r="K114" i="140" l="1"/>
  <c r="K117" i="140"/>
  <c r="K127" i="140" s="1"/>
  <c r="K253" i="19"/>
  <c r="K285" i="19"/>
  <c r="K295" i="19" s="1"/>
  <c r="K277" i="19" s="1"/>
  <c r="K155" i="140" s="1"/>
  <c r="I157" i="37"/>
  <c r="I164" i="37"/>
  <c r="D286" i="111"/>
  <c r="D287" i="111"/>
  <c r="D288" i="111"/>
  <c r="D289" i="111"/>
  <c r="D290" i="111"/>
  <c r="D291" i="111"/>
  <c r="D277" i="111"/>
  <c r="D278" i="111"/>
  <c r="D279" i="111"/>
  <c r="D280" i="111"/>
  <c r="D281" i="111"/>
  <c r="D282" i="111"/>
  <c r="D206" i="110"/>
  <c r="C268" i="111" s="1"/>
  <c r="D207" i="110"/>
  <c r="C269" i="111" s="1"/>
  <c r="D208" i="110"/>
  <c r="C270" i="111" s="1"/>
  <c r="D209" i="110"/>
  <c r="D210" i="110"/>
  <c r="D211" i="110"/>
  <c r="C273" i="111" s="1"/>
  <c r="K128" i="140" l="1"/>
  <c r="K260" i="19"/>
  <c r="K267" i="19"/>
  <c r="K145" i="140" s="1"/>
  <c r="K224" i="140" s="1"/>
  <c r="K269" i="19"/>
  <c r="K147" i="140" s="1"/>
  <c r="K226" i="140" s="1"/>
  <c r="K261" i="19"/>
  <c r="K139" i="140" s="1"/>
  <c r="K218" i="140" s="1"/>
  <c r="K268" i="19"/>
  <c r="K146" i="140" s="1"/>
  <c r="K225" i="140" s="1"/>
  <c r="K273" i="19"/>
  <c r="K151" i="140" s="1"/>
  <c r="K279" i="19"/>
  <c r="K157" i="140" s="1"/>
  <c r="K276" i="19"/>
  <c r="K154" i="140" s="1"/>
  <c r="K278" i="19"/>
  <c r="K156" i="140" s="1"/>
  <c r="K275" i="19"/>
  <c r="K153" i="140" s="1"/>
  <c r="K281" i="19"/>
  <c r="K159" i="140" s="1"/>
  <c r="K280" i="19"/>
  <c r="K158" i="140" s="1"/>
  <c r="K282" i="19"/>
  <c r="K160" i="140" s="1"/>
  <c r="K274" i="19"/>
  <c r="K152" i="140" s="1"/>
  <c r="K264" i="19"/>
  <c r="K262" i="19"/>
  <c r="K265" i="19"/>
  <c r="K263" i="19"/>
  <c r="K266" i="19"/>
  <c r="C272" i="111"/>
  <c r="C271" i="111"/>
  <c r="K173" i="140" l="1"/>
  <c r="K212" i="140"/>
  <c r="K166" i="140"/>
  <c r="K205" i="140"/>
  <c r="K174" i="140"/>
  <c r="K213" i="140"/>
  <c r="K172" i="140"/>
  <c r="K211" i="140"/>
  <c r="K199" i="140"/>
  <c r="K192" i="140"/>
  <c r="K200" i="140"/>
  <c r="K198" i="140"/>
  <c r="K161" i="140"/>
  <c r="K350" i="20"/>
  <c r="K363" i="20" s="1"/>
  <c r="K140" i="140"/>
  <c r="K219" i="140" s="1"/>
  <c r="K352" i="20"/>
  <c r="K365" i="20" s="1"/>
  <c r="K142" i="140"/>
  <c r="K221" i="140" s="1"/>
  <c r="K354" i="20"/>
  <c r="K367" i="20" s="1"/>
  <c r="K144" i="140"/>
  <c r="K223" i="140" s="1"/>
  <c r="K351" i="20"/>
  <c r="K364" i="20" s="1"/>
  <c r="K141" i="140"/>
  <c r="K220" i="140" s="1"/>
  <c r="K353" i="20"/>
  <c r="K366" i="20" s="1"/>
  <c r="K143" i="140"/>
  <c r="K222" i="140" s="1"/>
  <c r="K348" i="20"/>
  <c r="K361" i="20" s="1"/>
  <c r="K380" i="34" s="1"/>
  <c r="K47" i="146" s="1"/>
  <c r="K138" i="140"/>
  <c r="K217" i="140" s="1"/>
  <c r="K356" i="20"/>
  <c r="K369" i="20" s="1"/>
  <c r="K973" i="34" s="1"/>
  <c r="K349" i="20"/>
  <c r="K362" i="20" s="1"/>
  <c r="N191" i="20" s="1"/>
  <c r="K357" i="20"/>
  <c r="K370" i="20" s="1"/>
  <c r="K355" i="20"/>
  <c r="K368" i="20" s="1"/>
  <c r="K582" i="34" s="1"/>
  <c r="K283" i="19"/>
  <c r="K270" i="19"/>
  <c r="D34" i="111"/>
  <c r="D363" i="37" s="1"/>
  <c r="D35" i="111"/>
  <c r="D364" i="37" s="1"/>
  <c r="D36" i="111"/>
  <c r="D365" i="37" s="1"/>
  <c r="D37" i="111"/>
  <c r="D366" i="37" s="1"/>
  <c r="D25" i="111"/>
  <c r="D335" i="37" s="1"/>
  <c r="D26" i="111"/>
  <c r="D336" i="37" s="1"/>
  <c r="D27" i="111"/>
  <c r="D337" i="37" s="1"/>
  <c r="D28" i="111"/>
  <c r="D338" i="37" s="1"/>
  <c r="D17" i="111"/>
  <c r="D18" i="111"/>
  <c r="D19" i="111"/>
  <c r="D20" i="111"/>
  <c r="K1055" i="35" l="1"/>
  <c r="K54" i="149"/>
  <c r="K1870" i="35"/>
  <c r="K55" i="148"/>
  <c r="K227" i="140"/>
  <c r="K171" i="140"/>
  <c r="K210" i="140"/>
  <c r="K165" i="140"/>
  <c r="K204" i="140"/>
  <c r="K169" i="140"/>
  <c r="K208" i="140"/>
  <c r="K170" i="140"/>
  <c r="K209" i="140"/>
  <c r="K167" i="140"/>
  <c r="K206" i="140"/>
  <c r="K168" i="140"/>
  <c r="K207" i="140"/>
  <c r="K197" i="140"/>
  <c r="K194" i="140"/>
  <c r="K191" i="140"/>
  <c r="K195" i="140"/>
  <c r="K196" i="140"/>
  <c r="K193" i="140"/>
  <c r="K148" i="140"/>
  <c r="K382" i="20"/>
  <c r="K181" i="20"/>
  <c r="L154" i="20" s="1"/>
  <c r="L71" i="140" s="1"/>
  <c r="K218" i="30"/>
  <c r="K388" i="34"/>
  <c r="N198" i="20"/>
  <c r="K1168" i="34"/>
  <c r="K225" i="30"/>
  <c r="N211" i="20"/>
  <c r="K778" i="34"/>
  <c r="K193" i="34"/>
  <c r="K375" i="20"/>
  <c r="K583" i="34"/>
  <c r="K186" i="34"/>
  <c r="K1161" i="34"/>
  <c r="K777" i="34"/>
  <c r="K771" i="34"/>
  <c r="K966" i="34"/>
  <c r="K584" i="34"/>
  <c r="K576" i="34"/>
  <c r="K381" i="34"/>
  <c r="K1167" i="34"/>
  <c r="N212" i="20"/>
  <c r="N197" i="20"/>
  <c r="K182" i="20"/>
  <c r="L155" i="20" s="1"/>
  <c r="L72" i="140" s="1"/>
  <c r="K174" i="20"/>
  <c r="L147" i="20" s="1"/>
  <c r="L64" i="140" s="1"/>
  <c r="K381" i="20"/>
  <c r="K194" i="34"/>
  <c r="K779" i="34"/>
  <c r="K224" i="30"/>
  <c r="N210" i="20"/>
  <c r="K226" i="30"/>
  <c r="N199" i="20"/>
  <c r="K387" i="34"/>
  <c r="K180" i="20"/>
  <c r="L153" i="20" s="1"/>
  <c r="L70" i="140" s="1"/>
  <c r="K389" i="34"/>
  <c r="N204" i="20"/>
  <c r="K192" i="34"/>
  <c r="K383" i="20"/>
  <c r="K974" i="34"/>
  <c r="K972" i="34"/>
  <c r="K1169" i="34"/>
  <c r="K641" i="35"/>
  <c r="K61" i="146" s="1"/>
  <c r="K1164" i="34"/>
  <c r="K384" i="34"/>
  <c r="K1162" i="34"/>
  <c r="K382" i="34"/>
  <c r="K385" i="34"/>
  <c r="K1163" i="34"/>
  <c r="K383" i="34"/>
  <c r="K1166" i="34"/>
  <c r="K386" i="34"/>
  <c r="K578" i="34"/>
  <c r="N192" i="20"/>
  <c r="K219" i="30"/>
  <c r="K176" i="20"/>
  <c r="L149" i="20" s="1"/>
  <c r="L66" i="140" s="1"/>
  <c r="K191" i="34"/>
  <c r="K380" i="20"/>
  <c r="K178" i="20"/>
  <c r="L151" i="20" s="1"/>
  <c r="L68" i="140" s="1"/>
  <c r="K179" i="20"/>
  <c r="L152" i="20" s="1"/>
  <c r="L69" i="140" s="1"/>
  <c r="K177" i="20"/>
  <c r="L150" i="20" s="1"/>
  <c r="L67" i="140" s="1"/>
  <c r="N196" i="20"/>
  <c r="K776" i="34"/>
  <c r="N209" i="20"/>
  <c r="K772" i="34"/>
  <c r="K358" i="20"/>
  <c r="N208" i="20"/>
  <c r="N194" i="20"/>
  <c r="N193" i="20"/>
  <c r="K581" i="34"/>
  <c r="K377" i="20"/>
  <c r="K175" i="20"/>
  <c r="L148" i="20" s="1"/>
  <c r="L65" i="140" s="1"/>
  <c r="N206" i="20"/>
  <c r="N205" i="20"/>
  <c r="K774" i="34"/>
  <c r="K968" i="34"/>
  <c r="N195" i="20"/>
  <c r="K220" i="30"/>
  <c r="N207" i="20"/>
  <c r="K969" i="34"/>
  <c r="K580" i="34"/>
  <c r="K579" i="34"/>
  <c r="K577" i="34"/>
  <c r="K775" i="34"/>
  <c r="K967" i="34"/>
  <c r="K190" i="34"/>
  <c r="K188" i="34"/>
  <c r="K189" i="34"/>
  <c r="K187" i="34"/>
  <c r="K773" i="34"/>
  <c r="K1165" i="34"/>
  <c r="K970" i="34"/>
  <c r="K222" i="30"/>
  <c r="K221" i="30"/>
  <c r="K379" i="20"/>
  <c r="K223" i="30"/>
  <c r="K378" i="20"/>
  <c r="K376" i="20"/>
  <c r="K971" i="34"/>
  <c r="K965" i="34"/>
  <c r="K47" i="148" s="1"/>
  <c r="K1160" i="34"/>
  <c r="K47" i="150" s="1"/>
  <c r="K770" i="34"/>
  <c r="K47" i="147" s="1"/>
  <c r="K371" i="20"/>
  <c r="K217" i="30"/>
  <c r="K185" i="34"/>
  <c r="K47" i="145" s="1"/>
  <c r="K575" i="34"/>
  <c r="K47" i="149" s="1"/>
  <c r="N203" i="20"/>
  <c r="N190" i="20"/>
  <c r="K173" i="20"/>
  <c r="K374" i="20"/>
  <c r="K1883" i="35" l="1"/>
  <c r="K1897" i="35" s="1"/>
  <c r="K69" i="148"/>
  <c r="K1068" i="35"/>
  <c r="K68" i="149"/>
  <c r="K1864" i="35"/>
  <c r="K49" i="148"/>
  <c r="K238" i="35"/>
  <c r="K51" i="145"/>
  <c r="K1050" i="35"/>
  <c r="K49" i="149"/>
  <c r="K240" i="35"/>
  <c r="K53" i="145"/>
  <c r="K1051" i="35"/>
  <c r="K50" i="149"/>
  <c r="K1462" i="35"/>
  <c r="K54" i="147"/>
  <c r="K1865" i="35"/>
  <c r="K50" i="148"/>
  <c r="K643" i="35"/>
  <c r="K49" i="146"/>
  <c r="K241" i="35"/>
  <c r="K54" i="145"/>
  <c r="K2270" i="35"/>
  <c r="K48" i="150"/>
  <c r="K649" i="35"/>
  <c r="K55" i="146"/>
  <c r="K237" i="35"/>
  <c r="K50" i="145"/>
  <c r="K2271" i="35"/>
  <c r="K49" i="150"/>
  <c r="K2276" i="35"/>
  <c r="K54" i="150"/>
  <c r="K235" i="35"/>
  <c r="K48" i="145"/>
  <c r="K242" i="35"/>
  <c r="K55" i="145"/>
  <c r="K1052" i="35"/>
  <c r="K51" i="149"/>
  <c r="K647" i="35"/>
  <c r="K53" i="146"/>
  <c r="K645" i="35"/>
  <c r="K51" i="146"/>
  <c r="K642" i="35"/>
  <c r="K48" i="146"/>
  <c r="K1463" i="35"/>
  <c r="K55" i="147"/>
  <c r="K1053" i="35"/>
  <c r="K52" i="149"/>
  <c r="K239" i="35"/>
  <c r="K52" i="145"/>
  <c r="K1866" i="35"/>
  <c r="K51" i="148"/>
  <c r="K1459" i="35"/>
  <c r="K51" i="147"/>
  <c r="K1867" i="35"/>
  <c r="K52" i="148"/>
  <c r="K1054" i="35"/>
  <c r="K53" i="149"/>
  <c r="K1457" i="35"/>
  <c r="K49" i="147"/>
  <c r="K2275" i="35"/>
  <c r="K53" i="150"/>
  <c r="K2273" i="35"/>
  <c r="K51" i="150"/>
  <c r="K2278" i="35"/>
  <c r="K56" i="150"/>
  <c r="K650" i="35"/>
  <c r="K56" i="146"/>
  <c r="K1464" i="35"/>
  <c r="K56" i="147"/>
  <c r="K1049" i="35"/>
  <c r="K48" i="149"/>
  <c r="K644" i="35"/>
  <c r="K50" i="146"/>
  <c r="K1869" i="35"/>
  <c r="K54" i="148"/>
  <c r="K243" i="35"/>
  <c r="K56" i="145"/>
  <c r="K1057" i="35"/>
  <c r="K56" i="149"/>
  <c r="K1868" i="35"/>
  <c r="K53" i="148"/>
  <c r="K2272" i="35"/>
  <c r="K50" i="150"/>
  <c r="K1871" i="35"/>
  <c r="K56" i="148"/>
  <c r="K1863" i="35"/>
  <c r="K48" i="148"/>
  <c r="K2274" i="35"/>
  <c r="K52" i="150"/>
  <c r="K1458" i="35"/>
  <c r="K50" i="147"/>
  <c r="K236" i="35"/>
  <c r="K49" i="145"/>
  <c r="K1460" i="35"/>
  <c r="K52" i="147"/>
  <c r="K1461" i="35"/>
  <c r="K53" i="147"/>
  <c r="K646" i="35"/>
  <c r="K52" i="146"/>
  <c r="K648" i="35"/>
  <c r="K54" i="146"/>
  <c r="K1456" i="35"/>
  <c r="K48" i="147"/>
  <c r="K1056" i="35"/>
  <c r="K55" i="149"/>
  <c r="K2277" i="35"/>
  <c r="K55" i="150"/>
  <c r="K53" i="143"/>
  <c r="K55" i="143"/>
  <c r="K50" i="143"/>
  <c r="K51" i="143"/>
  <c r="K56" i="143"/>
  <c r="K48" i="143"/>
  <c r="K54" i="143"/>
  <c r="K57" i="143"/>
  <c r="K52" i="143"/>
  <c r="K49" i="143"/>
  <c r="K234" i="31"/>
  <c r="K68" i="143" s="1"/>
  <c r="K236" i="31"/>
  <c r="K70" i="143" s="1"/>
  <c r="K231" i="31"/>
  <c r="K65" i="143" s="1"/>
  <c r="K232" i="31"/>
  <c r="K66" i="143" s="1"/>
  <c r="K237" i="31"/>
  <c r="K71" i="143" s="1"/>
  <c r="K235" i="31"/>
  <c r="K69" i="143" s="1"/>
  <c r="K238" i="31"/>
  <c r="K72" i="143" s="1"/>
  <c r="K233" i="31"/>
  <c r="K67" i="143" s="1"/>
  <c r="K230" i="31"/>
  <c r="K64" i="143" s="1"/>
  <c r="K175" i="140"/>
  <c r="K214" i="140"/>
  <c r="K201" i="140"/>
  <c r="L161" i="20"/>
  <c r="L168" i="20"/>
  <c r="L169" i="20"/>
  <c r="L167" i="20"/>
  <c r="L162" i="20"/>
  <c r="L164" i="20"/>
  <c r="L166" i="20"/>
  <c r="L165" i="20"/>
  <c r="L163" i="20"/>
  <c r="K654" i="35"/>
  <c r="K390" i="34"/>
  <c r="N200" i="20"/>
  <c r="N213" i="20"/>
  <c r="K384" i="20"/>
  <c r="K975" i="34"/>
  <c r="K1862" i="35"/>
  <c r="K61" i="148" s="1"/>
  <c r="K2269" i="35"/>
  <c r="K61" i="150" s="1"/>
  <c r="K1170" i="34"/>
  <c r="K1455" i="35"/>
  <c r="K61" i="147" s="1"/>
  <c r="K780" i="34"/>
  <c r="K1048" i="35"/>
  <c r="K61" i="149" s="1"/>
  <c r="K585" i="34"/>
  <c r="K183" i="20"/>
  <c r="L146" i="20"/>
  <c r="L63" i="140" s="1"/>
  <c r="K195" i="34"/>
  <c r="K234" i="35"/>
  <c r="K61" i="145" s="1"/>
  <c r="K227" i="30"/>
  <c r="K229" i="31"/>
  <c r="K63" i="143" s="1"/>
  <c r="D31" i="119"/>
  <c r="D30" i="119"/>
  <c r="D29" i="119"/>
  <c r="D28" i="119"/>
  <c r="D27" i="119"/>
  <c r="D26" i="119"/>
  <c r="D25" i="119"/>
  <c r="D264" i="121"/>
  <c r="D257" i="121"/>
  <c r="D246" i="121"/>
  <c r="D240" i="121"/>
  <c r="D230" i="121"/>
  <c r="D222" i="121"/>
  <c r="D203" i="121"/>
  <c r="D210" i="121" s="1"/>
  <c r="D195" i="121"/>
  <c r="D201" i="121" s="1"/>
  <c r="D187" i="121"/>
  <c r="D193" i="121" s="1"/>
  <c r="I181" i="121"/>
  <c r="D181" i="121"/>
  <c r="I172" i="121"/>
  <c r="D172" i="121"/>
  <c r="I164" i="121"/>
  <c r="D164" i="121"/>
  <c r="B152" i="121"/>
  <c r="S281" i="121"/>
  <c r="S282" i="121"/>
  <c r="S283" i="121"/>
  <c r="S284" i="121"/>
  <c r="S285" i="121"/>
  <c r="Q281" i="121"/>
  <c r="Q282" i="121"/>
  <c r="Q283" i="121"/>
  <c r="Q284" i="121"/>
  <c r="Q285" i="121"/>
  <c r="S271" i="121"/>
  <c r="S272" i="121"/>
  <c r="S273" i="121"/>
  <c r="S274" i="121"/>
  <c r="S275" i="121"/>
  <c r="Q271" i="121"/>
  <c r="Q272" i="121"/>
  <c r="Q273" i="121"/>
  <c r="Q274" i="121"/>
  <c r="Q275" i="121"/>
  <c r="S260" i="121"/>
  <c r="S261" i="121"/>
  <c r="S262" i="121"/>
  <c r="S263" i="121"/>
  <c r="Q260" i="121"/>
  <c r="Q261" i="121"/>
  <c r="Q262" i="121"/>
  <c r="Q263" i="121"/>
  <c r="S253" i="121"/>
  <c r="S254" i="121"/>
  <c r="S255" i="121"/>
  <c r="S256" i="121"/>
  <c r="Q253" i="121"/>
  <c r="Q254" i="121"/>
  <c r="Q255" i="121"/>
  <c r="Q256" i="121"/>
  <c r="S243" i="121"/>
  <c r="S244" i="121"/>
  <c r="S245" i="121"/>
  <c r="Q243" i="121"/>
  <c r="Q244" i="121"/>
  <c r="Q245" i="121"/>
  <c r="S237" i="121"/>
  <c r="S238" i="121"/>
  <c r="S239" i="121"/>
  <c r="Q237" i="121"/>
  <c r="Q238" i="121"/>
  <c r="Q239" i="121"/>
  <c r="S225" i="121"/>
  <c r="S226" i="121"/>
  <c r="S227" i="121"/>
  <c r="S228" i="121"/>
  <c r="S229" i="121"/>
  <c r="Q225" i="121"/>
  <c r="Q226" i="121"/>
  <c r="Q227" i="121"/>
  <c r="Q228" i="121"/>
  <c r="Q229" i="121"/>
  <c r="S217" i="121"/>
  <c r="S218" i="121"/>
  <c r="S219" i="121"/>
  <c r="S220" i="121"/>
  <c r="S221" i="121"/>
  <c r="Q217" i="121"/>
  <c r="Q218" i="121"/>
  <c r="Q219" i="121"/>
  <c r="Q220" i="121"/>
  <c r="Q221" i="121"/>
  <c r="S204" i="121"/>
  <c r="S205" i="121"/>
  <c r="S206" i="121"/>
  <c r="S207" i="121"/>
  <c r="S208" i="121"/>
  <c r="S209" i="121"/>
  <c r="Q204" i="121"/>
  <c r="Q205" i="121"/>
  <c r="Q206" i="121"/>
  <c r="Q207" i="121"/>
  <c r="Q208" i="121"/>
  <c r="Q209" i="121"/>
  <c r="S196" i="121"/>
  <c r="S197" i="121"/>
  <c r="S198" i="121"/>
  <c r="S199" i="121"/>
  <c r="S200" i="121"/>
  <c r="Q196" i="121"/>
  <c r="Q197" i="121"/>
  <c r="Q198" i="121"/>
  <c r="Q199" i="121"/>
  <c r="Q200" i="121"/>
  <c r="S188" i="121"/>
  <c r="S189" i="121"/>
  <c r="S190" i="121"/>
  <c r="S191" i="121"/>
  <c r="S192" i="121"/>
  <c r="Q188" i="121"/>
  <c r="Q189" i="121"/>
  <c r="Q190" i="121"/>
  <c r="Q191" i="121"/>
  <c r="Q192" i="121"/>
  <c r="S175" i="121"/>
  <c r="S176" i="121"/>
  <c r="S177" i="121"/>
  <c r="S178" i="121"/>
  <c r="S179" i="121"/>
  <c r="S180" i="121"/>
  <c r="Q175" i="121"/>
  <c r="Q176" i="121"/>
  <c r="Q177" i="121"/>
  <c r="Q178" i="121"/>
  <c r="Q179" i="121"/>
  <c r="Q180" i="121"/>
  <c r="S167" i="121"/>
  <c r="S168" i="121"/>
  <c r="S169" i="121"/>
  <c r="S170" i="121"/>
  <c r="S171" i="121"/>
  <c r="Q167" i="121"/>
  <c r="Q168" i="121"/>
  <c r="Q169" i="121"/>
  <c r="Q170" i="121"/>
  <c r="Q171" i="121"/>
  <c r="S159" i="121"/>
  <c r="S160" i="121"/>
  <c r="S161" i="121"/>
  <c r="S162" i="121"/>
  <c r="S163" i="121"/>
  <c r="Q159" i="121"/>
  <c r="Q160" i="121"/>
  <c r="Q161" i="121"/>
  <c r="Q162" i="121"/>
  <c r="Q163" i="121"/>
  <c r="D45" i="119"/>
  <c r="D44" i="119"/>
  <c r="D43" i="119"/>
  <c r="D42" i="119"/>
  <c r="D41" i="119"/>
  <c r="D40" i="119"/>
  <c r="D39" i="119"/>
  <c r="D409" i="121"/>
  <c r="D402" i="121"/>
  <c r="D391" i="121"/>
  <c r="D385" i="121"/>
  <c r="D375" i="121"/>
  <c r="D367" i="121"/>
  <c r="D348" i="121"/>
  <c r="D355" i="121" s="1"/>
  <c r="D340" i="121"/>
  <c r="D346" i="121" s="1"/>
  <c r="D332" i="121"/>
  <c r="D338" i="121" s="1"/>
  <c r="I326" i="121"/>
  <c r="D326" i="121"/>
  <c r="I317" i="121"/>
  <c r="D317" i="121"/>
  <c r="I309" i="121"/>
  <c r="D309" i="121"/>
  <c r="B297" i="121"/>
  <c r="S426" i="121"/>
  <c r="S427" i="121"/>
  <c r="S428" i="121"/>
  <c r="S429" i="121"/>
  <c r="S430" i="121"/>
  <c r="Q426" i="121"/>
  <c r="Q427" i="121"/>
  <c r="Q428" i="121"/>
  <c r="Q429" i="121"/>
  <c r="Q430" i="121"/>
  <c r="S416" i="121"/>
  <c r="S417" i="121"/>
  <c r="S418" i="121"/>
  <c r="S419" i="121"/>
  <c r="S420" i="121"/>
  <c r="Q416" i="121"/>
  <c r="Q417" i="121"/>
  <c r="Q418" i="121"/>
  <c r="Q419" i="121"/>
  <c r="Q420" i="121"/>
  <c r="S405" i="121"/>
  <c r="S406" i="121"/>
  <c r="S407" i="121"/>
  <c r="S408" i="121"/>
  <c r="Q405" i="121"/>
  <c r="Q406" i="121"/>
  <c r="Q407" i="121"/>
  <c r="Q408" i="121"/>
  <c r="S398" i="121"/>
  <c r="S399" i="121"/>
  <c r="S400" i="121"/>
  <c r="S401" i="121"/>
  <c r="Q398" i="121"/>
  <c r="Q399" i="121"/>
  <c r="Q400" i="121"/>
  <c r="Q401" i="121"/>
  <c r="S388" i="121"/>
  <c r="S389" i="121"/>
  <c r="S390" i="121"/>
  <c r="Q388" i="121"/>
  <c r="Q389" i="121"/>
  <c r="Q390" i="121"/>
  <c r="S382" i="121"/>
  <c r="S383" i="121"/>
  <c r="S384" i="121"/>
  <c r="Q382" i="121"/>
  <c r="Q383" i="121"/>
  <c r="Q384" i="121"/>
  <c r="S370" i="121"/>
  <c r="S371" i="121"/>
  <c r="S372" i="121"/>
  <c r="S373" i="121"/>
  <c r="S374" i="121"/>
  <c r="Q370" i="121"/>
  <c r="Q371" i="121"/>
  <c r="Q372" i="121"/>
  <c r="Q373" i="121"/>
  <c r="Q374" i="121"/>
  <c r="S362" i="121"/>
  <c r="S363" i="121"/>
  <c r="S364" i="121"/>
  <c r="S365" i="121"/>
  <c r="S366" i="121"/>
  <c r="Q362" i="121"/>
  <c r="Q363" i="121"/>
  <c r="Q364" i="121"/>
  <c r="Q365" i="121"/>
  <c r="Q366" i="121"/>
  <c r="S349" i="121"/>
  <c r="S350" i="121"/>
  <c r="S351" i="121"/>
  <c r="S352" i="121"/>
  <c r="S353" i="121"/>
  <c r="S354" i="121"/>
  <c r="Q349" i="121"/>
  <c r="Q350" i="121"/>
  <c r="Q351" i="121"/>
  <c r="Q352" i="121"/>
  <c r="Q353" i="121"/>
  <c r="Q354" i="121"/>
  <c r="S341" i="121"/>
  <c r="S342" i="121"/>
  <c r="S343" i="121"/>
  <c r="S344" i="121"/>
  <c r="S345" i="121"/>
  <c r="Q341" i="121"/>
  <c r="Q342" i="121"/>
  <c r="Q343" i="121"/>
  <c r="Q344" i="121"/>
  <c r="Q345" i="121"/>
  <c r="S333" i="121"/>
  <c r="S334" i="121"/>
  <c r="S335" i="121"/>
  <c r="S336" i="121"/>
  <c r="S337" i="121"/>
  <c r="Q333" i="121"/>
  <c r="Q334" i="121"/>
  <c r="Q335" i="121"/>
  <c r="Q336" i="121"/>
  <c r="Q337" i="121"/>
  <c r="S320" i="121"/>
  <c r="S321" i="121"/>
  <c r="S322" i="121"/>
  <c r="S323" i="121"/>
  <c r="S324" i="121"/>
  <c r="S325" i="121"/>
  <c r="Q320" i="121"/>
  <c r="Q321" i="121"/>
  <c r="Q322" i="121"/>
  <c r="Q323" i="121"/>
  <c r="Q324" i="121"/>
  <c r="Q325" i="121"/>
  <c r="S312" i="121"/>
  <c r="S313" i="121"/>
  <c r="S314" i="121"/>
  <c r="S315" i="121"/>
  <c r="S316" i="121"/>
  <c r="Q312" i="121"/>
  <c r="Q313" i="121"/>
  <c r="Q314" i="121"/>
  <c r="Q315" i="121"/>
  <c r="Q316" i="121"/>
  <c r="S304" i="121"/>
  <c r="S305" i="121"/>
  <c r="S306" i="121"/>
  <c r="S307" i="121"/>
  <c r="S308" i="121"/>
  <c r="Q304" i="121"/>
  <c r="Q305" i="121"/>
  <c r="Q306" i="121"/>
  <c r="Q307" i="121"/>
  <c r="Q308" i="121"/>
  <c r="S140" i="121"/>
  <c r="Q140" i="121"/>
  <c r="S139" i="121"/>
  <c r="Q139" i="121"/>
  <c r="S138" i="121"/>
  <c r="Q138" i="121"/>
  <c r="S137" i="121"/>
  <c r="Q137" i="121"/>
  <c r="S136" i="121"/>
  <c r="Q136" i="121"/>
  <c r="S130" i="121"/>
  <c r="Q130" i="121"/>
  <c r="S129" i="121"/>
  <c r="Q129" i="121"/>
  <c r="S128" i="121"/>
  <c r="Q128" i="121"/>
  <c r="S127" i="121"/>
  <c r="Q127" i="121"/>
  <c r="S126" i="121"/>
  <c r="Q126" i="121"/>
  <c r="D119" i="121"/>
  <c r="S118" i="121"/>
  <c r="Q118" i="121"/>
  <c r="S117" i="121"/>
  <c r="Q117" i="121"/>
  <c r="S116" i="121"/>
  <c r="Q116" i="121"/>
  <c r="S115" i="121"/>
  <c r="Q115" i="121"/>
  <c r="D112" i="121"/>
  <c r="S111" i="121"/>
  <c r="Q111" i="121"/>
  <c r="S110" i="121"/>
  <c r="Q110" i="121"/>
  <c r="S109" i="121"/>
  <c r="Q109" i="121"/>
  <c r="S108" i="121"/>
  <c r="Q108" i="121"/>
  <c r="D101" i="121"/>
  <c r="S100" i="121"/>
  <c r="Q100" i="121"/>
  <c r="S99" i="121"/>
  <c r="Q99" i="121"/>
  <c r="S98" i="121"/>
  <c r="Q98" i="121"/>
  <c r="D95" i="121"/>
  <c r="S94" i="121"/>
  <c r="Q94" i="121"/>
  <c r="S93" i="121"/>
  <c r="Q93" i="121"/>
  <c r="S92" i="121"/>
  <c r="Q92" i="121"/>
  <c r="D85" i="121"/>
  <c r="S84" i="121"/>
  <c r="Q84" i="121"/>
  <c r="S83" i="121"/>
  <c r="Q83" i="121"/>
  <c r="S82" i="121"/>
  <c r="Q82" i="121"/>
  <c r="S81" i="121"/>
  <c r="Q81" i="121"/>
  <c r="S80" i="121"/>
  <c r="Q80" i="121"/>
  <c r="D77" i="121"/>
  <c r="S76" i="121"/>
  <c r="Q76" i="121"/>
  <c r="S75" i="121"/>
  <c r="Q75" i="121"/>
  <c r="S74" i="121"/>
  <c r="Q74" i="121"/>
  <c r="S73" i="121"/>
  <c r="Q73" i="121"/>
  <c r="S72" i="121"/>
  <c r="Q72" i="121"/>
  <c r="S64" i="121"/>
  <c r="Q64" i="121"/>
  <c r="S63" i="121"/>
  <c r="Q63" i="121"/>
  <c r="S62" i="121"/>
  <c r="Q62" i="121"/>
  <c r="S61" i="121"/>
  <c r="Q61" i="121"/>
  <c r="S60" i="121"/>
  <c r="Q60" i="121"/>
  <c r="S59" i="121"/>
  <c r="Q59" i="121"/>
  <c r="D58" i="121"/>
  <c r="D65" i="121" s="1"/>
  <c r="S55" i="121"/>
  <c r="Q55" i="121"/>
  <c r="S54" i="121"/>
  <c r="Q54" i="121"/>
  <c r="S53" i="121"/>
  <c r="Q53" i="121"/>
  <c r="S52" i="121"/>
  <c r="Q52" i="121"/>
  <c r="S51" i="121"/>
  <c r="Q51" i="121"/>
  <c r="D50" i="121"/>
  <c r="D56" i="121" s="1"/>
  <c r="S47" i="121"/>
  <c r="Q47" i="121"/>
  <c r="S46" i="121"/>
  <c r="Q46" i="121"/>
  <c r="S45" i="121"/>
  <c r="Q45" i="121"/>
  <c r="S44" i="121"/>
  <c r="Q44" i="121"/>
  <c r="S43" i="121"/>
  <c r="Q43" i="121"/>
  <c r="D42" i="121"/>
  <c r="D48" i="121" s="1"/>
  <c r="I36" i="121"/>
  <c r="D36" i="121"/>
  <c r="S35" i="121"/>
  <c r="Q35" i="121"/>
  <c r="S34" i="121"/>
  <c r="Q34" i="121"/>
  <c r="S33" i="121"/>
  <c r="Q33" i="121"/>
  <c r="S32" i="121"/>
  <c r="Q32" i="121"/>
  <c r="S31" i="121"/>
  <c r="Q31" i="121"/>
  <c r="S30" i="121"/>
  <c r="Q30" i="121"/>
  <c r="I27" i="121"/>
  <c r="D27" i="121"/>
  <c r="S26" i="121"/>
  <c r="Q26" i="121"/>
  <c r="S25" i="121"/>
  <c r="Q25" i="121"/>
  <c r="S24" i="121"/>
  <c r="Q24" i="121"/>
  <c r="S23" i="121"/>
  <c r="Q23" i="121"/>
  <c r="S22" i="121"/>
  <c r="Q22" i="121"/>
  <c r="I19" i="121"/>
  <c r="D19" i="121"/>
  <c r="S18" i="121"/>
  <c r="Q18" i="121"/>
  <c r="S17" i="121"/>
  <c r="Q17" i="121"/>
  <c r="S16" i="121"/>
  <c r="Q16" i="121"/>
  <c r="S15" i="121"/>
  <c r="Q15" i="121"/>
  <c r="S14" i="121"/>
  <c r="Q14" i="121"/>
  <c r="B7" i="121"/>
  <c r="D17" i="119"/>
  <c r="D16" i="119"/>
  <c r="D15" i="119"/>
  <c r="D14" i="119"/>
  <c r="D13" i="119"/>
  <c r="D12" i="119"/>
  <c r="D11" i="119"/>
  <c r="B443" i="115"/>
  <c r="B295" i="115"/>
  <c r="B147" i="115"/>
  <c r="B591" i="115"/>
  <c r="B454" i="115"/>
  <c r="B306" i="115"/>
  <c r="B158" i="115"/>
  <c r="B10" i="115"/>
  <c r="O588" i="115"/>
  <c r="M588" i="115"/>
  <c r="I588" i="115"/>
  <c r="D566" i="115"/>
  <c r="D559" i="115"/>
  <c r="D548" i="115"/>
  <c r="D542" i="115"/>
  <c r="D532" i="115"/>
  <c r="D524" i="115"/>
  <c r="D505" i="115"/>
  <c r="D512" i="115" s="1"/>
  <c r="D497" i="115"/>
  <c r="D503" i="115" s="1"/>
  <c r="D489" i="115"/>
  <c r="D495" i="115" s="1"/>
  <c r="I483" i="115"/>
  <c r="D483" i="115"/>
  <c r="I474" i="115"/>
  <c r="D474" i="115"/>
  <c r="I466" i="115"/>
  <c r="D466" i="115"/>
  <c r="S583" i="115"/>
  <c r="S584" i="115"/>
  <c r="S585" i="115"/>
  <c r="S586" i="115"/>
  <c r="S587" i="115"/>
  <c r="Q583" i="115"/>
  <c r="Q584" i="115"/>
  <c r="Q585" i="115"/>
  <c r="Q586" i="115"/>
  <c r="Q587" i="115"/>
  <c r="S573" i="115"/>
  <c r="S574" i="115"/>
  <c r="S575" i="115"/>
  <c r="S576" i="115"/>
  <c r="S577" i="115"/>
  <c r="Q573" i="115"/>
  <c r="Q574" i="115"/>
  <c r="Q575" i="115"/>
  <c r="Q576" i="115"/>
  <c r="Q577" i="115"/>
  <c r="S562" i="115"/>
  <c r="S563" i="115"/>
  <c r="S564" i="115"/>
  <c r="S565" i="115"/>
  <c r="Q562" i="115"/>
  <c r="Q563" i="115"/>
  <c r="Q564" i="115"/>
  <c r="Q565" i="115"/>
  <c r="S555" i="115"/>
  <c r="S556" i="115"/>
  <c r="S557" i="115"/>
  <c r="S558" i="115"/>
  <c r="Q555" i="115"/>
  <c r="Q556" i="115"/>
  <c r="Q557" i="115"/>
  <c r="Q558" i="115"/>
  <c r="S545" i="115"/>
  <c r="S546" i="115"/>
  <c r="S547" i="115"/>
  <c r="Q545" i="115"/>
  <c r="Q546" i="115"/>
  <c r="Q547" i="115"/>
  <c r="S539" i="115"/>
  <c r="S540" i="115"/>
  <c r="S541" i="115"/>
  <c r="Q539" i="115"/>
  <c r="Q540" i="115"/>
  <c r="Q541" i="115"/>
  <c r="S527" i="115"/>
  <c r="S528" i="115"/>
  <c r="S529" i="115"/>
  <c r="S530" i="115"/>
  <c r="S531" i="115"/>
  <c r="Q527" i="115"/>
  <c r="Q528" i="115"/>
  <c r="Q529" i="115"/>
  <c r="Q530" i="115"/>
  <c r="Q531" i="115"/>
  <c r="S519" i="115"/>
  <c r="S520" i="115"/>
  <c r="S521" i="115"/>
  <c r="S522" i="115"/>
  <c r="S523" i="115"/>
  <c r="Q519" i="115"/>
  <c r="Q520" i="115"/>
  <c r="Q521" i="115"/>
  <c r="Q522" i="115"/>
  <c r="Q523" i="115"/>
  <c r="S506" i="115"/>
  <c r="S507" i="115"/>
  <c r="S508" i="115"/>
  <c r="S509" i="115"/>
  <c r="S510" i="115"/>
  <c r="S511" i="115"/>
  <c r="Q506" i="115"/>
  <c r="Q507" i="115"/>
  <c r="Q508" i="115"/>
  <c r="Q509" i="115"/>
  <c r="Q510" i="115"/>
  <c r="Q511" i="115"/>
  <c r="S498" i="115"/>
  <c r="S499" i="115"/>
  <c r="S500" i="115"/>
  <c r="S501" i="115"/>
  <c r="S502" i="115"/>
  <c r="Q498" i="115"/>
  <c r="Q499" i="115"/>
  <c r="Q500" i="115"/>
  <c r="Q501" i="115"/>
  <c r="Q502" i="115"/>
  <c r="S490" i="115"/>
  <c r="S491" i="115"/>
  <c r="S492" i="115"/>
  <c r="S493" i="115"/>
  <c r="S494" i="115"/>
  <c r="Q490" i="115"/>
  <c r="Q491" i="115"/>
  <c r="Q492" i="115"/>
  <c r="Q493" i="115"/>
  <c r="Q494" i="115"/>
  <c r="S477" i="115"/>
  <c r="S478" i="115"/>
  <c r="S479" i="115"/>
  <c r="S480" i="115"/>
  <c r="S481" i="115"/>
  <c r="S482" i="115"/>
  <c r="Q477" i="115"/>
  <c r="Q478" i="115"/>
  <c r="Q479" i="115"/>
  <c r="Q480" i="115"/>
  <c r="Q481" i="115"/>
  <c r="Q482" i="115"/>
  <c r="S469" i="115"/>
  <c r="S470" i="115"/>
  <c r="S471" i="115"/>
  <c r="S472" i="115"/>
  <c r="S473" i="115"/>
  <c r="Q469" i="115"/>
  <c r="Q470" i="115"/>
  <c r="Q471" i="115"/>
  <c r="Q472" i="115"/>
  <c r="Q473" i="115"/>
  <c r="S461" i="115"/>
  <c r="S462" i="115"/>
  <c r="S463" i="115"/>
  <c r="S464" i="115"/>
  <c r="S465" i="115"/>
  <c r="Q461" i="115"/>
  <c r="Q462" i="115"/>
  <c r="Q463" i="115"/>
  <c r="Q464" i="115"/>
  <c r="Q465" i="115"/>
  <c r="O440" i="115"/>
  <c r="M440" i="115"/>
  <c r="I440" i="115"/>
  <c r="D418" i="115"/>
  <c r="D411" i="115"/>
  <c r="D400" i="115"/>
  <c r="D394" i="115"/>
  <c r="D384" i="115"/>
  <c r="D376" i="115"/>
  <c r="D357" i="115"/>
  <c r="D364" i="115" s="1"/>
  <c r="D349" i="115"/>
  <c r="D355" i="115" s="1"/>
  <c r="D341" i="115"/>
  <c r="D347" i="115" s="1"/>
  <c r="I335" i="115"/>
  <c r="D335" i="115"/>
  <c r="I326" i="115"/>
  <c r="D326" i="115"/>
  <c r="I318" i="115"/>
  <c r="D318" i="115"/>
  <c r="S435" i="115"/>
  <c r="S436" i="115"/>
  <c r="S437" i="115"/>
  <c r="S438" i="115"/>
  <c r="S439" i="115"/>
  <c r="Q435" i="115"/>
  <c r="Q436" i="115"/>
  <c r="Q437" i="115"/>
  <c r="Q438" i="115"/>
  <c r="Q439" i="115"/>
  <c r="S425" i="115"/>
  <c r="S426" i="115"/>
  <c r="S427" i="115"/>
  <c r="S428" i="115"/>
  <c r="S429" i="115"/>
  <c r="Q425" i="115"/>
  <c r="Q426" i="115"/>
  <c r="Q427" i="115"/>
  <c r="Q428" i="115"/>
  <c r="Q429" i="115"/>
  <c r="S414" i="115"/>
  <c r="S415" i="115"/>
  <c r="S416" i="115"/>
  <c r="S417" i="115"/>
  <c r="Q414" i="115"/>
  <c r="Q415" i="115"/>
  <c r="Q416" i="115"/>
  <c r="Q417" i="115"/>
  <c r="S407" i="115"/>
  <c r="S408" i="115"/>
  <c r="S409" i="115"/>
  <c r="S410" i="115"/>
  <c r="Q407" i="115"/>
  <c r="Q408" i="115"/>
  <c r="Q409" i="115"/>
  <c r="Q410" i="115"/>
  <c r="S397" i="115"/>
  <c r="S398" i="115"/>
  <c r="S399" i="115"/>
  <c r="Q397" i="115"/>
  <c r="Q398" i="115"/>
  <c r="Q399" i="115"/>
  <c r="S391" i="115"/>
  <c r="S392" i="115"/>
  <c r="S393" i="115"/>
  <c r="Q391" i="115"/>
  <c r="Q392" i="115"/>
  <c r="Q393" i="115"/>
  <c r="S379" i="115"/>
  <c r="S380" i="115"/>
  <c r="S381" i="115"/>
  <c r="S382" i="115"/>
  <c r="S383" i="115"/>
  <c r="Q379" i="115"/>
  <c r="Q380" i="115"/>
  <c r="Q381" i="115"/>
  <c r="Q382" i="115"/>
  <c r="Q383" i="115"/>
  <c r="S371" i="115"/>
  <c r="S372" i="115"/>
  <c r="S373" i="115"/>
  <c r="S374" i="115"/>
  <c r="S375" i="115"/>
  <c r="Q371" i="115"/>
  <c r="Q372" i="115"/>
  <c r="Q373" i="115"/>
  <c r="Q374" i="115"/>
  <c r="Q375" i="115"/>
  <c r="S358" i="115"/>
  <c r="S359" i="115"/>
  <c r="S360" i="115"/>
  <c r="S361" i="115"/>
  <c r="S362" i="115"/>
  <c r="S363" i="115"/>
  <c r="Q358" i="115"/>
  <c r="Q359" i="115"/>
  <c r="Q360" i="115"/>
  <c r="Q361" i="115"/>
  <c r="Q362" i="115"/>
  <c r="Q363" i="115"/>
  <c r="S350" i="115"/>
  <c r="S351" i="115"/>
  <c r="S352" i="115"/>
  <c r="S353" i="115"/>
  <c r="S354" i="115"/>
  <c r="Q350" i="115"/>
  <c r="Q351" i="115"/>
  <c r="Q352" i="115"/>
  <c r="Q353" i="115"/>
  <c r="Q354" i="115"/>
  <c r="S342" i="115"/>
  <c r="S343" i="115"/>
  <c r="S344" i="115"/>
  <c r="S345" i="115"/>
  <c r="S346" i="115"/>
  <c r="Q342" i="115"/>
  <c r="Q343" i="115"/>
  <c r="Q344" i="115"/>
  <c r="Q345" i="115"/>
  <c r="Q346" i="115"/>
  <c r="S329" i="115"/>
  <c r="S330" i="115"/>
  <c r="S331" i="115"/>
  <c r="S332" i="115"/>
  <c r="S333" i="115"/>
  <c r="S334" i="115"/>
  <c r="Q329" i="115"/>
  <c r="Q330" i="115"/>
  <c r="Q331" i="115"/>
  <c r="Q332" i="115"/>
  <c r="Q333" i="115"/>
  <c r="Q334" i="115"/>
  <c r="S321" i="115"/>
  <c r="S322" i="115"/>
  <c r="S323" i="115"/>
  <c r="S324" i="115"/>
  <c r="S325" i="115"/>
  <c r="Q321" i="115"/>
  <c r="Q322" i="115"/>
  <c r="Q323" i="115"/>
  <c r="Q324" i="115"/>
  <c r="Q325" i="115"/>
  <c r="S313" i="115"/>
  <c r="S314" i="115"/>
  <c r="S315" i="115"/>
  <c r="S316" i="115"/>
  <c r="S317" i="115"/>
  <c r="Q313" i="115"/>
  <c r="Q314" i="115"/>
  <c r="Q315" i="115"/>
  <c r="Q316" i="115"/>
  <c r="Q317" i="115"/>
  <c r="O292" i="115"/>
  <c r="M292" i="115"/>
  <c r="I292" i="115"/>
  <c r="D270" i="115"/>
  <c r="D263" i="115"/>
  <c r="D252" i="115"/>
  <c r="D246" i="115"/>
  <c r="D236" i="115"/>
  <c r="D228" i="115"/>
  <c r="D209" i="115"/>
  <c r="D216" i="115" s="1"/>
  <c r="D201" i="115"/>
  <c r="D207" i="115" s="1"/>
  <c r="D193" i="115"/>
  <c r="D199" i="115" s="1"/>
  <c r="I187" i="115"/>
  <c r="D187" i="115"/>
  <c r="I178" i="115"/>
  <c r="D178" i="115"/>
  <c r="I170" i="115"/>
  <c r="D170" i="115"/>
  <c r="S287" i="115"/>
  <c r="S288" i="115"/>
  <c r="S289" i="115"/>
  <c r="S290" i="115"/>
  <c r="S291" i="115"/>
  <c r="Q287" i="115"/>
  <c r="Q288" i="115"/>
  <c r="Q289" i="115"/>
  <c r="Q290" i="115"/>
  <c r="Q291" i="115"/>
  <c r="S277" i="115"/>
  <c r="S278" i="115"/>
  <c r="S279" i="115"/>
  <c r="S280" i="115"/>
  <c r="S281" i="115"/>
  <c r="Q277" i="115"/>
  <c r="Q278" i="115"/>
  <c r="Q279" i="115"/>
  <c r="Q280" i="115"/>
  <c r="Q281" i="115"/>
  <c r="S266" i="115"/>
  <c r="S267" i="115"/>
  <c r="S268" i="115"/>
  <c r="S269" i="115"/>
  <c r="Q266" i="115"/>
  <c r="Q267" i="115"/>
  <c r="Q268" i="115"/>
  <c r="Q269" i="115"/>
  <c r="S259" i="115"/>
  <c r="S260" i="115"/>
  <c r="S261" i="115"/>
  <c r="S262" i="115"/>
  <c r="Q259" i="115"/>
  <c r="Q260" i="115"/>
  <c r="Q261" i="115"/>
  <c r="Q262" i="115"/>
  <c r="S249" i="115"/>
  <c r="S250" i="115"/>
  <c r="S251" i="115"/>
  <c r="Q249" i="115"/>
  <c r="Q250" i="115"/>
  <c r="Q251" i="115"/>
  <c r="S243" i="115"/>
  <c r="S244" i="115"/>
  <c r="S245" i="115"/>
  <c r="Q243" i="115"/>
  <c r="Q244" i="115"/>
  <c r="Q245" i="115"/>
  <c r="S231" i="115"/>
  <c r="S232" i="115"/>
  <c r="S233" i="115"/>
  <c r="S234" i="115"/>
  <c r="S235" i="115"/>
  <c r="Q231" i="115"/>
  <c r="Q232" i="115"/>
  <c r="Q233" i="115"/>
  <c r="Q234" i="115"/>
  <c r="Q235" i="115"/>
  <c r="S223" i="115"/>
  <c r="S224" i="115"/>
  <c r="S225" i="115"/>
  <c r="S226" i="115"/>
  <c r="S227" i="115"/>
  <c r="Q223" i="115"/>
  <c r="Q224" i="115"/>
  <c r="Q225" i="115"/>
  <c r="Q226" i="115"/>
  <c r="Q227" i="115"/>
  <c r="S210" i="115"/>
  <c r="S211" i="115"/>
  <c r="S212" i="115"/>
  <c r="S213" i="115"/>
  <c r="S214" i="115"/>
  <c r="S215" i="115"/>
  <c r="Q210" i="115"/>
  <c r="Q211" i="115"/>
  <c r="Q212" i="115"/>
  <c r="Q213" i="115"/>
  <c r="Q214" i="115"/>
  <c r="Q215" i="115"/>
  <c r="S202" i="115"/>
  <c r="S203" i="115"/>
  <c r="S204" i="115"/>
  <c r="S205" i="115"/>
  <c r="S206" i="115"/>
  <c r="Q202" i="115"/>
  <c r="Q203" i="115"/>
  <c r="Q204" i="115"/>
  <c r="Q205" i="115"/>
  <c r="Q206" i="115"/>
  <c r="S194" i="115"/>
  <c r="S195" i="115"/>
  <c r="S196" i="115"/>
  <c r="S197" i="115"/>
  <c r="S198" i="115"/>
  <c r="Q194" i="115"/>
  <c r="Q195" i="115"/>
  <c r="Q196" i="115"/>
  <c r="Q197" i="115"/>
  <c r="Q198" i="115"/>
  <c r="S181" i="115"/>
  <c r="S182" i="115"/>
  <c r="S183" i="115"/>
  <c r="S184" i="115"/>
  <c r="S185" i="115"/>
  <c r="S186" i="115"/>
  <c r="Q181" i="115"/>
  <c r="Q182" i="115"/>
  <c r="Q183" i="115"/>
  <c r="Q184" i="115"/>
  <c r="Q185" i="115"/>
  <c r="Q186" i="115"/>
  <c r="S173" i="115"/>
  <c r="S174" i="115"/>
  <c r="S175" i="115"/>
  <c r="S176" i="115"/>
  <c r="S177" i="115"/>
  <c r="Q173" i="115"/>
  <c r="Q174" i="115"/>
  <c r="Q175" i="115"/>
  <c r="Q176" i="115"/>
  <c r="Q177" i="115"/>
  <c r="S165" i="115"/>
  <c r="S166" i="115"/>
  <c r="S167" i="115"/>
  <c r="S168" i="115"/>
  <c r="S169" i="115"/>
  <c r="Q165" i="115"/>
  <c r="Q166" i="115"/>
  <c r="Q167" i="115"/>
  <c r="Q168" i="115"/>
  <c r="Q169" i="115"/>
  <c r="O144" i="115"/>
  <c r="M144" i="115"/>
  <c r="S139" i="115"/>
  <c r="S140" i="115"/>
  <c r="S141" i="115"/>
  <c r="S142" i="115"/>
  <c r="S143" i="115"/>
  <c r="Q139" i="115"/>
  <c r="Q140" i="115"/>
  <c r="Q141" i="115"/>
  <c r="Q142" i="115"/>
  <c r="Q143" i="115"/>
  <c r="I144" i="115"/>
  <c r="I39" i="115"/>
  <c r="I30" i="115"/>
  <c r="I22" i="115"/>
  <c r="D61" i="115"/>
  <c r="D68" i="115" s="1"/>
  <c r="D53" i="115"/>
  <c r="D59" i="115" s="1"/>
  <c r="D45" i="115"/>
  <c r="D51" i="115" s="1"/>
  <c r="S129" i="115"/>
  <c r="S130" i="115"/>
  <c r="S131" i="115"/>
  <c r="S132" i="115"/>
  <c r="S133" i="115"/>
  <c r="Q129" i="115"/>
  <c r="Q130" i="115"/>
  <c r="Q131" i="115"/>
  <c r="Q132" i="115"/>
  <c r="Q133" i="115"/>
  <c r="S118" i="115"/>
  <c r="S119" i="115"/>
  <c r="S120" i="115"/>
  <c r="S121" i="115"/>
  <c r="S111" i="115"/>
  <c r="S112" i="115"/>
  <c r="S113" i="115"/>
  <c r="S114" i="115"/>
  <c r="Q118" i="115"/>
  <c r="Q119" i="115"/>
  <c r="Q120" i="115"/>
  <c r="Q121" i="115"/>
  <c r="Q111" i="115"/>
  <c r="Q112" i="115"/>
  <c r="Q113" i="115"/>
  <c r="Q114" i="115"/>
  <c r="S101" i="115"/>
  <c r="S102" i="115"/>
  <c r="S103" i="115"/>
  <c r="S95" i="115"/>
  <c r="S96" i="115"/>
  <c r="S97" i="115"/>
  <c r="Q101" i="115"/>
  <c r="Q102" i="115"/>
  <c r="Q103" i="115"/>
  <c r="Q95" i="115"/>
  <c r="Q96" i="115"/>
  <c r="Q97" i="115"/>
  <c r="S83" i="115"/>
  <c r="S84" i="115"/>
  <c r="S85" i="115"/>
  <c r="S86" i="115"/>
  <c r="S87" i="115"/>
  <c r="S75" i="115"/>
  <c r="S76" i="115"/>
  <c r="S77" i="115"/>
  <c r="S78" i="115"/>
  <c r="S79" i="115"/>
  <c r="Q83" i="115"/>
  <c r="Q84" i="115"/>
  <c r="Q85" i="115"/>
  <c r="Q86" i="115"/>
  <c r="Q87" i="115"/>
  <c r="Q75" i="115"/>
  <c r="Q76" i="115"/>
  <c r="Q77" i="115"/>
  <c r="Q78" i="115"/>
  <c r="Q79" i="115"/>
  <c r="Q50" i="115"/>
  <c r="S33" i="115"/>
  <c r="S34" i="115"/>
  <c r="S35" i="115"/>
  <c r="S36" i="115"/>
  <c r="S37" i="115"/>
  <c r="S38" i="115"/>
  <c r="S25" i="115"/>
  <c r="S26" i="115"/>
  <c r="S27" i="115"/>
  <c r="S28" i="115"/>
  <c r="S29" i="115"/>
  <c r="S17" i="115"/>
  <c r="S18" i="115"/>
  <c r="S19" i="115"/>
  <c r="S20" i="115"/>
  <c r="S21" i="115"/>
  <c r="Q33" i="115"/>
  <c r="Q34" i="115"/>
  <c r="Q35" i="115"/>
  <c r="Q36" i="115"/>
  <c r="Q37" i="115"/>
  <c r="Q38" i="115"/>
  <c r="Q25" i="115"/>
  <c r="Q26" i="115"/>
  <c r="Q27" i="115"/>
  <c r="Q28" i="115"/>
  <c r="Q29" i="115"/>
  <c r="Q17" i="115"/>
  <c r="Q18" i="115"/>
  <c r="Q19" i="115"/>
  <c r="Q20" i="115"/>
  <c r="Q21" i="115"/>
  <c r="D122" i="115"/>
  <c r="D115" i="115"/>
  <c r="D104" i="115"/>
  <c r="D98" i="115"/>
  <c r="D88" i="115"/>
  <c r="D80" i="115"/>
  <c r="Q62" i="115"/>
  <c r="Q63" i="115"/>
  <c r="S64" i="115"/>
  <c r="S65" i="115"/>
  <c r="S66" i="115"/>
  <c r="S67" i="115"/>
  <c r="S54" i="115"/>
  <c r="Q55" i="115"/>
  <c r="Q56" i="115"/>
  <c r="S57" i="115"/>
  <c r="S58" i="115"/>
  <c r="S46" i="115"/>
  <c r="S47" i="115"/>
  <c r="S48" i="115"/>
  <c r="S49" i="115"/>
  <c r="S50" i="115"/>
  <c r="D39" i="115"/>
  <c r="D30" i="115"/>
  <c r="D22" i="115"/>
  <c r="K2290" i="35" l="1"/>
  <c r="K69" i="150"/>
  <c r="K659" i="35"/>
  <c r="K673" i="35" s="1"/>
  <c r="K66" i="146"/>
  <c r="K1471" i="35"/>
  <c r="K1485" i="35" s="1"/>
  <c r="K64" i="147"/>
  <c r="K2285" i="35"/>
  <c r="K2299" i="35" s="1"/>
  <c r="K64" i="150"/>
  <c r="K1882" i="35"/>
  <c r="K1896" i="35" s="1"/>
  <c r="K68" i="148"/>
  <c r="K663" i="35"/>
  <c r="K677" i="35" s="1"/>
  <c r="K70" i="146"/>
  <c r="K1470" i="35"/>
  <c r="K1484" i="35" s="1"/>
  <c r="K63" i="147"/>
  <c r="K1879" i="35"/>
  <c r="K65" i="148"/>
  <c r="K655" i="35"/>
  <c r="K669" i="35" s="1"/>
  <c r="K62" i="146"/>
  <c r="K255" i="35"/>
  <c r="K269" i="35" s="1"/>
  <c r="K69" i="145"/>
  <c r="K250" i="35"/>
  <c r="K264" i="35" s="1"/>
  <c r="K64" i="145"/>
  <c r="K656" i="35"/>
  <c r="K670" i="35" s="1"/>
  <c r="K63" i="146"/>
  <c r="K253" i="35"/>
  <c r="K267" i="35" s="1"/>
  <c r="K67" i="145"/>
  <c r="K1069" i="35"/>
  <c r="K69" i="149"/>
  <c r="K1474" i="35"/>
  <c r="K67" i="147"/>
  <c r="K2287" i="35"/>
  <c r="K2301" i="35" s="1"/>
  <c r="K66" i="150"/>
  <c r="K1881" i="35"/>
  <c r="K67" i="148"/>
  <c r="K657" i="35"/>
  <c r="K671" i="35" s="1"/>
  <c r="K64" i="146"/>
  <c r="K2291" i="35"/>
  <c r="K70" i="150"/>
  <c r="K1067" i="35"/>
  <c r="K1081" i="35" s="1"/>
  <c r="K67" i="149"/>
  <c r="K252" i="35"/>
  <c r="K266" i="35" s="1"/>
  <c r="K66" i="145"/>
  <c r="K658" i="35"/>
  <c r="K672" i="35" s="1"/>
  <c r="K65" i="146"/>
  <c r="K248" i="35"/>
  <c r="K262" i="35" s="1"/>
  <c r="K62" i="145"/>
  <c r="K662" i="35"/>
  <c r="K676" i="35" s="1"/>
  <c r="K69" i="146"/>
  <c r="K1878" i="35"/>
  <c r="K64" i="148"/>
  <c r="K1063" i="35"/>
  <c r="K63" i="149"/>
  <c r="K1469" i="35"/>
  <c r="K1483" i="35" s="1"/>
  <c r="K62" i="147"/>
  <c r="K1473" i="35"/>
  <c r="K66" i="147"/>
  <c r="K1876" i="35"/>
  <c r="K62" i="148"/>
  <c r="K1070" i="35"/>
  <c r="K1084" i="35" s="1"/>
  <c r="K70" i="149"/>
  <c r="K1062" i="35"/>
  <c r="K1076" i="35" s="1"/>
  <c r="K62" i="149"/>
  <c r="K2286" i="35"/>
  <c r="K2300" i="35" s="1"/>
  <c r="K65" i="150"/>
  <c r="K1880" i="35"/>
  <c r="K1894" i="35" s="1"/>
  <c r="K66" i="148"/>
  <c r="K1066" i="35"/>
  <c r="K66" i="149"/>
  <c r="K660" i="35"/>
  <c r="K674" i="35" s="1"/>
  <c r="K67" i="146"/>
  <c r="K2289" i="35"/>
  <c r="K2303" i="35" s="1"/>
  <c r="K68" i="150"/>
  <c r="K2283" i="35"/>
  <c r="K2297" i="35" s="1"/>
  <c r="K62" i="150"/>
  <c r="K1475" i="35"/>
  <c r="K68" i="147"/>
  <c r="K251" i="35"/>
  <c r="K265" i="35" s="1"/>
  <c r="K65" i="145"/>
  <c r="K661" i="35"/>
  <c r="K675" i="35" s="1"/>
  <c r="K68" i="146"/>
  <c r="K249" i="35"/>
  <c r="K263" i="35" s="1"/>
  <c r="K63" i="145"/>
  <c r="K1884" i="35"/>
  <c r="K1898" i="35" s="1"/>
  <c r="K70" i="148"/>
  <c r="K256" i="35"/>
  <c r="K270" i="35" s="1"/>
  <c r="K70" i="145"/>
  <c r="K1477" i="35"/>
  <c r="K70" i="147"/>
  <c r="K2288" i="35"/>
  <c r="K2302" i="35" s="1"/>
  <c r="K67" i="150"/>
  <c r="K1472" i="35"/>
  <c r="K65" i="147"/>
  <c r="K1476" i="35"/>
  <c r="K69" i="147"/>
  <c r="K1065" i="35"/>
  <c r="K65" i="149"/>
  <c r="K2284" i="35"/>
  <c r="K2298" i="35" s="1"/>
  <c r="K63" i="150"/>
  <c r="K254" i="35"/>
  <c r="K268" i="35" s="1"/>
  <c r="K68" i="145"/>
  <c r="K1064" i="35"/>
  <c r="K64" i="149"/>
  <c r="K1877" i="35"/>
  <c r="K63" i="148"/>
  <c r="K1082" i="35"/>
  <c r="K1872" i="35"/>
  <c r="K57" i="147"/>
  <c r="K57" i="148"/>
  <c r="K57" i="145"/>
  <c r="K57" i="149"/>
  <c r="K651" i="35"/>
  <c r="K57" i="150"/>
  <c r="K57" i="146"/>
  <c r="K58" i="143"/>
  <c r="K246" i="31"/>
  <c r="K248" i="31"/>
  <c r="K261" i="31" s="1"/>
  <c r="K250" i="31"/>
  <c r="K263" i="31" s="1"/>
  <c r="K245" i="31"/>
  <c r="K244" i="31"/>
  <c r="K257" i="31" s="1"/>
  <c r="K249" i="31"/>
  <c r="K243" i="31"/>
  <c r="K256" i="31" s="1"/>
  <c r="K247" i="31"/>
  <c r="K251" i="31"/>
  <c r="K264" i="31" s="1"/>
  <c r="K73" i="143"/>
  <c r="K75" i="143" s="1"/>
  <c r="L73" i="140"/>
  <c r="K668" i="35"/>
  <c r="K1875" i="35"/>
  <c r="K2279" i="35"/>
  <c r="K2282" i="35"/>
  <c r="K1465" i="35"/>
  <c r="K1468" i="35"/>
  <c r="K244" i="35"/>
  <c r="K247" i="35"/>
  <c r="K239" i="31"/>
  <c r="K242" i="31"/>
  <c r="L156" i="20"/>
  <c r="L160" i="20"/>
  <c r="K1058" i="35"/>
  <c r="K1061" i="35"/>
  <c r="S309" i="121"/>
  <c r="S385" i="121"/>
  <c r="S201" i="121"/>
  <c r="S230" i="121"/>
  <c r="Q309" i="121"/>
  <c r="Q338" i="121"/>
  <c r="S355" i="121"/>
  <c r="Q367" i="121"/>
  <c r="Q391" i="121"/>
  <c r="Q421" i="121"/>
  <c r="J44" i="119" s="1"/>
  <c r="O44" i="119" s="1"/>
  <c r="S240" i="121"/>
  <c r="C37" i="119"/>
  <c r="D46" i="119" s="1"/>
  <c r="S391" i="121"/>
  <c r="S402" i="121"/>
  <c r="S409" i="121"/>
  <c r="Q346" i="121"/>
  <c r="S326" i="121"/>
  <c r="Q385" i="121"/>
  <c r="C9" i="119"/>
  <c r="D18" i="119" s="1"/>
  <c r="S338" i="121"/>
  <c r="S421" i="121"/>
  <c r="L44" i="119" s="1"/>
  <c r="Q44" i="119" s="1"/>
  <c r="Q326" i="121"/>
  <c r="Q355" i="121"/>
  <c r="S367" i="121"/>
  <c r="Q375" i="121"/>
  <c r="S317" i="121"/>
  <c r="S346" i="121"/>
  <c r="S375" i="121"/>
  <c r="Q402" i="121"/>
  <c r="S431" i="121"/>
  <c r="L45" i="119" s="1"/>
  <c r="Q45" i="119" s="1"/>
  <c r="Q164" i="121"/>
  <c r="Q246" i="121"/>
  <c r="Q276" i="121"/>
  <c r="J30" i="119" s="1"/>
  <c r="O30" i="119" s="1"/>
  <c r="Q317" i="121"/>
  <c r="Q431" i="121"/>
  <c r="J45" i="119" s="1"/>
  <c r="O45" i="119" s="1"/>
  <c r="Q409" i="121"/>
  <c r="Q201" i="121"/>
  <c r="Q230" i="121"/>
  <c r="Q172" i="121"/>
  <c r="Q240" i="121"/>
  <c r="Q286" i="121"/>
  <c r="J31" i="119" s="1"/>
  <c r="O31" i="119" s="1"/>
  <c r="Q181" i="121"/>
  <c r="S181" i="121"/>
  <c r="S210" i="121"/>
  <c r="S246" i="121"/>
  <c r="S257" i="121"/>
  <c r="S264" i="121"/>
  <c r="S164" i="121"/>
  <c r="S193" i="121"/>
  <c r="Q210" i="121"/>
  <c r="S222" i="121"/>
  <c r="S276" i="121"/>
  <c r="L30" i="119" s="1"/>
  <c r="Q30" i="119" s="1"/>
  <c r="S172" i="121"/>
  <c r="Q193" i="121"/>
  <c r="Q222" i="121"/>
  <c r="Q257" i="121"/>
  <c r="Q264" i="121"/>
  <c r="S286" i="121"/>
  <c r="L31" i="119" s="1"/>
  <c r="Q31" i="119" s="1"/>
  <c r="C23" i="119"/>
  <c r="D32" i="119" s="1"/>
  <c r="Q101" i="121"/>
  <c r="S119" i="121"/>
  <c r="S112" i="121"/>
  <c r="S95" i="121"/>
  <c r="Q119" i="121"/>
  <c r="Q27" i="121"/>
  <c r="Q77" i="121"/>
  <c r="Q95" i="121"/>
  <c r="Q48" i="121"/>
  <c r="Q65" i="121"/>
  <c r="S141" i="121"/>
  <c r="L17" i="119" s="1"/>
  <c r="Q17" i="119" s="1"/>
  <c r="S48" i="121"/>
  <c r="S65" i="121"/>
  <c r="Q112" i="121"/>
  <c r="S77" i="121"/>
  <c r="S56" i="121"/>
  <c r="S27" i="121"/>
  <c r="Q56" i="121"/>
  <c r="Q19" i="121"/>
  <c r="S36" i="121"/>
  <c r="Q85" i="121"/>
  <c r="Q131" i="121"/>
  <c r="J16" i="119" s="1"/>
  <c r="O16" i="119" s="1"/>
  <c r="S19" i="121"/>
  <c r="Q36" i="121"/>
  <c r="S85" i="121"/>
  <c r="S101" i="121"/>
  <c r="S131" i="121"/>
  <c r="L16" i="119" s="1"/>
  <c r="Q16" i="119" s="1"/>
  <c r="Q141" i="121"/>
  <c r="J17" i="119" s="1"/>
  <c r="O17" i="119" s="1"/>
  <c r="Q246" i="115"/>
  <c r="Q335" i="115"/>
  <c r="Q376" i="115"/>
  <c r="S559" i="115"/>
  <c r="S503" i="115"/>
  <c r="S532" i="115"/>
  <c r="Q566" i="115"/>
  <c r="S588" i="115"/>
  <c r="S326" i="115"/>
  <c r="Q364" i="115"/>
  <c r="Q411" i="115"/>
  <c r="S430" i="115"/>
  <c r="Q326" i="115"/>
  <c r="S263" i="115"/>
  <c r="Q542" i="115"/>
  <c r="S318" i="115"/>
  <c r="S376" i="115"/>
  <c r="S394" i="115"/>
  <c r="Q474" i="115"/>
  <c r="S207" i="115"/>
  <c r="Q270" i="115"/>
  <c r="Q292" i="115"/>
  <c r="S292" i="115"/>
  <c r="Q178" i="115"/>
  <c r="Q236" i="115"/>
  <c r="Q588" i="115"/>
  <c r="S187" i="115"/>
  <c r="S216" i="115"/>
  <c r="S252" i="115"/>
  <c r="S548" i="115"/>
  <c r="Q170" i="115"/>
  <c r="S236" i="115"/>
  <c r="Q252" i="115"/>
  <c r="Q466" i="115"/>
  <c r="Q548" i="115"/>
  <c r="Q199" i="115"/>
  <c r="Q282" i="115"/>
  <c r="Q318" i="115"/>
  <c r="Q400" i="115"/>
  <c r="Q495" i="115"/>
  <c r="Q578" i="115"/>
  <c r="S355" i="115"/>
  <c r="Q418" i="115"/>
  <c r="S440" i="115"/>
  <c r="Q503" i="115"/>
  <c r="Q532" i="115"/>
  <c r="S270" i="115"/>
  <c r="S566" i="115"/>
  <c r="Q355" i="115"/>
  <c r="Q384" i="115"/>
  <c r="Q394" i="115"/>
  <c r="Q440" i="115"/>
  <c r="Q207" i="115"/>
  <c r="Q347" i="115"/>
  <c r="Q430" i="115"/>
  <c r="S483" i="115"/>
  <c r="S512" i="115"/>
  <c r="S170" i="115"/>
  <c r="S178" i="115"/>
  <c r="Q187" i="115"/>
  <c r="S199" i="115"/>
  <c r="Q216" i="115"/>
  <c r="Q228" i="115"/>
  <c r="S228" i="115"/>
  <c r="S246" i="115"/>
  <c r="Q263" i="115"/>
  <c r="S282" i="115"/>
  <c r="S335" i="115"/>
  <c r="S347" i="115"/>
  <c r="S364" i="115"/>
  <c r="S384" i="115"/>
  <c r="S400" i="115"/>
  <c r="S411" i="115"/>
  <c r="S418" i="115"/>
  <c r="S466" i="115"/>
  <c r="S474" i="115"/>
  <c r="Q483" i="115"/>
  <c r="S495" i="115"/>
  <c r="Q512" i="115"/>
  <c r="Q524" i="115"/>
  <c r="S524" i="115"/>
  <c r="S542" i="115"/>
  <c r="Q559" i="115"/>
  <c r="S578" i="115"/>
  <c r="S144" i="115"/>
  <c r="Q144" i="115"/>
  <c r="Q134" i="115"/>
  <c r="S134" i="115"/>
  <c r="Q98" i="115"/>
  <c r="S63" i="115"/>
  <c r="S98" i="115"/>
  <c r="S56" i="115"/>
  <c r="Q57" i="115"/>
  <c r="S55" i="115"/>
  <c r="S62" i="115"/>
  <c r="S115" i="115"/>
  <c r="S51" i="115"/>
  <c r="Q39" i="115"/>
  <c r="Q22" i="115"/>
  <c r="S22" i="115"/>
  <c r="Q46" i="115"/>
  <c r="Q65" i="115"/>
  <c r="S39" i="115"/>
  <c r="S104" i="115"/>
  <c r="Q58" i="115"/>
  <c r="Q64" i="115"/>
  <c r="Q30" i="115"/>
  <c r="S30" i="115"/>
  <c r="Q49" i="115"/>
  <c r="Q54" i="115"/>
  <c r="Q80" i="115"/>
  <c r="Q88" i="115"/>
  <c r="Q104" i="115"/>
  <c r="S122" i="115"/>
  <c r="Q48" i="115"/>
  <c r="Q67" i="115"/>
  <c r="S80" i="115"/>
  <c r="Q122" i="115"/>
  <c r="Q47" i="115"/>
  <c r="Q66" i="115"/>
  <c r="S88" i="115"/>
  <c r="Q115" i="115"/>
  <c r="K685" i="35" l="1"/>
  <c r="L241" i="20" s="1"/>
  <c r="K1890" i="35"/>
  <c r="K1499" i="35"/>
  <c r="K81" i="147" s="1"/>
  <c r="K1093" i="35"/>
  <c r="K82" i="149" s="1"/>
  <c r="K682" i="35"/>
  <c r="K78" i="146" s="1"/>
  <c r="K1906" i="35"/>
  <c r="K81" i="148" s="1"/>
  <c r="K1083" i="35"/>
  <c r="K1490" i="35"/>
  <c r="K1077" i="35"/>
  <c r="K1487" i="35"/>
  <c r="K1491" i="35"/>
  <c r="K678" i="35"/>
  <c r="K697" i="35" s="1"/>
  <c r="K93" i="146" s="1"/>
  <c r="K1892" i="35"/>
  <c r="K71" i="145"/>
  <c r="K73" i="145" s="1"/>
  <c r="K1895" i="35"/>
  <c r="K71" i="149"/>
  <c r="K73" i="149" s="1"/>
  <c r="K71" i="147"/>
  <c r="K73" i="147" s="1"/>
  <c r="K71" i="150"/>
  <c r="K73" i="150" s="1"/>
  <c r="K71" i="148"/>
  <c r="K73" i="148" s="1"/>
  <c r="K1488" i="35"/>
  <c r="K2304" i="35"/>
  <c r="K2305" i="35"/>
  <c r="K1486" i="35"/>
  <c r="K1489" i="35"/>
  <c r="K1080" i="35"/>
  <c r="K1891" i="35"/>
  <c r="K1079" i="35"/>
  <c r="K664" i="35"/>
  <c r="K681" i="35" s="1"/>
  <c r="K1893" i="35"/>
  <c r="K1078" i="35"/>
  <c r="K71" i="146"/>
  <c r="K73" i="146" s="1"/>
  <c r="K259" i="31"/>
  <c r="K269" i="31"/>
  <c r="K262" i="31"/>
  <c r="K260" i="31"/>
  <c r="K258" i="31"/>
  <c r="K272" i="31"/>
  <c r="K1889" i="35"/>
  <c r="K1885" i="35"/>
  <c r="K1903" i="35" s="1"/>
  <c r="K78" i="148" s="1"/>
  <c r="K2292" i="35"/>
  <c r="K2296" i="35"/>
  <c r="K1478" i="35"/>
  <c r="K1504" i="35" s="1"/>
  <c r="K86" i="147" s="1"/>
  <c r="K1482" i="35"/>
  <c r="L170" i="20"/>
  <c r="K252" i="31"/>
  <c r="K268" i="31" s="1"/>
  <c r="K255" i="31"/>
  <c r="K257" i="35"/>
  <c r="K275" i="35" s="1"/>
  <c r="K261" i="35"/>
  <c r="K271" i="35" s="1"/>
  <c r="K288" i="35" s="1"/>
  <c r="K91" i="145" s="1"/>
  <c r="K1071" i="35"/>
  <c r="K1095" i="35" s="1"/>
  <c r="K84" i="149" s="1"/>
  <c r="K1075" i="35"/>
  <c r="Q272" i="115"/>
  <c r="S357" i="121"/>
  <c r="L40" i="119" s="1"/>
  <c r="Q40" i="119" s="1"/>
  <c r="S232" i="121"/>
  <c r="L27" i="119" s="1"/>
  <c r="Q27" i="119" s="1"/>
  <c r="Q357" i="121"/>
  <c r="J40" i="119" s="1"/>
  <c r="O40" i="119" s="1"/>
  <c r="Q393" i="121"/>
  <c r="J42" i="119" s="1"/>
  <c r="O42" i="119" s="1"/>
  <c r="S393" i="121"/>
  <c r="L42" i="119" s="1"/>
  <c r="Q42" i="119" s="1"/>
  <c r="Q103" i="121"/>
  <c r="J14" i="119" s="1"/>
  <c r="O14" i="119" s="1"/>
  <c r="Q232" i="121"/>
  <c r="J27" i="119" s="1"/>
  <c r="O27" i="119" s="1"/>
  <c r="Q212" i="121"/>
  <c r="J26" i="119" s="1"/>
  <c r="O26" i="119" s="1"/>
  <c r="S212" i="121"/>
  <c r="L26" i="119" s="1"/>
  <c r="Q26" i="119" s="1"/>
  <c r="Q411" i="121"/>
  <c r="J43" i="119" s="1"/>
  <c r="O43" i="119" s="1"/>
  <c r="Q328" i="121"/>
  <c r="J39" i="119" s="1"/>
  <c r="O39" i="119" s="1"/>
  <c r="S328" i="121"/>
  <c r="L39" i="119" s="1"/>
  <c r="Q39" i="119" s="1"/>
  <c r="Q377" i="121"/>
  <c r="J41" i="119" s="1"/>
  <c r="O41" i="119" s="1"/>
  <c r="S183" i="121"/>
  <c r="L25" i="119" s="1"/>
  <c r="Q25" i="119" s="1"/>
  <c r="Q248" i="121"/>
  <c r="J28" i="119" s="1"/>
  <c r="O28" i="119" s="1"/>
  <c r="S248" i="121"/>
  <c r="L28" i="119" s="1"/>
  <c r="Q28" i="119" s="1"/>
  <c r="S103" i="121"/>
  <c r="L14" i="119" s="1"/>
  <c r="Q14" i="119" s="1"/>
  <c r="S411" i="121"/>
  <c r="L43" i="119" s="1"/>
  <c r="Q43" i="119" s="1"/>
  <c r="Q266" i="121"/>
  <c r="J29" i="119" s="1"/>
  <c r="O29" i="119" s="1"/>
  <c r="S377" i="121"/>
  <c r="L41" i="119" s="1"/>
  <c r="Q41" i="119" s="1"/>
  <c r="Q183" i="121"/>
  <c r="S266" i="121"/>
  <c r="S121" i="121"/>
  <c r="L15" i="119" s="1"/>
  <c r="Q15" i="119" s="1"/>
  <c r="S87" i="121"/>
  <c r="L13" i="119" s="1"/>
  <c r="Q13" i="119" s="1"/>
  <c r="Q121" i="121"/>
  <c r="J15" i="119" s="1"/>
  <c r="O15" i="119" s="1"/>
  <c r="Q87" i="121"/>
  <c r="J13" i="119" s="1"/>
  <c r="O13" i="119" s="1"/>
  <c r="S38" i="121"/>
  <c r="S67" i="121"/>
  <c r="L12" i="119" s="1"/>
  <c r="Q12" i="119" s="1"/>
  <c r="Q67" i="121"/>
  <c r="J12" i="119" s="1"/>
  <c r="O12" i="119" s="1"/>
  <c r="Q38" i="121"/>
  <c r="J11" i="119" s="1"/>
  <c r="O11" i="119" s="1"/>
  <c r="Q568" i="115"/>
  <c r="S534" i="115"/>
  <c r="Q254" i="115"/>
  <c r="Q238" i="115"/>
  <c r="Q337" i="115"/>
  <c r="S514" i="115"/>
  <c r="Q386" i="115"/>
  <c r="Q366" i="115"/>
  <c r="S550" i="115"/>
  <c r="S272" i="115"/>
  <c r="Q218" i="115"/>
  <c r="Q189" i="115"/>
  <c r="Q534" i="115"/>
  <c r="S402" i="115"/>
  <c r="S337" i="115"/>
  <c r="Q402" i="115"/>
  <c r="S485" i="115"/>
  <c r="Q420" i="115"/>
  <c r="Q550" i="115"/>
  <c r="S386" i="115"/>
  <c r="S568" i="115"/>
  <c r="Q514" i="115"/>
  <c r="S366" i="115"/>
  <c r="S254" i="115"/>
  <c r="Q485" i="115"/>
  <c r="S238" i="115"/>
  <c r="S189" i="115"/>
  <c r="S420" i="115"/>
  <c r="S218" i="115"/>
  <c r="S68" i="115"/>
  <c r="Q41" i="115"/>
  <c r="S41" i="115"/>
  <c r="Q106" i="115"/>
  <c r="S59" i="115"/>
  <c r="S106" i="115"/>
  <c r="S124" i="115"/>
  <c r="S90" i="115"/>
  <c r="Q68" i="115"/>
  <c r="Q51" i="115"/>
  <c r="Q59" i="115"/>
  <c r="Q90" i="115"/>
  <c r="Q124" i="115"/>
  <c r="H336" i="19"/>
  <c r="H323" i="19"/>
  <c r="H310" i="19"/>
  <c r="D185" i="19"/>
  <c r="K694" i="35" l="1"/>
  <c r="K90" i="146" s="1"/>
  <c r="K81" i="146"/>
  <c r="K1910" i="35"/>
  <c r="K85" i="148" s="1"/>
  <c r="K1905" i="35"/>
  <c r="K80" i="148" s="1"/>
  <c r="K1902" i="35"/>
  <c r="K77" i="148" s="1"/>
  <c r="K1501" i="35"/>
  <c r="K83" i="147" s="1"/>
  <c r="K1090" i="35"/>
  <c r="K79" i="149" s="1"/>
  <c r="K703" i="35"/>
  <c r="K99" i="146" s="1"/>
  <c r="K1089" i="35"/>
  <c r="K78" i="149" s="1"/>
  <c r="K695" i="35"/>
  <c r="K91" i="146" s="1"/>
  <c r="K701" i="35"/>
  <c r="K97" i="146" s="1"/>
  <c r="K696" i="35"/>
  <c r="K92" i="146" s="1"/>
  <c r="K702" i="35"/>
  <c r="K98" i="146" s="1"/>
  <c r="K698" i="35"/>
  <c r="K94" i="146" s="1"/>
  <c r="K700" i="35"/>
  <c r="K96" i="146" s="1"/>
  <c r="K699" i="35"/>
  <c r="K95" i="146" s="1"/>
  <c r="K1096" i="35"/>
  <c r="K85" i="149" s="1"/>
  <c r="K1907" i="35"/>
  <c r="K82" i="148" s="1"/>
  <c r="L238" i="20"/>
  <c r="K1097" i="35"/>
  <c r="K86" i="149" s="1"/>
  <c r="K1500" i="35"/>
  <c r="K82" i="147" s="1"/>
  <c r="K1909" i="35"/>
  <c r="K84" i="148" s="1"/>
  <c r="K1498" i="35"/>
  <c r="K80" i="147" s="1"/>
  <c r="K1094" i="35"/>
  <c r="K83" i="149" s="1"/>
  <c r="K1497" i="35"/>
  <c r="K79" i="147" s="1"/>
  <c r="K1502" i="35"/>
  <c r="K84" i="147" s="1"/>
  <c r="K1092" i="35"/>
  <c r="K81" i="149" s="1"/>
  <c r="K1911" i="35"/>
  <c r="K86" i="148" s="1"/>
  <c r="K1091" i="35"/>
  <c r="K80" i="149" s="1"/>
  <c r="K1904" i="35"/>
  <c r="K79" i="148" s="1"/>
  <c r="K1908" i="35"/>
  <c r="K83" i="148" s="1"/>
  <c r="K683" i="35"/>
  <c r="L239" i="20" s="1"/>
  <c r="K688" i="35"/>
  <c r="L244" i="20" s="1"/>
  <c r="K1492" i="35"/>
  <c r="K1513" i="35" s="1"/>
  <c r="K95" i="147" s="1"/>
  <c r="K1899" i="35"/>
  <c r="K1921" i="35" s="1"/>
  <c r="K96" i="148" s="1"/>
  <c r="K690" i="35"/>
  <c r="L246" i="20" s="1"/>
  <c r="L228" i="20"/>
  <c r="K78" i="145"/>
  <c r="L237" i="20"/>
  <c r="K77" i="146"/>
  <c r="K2306" i="35"/>
  <c r="K2323" i="35" s="1"/>
  <c r="K1085" i="35"/>
  <c r="K689" i="35"/>
  <c r="K684" i="35"/>
  <c r="K687" i="35"/>
  <c r="K686" i="35"/>
  <c r="L217" i="20"/>
  <c r="K79" i="143"/>
  <c r="K108" i="143" s="1"/>
  <c r="L218" i="20"/>
  <c r="K80" i="143"/>
  <c r="K109" i="143" s="1"/>
  <c r="L221" i="20"/>
  <c r="K83" i="143"/>
  <c r="K112" i="143" s="1"/>
  <c r="K265" i="31"/>
  <c r="K288" i="31" s="1"/>
  <c r="K100" i="143" s="1"/>
  <c r="K281" i="35"/>
  <c r="K283" i="35"/>
  <c r="K282" i="35"/>
  <c r="K276" i="35"/>
  <c r="K277" i="35"/>
  <c r="K279" i="35"/>
  <c r="K278" i="35"/>
  <c r="K280" i="35"/>
  <c r="K274" i="35"/>
  <c r="K2309" i="35"/>
  <c r="K77" i="150" s="1"/>
  <c r="K1495" i="35"/>
  <c r="K287" i="35"/>
  <c r="K90" i="145" s="1"/>
  <c r="K291" i="35"/>
  <c r="K94" i="145" s="1"/>
  <c r="K289" i="35"/>
  <c r="K92" i="145" s="1"/>
  <c r="K293" i="35"/>
  <c r="K96" i="145" s="1"/>
  <c r="K294" i="35"/>
  <c r="K97" i="145" s="1"/>
  <c r="K290" i="35"/>
  <c r="K93" i="145" s="1"/>
  <c r="K292" i="35"/>
  <c r="K95" i="145" s="1"/>
  <c r="K296" i="35"/>
  <c r="K99" i="145" s="1"/>
  <c r="K295" i="35"/>
  <c r="K98" i="145" s="1"/>
  <c r="K1088" i="35"/>
  <c r="K275" i="31"/>
  <c r="K276" i="31"/>
  <c r="K277" i="31"/>
  <c r="K273" i="31"/>
  <c r="K271" i="31"/>
  <c r="K270" i="31"/>
  <c r="K274" i="31"/>
  <c r="L46" i="119"/>
  <c r="O46" i="119"/>
  <c r="J46" i="119"/>
  <c r="Q434" i="121"/>
  <c r="U434" i="121" s="1"/>
  <c r="S434" i="121"/>
  <c r="W434" i="121" s="1"/>
  <c r="Q46" i="119"/>
  <c r="Q289" i="121"/>
  <c r="U289" i="121" s="1"/>
  <c r="J25" i="119"/>
  <c r="O25" i="119" s="1"/>
  <c r="L29" i="119"/>
  <c r="Q29" i="119" s="1"/>
  <c r="S289" i="121"/>
  <c r="W289" i="121" s="1"/>
  <c r="S144" i="121"/>
  <c r="W144" i="121" s="1"/>
  <c r="L11" i="119"/>
  <c r="Q11" i="119" s="1"/>
  <c r="Q144" i="121"/>
  <c r="U144" i="121" s="1"/>
  <c r="J18" i="119"/>
  <c r="O18" i="119"/>
  <c r="Q295" i="115"/>
  <c r="U295" i="115" s="1"/>
  <c r="S591" i="115"/>
  <c r="W591" i="115" s="1"/>
  <c r="Q443" i="115"/>
  <c r="U443" i="115" s="1"/>
  <c r="S443" i="115"/>
  <c r="W443" i="115" s="1"/>
  <c r="Q591" i="115"/>
  <c r="U591" i="115" s="1"/>
  <c r="S295" i="115"/>
  <c r="W295" i="115" s="1"/>
  <c r="S70" i="115"/>
  <c r="S147" i="115" s="1"/>
  <c r="W147" i="115" s="1"/>
  <c r="Q70" i="115"/>
  <c r="Q147" i="115" s="1"/>
  <c r="U147" i="115" s="1"/>
  <c r="D168" i="19"/>
  <c r="H471" i="37"/>
  <c r="D188" i="37"/>
  <c r="D178" i="37"/>
  <c r="H202" i="37"/>
  <c r="I300" i="110"/>
  <c r="I355" i="111" s="1"/>
  <c r="C174" i="111"/>
  <c r="C173" i="111"/>
  <c r="C381" i="111"/>
  <c r="C380" i="111"/>
  <c r="D354" i="111"/>
  <c r="C352" i="111"/>
  <c r="C332" i="111"/>
  <c r="D169" i="111" s="1"/>
  <c r="D457" i="37" s="1"/>
  <c r="C303" i="110"/>
  <c r="C302" i="110"/>
  <c r="D372" i="111"/>
  <c r="D373" i="111"/>
  <c r="D374" i="111"/>
  <c r="D375" i="111"/>
  <c r="D376" i="111"/>
  <c r="D377" i="111"/>
  <c r="D363" i="111"/>
  <c r="D364" i="111"/>
  <c r="D365" i="111"/>
  <c r="D366" i="111"/>
  <c r="D367" i="111"/>
  <c r="D368" i="111"/>
  <c r="H355" i="111"/>
  <c r="H356" i="111"/>
  <c r="H357" i="111"/>
  <c r="H358" i="111"/>
  <c r="H359" i="111"/>
  <c r="H360" i="111"/>
  <c r="D355" i="111"/>
  <c r="D356" i="111"/>
  <c r="D357" i="111"/>
  <c r="D358" i="111"/>
  <c r="D359" i="111"/>
  <c r="D360" i="111"/>
  <c r="D344" i="111"/>
  <c r="D345" i="111"/>
  <c r="D346" i="111"/>
  <c r="D347" i="111"/>
  <c r="D348" i="111"/>
  <c r="D349" i="111"/>
  <c r="D335" i="111"/>
  <c r="D336" i="111"/>
  <c r="D337" i="111"/>
  <c r="D338" i="111"/>
  <c r="D339" i="111"/>
  <c r="D340" i="111"/>
  <c r="D275" i="110"/>
  <c r="D276" i="110"/>
  <c r="D277" i="110"/>
  <c r="D278" i="110"/>
  <c r="D279" i="110"/>
  <c r="D280" i="110"/>
  <c r="H470" i="37"/>
  <c r="H397" i="37"/>
  <c r="D187" i="37"/>
  <c r="D177" i="37"/>
  <c r="H201" i="37"/>
  <c r="C156" i="111"/>
  <c r="C155" i="111"/>
  <c r="C327" i="111"/>
  <c r="C326" i="111"/>
  <c r="D323" i="111"/>
  <c r="D319" i="111"/>
  <c r="D316" i="111"/>
  <c r="C313" i="111"/>
  <c r="D145" i="111" s="1"/>
  <c r="D424" i="37" s="1"/>
  <c r="C294" i="111"/>
  <c r="D144" i="111" s="1"/>
  <c r="D423" i="37" s="1"/>
  <c r="C266" i="111"/>
  <c r="D143" i="111" s="1"/>
  <c r="D422" i="37" s="1"/>
  <c r="C257" i="110"/>
  <c r="C256" i="110"/>
  <c r="D238" i="110"/>
  <c r="D222" i="110"/>
  <c r="D205" i="110"/>
  <c r="D308" i="111"/>
  <c r="D309" i="111"/>
  <c r="D310" i="111"/>
  <c r="D302" i="111"/>
  <c r="D303" i="111"/>
  <c r="D304" i="111"/>
  <c r="D297" i="111"/>
  <c r="D298" i="111"/>
  <c r="D299" i="111"/>
  <c r="D228" i="110"/>
  <c r="D229" i="110"/>
  <c r="D230" i="110"/>
  <c r="D223" i="110"/>
  <c r="D224" i="110"/>
  <c r="D225" i="110"/>
  <c r="H469" i="37"/>
  <c r="D186" i="37"/>
  <c r="D176" i="37"/>
  <c r="H200" i="37"/>
  <c r="C136" i="111"/>
  <c r="C135" i="111"/>
  <c r="C255" i="111"/>
  <c r="C254" i="111"/>
  <c r="C232" i="111"/>
  <c r="D132" i="111" s="1"/>
  <c r="D436" i="37" s="1"/>
  <c r="C210" i="111"/>
  <c r="D131" i="111" s="1"/>
  <c r="D381" i="37" s="1"/>
  <c r="C179" i="111"/>
  <c r="C183" i="110"/>
  <c r="C182" i="110"/>
  <c r="D185" i="37"/>
  <c r="D175" i="37"/>
  <c r="C81" i="111"/>
  <c r="D71" i="111"/>
  <c r="D59" i="111"/>
  <c r="D47" i="111"/>
  <c r="C100" i="110"/>
  <c r="D72" i="111"/>
  <c r="D370" i="37" s="1"/>
  <c r="D73" i="111"/>
  <c r="D371" i="37" s="1"/>
  <c r="D74" i="111"/>
  <c r="D372" i="37" s="1"/>
  <c r="D75" i="111"/>
  <c r="D373" i="37" s="1"/>
  <c r="D76" i="111"/>
  <c r="D374" i="37" s="1"/>
  <c r="D77" i="111"/>
  <c r="D375" i="37" s="1"/>
  <c r="D78" i="111"/>
  <c r="D376" i="37" s="1"/>
  <c r="D60" i="111"/>
  <c r="D342" i="37" s="1"/>
  <c r="D61" i="111"/>
  <c r="D343" i="37" s="1"/>
  <c r="D62" i="111"/>
  <c r="D344" i="37" s="1"/>
  <c r="D63" i="111"/>
  <c r="D345" i="37" s="1"/>
  <c r="D64" i="111"/>
  <c r="D346" i="37" s="1"/>
  <c r="D65" i="111"/>
  <c r="D347" i="37" s="1"/>
  <c r="D66" i="111"/>
  <c r="D348" i="37" s="1"/>
  <c r="D48" i="111"/>
  <c r="D49" i="111"/>
  <c r="D50" i="111"/>
  <c r="D51" i="111"/>
  <c r="D52" i="111"/>
  <c r="D53" i="111"/>
  <c r="D54" i="111"/>
  <c r="H395" i="37"/>
  <c r="D184" i="37"/>
  <c r="D174" i="37"/>
  <c r="H198" i="37"/>
  <c r="C40" i="111"/>
  <c r="D33" i="111"/>
  <c r="D24" i="111"/>
  <c r="D16" i="111"/>
  <c r="C55" i="110"/>
  <c r="K1919" i="35" l="1"/>
  <c r="K94" i="148" s="1"/>
  <c r="K1918" i="35"/>
  <c r="K93" i="148" s="1"/>
  <c r="K1922" i="35"/>
  <c r="K97" i="148" s="1"/>
  <c r="K1916" i="35"/>
  <c r="K91" i="148" s="1"/>
  <c r="K1924" i="35"/>
  <c r="K99" i="148" s="1"/>
  <c r="K1923" i="35"/>
  <c r="K98" i="148" s="1"/>
  <c r="K1917" i="35"/>
  <c r="K92" i="148" s="1"/>
  <c r="K1920" i="35"/>
  <c r="K95" i="148" s="1"/>
  <c r="K1915" i="35"/>
  <c r="K1512" i="35"/>
  <c r="K94" i="147" s="1"/>
  <c r="K1517" i="35"/>
  <c r="K99" i="147" s="1"/>
  <c r="K1509" i="35"/>
  <c r="K1510" i="35"/>
  <c r="K92" i="147" s="1"/>
  <c r="K1511" i="35"/>
  <c r="K93" i="147" s="1"/>
  <c r="K1515" i="35"/>
  <c r="K97" i="147" s="1"/>
  <c r="K1508" i="35"/>
  <c r="K1514" i="35"/>
  <c r="K96" i="147" s="1"/>
  <c r="K1516" i="35"/>
  <c r="K1108" i="35"/>
  <c r="K97" i="149" s="1"/>
  <c r="K1107" i="35"/>
  <c r="K96" i="149" s="1"/>
  <c r="K1101" i="35"/>
  <c r="K1102" i="35"/>
  <c r="K91" i="149" s="1"/>
  <c r="K1110" i="35"/>
  <c r="K99" i="149" s="1"/>
  <c r="K1104" i="35"/>
  <c r="K93" i="149" s="1"/>
  <c r="K1106" i="35"/>
  <c r="K95" i="149" s="1"/>
  <c r="K1103" i="35"/>
  <c r="K92" i="149" s="1"/>
  <c r="K1109" i="35"/>
  <c r="K98" i="149" s="1"/>
  <c r="K1105" i="35"/>
  <c r="K94" i="149" s="1"/>
  <c r="K2330" i="35"/>
  <c r="K98" i="150" s="1"/>
  <c r="K704" i="35"/>
  <c r="K100" i="146"/>
  <c r="K2322" i="35"/>
  <c r="K90" i="150" s="1"/>
  <c r="K1912" i="35"/>
  <c r="K87" i="148"/>
  <c r="K2317" i="35"/>
  <c r="K85" i="150" s="1"/>
  <c r="K2310" i="35"/>
  <c r="K78" i="150" s="1"/>
  <c r="K91" i="150"/>
  <c r="K100" i="145"/>
  <c r="L292" i="20"/>
  <c r="L305" i="20" s="1"/>
  <c r="L77" i="140" s="1"/>
  <c r="K79" i="146"/>
  <c r="K84" i="146"/>
  <c r="K2324" i="35"/>
  <c r="K86" i="146"/>
  <c r="L235" i="20"/>
  <c r="K85" i="145"/>
  <c r="L243" i="20"/>
  <c r="K83" i="146"/>
  <c r="L236" i="20"/>
  <c r="K86" i="145"/>
  <c r="K1098" i="35"/>
  <c r="K77" i="149"/>
  <c r="K87" i="149" s="1"/>
  <c r="L227" i="20"/>
  <c r="L291" i="20" s="1"/>
  <c r="K77" i="145"/>
  <c r="L234" i="20"/>
  <c r="K84" i="145"/>
  <c r="L240" i="20"/>
  <c r="K80" i="146"/>
  <c r="L245" i="20"/>
  <c r="K85" i="146"/>
  <c r="L233" i="20"/>
  <c r="K83" i="145"/>
  <c r="L231" i="20"/>
  <c r="L295" i="20" s="1"/>
  <c r="L308" i="20" s="1"/>
  <c r="L80" i="140" s="1"/>
  <c r="K81" i="145"/>
  <c r="L232" i="20"/>
  <c r="K82" i="145"/>
  <c r="L230" i="20"/>
  <c r="K80" i="145"/>
  <c r="L242" i="20"/>
  <c r="K82" i="146"/>
  <c r="K77" i="147"/>
  <c r="L229" i="20"/>
  <c r="K79" i="145"/>
  <c r="K2325" i="35"/>
  <c r="K2331" i="35"/>
  <c r="K2327" i="35"/>
  <c r="K2329" i="35"/>
  <c r="K2326" i="35"/>
  <c r="K2328" i="35"/>
  <c r="K691" i="35"/>
  <c r="K164" i="143"/>
  <c r="K151" i="143"/>
  <c r="K161" i="143"/>
  <c r="K148" i="143"/>
  <c r="K160" i="143"/>
  <c r="K147" i="143"/>
  <c r="K125" i="143"/>
  <c r="K138" i="143"/>
  <c r="K122" i="143"/>
  <c r="K135" i="143"/>
  <c r="K121" i="143"/>
  <c r="K134" i="143"/>
  <c r="K286" i="31"/>
  <c r="K98" i="143" s="1"/>
  <c r="K289" i="31"/>
  <c r="K101" i="143" s="1"/>
  <c r="K281" i="31"/>
  <c r="K93" i="143" s="1"/>
  <c r="K290" i="31"/>
  <c r="K102" i="143" s="1"/>
  <c r="K285" i="31"/>
  <c r="K97" i="143" s="1"/>
  <c r="K284" i="31"/>
  <c r="K96" i="143" s="1"/>
  <c r="K283" i="31"/>
  <c r="K95" i="143" s="1"/>
  <c r="K287" i="31"/>
  <c r="K99" i="143" s="1"/>
  <c r="K282" i="31"/>
  <c r="L219" i="20"/>
  <c r="K81" i="143"/>
  <c r="K110" i="143" s="1"/>
  <c r="L223" i="20"/>
  <c r="K85" i="143"/>
  <c r="K114" i="143" s="1"/>
  <c r="L220" i="20"/>
  <c r="K82" i="143"/>
  <c r="K111" i="143" s="1"/>
  <c r="L222" i="20"/>
  <c r="K84" i="143"/>
  <c r="K113" i="143" s="1"/>
  <c r="L226" i="20"/>
  <c r="K88" i="143"/>
  <c r="K117" i="143" s="1"/>
  <c r="L225" i="20"/>
  <c r="K87" i="143"/>
  <c r="K116" i="143" s="1"/>
  <c r="L224" i="20"/>
  <c r="K86" i="143"/>
  <c r="K115" i="143" s="1"/>
  <c r="K284" i="35"/>
  <c r="K297" i="35"/>
  <c r="K278" i="31"/>
  <c r="L18" i="119"/>
  <c r="Q18" i="119"/>
  <c r="Q32" i="119"/>
  <c r="L32" i="119"/>
  <c r="J32" i="119"/>
  <c r="O32" i="119"/>
  <c r="D163" i="111"/>
  <c r="D428" i="37" s="1"/>
  <c r="I356" i="111"/>
  <c r="H149" i="110"/>
  <c r="I149" i="110"/>
  <c r="I357" i="111"/>
  <c r="I358" i="111"/>
  <c r="I359" i="111"/>
  <c r="I360" i="111"/>
  <c r="D190" i="111"/>
  <c r="D198" i="111" s="1"/>
  <c r="D170" i="111"/>
  <c r="D164" i="111"/>
  <c r="D125" i="111"/>
  <c r="D407" i="37" s="1"/>
  <c r="D151" i="111"/>
  <c r="D452" i="37" s="1"/>
  <c r="D150" i="111"/>
  <c r="D451" i="37" s="1"/>
  <c r="D152" i="111"/>
  <c r="D453" i="37" s="1"/>
  <c r="D123" i="111"/>
  <c r="D352" i="37" s="1"/>
  <c r="D130" i="111"/>
  <c r="D380" i="37" s="1"/>
  <c r="D124" i="111"/>
  <c r="D353" i="37" s="1"/>
  <c r="L298" i="20" l="1"/>
  <c r="L311" i="20" s="1"/>
  <c r="L83" i="140" s="1"/>
  <c r="K90" i="148"/>
  <c r="K100" i="148" s="1"/>
  <c r="K1925" i="35"/>
  <c r="K90" i="147"/>
  <c r="K1518" i="35"/>
  <c r="K1496" i="35"/>
  <c r="K91" i="147"/>
  <c r="K1503" i="35"/>
  <c r="K85" i="147" s="1"/>
  <c r="K98" i="147"/>
  <c r="K90" i="149"/>
  <c r="K100" i="149" s="1"/>
  <c r="K1111" i="35"/>
  <c r="L334" i="20"/>
  <c r="L253" i="21" s="1"/>
  <c r="L319" i="20"/>
  <c r="L90" i="140" s="1"/>
  <c r="L299" i="20"/>
  <c r="L312" i="20" s="1"/>
  <c r="L84" i="140" s="1"/>
  <c r="L296" i="20"/>
  <c r="L309" i="20" s="1"/>
  <c r="L81" i="140" s="1"/>
  <c r="L300" i="20"/>
  <c r="L313" i="20" s="1"/>
  <c r="L85" i="140" s="1"/>
  <c r="L293" i="20"/>
  <c r="L306" i="20" s="1"/>
  <c r="L78" i="140" s="1"/>
  <c r="L294" i="20"/>
  <c r="L307" i="20" s="1"/>
  <c r="L79" i="140" s="1"/>
  <c r="L297" i="20"/>
  <c r="L310" i="20" s="1"/>
  <c r="L82" i="140" s="1"/>
  <c r="K2315" i="35"/>
  <c r="K83" i="150" s="1"/>
  <c r="K96" i="150"/>
  <c r="K2313" i="35"/>
  <c r="K81" i="150" s="1"/>
  <c r="K94" i="150"/>
  <c r="K2316" i="35"/>
  <c r="K84" i="150" s="1"/>
  <c r="K97" i="150"/>
  <c r="K2314" i="35"/>
  <c r="K82" i="150" s="1"/>
  <c r="K95" i="150"/>
  <c r="K2318" i="35"/>
  <c r="K86" i="150" s="1"/>
  <c r="K99" i="150"/>
  <c r="K2312" i="35"/>
  <c r="K80" i="150" s="1"/>
  <c r="K93" i="150"/>
  <c r="K2311" i="35"/>
  <c r="K79" i="150" s="1"/>
  <c r="K92" i="150"/>
  <c r="K87" i="146"/>
  <c r="K87" i="145"/>
  <c r="K2332" i="35"/>
  <c r="K118" i="143"/>
  <c r="K169" i="143"/>
  <c r="K156" i="143"/>
  <c r="K162" i="143"/>
  <c r="K149" i="143"/>
  <c r="K165" i="143"/>
  <c r="K152" i="143"/>
  <c r="K167" i="143"/>
  <c r="K154" i="143"/>
  <c r="K163" i="143"/>
  <c r="K150" i="143"/>
  <c r="K168" i="143"/>
  <c r="K155" i="143"/>
  <c r="K166" i="143"/>
  <c r="K153" i="143"/>
  <c r="K126" i="143"/>
  <c r="K139" i="143"/>
  <c r="K128" i="143"/>
  <c r="K141" i="143"/>
  <c r="K124" i="143"/>
  <c r="K137" i="143"/>
  <c r="K129" i="143"/>
  <c r="K142" i="143"/>
  <c r="K127" i="143"/>
  <c r="K140" i="143"/>
  <c r="K130" i="143"/>
  <c r="K143" i="143"/>
  <c r="K123" i="143"/>
  <c r="K136" i="143"/>
  <c r="K291" i="31"/>
  <c r="K94" i="143"/>
  <c r="K103" i="143" s="1"/>
  <c r="K89" i="143"/>
  <c r="L287" i="20"/>
  <c r="L322" i="20"/>
  <c r="L93" i="140" s="1"/>
  <c r="L337" i="20"/>
  <c r="L256" i="21" s="1"/>
  <c r="L244" i="19"/>
  <c r="L105" i="140" s="1"/>
  <c r="L118" i="140" s="1"/>
  <c r="L304" i="20"/>
  <c r="D200" i="111"/>
  <c r="D208" i="111" s="1"/>
  <c r="D218" i="111"/>
  <c r="D223" i="111" s="1"/>
  <c r="D240" i="111"/>
  <c r="D245" i="111" s="1"/>
  <c r="C121" i="111"/>
  <c r="D126" i="111" s="1"/>
  <c r="C128" i="111"/>
  <c r="D133" i="111" s="1"/>
  <c r="D247" i="111"/>
  <c r="D252" i="111" s="1"/>
  <c r="D225" i="111"/>
  <c r="D230" i="111" s="1"/>
  <c r="C167" i="111"/>
  <c r="D171" i="111" s="1"/>
  <c r="D362" i="111"/>
  <c r="D369" i="111" s="1"/>
  <c r="D371" i="111"/>
  <c r="D378" i="111" s="1"/>
  <c r="D334" i="111"/>
  <c r="D341" i="111" s="1"/>
  <c r="C161" i="111"/>
  <c r="D165" i="111" s="1"/>
  <c r="D343" i="111"/>
  <c r="D350" i="111" s="1"/>
  <c r="D276" i="111"/>
  <c r="D283" i="111" s="1"/>
  <c r="D318" i="111"/>
  <c r="D320" i="111" s="1"/>
  <c r="D301" i="111"/>
  <c r="D305" i="111" s="1"/>
  <c r="D285" i="111"/>
  <c r="D292" i="111" s="1"/>
  <c r="D307" i="111"/>
  <c r="D311" i="111" s="1"/>
  <c r="D322" i="111"/>
  <c r="D324" i="111" s="1"/>
  <c r="C141" i="111"/>
  <c r="D146" i="111" s="1"/>
  <c r="C148" i="111"/>
  <c r="D153" i="111" s="1"/>
  <c r="C69" i="111"/>
  <c r="D79" i="111" s="1"/>
  <c r="C57" i="111"/>
  <c r="D67" i="111" s="1"/>
  <c r="C31" i="111"/>
  <c r="D38" i="111" s="1"/>
  <c r="C22" i="111"/>
  <c r="D29" i="111" s="1"/>
  <c r="L325" i="20" l="1"/>
  <c r="L96" i="140" s="1"/>
  <c r="L340" i="20"/>
  <c r="L259" i="21" s="1"/>
  <c r="L250" i="19" s="1"/>
  <c r="L111" i="140" s="1"/>
  <c r="L124" i="140" s="1"/>
  <c r="K78" i="147"/>
  <c r="K87" i="147" s="1"/>
  <c r="K1505" i="35"/>
  <c r="K100" i="147"/>
  <c r="L326" i="20"/>
  <c r="L97" i="140" s="1"/>
  <c r="L341" i="20"/>
  <c r="L260" i="21" s="1"/>
  <c r="L251" i="19" s="1"/>
  <c r="L112" i="140" s="1"/>
  <c r="L125" i="140" s="1"/>
  <c r="L321" i="20"/>
  <c r="L92" i="140" s="1"/>
  <c r="L323" i="20"/>
  <c r="L94" i="140" s="1"/>
  <c r="L336" i="20"/>
  <c r="L255" i="21" s="1"/>
  <c r="L246" i="19" s="1"/>
  <c r="L107" i="140" s="1"/>
  <c r="L120" i="140" s="1"/>
  <c r="L338" i="20"/>
  <c r="L257" i="21" s="1"/>
  <c r="L248" i="19" s="1"/>
  <c r="L109" i="140" s="1"/>
  <c r="L122" i="140" s="1"/>
  <c r="L335" i="20"/>
  <c r="L254" i="21" s="1"/>
  <c r="L245" i="19" s="1"/>
  <c r="L106" i="140" s="1"/>
  <c r="L119" i="140" s="1"/>
  <c r="L320" i="20"/>
  <c r="L91" i="140" s="1"/>
  <c r="L342" i="20"/>
  <c r="L261" i="21" s="1"/>
  <c r="L252" i="19" s="1"/>
  <c r="L113" i="140" s="1"/>
  <c r="L126" i="140" s="1"/>
  <c r="L327" i="20"/>
  <c r="L98" i="140" s="1"/>
  <c r="L339" i="20"/>
  <c r="L258" i="21" s="1"/>
  <c r="L249" i="19" s="1"/>
  <c r="L110" i="140" s="1"/>
  <c r="L123" i="140" s="1"/>
  <c r="L324" i="20"/>
  <c r="L95" i="140" s="1"/>
  <c r="L301" i="20"/>
  <c r="K87" i="150"/>
  <c r="K100" i="150"/>
  <c r="K2319" i="35"/>
  <c r="K157" i="143"/>
  <c r="K170" i="143"/>
  <c r="K144" i="143"/>
  <c r="K131" i="143"/>
  <c r="L76" i="140"/>
  <c r="L86" i="140" s="1"/>
  <c r="L247" i="19"/>
  <c r="L286" i="19"/>
  <c r="L314" i="20"/>
  <c r="L318" i="20"/>
  <c r="L333" i="20"/>
  <c r="L252" i="21" s="1"/>
  <c r="M2516" i="33"/>
  <c r="M2514" i="33"/>
  <c r="M2515" i="33"/>
  <c r="M2518" i="33"/>
  <c r="M2517" i="33"/>
  <c r="M2513" i="33"/>
  <c r="L328" i="20" l="1"/>
  <c r="L89" i="140"/>
  <c r="L99" i="140" s="1"/>
  <c r="L289" i="19"/>
  <c r="L108" i="140"/>
  <c r="L121" i="140" s="1"/>
  <c r="L294" i="19"/>
  <c r="L288" i="19"/>
  <c r="L287" i="19"/>
  <c r="L343" i="20"/>
  <c r="L290" i="19"/>
  <c r="L292" i="19"/>
  <c r="L293" i="19"/>
  <c r="L291" i="19"/>
  <c r="M2519" i="33"/>
  <c r="L262" i="21" l="1"/>
  <c r="L243" i="19"/>
  <c r="L104" i="140" s="1"/>
  <c r="O3035" i="33"/>
  <c r="O3036" i="33"/>
  <c r="O3029" i="33"/>
  <c r="O3030" i="33"/>
  <c r="O3031" i="33"/>
  <c r="O3032" i="33"/>
  <c r="O3033" i="33"/>
  <c r="O3034" i="33"/>
  <c r="L114" i="140" l="1"/>
  <c r="L117" i="140"/>
  <c r="L127" i="140" s="1"/>
  <c r="L253" i="19"/>
  <c r="L285" i="19"/>
  <c r="L295" i="19" s="1"/>
  <c r="L277" i="19" s="1"/>
  <c r="L155" i="140" s="1"/>
  <c r="O3037" i="33"/>
  <c r="L128" i="140" l="1"/>
  <c r="L261" i="19"/>
  <c r="L139" i="140" s="1"/>
  <c r="L218" i="140" s="1"/>
  <c r="L265" i="19"/>
  <c r="L143" i="140" s="1"/>
  <c r="L222" i="140" s="1"/>
  <c r="L267" i="19"/>
  <c r="L145" i="140" s="1"/>
  <c r="L224" i="140" s="1"/>
  <c r="L269" i="19"/>
  <c r="L147" i="140" s="1"/>
  <c r="L226" i="140" s="1"/>
  <c r="L268" i="19"/>
  <c r="L146" i="140" s="1"/>
  <c r="L225" i="140" s="1"/>
  <c r="L260" i="19"/>
  <c r="L275" i="19"/>
  <c r="L153" i="140" s="1"/>
  <c r="L279" i="19"/>
  <c r="L157" i="140" s="1"/>
  <c r="L281" i="19"/>
  <c r="L159" i="140" s="1"/>
  <c r="L274" i="19"/>
  <c r="L152" i="140" s="1"/>
  <c r="L278" i="19"/>
  <c r="L156" i="140" s="1"/>
  <c r="L276" i="19"/>
  <c r="L154" i="140" s="1"/>
  <c r="L273" i="19"/>
  <c r="L151" i="140" s="1"/>
  <c r="L280" i="19"/>
  <c r="L158" i="140" s="1"/>
  <c r="L282" i="19"/>
  <c r="L160" i="140" s="1"/>
  <c r="L264" i="19"/>
  <c r="L263" i="19"/>
  <c r="L266" i="19"/>
  <c r="L262" i="19"/>
  <c r="J69" i="37"/>
  <c r="J70" i="37" s="1"/>
  <c r="J245" i="110"/>
  <c r="J299" i="111" s="1"/>
  <c r="L173" i="140" l="1"/>
  <c r="L212" i="140"/>
  <c r="L174" i="140"/>
  <c r="L213" i="140"/>
  <c r="L172" i="140"/>
  <c r="L211" i="140"/>
  <c r="L170" i="140"/>
  <c r="L209" i="140"/>
  <c r="L166" i="140"/>
  <c r="L205" i="140"/>
  <c r="L199" i="140"/>
  <c r="L200" i="140"/>
  <c r="L198" i="140"/>
  <c r="L196" i="140"/>
  <c r="L192" i="140"/>
  <c r="L161" i="140"/>
  <c r="L352" i="20"/>
  <c r="L365" i="20" s="1"/>
  <c r="L142" i="140"/>
  <c r="L221" i="140" s="1"/>
  <c r="L348" i="20"/>
  <c r="L361" i="20" s="1"/>
  <c r="L138" i="140"/>
  <c r="L217" i="140" s="1"/>
  <c r="L350" i="20"/>
  <c r="L363" i="20" s="1"/>
  <c r="L140" i="140"/>
  <c r="L219" i="140" s="1"/>
  <c r="L354" i="20"/>
  <c r="L367" i="20" s="1"/>
  <c r="L144" i="140"/>
  <c r="L223" i="140" s="1"/>
  <c r="L351" i="20"/>
  <c r="L364" i="20" s="1"/>
  <c r="L141" i="140"/>
  <c r="L220" i="140" s="1"/>
  <c r="L356" i="20"/>
  <c r="L369" i="20" s="1"/>
  <c r="L357" i="20"/>
  <c r="L370" i="20" s="1"/>
  <c r="L355" i="20"/>
  <c r="L368" i="20" s="1"/>
  <c r="L353" i="20"/>
  <c r="L366" i="20" s="1"/>
  <c r="L349" i="20"/>
  <c r="L362" i="20" s="1"/>
  <c r="L283" i="19"/>
  <c r="L270" i="19"/>
  <c r="L227" i="140" l="1"/>
  <c r="L168" i="140"/>
  <c r="L207" i="140"/>
  <c r="L169" i="140"/>
  <c r="L208" i="140"/>
  <c r="L171" i="140"/>
  <c r="L210" i="140"/>
  <c r="L167" i="140"/>
  <c r="L206" i="140"/>
  <c r="L165" i="140"/>
  <c r="L204" i="140"/>
  <c r="L191" i="140"/>
  <c r="L194" i="140"/>
  <c r="L195" i="140"/>
  <c r="L197" i="140"/>
  <c r="L193" i="140"/>
  <c r="L148" i="140"/>
  <c r="L381" i="20"/>
  <c r="L224" i="30"/>
  <c r="O198" i="20"/>
  <c r="L1168" i="34"/>
  <c r="L778" i="34"/>
  <c r="L225" i="30"/>
  <c r="L181" i="20"/>
  <c r="M154" i="20" s="1"/>
  <c r="M71" i="140" s="1"/>
  <c r="O197" i="20"/>
  <c r="L582" i="34"/>
  <c r="O210" i="20"/>
  <c r="L174" i="20"/>
  <c r="M147" i="20" s="1"/>
  <c r="M64" i="140" s="1"/>
  <c r="L966" i="34"/>
  <c r="L186" i="34"/>
  <c r="L375" i="20"/>
  <c r="L777" i="34"/>
  <c r="L193" i="34"/>
  <c r="L180" i="20"/>
  <c r="M153" i="20" s="1"/>
  <c r="M70" i="140" s="1"/>
  <c r="L382" i="20"/>
  <c r="L583" i="34"/>
  <c r="L580" i="34"/>
  <c r="L222" i="30"/>
  <c r="O195" i="20"/>
  <c r="O208" i="20"/>
  <c r="L178" i="20"/>
  <c r="M151" i="20" s="1"/>
  <c r="M68" i="140" s="1"/>
  <c r="L775" i="34"/>
  <c r="L379" i="20"/>
  <c r="L190" i="34"/>
  <c r="L1165" i="34"/>
  <c r="L970" i="34"/>
  <c r="L972" i="34"/>
  <c r="O191" i="20"/>
  <c r="L388" i="34"/>
  <c r="L576" i="34"/>
  <c r="L1167" i="34"/>
  <c r="L192" i="34"/>
  <c r="L973" i="34"/>
  <c r="L381" i="34"/>
  <c r="O199" i="20"/>
  <c r="L584" i="34"/>
  <c r="L226" i="30"/>
  <c r="L779" i="34"/>
  <c r="L383" i="20"/>
  <c r="O212" i="20"/>
  <c r="L194" i="34"/>
  <c r="L974" i="34"/>
  <c r="L1169" i="34"/>
  <c r="L389" i="34"/>
  <c r="L182" i="20"/>
  <c r="M155" i="20" s="1"/>
  <c r="M72" i="140" s="1"/>
  <c r="L218" i="30"/>
  <c r="O204" i="20"/>
  <c r="L1161" i="34"/>
  <c r="L771" i="34"/>
  <c r="L385" i="34"/>
  <c r="L387" i="34"/>
  <c r="O211" i="20"/>
  <c r="L1160" i="34"/>
  <c r="L380" i="34"/>
  <c r="L47" i="146" s="1"/>
  <c r="L221" i="30"/>
  <c r="L384" i="34"/>
  <c r="L1162" i="34"/>
  <c r="L382" i="34"/>
  <c r="L220" i="30"/>
  <c r="L383" i="34"/>
  <c r="L1166" i="34"/>
  <c r="L386" i="34"/>
  <c r="L358" i="20"/>
  <c r="L967" i="34"/>
  <c r="O192" i="20"/>
  <c r="O209" i="20"/>
  <c r="L380" i="20"/>
  <c r="L191" i="34"/>
  <c r="L376" i="20"/>
  <c r="L577" i="34"/>
  <c r="O193" i="20"/>
  <c r="L581" i="34"/>
  <c r="L187" i="34"/>
  <c r="L188" i="34"/>
  <c r="L377" i="20"/>
  <c r="L578" i="34"/>
  <c r="L219" i="30"/>
  <c r="L177" i="20"/>
  <c r="M150" i="20" s="1"/>
  <c r="M67" i="140" s="1"/>
  <c r="L175" i="20"/>
  <c r="M148" i="20" s="1"/>
  <c r="M65" i="140" s="1"/>
  <c r="O196" i="20"/>
  <c r="L776" i="34"/>
  <c r="L969" i="34"/>
  <c r="L176" i="20"/>
  <c r="M149" i="20" s="1"/>
  <c r="M66" i="140" s="1"/>
  <c r="L378" i="20"/>
  <c r="L223" i="30"/>
  <c r="L772" i="34"/>
  <c r="L1164" i="34"/>
  <c r="O206" i="20"/>
  <c r="O194" i="20"/>
  <c r="L179" i="20"/>
  <c r="M152" i="20" s="1"/>
  <c r="M69" i="140" s="1"/>
  <c r="L773" i="34"/>
  <c r="L1163" i="34"/>
  <c r="O207" i="20"/>
  <c r="L968" i="34"/>
  <c r="L579" i="34"/>
  <c r="L774" i="34"/>
  <c r="O205" i="20"/>
  <c r="L189" i="34"/>
  <c r="L971" i="34"/>
  <c r="L770" i="34"/>
  <c r="L965" i="34"/>
  <c r="L47" i="148" s="1"/>
  <c r="L371" i="20"/>
  <c r="L217" i="30"/>
  <c r="L185" i="34"/>
  <c r="L47" i="145" s="1"/>
  <c r="L575" i="34"/>
  <c r="L47" i="149" s="1"/>
  <c r="O190" i="20"/>
  <c r="O203" i="20"/>
  <c r="L173" i="20"/>
  <c r="L374" i="20"/>
  <c r="D33" i="105"/>
  <c r="D32" i="105"/>
  <c r="D31" i="105"/>
  <c r="D30" i="105"/>
  <c r="Q50" i="105"/>
  <c r="H240" i="19"/>
  <c r="H42" i="140" s="1"/>
  <c r="H398" i="31"/>
  <c r="H386" i="31"/>
  <c r="H373" i="31"/>
  <c r="H361" i="31"/>
  <c r="D316" i="37"/>
  <c r="D286" i="37"/>
  <c r="O39" i="105"/>
  <c r="C24" i="105"/>
  <c r="D159" i="37"/>
  <c r="D164" i="37" s="1"/>
  <c r="D154" i="37"/>
  <c r="D157" i="37" s="1"/>
  <c r="D150" i="37"/>
  <c r="D152" i="37" s="1"/>
  <c r="D146" i="37"/>
  <c r="D148" i="37" s="1"/>
  <c r="D129" i="37"/>
  <c r="D134" i="37" s="1"/>
  <c r="D124" i="37"/>
  <c r="D127" i="37" s="1"/>
  <c r="D120" i="37"/>
  <c r="D122" i="37" s="1"/>
  <c r="D116" i="37"/>
  <c r="D118" i="37" s="1"/>
  <c r="D86" i="37"/>
  <c r="D79" i="37"/>
  <c r="D74" i="37"/>
  <c r="D70" i="37"/>
  <c r="D86" i="14"/>
  <c r="L1868" i="35" l="1"/>
  <c r="L53" i="148"/>
  <c r="L1054" i="35"/>
  <c r="L53" i="149"/>
  <c r="L2275" i="35"/>
  <c r="L53" i="150"/>
  <c r="L2269" i="35"/>
  <c r="L47" i="150"/>
  <c r="L238" i="35"/>
  <c r="L51" i="145"/>
  <c r="L1052" i="35"/>
  <c r="L51" i="149"/>
  <c r="L1866" i="35"/>
  <c r="L51" i="148"/>
  <c r="L644" i="35"/>
  <c r="L50" i="146"/>
  <c r="L642" i="35"/>
  <c r="L48" i="146"/>
  <c r="L1053" i="35"/>
  <c r="L52" i="149"/>
  <c r="L242" i="35"/>
  <c r="L55" i="145"/>
  <c r="L2277" i="35"/>
  <c r="L55" i="150"/>
  <c r="L650" i="35"/>
  <c r="L56" i="146"/>
  <c r="L1870" i="35"/>
  <c r="L55" i="148"/>
  <c r="L1869" i="35"/>
  <c r="L54" i="148"/>
  <c r="L1462" i="35"/>
  <c r="L54" i="147"/>
  <c r="L1055" i="35"/>
  <c r="L54" i="149"/>
  <c r="L1865" i="35"/>
  <c r="L50" i="148"/>
  <c r="L1051" i="35"/>
  <c r="L50" i="149"/>
  <c r="L1864" i="35"/>
  <c r="L49" i="148"/>
  <c r="L643" i="35"/>
  <c r="L49" i="146"/>
  <c r="L648" i="35"/>
  <c r="L54" i="146"/>
  <c r="L1460" i="35"/>
  <c r="L52" i="147"/>
  <c r="L1050" i="35"/>
  <c r="L49" i="149"/>
  <c r="L1457" i="35"/>
  <c r="L49" i="147"/>
  <c r="L240" i="35"/>
  <c r="L53" i="145"/>
  <c r="L2271" i="35"/>
  <c r="L49" i="150"/>
  <c r="L646" i="35"/>
  <c r="L52" i="146"/>
  <c r="L2278" i="35"/>
  <c r="L56" i="150"/>
  <c r="L1464" i="35"/>
  <c r="L56" i="147"/>
  <c r="L241" i="35"/>
  <c r="L54" i="145"/>
  <c r="L1867" i="35"/>
  <c r="L52" i="148"/>
  <c r="L1056" i="35"/>
  <c r="L55" i="149"/>
  <c r="L1461" i="35"/>
  <c r="L53" i="147"/>
  <c r="L2273" i="35"/>
  <c r="L51" i="150"/>
  <c r="L2272" i="35"/>
  <c r="L50" i="150"/>
  <c r="L645" i="35"/>
  <c r="L51" i="146"/>
  <c r="L1456" i="35"/>
  <c r="L48" i="147"/>
  <c r="L1871" i="35"/>
  <c r="L56" i="148"/>
  <c r="L2276" i="35"/>
  <c r="L54" i="150"/>
  <c r="L2274" i="35"/>
  <c r="L52" i="150"/>
  <c r="L235" i="35"/>
  <c r="L48" i="145"/>
  <c r="L1455" i="35"/>
  <c r="L47" i="147"/>
  <c r="L1458" i="35"/>
  <c r="L50" i="147"/>
  <c r="L237" i="35"/>
  <c r="L50" i="145"/>
  <c r="L2270" i="35"/>
  <c r="L48" i="150"/>
  <c r="L243" i="35"/>
  <c r="L56" i="145"/>
  <c r="L1049" i="35"/>
  <c r="L48" i="149"/>
  <c r="L1459" i="35"/>
  <c r="L51" i="147"/>
  <c r="L236" i="35"/>
  <c r="L49" i="145"/>
  <c r="L647" i="35"/>
  <c r="L53" i="146"/>
  <c r="L1057" i="35"/>
  <c r="L56" i="149"/>
  <c r="L649" i="35"/>
  <c r="L55" i="146"/>
  <c r="L239" i="35"/>
  <c r="L52" i="145"/>
  <c r="L1863" i="35"/>
  <c r="L48" i="148"/>
  <c r="L1463" i="35"/>
  <c r="L55" i="147"/>
  <c r="L49" i="143"/>
  <c r="L53" i="143"/>
  <c r="L50" i="143"/>
  <c r="L51" i="143"/>
  <c r="L48" i="143"/>
  <c r="L55" i="143"/>
  <c r="L54" i="143"/>
  <c r="L52" i="143"/>
  <c r="L57" i="143"/>
  <c r="L56" i="143"/>
  <c r="L230" i="31"/>
  <c r="L64" i="143" s="1"/>
  <c r="L234" i="31"/>
  <c r="L68" i="143" s="1"/>
  <c r="L231" i="31"/>
  <c r="L65" i="143" s="1"/>
  <c r="L232" i="31"/>
  <c r="L66" i="143" s="1"/>
  <c r="L236" i="31"/>
  <c r="L70" i="143" s="1"/>
  <c r="L235" i="31"/>
  <c r="L69" i="143" s="1"/>
  <c r="L233" i="31"/>
  <c r="L67" i="143" s="1"/>
  <c r="L238" i="31"/>
  <c r="L72" i="143" s="1"/>
  <c r="L237" i="31"/>
  <c r="L71" i="143" s="1"/>
  <c r="L175" i="140"/>
  <c r="L214" i="140"/>
  <c r="L201" i="140"/>
  <c r="M168" i="20"/>
  <c r="M161" i="20"/>
  <c r="M167" i="20"/>
  <c r="M169" i="20"/>
  <c r="M165" i="20"/>
  <c r="M162" i="20"/>
  <c r="M164" i="20"/>
  <c r="M166" i="20"/>
  <c r="M163" i="20"/>
  <c r="L641" i="35"/>
  <c r="L61" i="146" s="1"/>
  <c r="L390" i="34"/>
  <c r="O200" i="20"/>
  <c r="O213" i="20"/>
  <c r="L384" i="20"/>
  <c r="L1170" i="34"/>
  <c r="L780" i="34"/>
  <c r="L1862" i="35"/>
  <c r="L61" i="148" s="1"/>
  <c r="L975" i="34"/>
  <c r="L183" i="20"/>
  <c r="M146" i="20"/>
  <c r="M63" i="140" s="1"/>
  <c r="L195" i="34"/>
  <c r="L234" i="35"/>
  <c r="L61" i="145" s="1"/>
  <c r="L227" i="30"/>
  <c r="L229" i="31"/>
  <c r="L63" i="143" s="1"/>
  <c r="L585" i="34"/>
  <c r="L1048" i="35"/>
  <c r="L61" i="149" s="1"/>
  <c r="M7" i="91"/>
  <c r="K7" i="4"/>
  <c r="N7" i="91"/>
  <c r="K8" i="4"/>
  <c r="L7" i="91"/>
  <c r="K7" i="91"/>
  <c r="K6" i="4"/>
  <c r="O24" i="105"/>
  <c r="O38" i="105" s="1"/>
  <c r="H253" i="19"/>
  <c r="H114" i="140" s="1"/>
  <c r="H295" i="19"/>
  <c r="H283" i="19"/>
  <c r="D69" i="37" s="1"/>
  <c r="H391" i="19"/>
  <c r="H378" i="19"/>
  <c r="H365" i="19"/>
  <c r="H352" i="19"/>
  <c r="H339" i="19"/>
  <c r="D440" i="37" s="1"/>
  <c r="H338" i="19"/>
  <c r="D411" i="37" s="1"/>
  <c r="D474" i="37" s="1"/>
  <c r="D295" i="19"/>
  <c r="L2283" i="35" l="1"/>
  <c r="L2297" i="35" s="1"/>
  <c r="L62" i="150"/>
  <c r="L250" i="35"/>
  <c r="L264" i="35" s="1"/>
  <c r="L64" i="145"/>
  <c r="L1062" i="35"/>
  <c r="L1076" i="35" s="1"/>
  <c r="L62" i="149"/>
  <c r="L2289" i="35"/>
  <c r="L2303" i="35" s="1"/>
  <c r="L68" i="150"/>
  <c r="L2285" i="35"/>
  <c r="L2299" i="35" s="1"/>
  <c r="L64" i="150"/>
  <c r="L1880" i="35"/>
  <c r="L66" i="148"/>
  <c r="L659" i="35"/>
  <c r="L673" i="35" s="1"/>
  <c r="L66" i="146"/>
  <c r="L1063" i="35"/>
  <c r="L1077" i="35" s="1"/>
  <c r="L63" i="149"/>
  <c r="L1877" i="35"/>
  <c r="L1891" i="35" s="1"/>
  <c r="L63" i="148"/>
  <c r="L1475" i="35"/>
  <c r="L68" i="147"/>
  <c r="L2290" i="35"/>
  <c r="L69" i="150"/>
  <c r="L657" i="35"/>
  <c r="L671" i="35" s="1"/>
  <c r="L64" i="146"/>
  <c r="L2282" i="35"/>
  <c r="L2296" i="35" s="1"/>
  <c r="L61" i="150"/>
  <c r="L1070" i="35"/>
  <c r="L70" i="149"/>
  <c r="L1876" i="35"/>
  <c r="L62" i="148"/>
  <c r="L660" i="35"/>
  <c r="L674" i="35" s="1"/>
  <c r="L67" i="146"/>
  <c r="L1468" i="35"/>
  <c r="L61" i="147"/>
  <c r="L1884" i="35"/>
  <c r="L70" i="148"/>
  <c r="L2286" i="35"/>
  <c r="L2300" i="35" s="1"/>
  <c r="L65" i="150"/>
  <c r="L254" i="35"/>
  <c r="L268" i="35" s="1"/>
  <c r="L68" i="145"/>
  <c r="L2284" i="35"/>
  <c r="L2298" i="35" s="1"/>
  <c r="L63" i="150"/>
  <c r="L1473" i="35"/>
  <c r="L66" i="147"/>
  <c r="L1064" i="35"/>
  <c r="L1078" i="35" s="1"/>
  <c r="L64" i="149"/>
  <c r="L1882" i="35"/>
  <c r="L1896" i="35" s="1"/>
  <c r="L68" i="148"/>
  <c r="L255" i="35"/>
  <c r="L269" i="35" s="1"/>
  <c r="L69" i="145"/>
  <c r="L1879" i="35"/>
  <c r="L65" i="148"/>
  <c r="L2288" i="35"/>
  <c r="L67" i="150"/>
  <c r="L1476" i="35"/>
  <c r="L69" i="147"/>
  <c r="L1471" i="35"/>
  <c r="L1485" i="35" s="1"/>
  <c r="L64" i="147"/>
  <c r="L256" i="35"/>
  <c r="L270" i="35" s="1"/>
  <c r="L70" i="145"/>
  <c r="L249" i="35"/>
  <c r="L263" i="35" s="1"/>
  <c r="L63" i="145"/>
  <c r="L1469" i="35"/>
  <c r="L62" i="147"/>
  <c r="L1474" i="35"/>
  <c r="L67" i="147"/>
  <c r="L1477" i="35"/>
  <c r="L70" i="147"/>
  <c r="L253" i="35"/>
  <c r="L267" i="35" s="1"/>
  <c r="L67" i="145"/>
  <c r="L661" i="35"/>
  <c r="L675" i="35" s="1"/>
  <c r="L68" i="146"/>
  <c r="L1878" i="35"/>
  <c r="L64" i="148"/>
  <c r="L1883" i="35"/>
  <c r="L69" i="148"/>
  <c r="L1066" i="35"/>
  <c r="L66" i="149"/>
  <c r="L1065" i="35"/>
  <c r="L65" i="149"/>
  <c r="L1067" i="35"/>
  <c r="L67" i="149"/>
  <c r="L252" i="35"/>
  <c r="L266" i="35" s="1"/>
  <c r="L66" i="145"/>
  <c r="L248" i="35"/>
  <c r="L262" i="35" s="1"/>
  <c r="L62" i="145"/>
  <c r="L662" i="35"/>
  <c r="L676" i="35" s="1"/>
  <c r="L69" i="146"/>
  <c r="L1472" i="35"/>
  <c r="L65" i="147"/>
  <c r="L2287" i="35"/>
  <c r="L2301" i="35" s="1"/>
  <c r="L66" i="150"/>
  <c r="L658" i="35"/>
  <c r="L672" i="35" s="1"/>
  <c r="L65" i="146"/>
  <c r="L1069" i="35"/>
  <c r="L69" i="149"/>
  <c r="L2291" i="35"/>
  <c r="L70" i="150"/>
  <c r="L1470" i="35"/>
  <c r="L63" i="147"/>
  <c r="L656" i="35"/>
  <c r="L670" i="35" s="1"/>
  <c r="L63" i="146"/>
  <c r="L1068" i="35"/>
  <c r="L1082" i="35" s="1"/>
  <c r="L68" i="149"/>
  <c r="L663" i="35"/>
  <c r="L677" i="35" s="1"/>
  <c r="L70" i="146"/>
  <c r="L655" i="35"/>
  <c r="L62" i="146"/>
  <c r="L251" i="35"/>
  <c r="L265" i="35" s="1"/>
  <c r="L65" i="145"/>
  <c r="L1881" i="35"/>
  <c r="L67" i="148"/>
  <c r="L57" i="148"/>
  <c r="L1465" i="35"/>
  <c r="L57" i="146"/>
  <c r="L57" i="149"/>
  <c r="L57" i="145"/>
  <c r="L2279" i="35"/>
  <c r="L57" i="150"/>
  <c r="L57" i="147"/>
  <c r="L58" i="143"/>
  <c r="L251" i="31"/>
  <c r="L264" i="31" s="1"/>
  <c r="L246" i="31"/>
  <c r="L248" i="31"/>
  <c r="L249" i="31"/>
  <c r="L245" i="31"/>
  <c r="L247" i="31"/>
  <c r="L260" i="31" s="1"/>
  <c r="L243" i="31"/>
  <c r="L256" i="31" s="1"/>
  <c r="L244" i="31"/>
  <c r="L250" i="31"/>
  <c r="L263" i="31" s="1"/>
  <c r="L73" i="143"/>
  <c r="L75" i="143" s="1"/>
  <c r="M73" i="140"/>
  <c r="L651" i="35"/>
  <c r="L654" i="35"/>
  <c r="L1872" i="35"/>
  <c r="L1875" i="35"/>
  <c r="L239" i="31"/>
  <c r="L242" i="31"/>
  <c r="M156" i="20"/>
  <c r="M160" i="20"/>
  <c r="L1058" i="35"/>
  <c r="L1061" i="35"/>
  <c r="L244" i="35"/>
  <c r="L247" i="35"/>
  <c r="J78" i="37"/>
  <c r="J85" i="37"/>
  <c r="J83" i="37"/>
  <c r="J84" i="37"/>
  <c r="J82" i="37"/>
  <c r="O40" i="105"/>
  <c r="L1499" i="35" l="1"/>
  <c r="L81" i="147" s="1"/>
  <c r="L1894" i="35"/>
  <c r="L1898" i="35"/>
  <c r="L1489" i="35"/>
  <c r="L1490" i="35"/>
  <c r="L1084" i="35"/>
  <c r="L1487" i="35"/>
  <c r="L1483" i="35"/>
  <c r="L1484" i="35"/>
  <c r="L1897" i="35"/>
  <c r="L1491" i="35"/>
  <c r="L1488" i="35"/>
  <c r="L1892" i="35"/>
  <c r="L71" i="149"/>
  <c r="L73" i="149" s="1"/>
  <c r="L1482" i="35"/>
  <c r="L685" i="35"/>
  <c r="L1080" i="35"/>
  <c r="L1486" i="35"/>
  <c r="L71" i="145"/>
  <c r="L73" i="145" s="1"/>
  <c r="L71" i="146"/>
  <c r="L73" i="146" s="1"/>
  <c r="L1890" i="35"/>
  <c r="L1083" i="35"/>
  <c r="L2304" i="35"/>
  <c r="L71" i="148"/>
  <c r="L73" i="148" s="1"/>
  <c r="L1478" i="35"/>
  <c r="L1496" i="35" s="1"/>
  <c r="L78" i="147" s="1"/>
  <c r="L2305" i="35"/>
  <c r="L682" i="35"/>
  <c r="L669" i="35"/>
  <c r="L2302" i="35"/>
  <c r="L1893" i="35"/>
  <c r="L2292" i="35"/>
  <c r="L2314" i="35" s="1"/>
  <c r="L82" i="150" s="1"/>
  <c r="L1081" i="35"/>
  <c r="L71" i="147"/>
  <c r="L73" i="147" s="1"/>
  <c r="L1895" i="35"/>
  <c r="L71" i="150"/>
  <c r="L73" i="150" s="1"/>
  <c r="L1079" i="35"/>
  <c r="L258" i="31"/>
  <c r="L259" i="31"/>
  <c r="L262" i="31"/>
  <c r="L272" i="31"/>
  <c r="L269" i="31"/>
  <c r="L261" i="31"/>
  <c r="L257" i="31"/>
  <c r="L664" i="35"/>
  <c r="L681" i="35" s="1"/>
  <c r="L668" i="35"/>
  <c r="L1885" i="35"/>
  <c r="L1905" i="35" s="1"/>
  <c r="L80" i="148" s="1"/>
  <c r="L1889" i="35"/>
  <c r="L252" i="31"/>
  <c r="L268" i="31" s="1"/>
  <c r="L255" i="31"/>
  <c r="L1071" i="35"/>
  <c r="L1089" i="35" s="1"/>
  <c r="L78" i="149" s="1"/>
  <c r="L1075" i="35"/>
  <c r="L257" i="35"/>
  <c r="L261" i="35"/>
  <c r="L271" i="35" s="1"/>
  <c r="L294" i="35" s="1"/>
  <c r="L97" i="145" s="1"/>
  <c r="M170" i="20"/>
  <c r="J86" i="37"/>
  <c r="J73" i="37"/>
  <c r="J77" i="37"/>
  <c r="O52" i="105"/>
  <c r="Q58" i="105"/>
  <c r="L1495" i="35" l="1"/>
  <c r="L77" i="147" s="1"/>
  <c r="L1903" i="35"/>
  <c r="L78" i="148" s="1"/>
  <c r="L1497" i="35"/>
  <c r="L79" i="147" s="1"/>
  <c r="L1908" i="35"/>
  <c r="L83" i="148" s="1"/>
  <c r="L1501" i="35"/>
  <c r="L83" i="147" s="1"/>
  <c r="L1907" i="35"/>
  <c r="L82" i="148" s="1"/>
  <c r="L1910" i="35"/>
  <c r="L85" i="148" s="1"/>
  <c r="L2318" i="35"/>
  <c r="L86" i="150" s="1"/>
  <c r="L1096" i="35"/>
  <c r="L85" i="149" s="1"/>
  <c r="L1498" i="35"/>
  <c r="L80" i="147" s="1"/>
  <c r="L1906" i="35"/>
  <c r="L81" i="148" s="1"/>
  <c r="L1503" i="35"/>
  <c r="L85" i="147" s="1"/>
  <c r="L1095" i="35"/>
  <c r="L84" i="149" s="1"/>
  <c r="L1504" i="35"/>
  <c r="L86" i="147" s="1"/>
  <c r="L1090" i="35"/>
  <c r="L79" i="149" s="1"/>
  <c r="L1904" i="35"/>
  <c r="L79" i="148" s="1"/>
  <c r="L1094" i="35"/>
  <c r="L83" i="149" s="1"/>
  <c r="L1091" i="35"/>
  <c r="L80" i="149" s="1"/>
  <c r="L1097" i="35"/>
  <c r="L86" i="149" s="1"/>
  <c r="L1502" i="35"/>
  <c r="L84" i="147" s="1"/>
  <c r="L1909" i="35"/>
  <c r="L84" i="148" s="1"/>
  <c r="L1093" i="35"/>
  <c r="L82" i="149" s="1"/>
  <c r="L1911" i="35"/>
  <c r="L86" i="148" s="1"/>
  <c r="L1092" i="35"/>
  <c r="L81" i="149" s="1"/>
  <c r="L1500" i="35"/>
  <c r="L82" i="147" s="1"/>
  <c r="M238" i="20"/>
  <c r="L78" i="146"/>
  <c r="M237" i="20"/>
  <c r="L77" i="146"/>
  <c r="M241" i="20"/>
  <c r="L81" i="146"/>
  <c r="L678" i="35"/>
  <c r="L694" i="35" s="1"/>
  <c r="L90" i="146" s="1"/>
  <c r="L2309" i="35"/>
  <c r="L77" i="150" s="1"/>
  <c r="L2306" i="35"/>
  <c r="L2330" i="35" s="1"/>
  <c r="L1492" i="35"/>
  <c r="L1514" i="35" s="1"/>
  <c r="L96" i="147" s="1"/>
  <c r="L1085" i="35"/>
  <c r="L1101" i="35" s="1"/>
  <c r="L90" i="149" s="1"/>
  <c r="L1899" i="35"/>
  <c r="L1918" i="35" s="1"/>
  <c r="L93" i="148" s="1"/>
  <c r="L265" i="31"/>
  <c r="L281" i="31" s="1"/>
  <c r="L93" i="143" s="1"/>
  <c r="M217" i="20"/>
  <c r="L79" i="143"/>
  <c r="L108" i="143" s="1"/>
  <c r="M218" i="20"/>
  <c r="L80" i="143"/>
  <c r="L109" i="143" s="1"/>
  <c r="M221" i="20"/>
  <c r="L83" i="143"/>
  <c r="L112" i="143" s="1"/>
  <c r="L689" i="35"/>
  <c r="L688" i="35"/>
  <c r="L686" i="35"/>
  <c r="L690" i="35"/>
  <c r="L684" i="35"/>
  <c r="L683" i="35"/>
  <c r="L687" i="35"/>
  <c r="L274" i="35"/>
  <c r="L275" i="35"/>
  <c r="L283" i="35"/>
  <c r="L282" i="35"/>
  <c r="L281" i="35"/>
  <c r="L279" i="35"/>
  <c r="L280" i="35"/>
  <c r="L277" i="35"/>
  <c r="L276" i="35"/>
  <c r="L278" i="35"/>
  <c r="L1902" i="35"/>
  <c r="L290" i="35"/>
  <c r="L93" i="145" s="1"/>
  <c r="L296" i="35"/>
  <c r="L99" i="145" s="1"/>
  <c r="L292" i="35"/>
  <c r="L95" i="145" s="1"/>
  <c r="L288" i="35"/>
  <c r="L91" i="145" s="1"/>
  <c r="L287" i="35"/>
  <c r="L90" i="145" s="1"/>
  <c r="L293" i="35"/>
  <c r="L96" i="145" s="1"/>
  <c r="L291" i="35"/>
  <c r="L94" i="145" s="1"/>
  <c r="L1088" i="35"/>
  <c r="L289" i="35"/>
  <c r="L92" i="145" s="1"/>
  <c r="L295" i="35"/>
  <c r="L98" i="145" s="1"/>
  <c r="L273" i="31"/>
  <c r="L276" i="31"/>
  <c r="L275" i="31"/>
  <c r="L277" i="31"/>
  <c r="L270" i="31"/>
  <c r="L271" i="31"/>
  <c r="L274" i="31"/>
  <c r="J79" i="37"/>
  <c r="J74" i="37"/>
  <c r="I40" i="14"/>
  <c r="I37" i="14"/>
  <c r="J232" i="140" s="1"/>
  <c r="C19" i="106"/>
  <c r="C18" i="106"/>
  <c r="V24" i="105"/>
  <c r="L1921" i="35" l="1"/>
  <c r="L96" i="148" s="1"/>
  <c r="L1917" i="35"/>
  <c r="L92" i="148" s="1"/>
  <c r="L1916" i="35"/>
  <c r="L91" i="148" s="1"/>
  <c r="L1923" i="35"/>
  <c r="L98" i="148" s="1"/>
  <c r="L1924" i="35"/>
  <c r="L99" i="148" s="1"/>
  <c r="L1915" i="35"/>
  <c r="L1922" i="35"/>
  <c r="L97" i="148" s="1"/>
  <c r="L1919" i="35"/>
  <c r="L94" i="148" s="1"/>
  <c r="L1920" i="35"/>
  <c r="L95" i="148" s="1"/>
  <c r="L1512" i="35"/>
  <c r="L94" i="147" s="1"/>
  <c r="L1516" i="35"/>
  <c r="L98" i="147" s="1"/>
  <c r="L1513" i="35"/>
  <c r="L95" i="147" s="1"/>
  <c r="L1510" i="35"/>
  <c r="L92" i="147" s="1"/>
  <c r="L1515" i="35"/>
  <c r="L97" i="147" s="1"/>
  <c r="L1508" i="35"/>
  <c r="L1517" i="35"/>
  <c r="L99" i="147" s="1"/>
  <c r="L1511" i="35"/>
  <c r="L93" i="147" s="1"/>
  <c r="L1509" i="35"/>
  <c r="L91" i="147" s="1"/>
  <c r="L1109" i="35"/>
  <c r="L98" i="149" s="1"/>
  <c r="L1102" i="35"/>
  <c r="L1105" i="35"/>
  <c r="L94" i="149" s="1"/>
  <c r="L1106" i="35"/>
  <c r="L95" i="149" s="1"/>
  <c r="L1107" i="35"/>
  <c r="L96" i="149" s="1"/>
  <c r="L1110" i="35"/>
  <c r="L99" i="149" s="1"/>
  <c r="L1104" i="35"/>
  <c r="L93" i="149" s="1"/>
  <c r="L1103" i="35"/>
  <c r="L92" i="149" s="1"/>
  <c r="L1108" i="35"/>
  <c r="L97" i="149" s="1"/>
  <c r="L286" i="31"/>
  <c r="L98" i="143" s="1"/>
  <c r="L698" i="35"/>
  <c r="L94" i="146" s="1"/>
  <c r="L703" i="35"/>
  <c r="L99" i="146" s="1"/>
  <c r="L702" i="35"/>
  <c r="L98" i="146" s="1"/>
  <c r="L696" i="35"/>
  <c r="L92" i="146" s="1"/>
  <c r="L695" i="35"/>
  <c r="L91" i="146" s="1"/>
  <c r="L699" i="35"/>
  <c r="L95" i="146" s="1"/>
  <c r="L2324" i="35"/>
  <c r="L92" i="150" s="1"/>
  <c r="L2329" i="35"/>
  <c r="L97" i="150" s="1"/>
  <c r="L87" i="147"/>
  <c r="L700" i="35"/>
  <c r="L96" i="146" s="1"/>
  <c r="L2316" i="35"/>
  <c r="L84" i="150" s="1"/>
  <c r="L2317" i="35"/>
  <c r="L85" i="150" s="1"/>
  <c r="L98" i="150"/>
  <c r="L1505" i="35"/>
  <c r="L100" i="145"/>
  <c r="L2311" i="35"/>
  <c r="L79" i="150" s="1"/>
  <c r="L2328" i="35"/>
  <c r="L2325" i="35"/>
  <c r="L2322" i="35"/>
  <c r="L90" i="150" s="1"/>
  <c r="L2331" i="35"/>
  <c r="L99" i="150" s="1"/>
  <c r="L2326" i="35"/>
  <c r="L2327" i="35"/>
  <c r="L95" i="150" s="1"/>
  <c r="L283" i="31"/>
  <c r="L95" i="143" s="1"/>
  <c r="L2323" i="35"/>
  <c r="L288" i="31"/>
  <c r="L100" i="143" s="1"/>
  <c r="L287" i="31"/>
  <c r="L99" i="143" s="1"/>
  <c r="L284" i="31"/>
  <c r="L96" i="143" s="1"/>
  <c r="L1912" i="35"/>
  <c r="L77" i="148"/>
  <c r="L87" i="148" s="1"/>
  <c r="M235" i="20"/>
  <c r="L85" i="145"/>
  <c r="M242" i="20"/>
  <c r="L82" i="146"/>
  <c r="M231" i="20"/>
  <c r="M295" i="20" s="1"/>
  <c r="M308" i="20" s="1"/>
  <c r="M80" i="140" s="1"/>
  <c r="L81" i="145"/>
  <c r="M228" i="20"/>
  <c r="M292" i="20" s="1"/>
  <c r="M305" i="20" s="1"/>
  <c r="M77" i="140" s="1"/>
  <c r="L78" i="145"/>
  <c r="M245" i="20"/>
  <c r="L85" i="146"/>
  <c r="M236" i="20"/>
  <c r="L86" i="145"/>
  <c r="L1098" i="35"/>
  <c r="L77" i="149"/>
  <c r="L87" i="149" s="1"/>
  <c r="M229" i="20"/>
  <c r="L79" i="145"/>
  <c r="M227" i="20"/>
  <c r="M291" i="20" s="1"/>
  <c r="L77" i="145"/>
  <c r="M244" i="20"/>
  <c r="L84" i="146"/>
  <c r="M230" i="20"/>
  <c r="L80" i="145"/>
  <c r="M243" i="20"/>
  <c r="L83" i="146"/>
  <c r="M233" i="20"/>
  <c r="L83" i="145"/>
  <c r="M239" i="20"/>
  <c r="L79" i="146"/>
  <c r="M232" i="20"/>
  <c r="L82" i="145"/>
  <c r="M240" i="20"/>
  <c r="L80" i="146"/>
  <c r="M234" i="20"/>
  <c r="L84" i="145"/>
  <c r="M246" i="20"/>
  <c r="L86" i="146"/>
  <c r="L701" i="35"/>
  <c r="L97" i="146" s="1"/>
  <c r="L282" i="31"/>
  <c r="L94" i="143" s="1"/>
  <c r="L697" i="35"/>
  <c r="L93" i="146" s="1"/>
  <c r="L289" i="31"/>
  <c r="L101" i="143" s="1"/>
  <c r="L290" i="31"/>
  <c r="L102" i="143" s="1"/>
  <c r="L164" i="143"/>
  <c r="L151" i="143"/>
  <c r="L161" i="143"/>
  <c r="L148" i="143"/>
  <c r="L160" i="143"/>
  <c r="L147" i="143"/>
  <c r="L285" i="31"/>
  <c r="L97" i="143" s="1"/>
  <c r="L125" i="143"/>
  <c r="L138" i="143"/>
  <c r="L122" i="143"/>
  <c r="L135" i="143"/>
  <c r="L121" i="143"/>
  <c r="L134" i="143"/>
  <c r="M222" i="20"/>
  <c r="L84" i="143"/>
  <c r="L113" i="143" s="1"/>
  <c r="M223" i="20"/>
  <c r="L85" i="143"/>
  <c r="L114" i="143" s="1"/>
  <c r="M220" i="20"/>
  <c r="L82" i="143"/>
  <c r="L111" i="143" s="1"/>
  <c r="M219" i="20"/>
  <c r="L81" i="143"/>
  <c r="L110" i="143" s="1"/>
  <c r="M226" i="20"/>
  <c r="L88" i="143"/>
  <c r="L117" i="143" s="1"/>
  <c r="M224" i="20"/>
  <c r="L86" i="143"/>
  <c r="L115" i="143" s="1"/>
  <c r="M225" i="20"/>
  <c r="L87" i="143"/>
  <c r="L116" i="143" s="1"/>
  <c r="J178" i="140"/>
  <c r="J182" i="140"/>
  <c r="J187" i="140"/>
  <c r="J184" i="140"/>
  <c r="J186" i="140"/>
  <c r="J179" i="140"/>
  <c r="J180" i="140"/>
  <c r="J183" i="140"/>
  <c r="J181" i="140"/>
  <c r="J185" i="140"/>
  <c r="K186" i="140"/>
  <c r="K179" i="140"/>
  <c r="K187" i="140"/>
  <c r="K185" i="140"/>
  <c r="K178" i="140"/>
  <c r="K182" i="140"/>
  <c r="K184" i="140"/>
  <c r="K183" i="140"/>
  <c r="K181" i="140"/>
  <c r="K180" i="140"/>
  <c r="L183" i="140"/>
  <c r="L186" i="140"/>
  <c r="L179" i="140"/>
  <c r="L187" i="140"/>
  <c r="L185" i="140"/>
  <c r="L184" i="140"/>
  <c r="L178" i="140"/>
  <c r="L180" i="140"/>
  <c r="L181" i="140"/>
  <c r="L182" i="140"/>
  <c r="K15" i="14"/>
  <c r="K131" i="140" s="1"/>
  <c r="L691" i="35"/>
  <c r="L284" i="35"/>
  <c r="L297" i="35"/>
  <c r="L278" i="31"/>
  <c r="J88" i="37"/>
  <c r="T17" i="107"/>
  <c r="T16" i="107"/>
  <c r="L90" i="148" l="1"/>
  <c r="L100" i="148" s="1"/>
  <c r="L1925" i="35"/>
  <c r="L90" i="147"/>
  <c r="L100" i="147" s="1"/>
  <c r="L1518" i="35"/>
  <c r="L91" i="149"/>
  <c r="L100" i="149" s="1"/>
  <c r="L1111" i="35"/>
  <c r="L100" i="146"/>
  <c r="L2313" i="35"/>
  <c r="L81" i="150" s="1"/>
  <c r="L94" i="150"/>
  <c r="L2312" i="35"/>
  <c r="L80" i="150" s="1"/>
  <c r="L93" i="150"/>
  <c r="L2315" i="35"/>
  <c r="L83" i="150" s="1"/>
  <c r="L96" i="150"/>
  <c r="L2310" i="35"/>
  <c r="L78" i="150" s="1"/>
  <c r="L91" i="150"/>
  <c r="M298" i="20"/>
  <c r="M311" i="20" s="1"/>
  <c r="M83" i="140" s="1"/>
  <c r="M300" i="20"/>
  <c r="M313" i="20" s="1"/>
  <c r="M85" i="140" s="1"/>
  <c r="L2332" i="35"/>
  <c r="M296" i="20"/>
  <c r="M309" i="20" s="1"/>
  <c r="M81" i="140" s="1"/>
  <c r="M297" i="20"/>
  <c r="M310" i="20" s="1"/>
  <c r="M82" i="140" s="1"/>
  <c r="M299" i="20"/>
  <c r="M312" i="20" s="1"/>
  <c r="M84" i="140" s="1"/>
  <c r="M293" i="20"/>
  <c r="M306" i="20" s="1"/>
  <c r="M78" i="140" s="1"/>
  <c r="L87" i="146"/>
  <c r="L87" i="145"/>
  <c r="M294" i="20"/>
  <c r="M307" i="20" s="1"/>
  <c r="M79" i="140" s="1"/>
  <c r="L704" i="35"/>
  <c r="L103" i="143"/>
  <c r="L118" i="143"/>
  <c r="L162" i="143"/>
  <c r="L149" i="143"/>
  <c r="L169" i="143"/>
  <c r="L156" i="143"/>
  <c r="L165" i="143"/>
  <c r="L152" i="143"/>
  <c r="L168" i="143"/>
  <c r="L155" i="143"/>
  <c r="L163" i="143"/>
  <c r="L150" i="143"/>
  <c r="L167" i="143"/>
  <c r="L154" i="143"/>
  <c r="L166" i="143"/>
  <c r="L153" i="143"/>
  <c r="L291" i="31"/>
  <c r="L123" i="143"/>
  <c r="L136" i="143"/>
  <c r="L129" i="143"/>
  <c r="L142" i="143"/>
  <c r="L124" i="143"/>
  <c r="L137" i="143"/>
  <c r="L128" i="143"/>
  <c r="L141" i="143"/>
  <c r="L127" i="143"/>
  <c r="L140" i="143"/>
  <c r="L130" i="143"/>
  <c r="L143" i="143"/>
  <c r="L126" i="143"/>
  <c r="L139" i="143"/>
  <c r="L89" i="143"/>
  <c r="M287" i="20"/>
  <c r="K159" i="20"/>
  <c r="M319" i="20"/>
  <c r="M90" i="140" s="1"/>
  <c r="M337" i="20"/>
  <c r="M322" i="20"/>
  <c r="M93" i="140" s="1"/>
  <c r="M334" i="20"/>
  <c r="M253" i="21" s="1"/>
  <c r="M304" i="20"/>
  <c r="M76" i="140" s="1"/>
  <c r="H2447" i="35"/>
  <c r="H1226" i="35"/>
  <c r="H2040" i="35"/>
  <c r="H1633" i="35"/>
  <c r="H819" i="35"/>
  <c r="H412" i="35"/>
  <c r="H2446" i="35"/>
  <c r="H1225" i="35"/>
  <c r="H2039" i="35"/>
  <c r="H1632" i="35"/>
  <c r="H818" i="35"/>
  <c r="H411" i="35"/>
  <c r="H2443" i="35"/>
  <c r="D304" i="37" s="1"/>
  <c r="H1222" i="35"/>
  <c r="D301" i="37" s="1"/>
  <c r="H2036" i="35"/>
  <c r="D303" i="37" s="1"/>
  <c r="H1629" i="35"/>
  <c r="D302" i="37" s="1"/>
  <c r="H815" i="35"/>
  <c r="D300" i="37" s="1"/>
  <c r="H408" i="35"/>
  <c r="D299" i="37" s="1"/>
  <c r="H2442" i="35"/>
  <c r="H1221" i="35"/>
  <c r="H2035" i="35"/>
  <c r="H1628" i="35"/>
  <c r="H814" i="35"/>
  <c r="H407" i="35"/>
  <c r="H2439" i="35"/>
  <c r="H1218" i="35"/>
  <c r="H2032" i="35"/>
  <c r="H1625" i="35"/>
  <c r="H811" i="35"/>
  <c r="H404" i="35"/>
  <c r="H2427" i="35"/>
  <c r="H1206" i="35"/>
  <c r="H2020" i="35"/>
  <c r="H1613" i="35"/>
  <c r="H799" i="35"/>
  <c r="H392" i="35"/>
  <c r="H2414" i="35"/>
  <c r="H1193" i="35"/>
  <c r="H2007" i="35"/>
  <c r="H1600" i="35"/>
  <c r="H786" i="35"/>
  <c r="H379" i="35"/>
  <c r="H2402" i="35"/>
  <c r="H1181" i="35"/>
  <c r="H1995" i="35"/>
  <c r="H1588" i="35"/>
  <c r="H774" i="35"/>
  <c r="H367" i="35"/>
  <c r="L100" i="150" l="1"/>
  <c r="L2319" i="35"/>
  <c r="L87" i="150"/>
  <c r="M325" i="20"/>
  <c r="M96" i="140" s="1"/>
  <c r="M340" i="20"/>
  <c r="M259" i="21" s="1"/>
  <c r="M250" i="19" s="1"/>
  <c r="M327" i="20"/>
  <c r="M98" i="140" s="1"/>
  <c r="M342" i="20"/>
  <c r="M261" i="21" s="1"/>
  <c r="M252" i="19" s="1"/>
  <c r="M339" i="20"/>
  <c r="M258" i="21" s="1"/>
  <c r="M249" i="19" s="1"/>
  <c r="M110" i="140" s="1"/>
  <c r="M123" i="140" s="1"/>
  <c r="M324" i="20"/>
  <c r="M95" i="140" s="1"/>
  <c r="M338" i="20"/>
  <c r="M257" i="21" s="1"/>
  <c r="M248" i="19" s="1"/>
  <c r="M109" i="140" s="1"/>
  <c r="M122" i="140" s="1"/>
  <c r="M323" i="20"/>
  <c r="M94" i="140" s="1"/>
  <c r="M326" i="20"/>
  <c r="M97" i="140" s="1"/>
  <c r="M341" i="20"/>
  <c r="M260" i="21" s="1"/>
  <c r="M251" i="19" s="1"/>
  <c r="M112" i="140" s="1"/>
  <c r="M125" i="140" s="1"/>
  <c r="M320" i="20"/>
  <c r="M91" i="140" s="1"/>
  <c r="M335" i="20"/>
  <c r="M254" i="21" s="1"/>
  <c r="M245" i="19" s="1"/>
  <c r="M106" i="140" s="1"/>
  <c r="M119" i="140" s="1"/>
  <c r="M301" i="20"/>
  <c r="M336" i="20"/>
  <c r="M255" i="21" s="1"/>
  <c r="M246" i="19" s="1"/>
  <c r="M107" i="140" s="1"/>
  <c r="M120" i="140" s="1"/>
  <c r="M321" i="20"/>
  <c r="M92" i="140" s="1"/>
  <c r="L157" i="143"/>
  <c r="L170" i="143"/>
  <c r="L144" i="143"/>
  <c r="L131" i="143"/>
  <c r="I108" i="37"/>
  <c r="I285" i="37"/>
  <c r="I100" i="37"/>
  <c r="I280" i="37"/>
  <c r="I281" i="37"/>
  <c r="I101" i="37"/>
  <c r="I283" i="37"/>
  <c r="I105" i="37"/>
  <c r="I284" i="37"/>
  <c r="I106" i="37"/>
  <c r="I107" i="37"/>
  <c r="I282" i="37"/>
  <c r="J188" i="140"/>
  <c r="K188" i="140"/>
  <c r="L188" i="140"/>
  <c r="M256" i="21"/>
  <c r="M247" i="19" s="1"/>
  <c r="M86" i="140"/>
  <c r="M244" i="19"/>
  <c r="M105" i="140" s="1"/>
  <c r="M118" i="140" s="1"/>
  <c r="D133" i="37"/>
  <c r="M314" i="20"/>
  <c r="M318" i="20"/>
  <c r="M333" i="20"/>
  <c r="M252" i="21" s="1"/>
  <c r="D126" i="37"/>
  <c r="D130" i="37"/>
  <c r="D131" i="37"/>
  <c r="D132" i="37"/>
  <c r="D125" i="37"/>
  <c r="D219" i="37"/>
  <c r="D210" i="37" s="1"/>
  <c r="M289" i="19" l="1"/>
  <c r="M108" i="140"/>
  <c r="M121" i="140" s="1"/>
  <c r="M328" i="20"/>
  <c r="M89" i="140"/>
  <c r="M99" i="140" s="1"/>
  <c r="M113" i="140"/>
  <c r="M126" i="140" s="1"/>
  <c r="M294" i="19"/>
  <c r="M111" i="140"/>
  <c r="M124" i="140" s="1"/>
  <c r="M292" i="19"/>
  <c r="M286" i="19"/>
  <c r="M288" i="19"/>
  <c r="M343" i="20"/>
  <c r="M291" i="19"/>
  <c r="M293" i="19"/>
  <c r="M287" i="19"/>
  <c r="M290" i="19"/>
  <c r="M243" i="19" l="1"/>
  <c r="M104" i="140" s="1"/>
  <c r="M262" i="21"/>
  <c r="V4" i="105"/>
  <c r="M114" i="140" l="1"/>
  <c r="M117" i="140"/>
  <c r="M127" i="140" s="1"/>
  <c r="M253" i="19"/>
  <c r="M285" i="19"/>
  <c r="M295" i="19" s="1"/>
  <c r="M274" i="19" s="1"/>
  <c r="M152" i="140" s="1"/>
  <c r="M279" i="19"/>
  <c r="M157" i="140" s="1"/>
  <c r="C2" i="4"/>
  <c r="M128" i="140" l="1"/>
  <c r="M260" i="19"/>
  <c r="M269" i="19"/>
  <c r="M147" i="140" s="1"/>
  <c r="M226" i="140" s="1"/>
  <c r="M267" i="19"/>
  <c r="M145" i="140" s="1"/>
  <c r="M224" i="140" s="1"/>
  <c r="M275" i="19"/>
  <c r="M153" i="140" s="1"/>
  <c r="M278" i="19"/>
  <c r="M156" i="140" s="1"/>
  <c r="M282" i="19"/>
  <c r="M160" i="140" s="1"/>
  <c r="M280" i="19"/>
  <c r="M158" i="140" s="1"/>
  <c r="M277" i="19"/>
  <c r="M155" i="140" s="1"/>
  <c r="M273" i="19"/>
  <c r="M151" i="140" s="1"/>
  <c r="M281" i="19"/>
  <c r="M159" i="140" s="1"/>
  <c r="M276" i="19"/>
  <c r="M154" i="140" s="1"/>
  <c r="M261" i="19"/>
  <c r="M264" i="19"/>
  <c r="M263" i="19"/>
  <c r="M262" i="19"/>
  <c r="M266" i="19"/>
  <c r="M265" i="19"/>
  <c r="M268" i="19"/>
  <c r="M172" i="140" l="1"/>
  <c r="M211" i="140"/>
  <c r="M174" i="140"/>
  <c r="M213" i="140"/>
  <c r="M198" i="140"/>
  <c r="M185" i="140"/>
  <c r="M200" i="140"/>
  <c r="M187" i="140"/>
  <c r="M161" i="140"/>
  <c r="M354" i="20"/>
  <c r="M367" i="20" s="1"/>
  <c r="M144" i="140"/>
  <c r="M223" i="140" s="1"/>
  <c r="M350" i="20"/>
  <c r="M363" i="20" s="1"/>
  <c r="M140" i="140"/>
  <c r="M219" i="140" s="1"/>
  <c r="M351" i="20"/>
  <c r="M364" i="20" s="1"/>
  <c r="M383" i="34" s="1"/>
  <c r="M141" i="140"/>
  <c r="M220" i="140" s="1"/>
  <c r="M352" i="20"/>
  <c r="M365" i="20" s="1"/>
  <c r="M142" i="140"/>
  <c r="M221" i="140" s="1"/>
  <c r="M349" i="20"/>
  <c r="M362" i="20" s="1"/>
  <c r="M381" i="34" s="1"/>
  <c r="M139" i="140"/>
  <c r="M218" i="140" s="1"/>
  <c r="M356" i="20"/>
  <c r="M146" i="140"/>
  <c r="M225" i="140" s="1"/>
  <c r="M353" i="20"/>
  <c r="M366" i="20" s="1"/>
  <c r="M143" i="140"/>
  <c r="M222" i="140" s="1"/>
  <c r="M348" i="20"/>
  <c r="M361" i="20" s="1"/>
  <c r="M138" i="140"/>
  <c r="M217" i="140" s="1"/>
  <c r="M355" i="20"/>
  <c r="M368" i="20" s="1"/>
  <c r="M777" i="34" s="1"/>
  <c r="M357" i="20"/>
  <c r="M370" i="20" s="1"/>
  <c r="M383" i="20" s="1"/>
  <c r="M369" i="20"/>
  <c r="M283" i="19"/>
  <c r="M270" i="19"/>
  <c r="K69" i="37"/>
  <c r="K70" i="37" s="1"/>
  <c r="H41" i="14"/>
  <c r="I41" i="14" s="1"/>
  <c r="M642" i="35" l="1"/>
  <c r="M48" i="146"/>
  <c r="M644" i="35"/>
  <c r="M50" i="146"/>
  <c r="M1462" i="35"/>
  <c r="M54" i="147"/>
  <c r="M227" i="140"/>
  <c r="M170" i="140"/>
  <c r="M209" i="140"/>
  <c r="M168" i="140"/>
  <c r="M207" i="140"/>
  <c r="M173" i="140"/>
  <c r="M212" i="140"/>
  <c r="M167" i="140"/>
  <c r="M206" i="140"/>
  <c r="M166" i="140"/>
  <c r="M205" i="140"/>
  <c r="M171" i="140"/>
  <c r="M210" i="140"/>
  <c r="M165" i="140"/>
  <c r="M204" i="140"/>
  <c r="M169" i="140"/>
  <c r="M208" i="140"/>
  <c r="M193" i="140"/>
  <c r="M180" i="140"/>
  <c r="M192" i="140"/>
  <c r="M179" i="140"/>
  <c r="M197" i="140"/>
  <c r="M184" i="140"/>
  <c r="M191" i="140"/>
  <c r="M178" i="140"/>
  <c r="M195" i="140"/>
  <c r="M182" i="140"/>
  <c r="M196" i="140"/>
  <c r="M183" i="140"/>
  <c r="M194" i="140"/>
  <c r="M181" i="140"/>
  <c r="M199" i="140"/>
  <c r="M186" i="140"/>
  <c r="M148" i="140"/>
  <c r="M582" i="34"/>
  <c r="M387" i="34"/>
  <c r="M972" i="34"/>
  <c r="M1167" i="34"/>
  <c r="M192" i="34"/>
  <c r="M584" i="34"/>
  <c r="M389" i="34"/>
  <c r="M779" i="34"/>
  <c r="M180" i="20"/>
  <c r="N153" i="20" s="1"/>
  <c r="N70" i="140" s="1"/>
  <c r="M226" i="30"/>
  <c r="M182" i="20"/>
  <c r="N155" i="20" s="1"/>
  <c r="N72" i="140" s="1"/>
  <c r="M194" i="34"/>
  <c r="M381" i="20"/>
  <c r="M974" i="34"/>
  <c r="M224" i="30"/>
  <c r="M1169" i="34"/>
  <c r="M1164" i="34"/>
  <c r="M384" i="34"/>
  <c r="M1166" i="34"/>
  <c r="M386" i="34"/>
  <c r="M1162" i="34"/>
  <c r="M382" i="34"/>
  <c r="M385" i="34"/>
  <c r="M1160" i="34"/>
  <c r="M380" i="34"/>
  <c r="M47" i="146" s="1"/>
  <c r="M973" i="34"/>
  <c r="M388" i="34"/>
  <c r="M580" i="34"/>
  <c r="M1161" i="34"/>
  <c r="M1163" i="34"/>
  <c r="M377" i="20"/>
  <c r="M778" i="34"/>
  <c r="M358" i="20"/>
  <c r="M375" i="20"/>
  <c r="M175" i="20"/>
  <c r="N148" i="20" s="1"/>
  <c r="N65" i="140" s="1"/>
  <c r="M187" i="34"/>
  <c r="M179" i="20"/>
  <c r="N152" i="20" s="1"/>
  <c r="N69" i="140" s="1"/>
  <c r="M174" i="20"/>
  <c r="N147" i="20" s="1"/>
  <c r="N64" i="140" s="1"/>
  <c r="M218" i="30"/>
  <c r="M583" i="34"/>
  <c r="M188" i="34"/>
  <c r="M376" i="20"/>
  <c r="M578" i="34"/>
  <c r="M576" i="34"/>
  <c r="M219" i="30"/>
  <c r="M186" i="34"/>
  <c r="M966" i="34"/>
  <c r="M968" i="34"/>
  <c r="M223" i="30"/>
  <c r="M579" i="34"/>
  <c r="M967" i="34"/>
  <c r="M220" i="30"/>
  <c r="M772" i="34"/>
  <c r="M189" i="34"/>
  <c r="M971" i="34"/>
  <c r="M379" i="20"/>
  <c r="M382" i="20"/>
  <c r="M380" i="20"/>
  <c r="M178" i="20"/>
  <c r="N151" i="20" s="1"/>
  <c r="N68" i="140" s="1"/>
  <c r="M181" i="20"/>
  <c r="N154" i="20" s="1"/>
  <c r="N71" i="140" s="1"/>
  <c r="M221" i="30"/>
  <c r="M771" i="34"/>
  <c r="M776" i="34"/>
  <c r="M581" i="34"/>
  <c r="M176" i="20"/>
  <c r="N149" i="20" s="1"/>
  <c r="N66" i="140" s="1"/>
  <c r="M774" i="34"/>
  <c r="M970" i="34"/>
  <c r="M969" i="34"/>
  <c r="M190" i="34"/>
  <c r="M193" i="34"/>
  <c r="M378" i="20"/>
  <c r="M775" i="34"/>
  <c r="M1165" i="34"/>
  <c r="M1168" i="34"/>
  <c r="M577" i="34"/>
  <c r="M191" i="34"/>
  <c r="M222" i="30"/>
  <c r="M225" i="30"/>
  <c r="M177" i="20"/>
  <c r="N150" i="20" s="1"/>
  <c r="N67" i="140" s="1"/>
  <c r="M773" i="34"/>
  <c r="M770" i="34"/>
  <c r="M965" i="34"/>
  <c r="M47" i="148" s="1"/>
  <c r="M371" i="20"/>
  <c r="M217" i="30"/>
  <c r="M185" i="34"/>
  <c r="M47" i="145" s="1"/>
  <c r="M575" i="34"/>
  <c r="M47" i="149" s="1"/>
  <c r="M173" i="20"/>
  <c r="M374" i="20"/>
  <c r="K245" i="110"/>
  <c r="K299" i="111" s="1"/>
  <c r="D200" i="37"/>
  <c r="D199" i="37"/>
  <c r="D198" i="37"/>
  <c r="M1475" i="35" l="1"/>
  <c r="M68" i="147"/>
  <c r="M657" i="35"/>
  <c r="M671" i="35" s="1"/>
  <c r="M64" i="146"/>
  <c r="M655" i="35"/>
  <c r="M682" i="35" s="1"/>
  <c r="M62" i="146"/>
  <c r="M1458" i="35"/>
  <c r="M50" i="147"/>
  <c r="M2274" i="35"/>
  <c r="M52" i="150"/>
  <c r="M1459" i="35"/>
  <c r="M51" i="147"/>
  <c r="M238" i="35"/>
  <c r="M51" i="145"/>
  <c r="M1051" i="35"/>
  <c r="M50" i="149"/>
  <c r="M1863" i="35"/>
  <c r="M48" i="148"/>
  <c r="M237" i="35"/>
  <c r="M50" i="145"/>
  <c r="M650" i="35"/>
  <c r="M56" i="146"/>
  <c r="M1054" i="35"/>
  <c r="M53" i="149"/>
  <c r="M645" i="35"/>
  <c r="M51" i="146"/>
  <c r="M1871" i="35"/>
  <c r="M56" i="148"/>
  <c r="M1057" i="35"/>
  <c r="M56" i="149"/>
  <c r="M1461" i="35"/>
  <c r="M53" i="147"/>
  <c r="M1463" i="35"/>
  <c r="M55" i="147"/>
  <c r="M646" i="35"/>
  <c r="M52" i="146"/>
  <c r="M2273" i="35"/>
  <c r="M51" i="150"/>
  <c r="M241" i="35"/>
  <c r="M54" i="145"/>
  <c r="M1056" i="35"/>
  <c r="M55" i="149"/>
  <c r="M242" i="35"/>
  <c r="M55" i="145"/>
  <c r="M240" i="35"/>
  <c r="M53" i="145"/>
  <c r="M239" i="35"/>
  <c r="M52" i="145"/>
  <c r="M1456" i="35"/>
  <c r="M48" i="147"/>
  <c r="M1864" i="35"/>
  <c r="M49" i="148"/>
  <c r="M2276" i="35"/>
  <c r="M54" i="150"/>
  <c r="M235" i="35"/>
  <c r="M48" i="145"/>
  <c r="M1050" i="35"/>
  <c r="M49" i="149"/>
  <c r="M1866" i="35"/>
  <c r="M51" i="148"/>
  <c r="M1868" i="35"/>
  <c r="M53" i="148"/>
  <c r="M1052" i="35"/>
  <c r="M51" i="149"/>
  <c r="M2272" i="35"/>
  <c r="M50" i="150"/>
  <c r="M649" i="35"/>
  <c r="M55" i="146"/>
  <c r="M643" i="35"/>
  <c r="M49" i="146"/>
  <c r="M1455" i="35"/>
  <c r="M47" i="147"/>
  <c r="M2277" i="35"/>
  <c r="M55" i="150"/>
  <c r="M1867" i="35"/>
  <c r="M52" i="148"/>
  <c r="M1049" i="35"/>
  <c r="M48" i="149"/>
  <c r="M236" i="35"/>
  <c r="M49" i="145"/>
  <c r="M1870" i="35"/>
  <c r="M55" i="148"/>
  <c r="M2271" i="35"/>
  <c r="M49" i="150"/>
  <c r="M243" i="35"/>
  <c r="M56" i="145"/>
  <c r="M1869" i="35"/>
  <c r="M54" i="148"/>
  <c r="M647" i="35"/>
  <c r="M53" i="146"/>
  <c r="M1464" i="35"/>
  <c r="M56" i="147"/>
  <c r="M648" i="35"/>
  <c r="M54" i="146"/>
  <c r="M2270" i="35"/>
  <c r="M48" i="150"/>
  <c r="M1460" i="35"/>
  <c r="M52" i="147"/>
  <c r="M1457" i="35"/>
  <c r="M49" i="147"/>
  <c r="M1865" i="35"/>
  <c r="M50" i="148"/>
  <c r="M1053" i="35"/>
  <c r="M52" i="149"/>
  <c r="M2269" i="35"/>
  <c r="M47" i="150"/>
  <c r="M2275" i="35"/>
  <c r="M53" i="150"/>
  <c r="M2278" i="35"/>
  <c r="M56" i="150"/>
  <c r="M1055" i="35"/>
  <c r="M54" i="149"/>
  <c r="M50" i="143"/>
  <c r="M52" i="143"/>
  <c r="M54" i="143"/>
  <c r="M53" i="143"/>
  <c r="M55" i="143"/>
  <c r="M48" i="143"/>
  <c r="M49" i="143"/>
  <c r="M56" i="143"/>
  <c r="M51" i="143"/>
  <c r="M57" i="143"/>
  <c r="M234" i="31"/>
  <c r="M68" i="143" s="1"/>
  <c r="M230" i="31"/>
  <c r="M64" i="143" s="1"/>
  <c r="M231" i="31"/>
  <c r="M65" i="143" s="1"/>
  <c r="M233" i="31"/>
  <c r="M67" i="143" s="1"/>
  <c r="M235" i="31"/>
  <c r="M69" i="143" s="1"/>
  <c r="M236" i="31"/>
  <c r="M70" i="143" s="1"/>
  <c r="M237" i="31"/>
  <c r="M71" i="143" s="1"/>
  <c r="M232" i="31"/>
  <c r="M66" i="143" s="1"/>
  <c r="M238" i="31"/>
  <c r="M72" i="143" s="1"/>
  <c r="M175" i="140"/>
  <c r="M214" i="140"/>
  <c r="M201" i="140"/>
  <c r="M188" i="140"/>
  <c r="N167" i="20"/>
  <c r="N169" i="20"/>
  <c r="N161" i="20"/>
  <c r="N166" i="20"/>
  <c r="N162" i="20"/>
  <c r="N168" i="20"/>
  <c r="N164" i="20"/>
  <c r="N163" i="20"/>
  <c r="N165" i="20"/>
  <c r="M390" i="34"/>
  <c r="M641" i="35"/>
  <c r="M61" i="146" s="1"/>
  <c r="M384" i="20"/>
  <c r="M1170" i="34"/>
  <c r="M780" i="34"/>
  <c r="M1862" i="35"/>
  <c r="M61" i="148" s="1"/>
  <c r="M975" i="34"/>
  <c r="M585" i="34"/>
  <c r="M1048" i="35"/>
  <c r="M61" i="149" s="1"/>
  <c r="M234" i="35"/>
  <c r="M61" i="145" s="1"/>
  <c r="M195" i="34"/>
  <c r="M229" i="31"/>
  <c r="M63" i="143" s="1"/>
  <c r="M227" i="30"/>
  <c r="M183" i="20"/>
  <c r="N146" i="20"/>
  <c r="N63" i="140" s="1"/>
  <c r="D201" i="37"/>
  <c r="D202" i="37"/>
  <c r="N238" i="20" l="1"/>
  <c r="M78" i="146"/>
  <c r="M2291" i="35"/>
  <c r="M70" i="150"/>
  <c r="M1878" i="35"/>
  <c r="M1892" i="35" s="1"/>
  <c r="M64" i="148"/>
  <c r="M661" i="35"/>
  <c r="M675" i="35" s="1"/>
  <c r="M68" i="146"/>
  <c r="M256" i="35"/>
  <c r="M270" i="35" s="1"/>
  <c r="M70" i="145"/>
  <c r="M1062" i="35"/>
  <c r="M1076" i="35" s="1"/>
  <c r="M62" i="149"/>
  <c r="M656" i="35"/>
  <c r="M670" i="35" s="1"/>
  <c r="M63" i="146"/>
  <c r="M1881" i="35"/>
  <c r="M1895" i="35" s="1"/>
  <c r="M67" i="148"/>
  <c r="M2289" i="35"/>
  <c r="M2303" i="35" s="1"/>
  <c r="M68" i="150"/>
  <c r="M253" i="35"/>
  <c r="M267" i="35" s="1"/>
  <c r="M67" i="145"/>
  <c r="M2286" i="35"/>
  <c r="M2300" i="35" s="1"/>
  <c r="M65" i="150"/>
  <c r="M1070" i="35"/>
  <c r="M70" i="149"/>
  <c r="M663" i="35"/>
  <c r="M677" i="35" s="1"/>
  <c r="M70" i="146"/>
  <c r="M251" i="35"/>
  <c r="M265" i="35" s="1"/>
  <c r="M65" i="145"/>
  <c r="M669" i="35"/>
  <c r="M1489" i="35"/>
  <c r="M2288" i="35"/>
  <c r="M67" i="150"/>
  <c r="M1470" i="35"/>
  <c r="M63" i="147"/>
  <c r="M1477" i="35"/>
  <c r="M1491" i="35" s="1"/>
  <c r="M70" i="147"/>
  <c r="M2284" i="35"/>
  <c r="M2298" i="35" s="1"/>
  <c r="M63" i="150"/>
  <c r="M1880" i="35"/>
  <c r="M1894" i="35" s="1"/>
  <c r="M66" i="148"/>
  <c r="M662" i="35"/>
  <c r="M676" i="35" s="1"/>
  <c r="M69" i="146"/>
  <c r="M1879" i="35"/>
  <c r="M65" i="148"/>
  <c r="M1877" i="35"/>
  <c r="M63" i="148"/>
  <c r="M255" i="35"/>
  <c r="M269" i="35" s="1"/>
  <c r="M69" i="145"/>
  <c r="M659" i="35"/>
  <c r="M673" i="35" s="1"/>
  <c r="M66" i="146"/>
  <c r="M1884" i="35"/>
  <c r="M70" i="148"/>
  <c r="M250" i="35"/>
  <c r="M264" i="35" s="1"/>
  <c r="M64" i="145"/>
  <c r="M1472" i="35"/>
  <c r="M65" i="147"/>
  <c r="M2282" i="35"/>
  <c r="M2296" i="35" s="1"/>
  <c r="M61" i="150"/>
  <c r="M1473" i="35"/>
  <c r="M66" i="147"/>
  <c r="M660" i="35"/>
  <c r="M674" i="35" s="1"/>
  <c r="M67" i="146"/>
  <c r="M1883" i="35"/>
  <c r="M69" i="148"/>
  <c r="M2290" i="35"/>
  <c r="M69" i="150"/>
  <c r="M2285" i="35"/>
  <c r="M2299" i="35" s="1"/>
  <c r="M64" i="150"/>
  <c r="M1063" i="35"/>
  <c r="M1077" i="35" s="1"/>
  <c r="M63" i="149"/>
  <c r="M1469" i="35"/>
  <c r="M62" i="147"/>
  <c r="M1069" i="35"/>
  <c r="M69" i="149"/>
  <c r="M1476" i="35"/>
  <c r="M69" i="147"/>
  <c r="M658" i="35"/>
  <c r="M672" i="35" s="1"/>
  <c r="M65" i="146"/>
  <c r="M1876" i="35"/>
  <c r="M1890" i="35" s="1"/>
  <c r="M62" i="148"/>
  <c r="M2287" i="35"/>
  <c r="M66" i="150"/>
  <c r="M1068" i="35"/>
  <c r="M1082" i="35" s="1"/>
  <c r="M68" i="149"/>
  <c r="M1066" i="35"/>
  <c r="M66" i="149"/>
  <c r="M2283" i="35"/>
  <c r="M2297" i="35" s="1"/>
  <c r="M62" i="150"/>
  <c r="M1882" i="35"/>
  <c r="M68" i="148"/>
  <c r="M249" i="35"/>
  <c r="M263" i="35" s="1"/>
  <c r="M63" i="145"/>
  <c r="M1468" i="35"/>
  <c r="M61" i="147"/>
  <c r="M1065" i="35"/>
  <c r="M1079" i="35" s="1"/>
  <c r="M65" i="149"/>
  <c r="M248" i="35"/>
  <c r="M262" i="35" s="1"/>
  <c r="M62" i="145"/>
  <c r="M252" i="35"/>
  <c r="M266" i="35" s="1"/>
  <c r="M66" i="145"/>
  <c r="M254" i="35"/>
  <c r="M268" i="35" s="1"/>
  <c r="M68" i="145"/>
  <c r="M1474" i="35"/>
  <c r="M67" i="147"/>
  <c r="M1067" i="35"/>
  <c r="M67" i="149"/>
  <c r="M1064" i="35"/>
  <c r="M64" i="149"/>
  <c r="M1471" i="35"/>
  <c r="M64" i="147"/>
  <c r="M1465" i="35"/>
  <c r="M57" i="146"/>
  <c r="M2279" i="35"/>
  <c r="M57" i="145"/>
  <c r="M57" i="148"/>
  <c r="M57" i="149"/>
  <c r="M57" i="150"/>
  <c r="M57" i="147"/>
  <c r="M243" i="31"/>
  <c r="M256" i="31" s="1"/>
  <c r="M58" i="143"/>
  <c r="M245" i="31"/>
  <c r="M249" i="31"/>
  <c r="M248" i="31"/>
  <c r="M246" i="31"/>
  <c r="M251" i="31"/>
  <c r="M264" i="31" s="1"/>
  <c r="M247" i="31"/>
  <c r="M260" i="31" s="1"/>
  <c r="M244" i="31"/>
  <c r="M250" i="31"/>
  <c r="M73" i="143"/>
  <c r="M75" i="143" s="1"/>
  <c r="N73" i="140"/>
  <c r="M651" i="35"/>
  <c r="M654" i="35"/>
  <c r="M1872" i="35"/>
  <c r="M1875" i="35"/>
  <c r="N156" i="20"/>
  <c r="N160" i="20"/>
  <c r="M244" i="35"/>
  <c r="M247" i="35"/>
  <c r="M239" i="31"/>
  <c r="M242" i="31"/>
  <c r="M1058" i="35"/>
  <c r="M1061" i="35"/>
  <c r="M1906" i="35" l="1"/>
  <c r="M81" i="148" s="1"/>
  <c r="M1499" i="35"/>
  <c r="M81" i="147" s="1"/>
  <c r="M2305" i="35"/>
  <c r="M2302" i="35"/>
  <c r="M1891" i="35"/>
  <c r="M1897" i="35"/>
  <c r="M1898" i="35"/>
  <c r="M2292" i="35"/>
  <c r="M2315" i="35" s="1"/>
  <c r="M83" i="150" s="1"/>
  <c r="M1486" i="35"/>
  <c r="M1478" i="35"/>
  <c r="M1502" i="35" s="1"/>
  <c r="M84" i="147" s="1"/>
  <c r="M71" i="148"/>
  <c r="M73" i="148" s="1"/>
  <c r="M1078" i="35"/>
  <c r="M2304" i="35"/>
  <c r="M1080" i="35"/>
  <c r="M685" i="35"/>
  <c r="M1482" i="35"/>
  <c r="M71" i="149"/>
  <c r="M73" i="149" s="1"/>
  <c r="M71" i="146"/>
  <c r="M73" i="146" s="1"/>
  <c r="M71" i="145"/>
  <c r="M73" i="145" s="1"/>
  <c r="M2301" i="35"/>
  <c r="M1484" i="35"/>
  <c r="M1487" i="35"/>
  <c r="M1893" i="35"/>
  <c r="M1485" i="35"/>
  <c r="M71" i="147"/>
  <c r="M73" i="147" s="1"/>
  <c r="M1896" i="35"/>
  <c r="M1483" i="35"/>
  <c r="M1084" i="35"/>
  <c r="M1083" i="35"/>
  <c r="M1490" i="35"/>
  <c r="M1488" i="35"/>
  <c r="M71" i="150"/>
  <c r="M73" i="150" s="1"/>
  <c r="M1081" i="35"/>
  <c r="M269" i="31"/>
  <c r="M272" i="31"/>
  <c r="M262" i="31"/>
  <c r="M259" i="31"/>
  <c r="M261" i="31"/>
  <c r="M258" i="31"/>
  <c r="M263" i="31"/>
  <c r="M257" i="31"/>
  <c r="M664" i="35"/>
  <c r="M681" i="35" s="1"/>
  <c r="M668" i="35"/>
  <c r="M678" i="35" s="1"/>
  <c r="M694" i="35" s="1"/>
  <c r="M90" i="146" s="1"/>
  <c r="M1885" i="35"/>
  <c r="M1910" i="35" s="1"/>
  <c r="M85" i="148" s="1"/>
  <c r="M1889" i="35"/>
  <c r="M257" i="35"/>
  <c r="M261" i="35"/>
  <c r="M271" i="35" s="1"/>
  <c r="M291" i="35" s="1"/>
  <c r="M94" i="145" s="1"/>
  <c r="N170" i="20"/>
  <c r="M1071" i="35"/>
  <c r="M1091" i="35" s="1"/>
  <c r="M80" i="149" s="1"/>
  <c r="M1075" i="35"/>
  <c r="M252" i="31"/>
  <c r="M268" i="31" s="1"/>
  <c r="M255" i="31"/>
  <c r="M1911" i="35" l="1"/>
  <c r="M86" i="148" s="1"/>
  <c r="M1495" i="35"/>
  <c r="M77" i="147" s="1"/>
  <c r="M1904" i="35"/>
  <c r="M79" i="148" s="1"/>
  <c r="M1496" i="35"/>
  <c r="M78" i="147" s="1"/>
  <c r="M1497" i="35"/>
  <c r="M79" i="147" s="1"/>
  <c r="M1501" i="35"/>
  <c r="M83" i="147" s="1"/>
  <c r="M1503" i="35"/>
  <c r="M85" i="147" s="1"/>
  <c r="M1498" i="35"/>
  <c r="M80" i="147" s="1"/>
  <c r="M1089" i="35"/>
  <c r="M78" i="149" s="1"/>
  <c r="M1905" i="35"/>
  <c r="M80" i="148" s="1"/>
  <c r="M1504" i="35"/>
  <c r="M86" i="147" s="1"/>
  <c r="M1095" i="35"/>
  <c r="M84" i="149" s="1"/>
  <c r="M1500" i="35"/>
  <c r="M82" i="147" s="1"/>
  <c r="M1096" i="35"/>
  <c r="M85" i="149" s="1"/>
  <c r="M1903" i="35"/>
  <c r="M78" i="148" s="1"/>
  <c r="M1097" i="35"/>
  <c r="M86" i="149" s="1"/>
  <c r="M1092" i="35"/>
  <c r="M81" i="149" s="1"/>
  <c r="M1907" i="35"/>
  <c r="M82" i="148" s="1"/>
  <c r="M1094" i="35"/>
  <c r="M83" i="149" s="1"/>
  <c r="M1908" i="35"/>
  <c r="M83" i="148" s="1"/>
  <c r="M1093" i="35"/>
  <c r="M82" i="149" s="1"/>
  <c r="M1090" i="35"/>
  <c r="M79" i="149" s="1"/>
  <c r="M1909" i="35"/>
  <c r="M84" i="148" s="1"/>
  <c r="N241" i="20"/>
  <c r="M81" i="146"/>
  <c r="N237" i="20"/>
  <c r="M77" i="146"/>
  <c r="M2309" i="35"/>
  <c r="M77" i="150" s="1"/>
  <c r="M2306" i="35"/>
  <c r="M2326" i="35" s="1"/>
  <c r="M1492" i="35"/>
  <c r="M1512" i="35" s="1"/>
  <c r="M94" i="147" s="1"/>
  <c r="M1085" i="35"/>
  <c r="M1101" i="35" s="1"/>
  <c r="M1899" i="35"/>
  <c r="N221" i="20"/>
  <c r="M83" i="143"/>
  <c r="M112" i="143" s="1"/>
  <c r="N217" i="20"/>
  <c r="M79" i="143"/>
  <c r="M108" i="143" s="1"/>
  <c r="N218" i="20"/>
  <c r="M80" i="143"/>
  <c r="M109" i="143" s="1"/>
  <c r="M265" i="31"/>
  <c r="M284" i="31" s="1"/>
  <c r="M96" i="143" s="1"/>
  <c r="M702" i="35"/>
  <c r="M98" i="146" s="1"/>
  <c r="M700" i="35"/>
  <c r="M96" i="146" s="1"/>
  <c r="M696" i="35"/>
  <c r="M92" i="146" s="1"/>
  <c r="M703" i="35"/>
  <c r="M99" i="146" s="1"/>
  <c r="M698" i="35"/>
  <c r="M94" i="146" s="1"/>
  <c r="M699" i="35"/>
  <c r="M95" i="146" s="1"/>
  <c r="M695" i="35"/>
  <c r="M91" i="146" s="1"/>
  <c r="M697" i="35"/>
  <c r="M93" i="146" s="1"/>
  <c r="M701" i="35"/>
  <c r="M97" i="146" s="1"/>
  <c r="M688" i="35"/>
  <c r="M690" i="35"/>
  <c r="M684" i="35"/>
  <c r="M687" i="35"/>
  <c r="M686" i="35"/>
  <c r="M689" i="35"/>
  <c r="M683" i="35"/>
  <c r="M274" i="35"/>
  <c r="M275" i="35"/>
  <c r="M281" i="35"/>
  <c r="M283" i="35"/>
  <c r="M278" i="35"/>
  <c r="M282" i="35"/>
  <c r="M276" i="35"/>
  <c r="M277" i="35"/>
  <c r="M280" i="35"/>
  <c r="M279" i="35"/>
  <c r="M294" i="35"/>
  <c r="M97" i="145" s="1"/>
  <c r="M292" i="35"/>
  <c r="M95" i="145" s="1"/>
  <c r="M290" i="35"/>
  <c r="M93" i="145" s="1"/>
  <c r="M293" i="35"/>
  <c r="M96" i="145" s="1"/>
  <c r="M295" i="35"/>
  <c r="M98" i="145" s="1"/>
  <c r="M289" i="35"/>
  <c r="M92" i="145" s="1"/>
  <c r="M296" i="35"/>
  <c r="M99" i="145" s="1"/>
  <c r="M1902" i="35"/>
  <c r="M288" i="35"/>
  <c r="M91" i="145" s="1"/>
  <c r="M287" i="35"/>
  <c r="M90" i="145" s="1"/>
  <c r="M277" i="31"/>
  <c r="M275" i="31"/>
  <c r="M274" i="31"/>
  <c r="M273" i="31"/>
  <c r="M276" i="31"/>
  <c r="M270" i="31"/>
  <c r="M271" i="31"/>
  <c r="M1088" i="35"/>
  <c r="K83" i="37"/>
  <c r="K84" i="37"/>
  <c r="K85" i="37"/>
  <c r="K82" i="37"/>
  <c r="K78" i="37"/>
  <c r="M1918" i="35" l="1"/>
  <c r="M93" i="148" s="1"/>
  <c r="M1924" i="35"/>
  <c r="M99" i="148" s="1"/>
  <c r="M1919" i="35"/>
  <c r="M94" i="148" s="1"/>
  <c r="M1922" i="35"/>
  <c r="M97" i="148" s="1"/>
  <c r="M1915" i="35"/>
  <c r="M1916" i="35"/>
  <c r="M91" i="148" s="1"/>
  <c r="M1920" i="35"/>
  <c r="M95" i="148" s="1"/>
  <c r="M1921" i="35"/>
  <c r="M96" i="148" s="1"/>
  <c r="M1917" i="35"/>
  <c r="M92" i="148" s="1"/>
  <c r="M1923" i="35"/>
  <c r="M98" i="148" s="1"/>
  <c r="M1516" i="35"/>
  <c r="M98" i="147" s="1"/>
  <c r="M1511" i="35"/>
  <c r="M93" i="147" s="1"/>
  <c r="M1514" i="35"/>
  <c r="M96" i="147" s="1"/>
  <c r="M1509" i="35"/>
  <c r="M91" i="147" s="1"/>
  <c r="M1517" i="35"/>
  <c r="M99" i="147" s="1"/>
  <c r="M1513" i="35"/>
  <c r="M95" i="147" s="1"/>
  <c r="M1515" i="35"/>
  <c r="M97" i="147" s="1"/>
  <c r="M1508" i="35"/>
  <c r="M1510" i="35"/>
  <c r="M92" i="147" s="1"/>
  <c r="M90" i="149"/>
  <c r="M1104" i="35"/>
  <c r="M93" i="149" s="1"/>
  <c r="M1103" i="35"/>
  <c r="M92" i="149" s="1"/>
  <c r="M1110" i="35"/>
  <c r="M99" i="149" s="1"/>
  <c r="M1107" i="35"/>
  <c r="M96" i="149" s="1"/>
  <c r="M1105" i="35"/>
  <c r="M94" i="149" s="1"/>
  <c r="M1106" i="35"/>
  <c r="M95" i="149" s="1"/>
  <c r="M1108" i="35"/>
  <c r="M97" i="149" s="1"/>
  <c r="M1102" i="35"/>
  <c r="M91" i="149" s="1"/>
  <c r="M1109" i="35"/>
  <c r="M98" i="149" s="1"/>
  <c r="M287" i="31"/>
  <c r="M99" i="143" s="1"/>
  <c r="M289" i="31"/>
  <c r="M101" i="143" s="1"/>
  <c r="M87" i="147"/>
  <c r="M100" i="146"/>
  <c r="M100" i="145"/>
  <c r="M1505" i="35"/>
  <c r="M2313" i="35"/>
  <c r="M81" i="150" s="1"/>
  <c r="M94" i="150"/>
  <c r="N235" i="20"/>
  <c r="M85" i="145"/>
  <c r="N242" i="20"/>
  <c r="M82" i="146"/>
  <c r="N231" i="20"/>
  <c r="N295" i="20" s="1"/>
  <c r="N308" i="20" s="1"/>
  <c r="N80" i="140" s="1"/>
  <c r="M81" i="145"/>
  <c r="N243" i="20"/>
  <c r="M83" i="146"/>
  <c r="N236" i="20"/>
  <c r="M86" i="145"/>
  <c r="N240" i="20"/>
  <c r="M80" i="146"/>
  <c r="M1912" i="35"/>
  <c r="M77" i="148"/>
  <c r="M87" i="148" s="1"/>
  <c r="N234" i="20"/>
  <c r="M84" i="145"/>
  <c r="N246" i="20"/>
  <c r="M86" i="146"/>
  <c r="N232" i="20"/>
  <c r="M82" i="145"/>
  <c r="N228" i="20"/>
  <c r="N292" i="20" s="1"/>
  <c r="N305" i="20" s="1"/>
  <c r="N77" i="140" s="1"/>
  <c r="M78" i="145"/>
  <c r="N244" i="20"/>
  <c r="M84" i="146"/>
  <c r="N233" i="20"/>
  <c r="M83" i="145"/>
  <c r="N227" i="20"/>
  <c r="N291" i="20" s="1"/>
  <c r="M77" i="145"/>
  <c r="N230" i="20"/>
  <c r="M80" i="145"/>
  <c r="N239" i="20"/>
  <c r="M79" i="146"/>
  <c r="M1098" i="35"/>
  <c r="M77" i="149"/>
  <c r="M87" i="149" s="1"/>
  <c r="N229" i="20"/>
  <c r="M79" i="145"/>
  <c r="N245" i="20"/>
  <c r="M85" i="146"/>
  <c r="M2327" i="35"/>
  <c r="M2324" i="35"/>
  <c r="M2325" i="35"/>
  <c r="M2322" i="35"/>
  <c r="M90" i="150" s="1"/>
  <c r="M2323" i="35"/>
  <c r="M2328" i="35"/>
  <c r="M96" i="150" s="1"/>
  <c r="M2329" i="35"/>
  <c r="M2330" i="35"/>
  <c r="M2331" i="35"/>
  <c r="M161" i="143"/>
  <c r="M148" i="143"/>
  <c r="M160" i="143"/>
  <c r="M147" i="143"/>
  <c r="M164" i="143"/>
  <c r="M151" i="143"/>
  <c r="M122" i="143"/>
  <c r="M135" i="143"/>
  <c r="M121" i="143"/>
  <c r="M134" i="143"/>
  <c r="M125" i="143"/>
  <c r="M138" i="143"/>
  <c r="M286" i="31"/>
  <c r="M98" i="143" s="1"/>
  <c r="M283" i="31"/>
  <c r="M95" i="143" s="1"/>
  <c r="M281" i="31"/>
  <c r="M93" i="143" s="1"/>
  <c r="M282" i="31"/>
  <c r="M94" i="143" s="1"/>
  <c r="M288" i="31"/>
  <c r="M100" i="143" s="1"/>
  <c r="M285" i="31"/>
  <c r="M97" i="143" s="1"/>
  <c r="M290" i="31"/>
  <c r="N224" i="20"/>
  <c r="M86" i="143"/>
  <c r="M115" i="143" s="1"/>
  <c r="N226" i="20"/>
  <c r="M88" i="143"/>
  <c r="M117" i="143" s="1"/>
  <c r="N220" i="20"/>
  <c r="M82" i="143"/>
  <c r="M111" i="143" s="1"/>
  <c r="N219" i="20"/>
  <c r="M81" i="143"/>
  <c r="N225" i="20"/>
  <c r="M87" i="143"/>
  <c r="M116" i="143" s="1"/>
  <c r="N222" i="20"/>
  <c r="M84" i="143"/>
  <c r="M113" i="143" s="1"/>
  <c r="N223" i="20"/>
  <c r="M85" i="143"/>
  <c r="M114" i="143" s="1"/>
  <c r="M704" i="35"/>
  <c r="M691" i="35"/>
  <c r="M284" i="35"/>
  <c r="M297" i="35"/>
  <c r="M278" i="31"/>
  <c r="K86" i="37"/>
  <c r="K77" i="37"/>
  <c r="K73" i="37"/>
  <c r="N296" i="20" l="1"/>
  <c r="N309" i="20" s="1"/>
  <c r="N81" i="140" s="1"/>
  <c r="N300" i="20"/>
  <c r="N313" i="20" s="1"/>
  <c r="N85" i="140" s="1"/>
  <c r="N297" i="20"/>
  <c r="N310" i="20" s="1"/>
  <c r="N82" i="140" s="1"/>
  <c r="M90" i="148"/>
  <c r="M100" i="148" s="1"/>
  <c r="M1925" i="35"/>
  <c r="M90" i="147"/>
  <c r="M100" i="147" s="1"/>
  <c r="M1518" i="35"/>
  <c r="M100" i="149"/>
  <c r="M1111" i="35"/>
  <c r="N294" i="20"/>
  <c r="N307" i="20" s="1"/>
  <c r="N79" i="140" s="1"/>
  <c r="N298" i="20"/>
  <c r="N311" i="20" s="1"/>
  <c r="N83" i="140" s="1"/>
  <c r="M2310" i="35"/>
  <c r="M78" i="150" s="1"/>
  <c r="M91" i="150"/>
  <c r="M2312" i="35"/>
  <c r="M80" i="150" s="1"/>
  <c r="M93" i="150"/>
  <c r="M2311" i="35"/>
  <c r="M79" i="150" s="1"/>
  <c r="M92" i="150"/>
  <c r="M2318" i="35"/>
  <c r="M86" i="150" s="1"/>
  <c r="M99" i="150"/>
  <c r="M2314" i="35"/>
  <c r="M82" i="150" s="1"/>
  <c r="M95" i="150"/>
  <c r="M2317" i="35"/>
  <c r="M85" i="150" s="1"/>
  <c r="M98" i="150"/>
  <c r="M2316" i="35"/>
  <c r="M84" i="150" s="1"/>
  <c r="M97" i="150"/>
  <c r="N293" i="20"/>
  <c r="N306" i="20" s="1"/>
  <c r="N78" i="140" s="1"/>
  <c r="M87" i="146"/>
  <c r="M87" i="145"/>
  <c r="M2332" i="35"/>
  <c r="M149" i="143"/>
  <c r="M110" i="143"/>
  <c r="M118" i="143" s="1"/>
  <c r="M165" i="143"/>
  <c r="M152" i="143"/>
  <c r="M169" i="143"/>
  <c r="M156" i="143"/>
  <c r="M167" i="143"/>
  <c r="M154" i="143"/>
  <c r="M168" i="143"/>
  <c r="M155" i="143"/>
  <c r="M166" i="143"/>
  <c r="M153" i="143"/>
  <c r="M163" i="143"/>
  <c r="M150" i="143"/>
  <c r="M136" i="143"/>
  <c r="M162" i="143"/>
  <c r="M129" i="143"/>
  <c r="M142" i="143"/>
  <c r="M128" i="143"/>
  <c r="M141" i="143"/>
  <c r="M130" i="143"/>
  <c r="M143" i="143"/>
  <c r="M126" i="143"/>
  <c r="M139" i="143"/>
  <c r="M127" i="143"/>
  <c r="M140" i="143"/>
  <c r="M124" i="143"/>
  <c r="M137" i="143"/>
  <c r="M123" i="143"/>
  <c r="M291" i="31"/>
  <c r="M102" i="143"/>
  <c r="M103" i="143" s="1"/>
  <c r="N287" i="20"/>
  <c r="N299" i="20"/>
  <c r="N312" i="20" s="1"/>
  <c r="N84" i="140" s="1"/>
  <c r="M89" i="143"/>
  <c r="N319" i="20"/>
  <c r="N90" i="140" s="1"/>
  <c r="N337" i="20"/>
  <c r="N322" i="20"/>
  <c r="N93" i="140" s="1"/>
  <c r="N334" i="20"/>
  <c r="N253" i="21" s="1"/>
  <c r="K79" i="37"/>
  <c r="K74" i="37"/>
  <c r="N323" i="20" l="1"/>
  <c r="N94" i="140" s="1"/>
  <c r="N338" i="20"/>
  <c r="N257" i="21" s="1"/>
  <c r="N248" i="19" s="1"/>
  <c r="N327" i="20"/>
  <c r="N98" i="140" s="1"/>
  <c r="N342" i="20"/>
  <c r="N261" i="21" s="1"/>
  <c r="N252" i="19" s="1"/>
  <c r="N339" i="20"/>
  <c r="N258" i="21" s="1"/>
  <c r="N249" i="19" s="1"/>
  <c r="N324" i="20"/>
  <c r="N95" i="140" s="1"/>
  <c r="N321" i="20"/>
  <c r="N92" i="140" s="1"/>
  <c r="N336" i="20"/>
  <c r="N255" i="21" s="1"/>
  <c r="N246" i="19" s="1"/>
  <c r="N325" i="20"/>
  <c r="N96" i="140" s="1"/>
  <c r="N340" i="20"/>
  <c r="N259" i="21" s="1"/>
  <c r="N250" i="19" s="1"/>
  <c r="N111" i="140" s="1"/>
  <c r="N124" i="140" s="1"/>
  <c r="M87" i="150"/>
  <c r="M100" i="150"/>
  <c r="M2319" i="35"/>
  <c r="N335" i="20"/>
  <c r="N254" i="21" s="1"/>
  <c r="N245" i="19" s="1"/>
  <c r="N106" i="140" s="1"/>
  <c r="N119" i="140" s="1"/>
  <c r="N320" i="20"/>
  <c r="N91" i="140" s="1"/>
  <c r="M170" i="143"/>
  <c r="M157" i="143"/>
  <c r="M144" i="143"/>
  <c r="M131" i="143"/>
  <c r="N301" i="20"/>
  <c r="N326" i="20"/>
  <c r="N97" i="140" s="1"/>
  <c r="N341" i="20"/>
  <c r="N260" i="21" s="1"/>
  <c r="N251" i="19" s="1"/>
  <c r="N256" i="21"/>
  <c r="N247" i="19" s="1"/>
  <c r="N244" i="19"/>
  <c r="N304" i="20"/>
  <c r="N76" i="140" s="1"/>
  <c r="K88" i="37"/>
  <c r="N107" i="140" l="1"/>
  <c r="N120" i="140" s="1"/>
  <c r="N288" i="19"/>
  <c r="N108" i="140"/>
  <c r="N121" i="140" s="1"/>
  <c r="N289" i="19"/>
  <c r="N113" i="140"/>
  <c r="N126" i="140" s="1"/>
  <c r="N294" i="19"/>
  <c r="N292" i="19"/>
  <c r="N333" i="20"/>
  <c r="N252" i="21" s="1"/>
  <c r="N86" i="140"/>
  <c r="N109" i="140"/>
  <c r="N122" i="140" s="1"/>
  <c r="N290" i="19"/>
  <c r="N112" i="140"/>
  <c r="N125" i="140" s="1"/>
  <c r="N293" i="19"/>
  <c r="N110" i="140"/>
  <c r="N123" i="140" s="1"/>
  <c r="N291" i="19"/>
  <c r="N105" i="140"/>
  <c r="N118" i="140" s="1"/>
  <c r="N286" i="19"/>
  <c r="N287" i="19"/>
  <c r="N318" i="20"/>
  <c r="N314" i="20"/>
  <c r="N328" i="20" l="1"/>
  <c r="N89" i="140"/>
  <c r="N99" i="140" s="1"/>
  <c r="N343" i="20"/>
  <c r="N243" i="19"/>
  <c r="N104" i="140" s="1"/>
  <c r="N262" i="21"/>
  <c r="N114" i="140" l="1"/>
  <c r="N117" i="140"/>
  <c r="N127" i="140" s="1"/>
  <c r="N253" i="19"/>
  <c r="N285" i="19"/>
  <c r="N295" i="19" s="1"/>
  <c r="N282" i="19" s="1"/>
  <c r="N160" i="140" s="1"/>
  <c r="N274" i="19"/>
  <c r="N152" i="140" s="1"/>
  <c r="N281" i="19"/>
  <c r="N159" i="140" s="1"/>
  <c r="N279" i="19"/>
  <c r="N157" i="140" s="1"/>
  <c r="D259" i="19"/>
  <c r="N128" i="140" l="1"/>
  <c r="N260" i="19"/>
  <c r="N269" i="19"/>
  <c r="N147" i="140" s="1"/>
  <c r="N226" i="140" s="1"/>
  <c r="N267" i="19"/>
  <c r="N145" i="140" s="1"/>
  <c r="N224" i="140" s="1"/>
  <c r="N275" i="19"/>
  <c r="N153" i="140" s="1"/>
  <c r="N277" i="19"/>
  <c r="N155" i="140" s="1"/>
  <c r="N280" i="19"/>
  <c r="N158" i="140" s="1"/>
  <c r="N278" i="19"/>
  <c r="N156" i="140" s="1"/>
  <c r="N276" i="19"/>
  <c r="N154" i="140" s="1"/>
  <c r="N273" i="19"/>
  <c r="N151" i="140" s="1"/>
  <c r="N261" i="19"/>
  <c r="N264" i="19"/>
  <c r="N263" i="19"/>
  <c r="N266" i="19"/>
  <c r="N265" i="19"/>
  <c r="N268" i="19"/>
  <c r="N262" i="19"/>
  <c r="H36" i="42"/>
  <c r="H31" i="42"/>
  <c r="N172" i="140" l="1"/>
  <c r="N211" i="140"/>
  <c r="N174" i="140"/>
  <c r="N213" i="140"/>
  <c r="N198" i="140"/>
  <c r="N185" i="140"/>
  <c r="N200" i="140"/>
  <c r="N187" i="140"/>
  <c r="N161" i="140"/>
  <c r="N356" i="20"/>
  <c r="N369" i="20" s="1"/>
  <c r="N388" i="34" s="1"/>
  <c r="N146" i="140"/>
  <c r="N225" i="140" s="1"/>
  <c r="N350" i="20"/>
  <c r="N363" i="20" s="1"/>
  <c r="N382" i="34" s="1"/>
  <c r="N140" i="140"/>
  <c r="N219" i="140" s="1"/>
  <c r="N354" i="20"/>
  <c r="N367" i="20" s="1"/>
  <c r="N144" i="140"/>
  <c r="N223" i="140" s="1"/>
  <c r="N353" i="20"/>
  <c r="N366" i="20" s="1"/>
  <c r="N385" i="34" s="1"/>
  <c r="N143" i="140"/>
  <c r="N222" i="140" s="1"/>
  <c r="N352" i="20"/>
  <c r="N365" i="20" s="1"/>
  <c r="N142" i="140"/>
  <c r="N221" i="140" s="1"/>
  <c r="N351" i="20"/>
  <c r="N364" i="20" s="1"/>
  <c r="N383" i="34" s="1"/>
  <c r="N141" i="140"/>
  <c r="N220" i="140" s="1"/>
  <c r="N349" i="20"/>
  <c r="N362" i="20" s="1"/>
  <c r="N139" i="140"/>
  <c r="N218" i="140" s="1"/>
  <c r="N348" i="20"/>
  <c r="N361" i="20" s="1"/>
  <c r="N138" i="140"/>
  <c r="N217" i="140" s="1"/>
  <c r="N355" i="20"/>
  <c r="N368" i="20" s="1"/>
  <c r="N387" i="34" s="1"/>
  <c r="N357" i="20"/>
  <c r="N370" i="20" s="1"/>
  <c r="N283" i="19"/>
  <c r="N270" i="19"/>
  <c r="D52" i="20"/>
  <c r="D151" i="14"/>
  <c r="C50" i="20"/>
  <c r="D130" i="14"/>
  <c r="B124" i="14" s="1"/>
  <c r="D35" i="20"/>
  <c r="C9" i="15"/>
  <c r="D30" i="20"/>
  <c r="D29" i="20"/>
  <c r="D16" i="20"/>
  <c r="D192" i="14"/>
  <c r="B6" i="15"/>
  <c r="D172" i="14"/>
  <c r="D48" i="20"/>
  <c r="C33" i="20"/>
  <c r="D49" i="20" s="1"/>
  <c r="H9" i="15"/>
  <c r="D189" i="20"/>
  <c r="D202" i="20"/>
  <c r="N646" i="35" l="1"/>
  <c r="N52" i="146"/>
  <c r="N644" i="35"/>
  <c r="N50" i="146"/>
  <c r="N643" i="35"/>
  <c r="N49" i="146"/>
  <c r="N649" i="35"/>
  <c r="N55" i="146"/>
  <c r="N648" i="35"/>
  <c r="N54" i="146"/>
  <c r="N227" i="140"/>
  <c r="N166" i="140"/>
  <c r="N205" i="140"/>
  <c r="N171" i="140"/>
  <c r="N210" i="140"/>
  <c r="N168" i="140"/>
  <c r="N207" i="140"/>
  <c r="N167" i="140"/>
  <c r="N206" i="140"/>
  <c r="N169" i="140"/>
  <c r="N208" i="140"/>
  <c r="N173" i="140"/>
  <c r="N212" i="140"/>
  <c r="N165" i="140"/>
  <c r="N204" i="140"/>
  <c r="N170" i="140"/>
  <c r="N209" i="140"/>
  <c r="N195" i="140"/>
  <c r="N182" i="140"/>
  <c r="N199" i="140"/>
  <c r="N186" i="140"/>
  <c r="N191" i="140"/>
  <c r="N178" i="140"/>
  <c r="N196" i="140"/>
  <c r="N183" i="140"/>
  <c r="N192" i="140"/>
  <c r="N179" i="140"/>
  <c r="N197" i="140"/>
  <c r="N184" i="140"/>
  <c r="N194" i="140"/>
  <c r="N181" i="140"/>
  <c r="N193" i="140"/>
  <c r="N180" i="140"/>
  <c r="N148" i="140"/>
  <c r="N182" i="20"/>
  <c r="O155" i="20" s="1"/>
  <c r="O72" i="140" s="1"/>
  <c r="N1169" i="34"/>
  <c r="N582" i="34"/>
  <c r="N777" i="34"/>
  <c r="N584" i="34"/>
  <c r="N224" i="30"/>
  <c r="N974" i="34"/>
  <c r="N192" i="34"/>
  <c r="N779" i="34"/>
  <c r="N1167" i="34"/>
  <c r="N389" i="34"/>
  <c r="N226" i="30"/>
  <c r="N972" i="34"/>
  <c r="N194" i="34"/>
  <c r="N381" i="20"/>
  <c r="N383" i="20"/>
  <c r="N180" i="20"/>
  <c r="O153" i="20" s="1"/>
  <c r="O70" i="140" s="1"/>
  <c r="N1166" i="34"/>
  <c r="N386" i="34"/>
  <c r="N1161" i="34"/>
  <c r="N381" i="34"/>
  <c r="N1164" i="34"/>
  <c r="N384" i="34"/>
  <c r="N1160" i="34"/>
  <c r="N380" i="34"/>
  <c r="N47" i="146" s="1"/>
  <c r="N358" i="20"/>
  <c r="N221" i="30"/>
  <c r="N771" i="34"/>
  <c r="N174" i="20"/>
  <c r="O147" i="20" s="1"/>
  <c r="O64" i="140" s="1"/>
  <c r="N378" i="20"/>
  <c r="N375" i="20"/>
  <c r="N774" i="34"/>
  <c r="N579" i="34"/>
  <c r="N1165" i="34"/>
  <c r="N775" i="34"/>
  <c r="N190" i="34"/>
  <c r="N580" i="34"/>
  <c r="N178" i="20"/>
  <c r="O151" i="20" s="1"/>
  <c r="O68" i="140" s="1"/>
  <c r="N379" i="20"/>
  <c r="N222" i="30"/>
  <c r="N1168" i="34"/>
  <c r="N778" i="34"/>
  <c r="N583" i="34"/>
  <c r="N225" i="30"/>
  <c r="N193" i="34"/>
  <c r="N382" i="20"/>
  <c r="N1162" i="34"/>
  <c r="N967" i="34"/>
  <c r="N577" i="34"/>
  <c r="N175" i="20"/>
  <c r="O148" i="20" s="1"/>
  <c r="O65" i="140" s="1"/>
  <c r="N376" i="20"/>
  <c r="N219" i="30"/>
  <c r="N772" i="34"/>
  <c r="N187" i="34"/>
  <c r="N1163" i="34"/>
  <c r="N176" i="20"/>
  <c r="O149" i="20" s="1"/>
  <c r="O66" i="140" s="1"/>
  <c r="N377" i="20"/>
  <c r="N773" i="34"/>
  <c r="N968" i="34"/>
  <c r="N188" i="34"/>
  <c r="N578" i="34"/>
  <c r="N220" i="30"/>
  <c r="N218" i="30"/>
  <c r="N177" i="20"/>
  <c r="O150" i="20" s="1"/>
  <c r="O67" i="140" s="1"/>
  <c r="N969" i="34"/>
  <c r="N179" i="20"/>
  <c r="O152" i="20" s="1"/>
  <c r="O69" i="140" s="1"/>
  <c r="N223" i="30"/>
  <c r="N186" i="34"/>
  <c r="N581" i="34"/>
  <c r="N973" i="34"/>
  <c r="N191" i="34"/>
  <c r="N971" i="34"/>
  <c r="N776" i="34"/>
  <c r="N181" i="20"/>
  <c r="O154" i="20" s="1"/>
  <c r="O71" i="140" s="1"/>
  <c r="N576" i="34"/>
  <c r="N189" i="34"/>
  <c r="N380" i="20"/>
  <c r="N966" i="34"/>
  <c r="N970" i="34"/>
  <c r="N770" i="34"/>
  <c r="N47" i="147" s="1"/>
  <c r="N965" i="34"/>
  <c r="N47" i="148" s="1"/>
  <c r="N371" i="20"/>
  <c r="N217" i="30"/>
  <c r="N185" i="34"/>
  <c r="N47" i="145" s="1"/>
  <c r="N575" i="34"/>
  <c r="N47" i="149" s="1"/>
  <c r="N173" i="20"/>
  <c r="N374" i="20"/>
  <c r="L69" i="37"/>
  <c r="L70" i="37" s="1"/>
  <c r="D66" i="20"/>
  <c r="D63" i="20"/>
  <c r="D65" i="20"/>
  <c r="D129" i="20"/>
  <c r="D102" i="20"/>
  <c r="D89" i="20"/>
  <c r="D11" i="82"/>
  <c r="N656" i="35" l="1"/>
  <c r="N670" i="35" s="1"/>
  <c r="N63" i="146"/>
  <c r="N657" i="35"/>
  <c r="N671" i="35" s="1"/>
  <c r="N64" i="146"/>
  <c r="N662" i="35"/>
  <c r="N676" i="35" s="1"/>
  <c r="N69" i="146"/>
  <c r="N661" i="35"/>
  <c r="N675" i="35" s="1"/>
  <c r="N68" i="146"/>
  <c r="N659" i="35"/>
  <c r="N673" i="35" s="1"/>
  <c r="N66" i="146"/>
  <c r="N1870" i="35"/>
  <c r="N55" i="148"/>
  <c r="N2272" i="35"/>
  <c r="N50" i="150"/>
  <c r="N2271" i="35"/>
  <c r="N49" i="150"/>
  <c r="N1459" i="35"/>
  <c r="N51" i="147"/>
  <c r="N2269" i="35"/>
  <c r="N61" i="150" s="1"/>
  <c r="N47" i="150"/>
  <c r="N2275" i="35"/>
  <c r="N53" i="150"/>
  <c r="N1462" i="35"/>
  <c r="N54" i="147"/>
  <c r="N237" i="35"/>
  <c r="N50" i="145"/>
  <c r="N2276" i="35"/>
  <c r="N54" i="150"/>
  <c r="N1055" i="35"/>
  <c r="N54" i="149"/>
  <c r="N645" i="35"/>
  <c r="N51" i="146"/>
  <c r="N1461" i="35"/>
  <c r="N53" i="147"/>
  <c r="N1866" i="35"/>
  <c r="N51" i="148"/>
  <c r="N1865" i="35"/>
  <c r="N50" i="148"/>
  <c r="N1457" i="35"/>
  <c r="N49" i="147"/>
  <c r="N242" i="35"/>
  <c r="N55" i="145"/>
  <c r="N1463" i="35"/>
  <c r="N55" i="147"/>
  <c r="N1053" i="35"/>
  <c r="N52" i="149"/>
  <c r="N2273" i="35"/>
  <c r="N51" i="150"/>
  <c r="N1464" i="35"/>
  <c r="N56" i="147"/>
  <c r="N2278" i="35"/>
  <c r="N56" i="150"/>
  <c r="N2277" i="35"/>
  <c r="N55" i="150"/>
  <c r="N642" i="35"/>
  <c r="N48" i="146"/>
  <c r="N236" i="35"/>
  <c r="N49" i="145"/>
  <c r="N1056" i="35"/>
  <c r="N55" i="149"/>
  <c r="N1867" i="35"/>
  <c r="N52" i="148"/>
  <c r="N1868" i="35"/>
  <c r="N53" i="148"/>
  <c r="N1458" i="35"/>
  <c r="N50" i="147"/>
  <c r="N239" i="35"/>
  <c r="N52" i="145"/>
  <c r="N1863" i="35"/>
  <c r="N48" i="148"/>
  <c r="N240" i="35"/>
  <c r="N53" i="145"/>
  <c r="N1460" i="35"/>
  <c r="N52" i="147"/>
  <c r="N1456" i="35"/>
  <c r="N48" i="147"/>
  <c r="N2270" i="35"/>
  <c r="N48" i="150"/>
  <c r="N241" i="35"/>
  <c r="N54" i="145"/>
  <c r="N243" i="35"/>
  <c r="N56" i="145"/>
  <c r="N1871" i="35"/>
  <c r="N56" i="148"/>
  <c r="N238" i="35"/>
  <c r="N51" i="145"/>
  <c r="N1054" i="35"/>
  <c r="N53" i="149"/>
  <c r="N1050" i="35"/>
  <c r="N49" i="149"/>
  <c r="N2274" i="35"/>
  <c r="N52" i="150"/>
  <c r="N650" i="35"/>
  <c r="N56" i="146"/>
  <c r="N1049" i="35"/>
  <c r="N48" i="149"/>
  <c r="N235" i="35"/>
  <c r="N48" i="145"/>
  <c r="N1051" i="35"/>
  <c r="N50" i="149"/>
  <c r="N1864" i="35"/>
  <c r="N49" i="148"/>
  <c r="N1052" i="35"/>
  <c r="N51" i="149"/>
  <c r="N647" i="35"/>
  <c r="N53" i="146"/>
  <c r="N1869" i="35"/>
  <c r="N54" i="148"/>
  <c r="N1057" i="35"/>
  <c r="N56" i="149"/>
  <c r="N52" i="143"/>
  <c r="N55" i="143"/>
  <c r="N48" i="143"/>
  <c r="N54" i="143"/>
  <c r="N57" i="143"/>
  <c r="N50" i="143"/>
  <c r="N49" i="143"/>
  <c r="N56" i="143"/>
  <c r="N53" i="143"/>
  <c r="N51" i="143"/>
  <c r="N233" i="31"/>
  <c r="N67" i="143" s="1"/>
  <c r="N236" i="31"/>
  <c r="N70" i="143" s="1"/>
  <c r="N235" i="31"/>
  <c r="N69" i="143" s="1"/>
  <c r="N238" i="31"/>
  <c r="N72" i="143" s="1"/>
  <c r="N231" i="31"/>
  <c r="N65" i="143" s="1"/>
  <c r="N230" i="31"/>
  <c r="N64" i="143" s="1"/>
  <c r="N237" i="31"/>
  <c r="N71" i="143" s="1"/>
  <c r="N234" i="31"/>
  <c r="N68" i="143" s="1"/>
  <c r="N232" i="31"/>
  <c r="N66" i="143" s="1"/>
  <c r="N175" i="140"/>
  <c r="N214" i="140"/>
  <c r="N188" i="140"/>
  <c r="N201" i="140"/>
  <c r="O169" i="20"/>
  <c r="O167" i="20"/>
  <c r="O168" i="20"/>
  <c r="O166" i="20"/>
  <c r="O164" i="20"/>
  <c r="O161" i="20"/>
  <c r="O162" i="20"/>
  <c r="O163" i="20"/>
  <c r="O165" i="20"/>
  <c r="N390" i="34"/>
  <c r="N641" i="35"/>
  <c r="N61" i="146" s="1"/>
  <c r="N1170" i="34"/>
  <c r="N384" i="20"/>
  <c r="N780" i="34"/>
  <c r="N1455" i="35"/>
  <c r="N61" i="147" s="1"/>
  <c r="N1862" i="35"/>
  <c r="N61" i="148" s="1"/>
  <c r="N975" i="34"/>
  <c r="N585" i="34"/>
  <c r="N1048" i="35"/>
  <c r="N61" i="149" s="1"/>
  <c r="N234" i="35"/>
  <c r="N61" i="145" s="1"/>
  <c r="N195" i="34"/>
  <c r="N229" i="31"/>
  <c r="N63" i="143" s="1"/>
  <c r="N227" i="30"/>
  <c r="N183" i="20"/>
  <c r="O146" i="20"/>
  <c r="O63" i="140" s="1"/>
  <c r="L245" i="110"/>
  <c r="L299" i="111" s="1"/>
  <c r="N2282" i="35" l="1"/>
  <c r="N2296" i="35" s="1"/>
  <c r="N1881" i="35"/>
  <c r="N1895" i="35" s="1"/>
  <c r="N67" i="148"/>
  <c r="N2287" i="35"/>
  <c r="N66" i="150"/>
  <c r="N660" i="35"/>
  <c r="N674" i="35" s="1"/>
  <c r="N67" i="146"/>
  <c r="N1065" i="35"/>
  <c r="N65" i="149"/>
  <c r="N254" i="35"/>
  <c r="N268" i="35" s="1"/>
  <c r="N68" i="145"/>
  <c r="N655" i="35"/>
  <c r="N682" i="35" s="1"/>
  <c r="N62" i="146"/>
  <c r="N1470" i="35"/>
  <c r="N63" i="147"/>
  <c r="N658" i="35"/>
  <c r="N685" i="35" s="1"/>
  <c r="N65" i="146"/>
  <c r="N1475" i="35"/>
  <c r="N68" i="147"/>
  <c r="N2284" i="35"/>
  <c r="N2298" i="35" s="1"/>
  <c r="N63" i="150"/>
  <c r="N1070" i="35"/>
  <c r="N70" i="149"/>
  <c r="N1877" i="35"/>
  <c r="N63" i="148"/>
  <c r="N663" i="35"/>
  <c r="N677" i="35" s="1"/>
  <c r="N70" i="146"/>
  <c r="N251" i="35"/>
  <c r="N265" i="35" s="1"/>
  <c r="N65" i="145"/>
  <c r="N2283" i="35"/>
  <c r="N2297" i="35" s="1"/>
  <c r="N62" i="150"/>
  <c r="N1876" i="35"/>
  <c r="N1890" i="35" s="1"/>
  <c r="N62" i="148"/>
  <c r="N1880" i="35"/>
  <c r="N1894" i="35" s="1"/>
  <c r="N66" i="148"/>
  <c r="N2290" i="35"/>
  <c r="N69" i="150"/>
  <c r="N1066" i="35"/>
  <c r="N1080" i="35" s="1"/>
  <c r="N66" i="149"/>
  <c r="N1878" i="35"/>
  <c r="N64" i="148"/>
  <c r="N1068" i="35"/>
  <c r="N68" i="149"/>
  <c r="N2288" i="35"/>
  <c r="N67" i="150"/>
  <c r="N2285" i="35"/>
  <c r="N2299" i="35" s="1"/>
  <c r="N64" i="150"/>
  <c r="N1062" i="35"/>
  <c r="N62" i="149"/>
  <c r="N2286" i="35"/>
  <c r="N2300" i="35" s="1"/>
  <c r="N65" i="150"/>
  <c r="N252" i="35"/>
  <c r="N266" i="35" s="1"/>
  <c r="N66" i="145"/>
  <c r="N1069" i="35"/>
  <c r="N69" i="149"/>
  <c r="N2291" i="35"/>
  <c r="N2305" i="35" s="1"/>
  <c r="N70" i="150"/>
  <c r="N1476" i="35"/>
  <c r="N1490" i="35" s="1"/>
  <c r="N69" i="147"/>
  <c r="N1879" i="35"/>
  <c r="N65" i="148"/>
  <c r="N2289" i="35"/>
  <c r="N68" i="150"/>
  <c r="N1883" i="35"/>
  <c r="N69" i="148"/>
  <c r="N1067" i="35"/>
  <c r="N67" i="149"/>
  <c r="N1064" i="35"/>
  <c r="N64" i="149"/>
  <c r="N1884" i="35"/>
  <c r="N1898" i="35" s="1"/>
  <c r="N70" i="148"/>
  <c r="N1469" i="35"/>
  <c r="N62" i="147"/>
  <c r="N253" i="35"/>
  <c r="N267" i="35" s="1"/>
  <c r="N67" i="145"/>
  <c r="N1882" i="35"/>
  <c r="N1896" i="35" s="1"/>
  <c r="N68" i="148"/>
  <c r="N248" i="35"/>
  <c r="N262" i="35" s="1"/>
  <c r="N62" i="145"/>
  <c r="N1063" i="35"/>
  <c r="N1077" i="35" s="1"/>
  <c r="N63" i="149"/>
  <c r="N256" i="35"/>
  <c r="N270" i="35" s="1"/>
  <c r="N70" i="145"/>
  <c r="N1473" i="35"/>
  <c r="N66" i="147"/>
  <c r="N1471" i="35"/>
  <c r="N64" i="147"/>
  <c r="N249" i="35"/>
  <c r="N263" i="35" s="1"/>
  <c r="N63" i="145"/>
  <c r="N1477" i="35"/>
  <c r="N70" i="147"/>
  <c r="N255" i="35"/>
  <c r="N269" i="35" s="1"/>
  <c r="N69" i="145"/>
  <c r="N1474" i="35"/>
  <c r="N1488" i="35" s="1"/>
  <c r="N67" i="147"/>
  <c r="N250" i="35"/>
  <c r="N264" i="35" s="1"/>
  <c r="N64" i="145"/>
  <c r="N1472" i="35"/>
  <c r="N65" i="147"/>
  <c r="N57" i="146"/>
  <c r="N57" i="145"/>
  <c r="N1465" i="35"/>
  <c r="N2279" i="35"/>
  <c r="N57" i="149"/>
  <c r="N57" i="147"/>
  <c r="N57" i="148"/>
  <c r="N57" i="150"/>
  <c r="N249" i="31"/>
  <c r="N58" i="143"/>
  <c r="N247" i="31"/>
  <c r="N260" i="31" s="1"/>
  <c r="N243" i="31"/>
  <c r="N256" i="31" s="1"/>
  <c r="N244" i="31"/>
  <c r="N251" i="31"/>
  <c r="N264" i="31" s="1"/>
  <c r="N245" i="31"/>
  <c r="N246" i="31"/>
  <c r="N259" i="31" s="1"/>
  <c r="N248" i="31"/>
  <c r="N250" i="31"/>
  <c r="N73" i="143"/>
  <c r="N75" i="143" s="1"/>
  <c r="O73" i="140"/>
  <c r="N651" i="35"/>
  <c r="N654" i="35"/>
  <c r="N1468" i="35"/>
  <c r="N1482" i="35" s="1"/>
  <c r="N1872" i="35"/>
  <c r="N1875" i="35"/>
  <c r="N1058" i="35"/>
  <c r="N1061" i="35"/>
  <c r="O156" i="20"/>
  <c r="O160" i="20"/>
  <c r="N244" i="35"/>
  <c r="N247" i="35"/>
  <c r="N239" i="31"/>
  <c r="N242" i="31"/>
  <c r="N2301" i="35" l="1"/>
  <c r="N1496" i="35"/>
  <c r="N78" i="147" s="1"/>
  <c r="N1499" i="35"/>
  <c r="N81" i="147" s="1"/>
  <c r="N1504" i="35"/>
  <c r="N86" i="147" s="1"/>
  <c r="O238" i="20"/>
  <c r="N78" i="146"/>
  <c r="O241" i="20"/>
  <c r="N81" i="146"/>
  <c r="N1079" i="35"/>
  <c r="N1891" i="35"/>
  <c r="N1081" i="35"/>
  <c r="N2303" i="35"/>
  <c r="N669" i="35"/>
  <c r="N1084" i="35"/>
  <c r="N1082" i="35"/>
  <c r="N1489" i="35"/>
  <c r="N71" i="146"/>
  <c r="N73" i="146" s="1"/>
  <c r="N1483" i="35"/>
  <c r="N2292" i="35"/>
  <c r="N2318" i="35" s="1"/>
  <c r="N86" i="150" s="1"/>
  <c r="N1487" i="35"/>
  <c r="N1892" i="35"/>
  <c r="N672" i="35"/>
  <c r="N71" i="147"/>
  <c r="N73" i="147" s="1"/>
  <c r="N1485" i="35"/>
  <c r="N71" i="145"/>
  <c r="N73" i="145" s="1"/>
  <c r="N71" i="149"/>
  <c r="N73" i="149" s="1"/>
  <c r="N71" i="150"/>
  <c r="N73" i="150" s="1"/>
  <c r="N71" i="148"/>
  <c r="N73" i="148" s="1"/>
  <c r="N1486" i="35"/>
  <c r="N1083" i="35"/>
  <c r="N1893" i="35"/>
  <c r="N1484" i="35"/>
  <c r="N2302" i="35"/>
  <c r="N1076" i="35"/>
  <c r="N2304" i="35"/>
  <c r="N1897" i="35"/>
  <c r="N1491" i="35"/>
  <c r="N1078" i="35"/>
  <c r="N262" i="31"/>
  <c r="N258" i="31"/>
  <c r="N272" i="31"/>
  <c r="N257" i="31"/>
  <c r="N269" i="31"/>
  <c r="N261" i="31"/>
  <c r="N263" i="31"/>
  <c r="N664" i="35"/>
  <c r="N681" i="35" s="1"/>
  <c r="N668" i="35"/>
  <c r="N1478" i="35"/>
  <c r="N1502" i="35" s="1"/>
  <c r="N84" i="147" s="1"/>
  <c r="N1885" i="35"/>
  <c r="N1905" i="35" s="1"/>
  <c r="N80" i="148" s="1"/>
  <c r="N1889" i="35"/>
  <c r="O170" i="20"/>
  <c r="N252" i="31"/>
  <c r="N255" i="31"/>
  <c r="N257" i="35"/>
  <c r="N261" i="35"/>
  <c r="N271" i="35" s="1"/>
  <c r="N294" i="35" s="1"/>
  <c r="N97" i="145" s="1"/>
  <c r="N1071" i="35"/>
  <c r="N1091" i="35" s="1"/>
  <c r="N80" i="149" s="1"/>
  <c r="N1075" i="35"/>
  <c r="N1904" i="35" l="1"/>
  <c r="N79" i="148" s="1"/>
  <c r="N1500" i="35"/>
  <c r="N82" i="147" s="1"/>
  <c r="N1498" i="35"/>
  <c r="N80" i="147" s="1"/>
  <c r="N1089" i="35"/>
  <c r="N78" i="149" s="1"/>
  <c r="N1092" i="35"/>
  <c r="N81" i="149" s="1"/>
  <c r="N1497" i="35"/>
  <c r="N79" i="147" s="1"/>
  <c r="N1090" i="35"/>
  <c r="N79" i="149" s="1"/>
  <c r="N1906" i="35"/>
  <c r="N81" i="148" s="1"/>
  <c r="N1501" i="35"/>
  <c r="N83" i="147" s="1"/>
  <c r="N1094" i="35"/>
  <c r="N83" i="149" s="1"/>
  <c r="N1097" i="35"/>
  <c r="N86" i="149" s="1"/>
  <c r="N1096" i="35"/>
  <c r="N85" i="149" s="1"/>
  <c r="N1907" i="35"/>
  <c r="N82" i="148" s="1"/>
  <c r="N1908" i="35"/>
  <c r="N83" i="148" s="1"/>
  <c r="N1503" i="35"/>
  <c r="N85" i="147" s="1"/>
  <c r="N1095" i="35"/>
  <c r="N84" i="149" s="1"/>
  <c r="N1093" i="35"/>
  <c r="N82" i="149" s="1"/>
  <c r="N1903" i="35"/>
  <c r="N78" i="148" s="1"/>
  <c r="N1909" i="35"/>
  <c r="N84" i="148" s="1"/>
  <c r="N1910" i="35"/>
  <c r="N85" i="148" s="1"/>
  <c r="N1911" i="35"/>
  <c r="N86" i="148" s="1"/>
  <c r="O237" i="20"/>
  <c r="N77" i="146"/>
  <c r="N2309" i="35"/>
  <c r="N77" i="150" s="1"/>
  <c r="N2316" i="35"/>
  <c r="N84" i="150" s="1"/>
  <c r="N1899" i="35"/>
  <c r="N1915" i="35" s="1"/>
  <c r="N90" i="148" s="1"/>
  <c r="N678" i="35"/>
  <c r="N703" i="35" s="1"/>
  <c r="N99" i="146" s="1"/>
  <c r="N1492" i="35"/>
  <c r="N1509" i="35" s="1"/>
  <c r="N91" i="147" s="1"/>
  <c r="N1085" i="35"/>
  <c r="N2306" i="35"/>
  <c r="N2324" i="35" s="1"/>
  <c r="O218" i="20"/>
  <c r="N80" i="143"/>
  <c r="N109" i="143" s="1"/>
  <c r="O221" i="20"/>
  <c r="N83" i="143"/>
  <c r="N112" i="143" s="1"/>
  <c r="N265" i="31"/>
  <c r="N283" i="31" s="1"/>
  <c r="N95" i="143" s="1"/>
  <c r="N690" i="35"/>
  <c r="N688" i="35"/>
  <c r="N683" i="35"/>
  <c r="N686" i="35"/>
  <c r="N684" i="35"/>
  <c r="N689" i="35"/>
  <c r="N687" i="35"/>
  <c r="N274" i="35"/>
  <c r="N275" i="35"/>
  <c r="N281" i="35"/>
  <c r="N283" i="35"/>
  <c r="N282" i="35"/>
  <c r="N278" i="35"/>
  <c r="N279" i="35"/>
  <c r="N277" i="35"/>
  <c r="N276" i="35"/>
  <c r="N280" i="35"/>
  <c r="N289" i="35"/>
  <c r="N92" i="145" s="1"/>
  <c r="N288" i="35"/>
  <c r="N91" i="145" s="1"/>
  <c r="N1495" i="35"/>
  <c r="N292" i="35"/>
  <c r="N95" i="145" s="1"/>
  <c r="N287" i="35"/>
  <c r="N90" i="145" s="1"/>
  <c r="N293" i="35"/>
  <c r="N96" i="145" s="1"/>
  <c r="N296" i="35"/>
  <c r="N99" i="145" s="1"/>
  <c r="N290" i="35"/>
  <c r="N93" i="145" s="1"/>
  <c r="N1902" i="35"/>
  <c r="N295" i="35"/>
  <c r="N98" i="145" s="1"/>
  <c r="N291" i="35"/>
  <c r="N94" i="145" s="1"/>
  <c r="N277" i="31"/>
  <c r="N275" i="31"/>
  <c r="N270" i="31"/>
  <c r="N273" i="31"/>
  <c r="N271" i="31"/>
  <c r="N276" i="31"/>
  <c r="N274" i="31"/>
  <c r="N268" i="31"/>
  <c r="N1088" i="35"/>
  <c r="N1918" i="35" l="1"/>
  <c r="N93" i="148" s="1"/>
  <c r="N1921" i="35"/>
  <c r="N96" i="148" s="1"/>
  <c r="N1917" i="35"/>
  <c r="N92" i="148" s="1"/>
  <c r="N1919" i="35"/>
  <c r="N94" i="148" s="1"/>
  <c r="N1923" i="35"/>
  <c r="N98" i="148" s="1"/>
  <c r="N1920" i="35"/>
  <c r="N95" i="148" s="1"/>
  <c r="N1922" i="35"/>
  <c r="N97" i="148" s="1"/>
  <c r="N1924" i="35"/>
  <c r="N99" i="148" s="1"/>
  <c r="N1916" i="35"/>
  <c r="N1513" i="35"/>
  <c r="N95" i="147" s="1"/>
  <c r="N1515" i="35"/>
  <c r="N97" i="147" s="1"/>
  <c r="N1516" i="35"/>
  <c r="N98" i="147" s="1"/>
  <c r="N1517" i="35"/>
  <c r="N99" i="147" s="1"/>
  <c r="N1510" i="35"/>
  <c r="N92" i="147" s="1"/>
  <c r="N1514" i="35"/>
  <c r="N96" i="147" s="1"/>
  <c r="N1512" i="35"/>
  <c r="N94" i="147" s="1"/>
  <c r="N1508" i="35"/>
  <c r="N1511" i="35"/>
  <c r="N93" i="147" s="1"/>
  <c r="N1105" i="35"/>
  <c r="N94" i="149" s="1"/>
  <c r="N1108" i="35"/>
  <c r="N97" i="149" s="1"/>
  <c r="N1110" i="35"/>
  <c r="N99" i="149" s="1"/>
  <c r="N1109" i="35"/>
  <c r="N98" i="149" s="1"/>
  <c r="N1103" i="35"/>
  <c r="N92" i="149" s="1"/>
  <c r="N1101" i="35"/>
  <c r="N1107" i="35"/>
  <c r="N96" i="149" s="1"/>
  <c r="N1106" i="35"/>
  <c r="N95" i="149" s="1"/>
  <c r="N1104" i="35"/>
  <c r="N93" i="149" s="1"/>
  <c r="N1102" i="35"/>
  <c r="N91" i="149" s="1"/>
  <c r="N287" i="31"/>
  <c r="N99" i="143" s="1"/>
  <c r="N285" i="31"/>
  <c r="N97" i="143" s="1"/>
  <c r="N282" i="31"/>
  <c r="N94" i="143" s="1"/>
  <c r="N289" i="31"/>
  <c r="N101" i="143" s="1"/>
  <c r="N288" i="31"/>
  <c r="N100" i="143" s="1"/>
  <c r="N697" i="35"/>
  <c r="N93" i="146" s="1"/>
  <c r="N100" i="145"/>
  <c r="N2311" i="35"/>
  <c r="N79" i="150" s="1"/>
  <c r="N92" i="150"/>
  <c r="N700" i="35"/>
  <c r="N96" i="146" s="1"/>
  <c r="N695" i="35"/>
  <c r="N91" i="146" s="1"/>
  <c r="O230" i="20"/>
  <c r="N80" i="145"/>
  <c r="O243" i="20"/>
  <c r="N83" i="146"/>
  <c r="O245" i="20"/>
  <c r="N85" i="146"/>
  <c r="O231" i="20"/>
  <c r="O295" i="20" s="1"/>
  <c r="O308" i="20" s="1"/>
  <c r="O80" i="140" s="1"/>
  <c r="N81" i="145"/>
  <c r="O240" i="20"/>
  <c r="N80" i="146"/>
  <c r="N1098" i="35"/>
  <c r="N77" i="149"/>
  <c r="N87" i="149" s="1"/>
  <c r="N1912" i="35"/>
  <c r="N77" i="148"/>
  <c r="N87" i="148" s="1"/>
  <c r="N1505" i="35"/>
  <c r="N77" i="147"/>
  <c r="N87" i="147" s="1"/>
  <c r="O235" i="20"/>
  <c r="N85" i="145"/>
  <c r="O242" i="20"/>
  <c r="N82" i="146"/>
  <c r="O232" i="20"/>
  <c r="N82" i="145"/>
  <c r="O236" i="20"/>
  <c r="N86" i="145"/>
  <c r="O239" i="20"/>
  <c r="N79" i="146"/>
  <c r="O234" i="20"/>
  <c r="N84" i="145"/>
  <c r="O244" i="20"/>
  <c r="N84" i="146"/>
  <c r="O233" i="20"/>
  <c r="N83" i="145"/>
  <c r="O228" i="20"/>
  <c r="O292" i="20" s="1"/>
  <c r="O305" i="20" s="1"/>
  <c r="O77" i="140" s="1"/>
  <c r="N78" i="145"/>
  <c r="O246" i="20"/>
  <c r="N86" i="146"/>
  <c r="O229" i="20"/>
  <c r="N79" i="145"/>
  <c r="O227" i="20"/>
  <c r="N77" i="145"/>
  <c r="N2330" i="35"/>
  <c r="N286" i="31"/>
  <c r="N98" i="143" s="1"/>
  <c r="N281" i="31"/>
  <c r="N93" i="143" s="1"/>
  <c r="N2329" i="35"/>
  <c r="N97" i="150" s="1"/>
  <c r="N2331" i="35"/>
  <c r="N99" i="150" s="1"/>
  <c r="N698" i="35"/>
  <c r="N94" i="146" s="1"/>
  <c r="N694" i="35"/>
  <c r="N90" i="146" s="1"/>
  <c r="N702" i="35"/>
  <c r="N98" i="146" s="1"/>
  <c r="N701" i="35"/>
  <c r="N97" i="146" s="1"/>
  <c r="N2328" i="35"/>
  <c r="N2323" i="35"/>
  <c r="N2322" i="35"/>
  <c r="N90" i="150" s="1"/>
  <c r="N696" i="35"/>
  <c r="N92" i="146" s="1"/>
  <c r="N2327" i="35"/>
  <c r="N2326" i="35"/>
  <c r="N2325" i="35"/>
  <c r="N699" i="35"/>
  <c r="N95" i="146" s="1"/>
  <c r="N284" i="31"/>
  <c r="N96" i="143" s="1"/>
  <c r="N164" i="143"/>
  <c r="N151" i="143"/>
  <c r="N161" i="143"/>
  <c r="N148" i="143"/>
  <c r="N125" i="143"/>
  <c r="N138" i="143"/>
  <c r="N122" i="143"/>
  <c r="N135" i="143"/>
  <c r="N290" i="31"/>
  <c r="N102" i="143" s="1"/>
  <c r="O226" i="20"/>
  <c r="N88" i="143"/>
  <c r="N117" i="143" s="1"/>
  <c r="O217" i="20"/>
  <c r="N79" i="143"/>
  <c r="N108" i="143" s="1"/>
  <c r="O223" i="20"/>
  <c r="N85" i="143"/>
  <c r="N114" i="143" s="1"/>
  <c r="O225" i="20"/>
  <c r="N87" i="143"/>
  <c r="N116" i="143" s="1"/>
  <c r="O220" i="20"/>
  <c r="N82" i="143"/>
  <c r="N111" i="143" s="1"/>
  <c r="O222" i="20"/>
  <c r="N84" i="143"/>
  <c r="N113" i="143" s="1"/>
  <c r="O219" i="20"/>
  <c r="N81" i="143"/>
  <c r="N110" i="143" s="1"/>
  <c r="O224" i="20"/>
  <c r="N86" i="143"/>
  <c r="N115" i="143" s="1"/>
  <c r="N691" i="35"/>
  <c r="N284" i="35"/>
  <c r="N297" i="35"/>
  <c r="N278" i="31"/>
  <c r="L85" i="37"/>
  <c r="L78" i="37"/>
  <c r="L83" i="37"/>
  <c r="L82" i="37"/>
  <c r="L84" i="37"/>
  <c r="N1925" i="35" l="1"/>
  <c r="N91" i="148"/>
  <c r="N100" i="148" s="1"/>
  <c r="N90" i="147"/>
  <c r="N100" i="147" s="1"/>
  <c r="N1518" i="35"/>
  <c r="N90" i="149"/>
  <c r="N100" i="149" s="1"/>
  <c r="N1111" i="35"/>
  <c r="O297" i="20"/>
  <c r="O310" i="20" s="1"/>
  <c r="O82" i="140" s="1"/>
  <c r="O294" i="20"/>
  <c r="O307" i="20" s="1"/>
  <c r="O79" i="140" s="1"/>
  <c r="O298" i="20"/>
  <c r="O311" i="20" s="1"/>
  <c r="O83" i="140" s="1"/>
  <c r="O299" i="20"/>
  <c r="O312" i="20" s="1"/>
  <c r="O84" i="140" s="1"/>
  <c r="N2310" i="35"/>
  <c r="N78" i="150" s="1"/>
  <c r="N91" i="150"/>
  <c r="N2315" i="35"/>
  <c r="N83" i="150" s="1"/>
  <c r="N96" i="150"/>
  <c r="N2317" i="35"/>
  <c r="N85" i="150" s="1"/>
  <c r="N98" i="150"/>
  <c r="N2312" i="35"/>
  <c r="N80" i="150" s="1"/>
  <c r="N93" i="150"/>
  <c r="N100" i="146"/>
  <c r="N2313" i="35"/>
  <c r="N81" i="150" s="1"/>
  <c r="N94" i="150"/>
  <c r="N2314" i="35"/>
  <c r="N82" i="150" s="1"/>
  <c r="N95" i="150"/>
  <c r="O300" i="20"/>
  <c r="O313" i="20" s="1"/>
  <c r="O85" i="140" s="1"/>
  <c r="O296" i="20"/>
  <c r="O309" i="20" s="1"/>
  <c r="O81" i="140" s="1"/>
  <c r="N87" i="145"/>
  <c r="N87" i="146"/>
  <c r="O293" i="20"/>
  <c r="O306" i="20" s="1"/>
  <c r="O78" i="140" s="1"/>
  <c r="N704" i="35"/>
  <c r="N2332" i="35"/>
  <c r="N103" i="143"/>
  <c r="N118" i="143"/>
  <c r="N162" i="143"/>
  <c r="N149" i="143"/>
  <c r="N166" i="143"/>
  <c r="N153" i="143"/>
  <c r="N165" i="143"/>
  <c r="N152" i="143"/>
  <c r="N160" i="143"/>
  <c r="N147" i="143"/>
  <c r="N163" i="143"/>
  <c r="N150" i="143"/>
  <c r="N169" i="143"/>
  <c r="N156" i="143"/>
  <c r="N167" i="143"/>
  <c r="N154" i="143"/>
  <c r="N168" i="143"/>
  <c r="N155" i="143"/>
  <c r="N124" i="143"/>
  <c r="N137" i="143"/>
  <c r="N130" i="143"/>
  <c r="N143" i="143"/>
  <c r="N128" i="143"/>
  <c r="N141" i="143"/>
  <c r="N129" i="143"/>
  <c r="N142" i="143"/>
  <c r="N123" i="143"/>
  <c r="N136" i="143"/>
  <c r="N127" i="143"/>
  <c r="N140" i="143"/>
  <c r="N126" i="143"/>
  <c r="N139" i="143"/>
  <c r="N121" i="143"/>
  <c r="N134" i="143"/>
  <c r="N291" i="31"/>
  <c r="O287" i="20"/>
  <c r="O291" i="20"/>
  <c r="N89" i="143"/>
  <c r="O319" i="20"/>
  <c r="O90" i="140" s="1"/>
  <c r="O322" i="20"/>
  <c r="O93" i="140" s="1"/>
  <c r="O337" i="20"/>
  <c r="O256" i="21" s="1"/>
  <c r="O334" i="20"/>
  <c r="O253" i="21" s="1"/>
  <c r="L86" i="37"/>
  <c r="L77" i="37"/>
  <c r="L73" i="37"/>
  <c r="O324" i="20" l="1"/>
  <c r="O95" i="140" s="1"/>
  <c r="O339" i="20"/>
  <c r="O258" i="21" s="1"/>
  <c r="O249" i="19" s="1"/>
  <c r="O110" i="140" s="1"/>
  <c r="O123" i="140" s="1"/>
  <c r="O321" i="20"/>
  <c r="O92" i="140" s="1"/>
  <c r="O336" i="20"/>
  <c r="O255" i="21" s="1"/>
  <c r="O246" i="19" s="1"/>
  <c r="O107" i="140" s="1"/>
  <c r="O120" i="140" s="1"/>
  <c r="O341" i="20"/>
  <c r="O260" i="21" s="1"/>
  <c r="O251" i="19" s="1"/>
  <c r="O112" i="140" s="1"/>
  <c r="O125" i="140" s="1"/>
  <c r="O340" i="20"/>
  <c r="O259" i="21" s="1"/>
  <c r="O250" i="19" s="1"/>
  <c r="O111" i="140" s="1"/>
  <c r="O124" i="140" s="1"/>
  <c r="O325" i="20"/>
  <c r="O96" i="140" s="1"/>
  <c r="O326" i="20"/>
  <c r="O97" i="140" s="1"/>
  <c r="N87" i="150"/>
  <c r="N100" i="150"/>
  <c r="N2319" i="35"/>
  <c r="O342" i="20"/>
  <c r="O261" i="21" s="1"/>
  <c r="O252" i="19" s="1"/>
  <c r="O113" i="140" s="1"/>
  <c r="O126" i="140" s="1"/>
  <c r="O327" i="20"/>
  <c r="O98" i="140" s="1"/>
  <c r="O338" i="20"/>
  <c r="O257" i="21" s="1"/>
  <c r="O248" i="19" s="1"/>
  <c r="O109" i="140" s="1"/>
  <c r="O122" i="140" s="1"/>
  <c r="O323" i="20"/>
  <c r="O94" i="140" s="1"/>
  <c r="O335" i="20"/>
  <c r="O254" i="21" s="1"/>
  <c r="O245" i="19" s="1"/>
  <c r="O106" i="140" s="1"/>
  <c r="O119" i="140" s="1"/>
  <c r="O320" i="20"/>
  <c r="O91" i="140" s="1"/>
  <c r="N170" i="143"/>
  <c r="N157" i="143"/>
  <c r="N131" i="143"/>
  <c r="N144" i="143"/>
  <c r="I334" i="20"/>
  <c r="I337" i="20"/>
  <c r="O247" i="19"/>
  <c r="O244" i="19"/>
  <c r="O301" i="20"/>
  <c r="O304" i="20"/>
  <c r="L79" i="37"/>
  <c r="L74" i="37"/>
  <c r="I339" i="20" l="1"/>
  <c r="I336" i="20"/>
  <c r="I341" i="20"/>
  <c r="I340" i="20"/>
  <c r="I342" i="20"/>
  <c r="I338" i="20"/>
  <c r="I335" i="20"/>
  <c r="O76" i="140"/>
  <c r="O86" i="140" s="1"/>
  <c r="O286" i="19"/>
  <c r="O105" i="140"/>
  <c r="O118" i="140" s="1"/>
  <c r="O289" i="19"/>
  <c r="O108" i="140"/>
  <c r="O121" i="140" s="1"/>
  <c r="O290" i="19"/>
  <c r="O294" i="19"/>
  <c r="O292" i="19"/>
  <c r="O293" i="19"/>
  <c r="O314" i="20"/>
  <c r="O318" i="20"/>
  <c r="O333" i="20"/>
  <c r="O252" i="21" s="1"/>
  <c r="O291" i="19"/>
  <c r="O287" i="19"/>
  <c r="O288" i="19"/>
  <c r="L88" i="37"/>
  <c r="O328" i="20" l="1"/>
  <c r="O89" i="140"/>
  <c r="O99" i="140" s="1"/>
  <c r="O343" i="20"/>
  <c r="I333" i="20"/>
  <c r="I343" i="20" s="1"/>
  <c r="O243" i="19" l="1"/>
  <c r="O104" i="140" s="1"/>
  <c r="O262" i="21"/>
  <c r="O114" i="140" l="1"/>
  <c r="O117" i="140"/>
  <c r="O127" i="140" s="1"/>
  <c r="O253" i="19"/>
  <c r="O285" i="19"/>
  <c r="O295" i="19" s="1"/>
  <c r="O274" i="19" s="1"/>
  <c r="O152" i="140" s="1"/>
  <c r="O282" i="19"/>
  <c r="O160" i="140" s="1"/>
  <c r="O276" i="19"/>
  <c r="O154" i="140" s="1"/>
  <c r="O280" i="19"/>
  <c r="O158" i="140" s="1"/>
  <c r="O128" i="140" l="1"/>
  <c r="O260" i="19"/>
  <c r="O269" i="19"/>
  <c r="O147" i="140" s="1"/>
  <c r="O226" i="140" s="1"/>
  <c r="O267" i="19"/>
  <c r="O145" i="140" s="1"/>
  <c r="O224" i="140" s="1"/>
  <c r="O279" i="19"/>
  <c r="O157" i="140" s="1"/>
  <c r="O278" i="19"/>
  <c r="O156" i="140" s="1"/>
  <c r="O281" i="19"/>
  <c r="O159" i="140" s="1"/>
  <c r="O275" i="19"/>
  <c r="O153" i="140" s="1"/>
  <c r="O277" i="19"/>
  <c r="O155" i="140" s="1"/>
  <c r="O273" i="19"/>
  <c r="O151" i="140" s="1"/>
  <c r="O261" i="19"/>
  <c r="O264" i="19"/>
  <c r="O265" i="19"/>
  <c r="O266" i="19"/>
  <c r="O268" i="19"/>
  <c r="O262" i="19"/>
  <c r="O263" i="19"/>
  <c r="C117" i="29"/>
  <c r="C100" i="29"/>
  <c r="C84" i="29"/>
  <c r="C57" i="29"/>
  <c r="O172" i="140" l="1"/>
  <c r="O211" i="140"/>
  <c r="O174" i="140"/>
  <c r="O213" i="140"/>
  <c r="O198" i="140"/>
  <c r="O185" i="140"/>
  <c r="O200" i="140"/>
  <c r="O187" i="140"/>
  <c r="O161" i="140"/>
  <c r="O350" i="20"/>
  <c r="O363" i="20" s="1"/>
  <c r="O140" i="140"/>
  <c r="O219" i="140" s="1"/>
  <c r="O356" i="20"/>
  <c r="O369" i="20" s="1"/>
  <c r="O146" i="140"/>
  <c r="O225" i="140" s="1"/>
  <c r="O354" i="20"/>
  <c r="O367" i="20" s="1"/>
  <c r="O144" i="140"/>
  <c r="O223" i="140" s="1"/>
  <c r="O353" i="20"/>
  <c r="O366" i="20" s="1"/>
  <c r="O143" i="140"/>
  <c r="O222" i="140" s="1"/>
  <c r="O352" i="20"/>
  <c r="O365" i="20" s="1"/>
  <c r="O142" i="140"/>
  <c r="O221" i="140" s="1"/>
  <c r="O351" i="20"/>
  <c r="O364" i="20" s="1"/>
  <c r="O141" i="140"/>
  <c r="O220" i="140" s="1"/>
  <c r="O349" i="20"/>
  <c r="O362" i="20" s="1"/>
  <c r="O139" i="140"/>
  <c r="O218" i="140" s="1"/>
  <c r="O348" i="20"/>
  <c r="O361" i="20" s="1"/>
  <c r="O380" i="34" s="1"/>
  <c r="O47" i="146" s="1"/>
  <c r="O138" i="140"/>
  <c r="O217" i="140" s="1"/>
  <c r="O355" i="20"/>
  <c r="O368" i="20" s="1"/>
  <c r="O357" i="20"/>
  <c r="O370" i="20" s="1"/>
  <c r="O283" i="19"/>
  <c r="O270" i="19"/>
  <c r="C3090" i="33"/>
  <c r="C2510" i="33"/>
  <c r="C1920" i="33"/>
  <c r="C1325" i="33"/>
  <c r="C744" i="33"/>
  <c r="C148" i="33"/>
  <c r="C86" i="17"/>
  <c r="C60" i="17"/>
  <c r="C3060" i="33"/>
  <c r="C2467" i="33"/>
  <c r="C1880" i="33"/>
  <c r="C1289" i="33"/>
  <c r="C691" i="33"/>
  <c r="C112" i="33"/>
  <c r="C3025" i="33"/>
  <c r="C2433" i="33"/>
  <c r="C1841" i="33"/>
  <c r="C1254" i="33"/>
  <c r="C661" i="33"/>
  <c r="C84" i="33"/>
  <c r="O227" i="140" l="1"/>
  <c r="O166" i="140"/>
  <c r="O205" i="140"/>
  <c r="O171" i="140"/>
  <c r="O210" i="140"/>
  <c r="O168" i="140"/>
  <c r="O207" i="140"/>
  <c r="O173" i="140"/>
  <c r="O212" i="140"/>
  <c r="O169" i="140"/>
  <c r="O208" i="140"/>
  <c r="O167" i="140"/>
  <c r="O206" i="140"/>
  <c r="O165" i="140"/>
  <c r="O204" i="140"/>
  <c r="O170" i="140"/>
  <c r="O209" i="140"/>
  <c r="O195" i="140"/>
  <c r="O182" i="140"/>
  <c r="O193" i="140"/>
  <c r="O180" i="140"/>
  <c r="O191" i="140"/>
  <c r="O178" i="140"/>
  <c r="O196" i="140"/>
  <c r="O183" i="140"/>
  <c r="O192" i="140"/>
  <c r="O179" i="140"/>
  <c r="O197" i="140"/>
  <c r="O184" i="140"/>
  <c r="O194" i="140"/>
  <c r="O181" i="140"/>
  <c r="O199" i="140"/>
  <c r="O186" i="140"/>
  <c r="O148" i="140"/>
  <c r="O180" i="20"/>
  <c r="O224" i="30"/>
  <c r="O381" i="20"/>
  <c r="O582" i="34"/>
  <c r="O972" i="34"/>
  <c r="O389" i="34"/>
  <c r="O182" i="20"/>
  <c r="O192" i="34"/>
  <c r="O194" i="34"/>
  <c r="O584" i="34"/>
  <c r="O1167" i="34"/>
  <c r="O974" i="34"/>
  <c r="O779" i="34"/>
  <c r="O387" i="34"/>
  <c r="O226" i="30"/>
  <c r="O1169" i="34"/>
  <c r="O777" i="34"/>
  <c r="O383" i="20"/>
  <c r="O381" i="34"/>
  <c r="O1164" i="34"/>
  <c r="O384" i="34"/>
  <c r="O1165" i="34"/>
  <c r="O385" i="34"/>
  <c r="O1168" i="34"/>
  <c r="O388" i="34"/>
  <c r="O1162" i="34"/>
  <c r="O382" i="34"/>
  <c r="O1166" i="34"/>
  <c r="O386" i="34"/>
  <c r="O641" i="35"/>
  <c r="O61" i="146" s="1"/>
  <c r="O773" i="34"/>
  <c r="O383" i="34"/>
  <c r="O358" i="20"/>
  <c r="O193" i="34"/>
  <c r="O175" i="20"/>
  <c r="O176" i="20"/>
  <c r="O775" i="34"/>
  <c r="O968" i="34"/>
  <c r="O189" i="34"/>
  <c r="O577" i="34"/>
  <c r="O973" i="34"/>
  <c r="O179" i="20"/>
  <c r="O382" i="20"/>
  <c r="O187" i="34"/>
  <c r="O181" i="20"/>
  <c r="O177" i="20"/>
  <c r="O191" i="34"/>
  <c r="O579" i="34"/>
  <c r="O223" i="30"/>
  <c r="O776" i="34"/>
  <c r="O225" i="30"/>
  <c r="O220" i="30"/>
  <c r="O580" i="34"/>
  <c r="O380" i="20"/>
  <c r="O188" i="34"/>
  <c r="O375" i="20"/>
  <c r="O771" i="34"/>
  <c r="O969" i="34"/>
  <c r="O190" i="34"/>
  <c r="O774" i="34"/>
  <c r="O174" i="20"/>
  <c r="O219" i="30"/>
  <c r="O576" i="34"/>
  <c r="O222" i="30"/>
  <c r="O778" i="34"/>
  <c r="O970" i="34"/>
  <c r="O1163" i="34"/>
  <c r="O376" i="20"/>
  <c r="O377" i="20"/>
  <c r="O186" i="34"/>
  <c r="O221" i="30"/>
  <c r="O967" i="34"/>
  <c r="O1161" i="34"/>
  <c r="O772" i="34"/>
  <c r="O966" i="34"/>
  <c r="O218" i="30"/>
  <c r="O379" i="20"/>
  <c r="O583" i="34"/>
  <c r="O578" i="34"/>
  <c r="O378" i="20"/>
  <c r="O178" i="20"/>
  <c r="O581" i="34"/>
  <c r="O971" i="34"/>
  <c r="O965" i="34"/>
  <c r="O47" i="148" s="1"/>
  <c r="O1160" i="34"/>
  <c r="O47" i="150" s="1"/>
  <c r="O770" i="34"/>
  <c r="O47" i="147" s="1"/>
  <c r="O371" i="20"/>
  <c r="O217" i="30"/>
  <c r="O185" i="34"/>
  <c r="O47" i="145" s="1"/>
  <c r="O575" i="34"/>
  <c r="O47" i="149" s="1"/>
  <c r="O173" i="20"/>
  <c r="O374" i="20"/>
  <c r="M69" i="37"/>
  <c r="M70" i="37" s="1"/>
  <c r="C3074" i="33"/>
  <c r="C2490" i="33"/>
  <c r="C1898" i="33"/>
  <c r="C1309" i="33"/>
  <c r="C130" i="33"/>
  <c r="C720" i="33"/>
  <c r="O1056" i="35" l="1"/>
  <c r="O55" i="149"/>
  <c r="O2270" i="35"/>
  <c r="O48" i="150"/>
  <c r="O1049" i="35"/>
  <c r="O48" i="149"/>
  <c r="O1460" i="35"/>
  <c r="O52" i="147"/>
  <c r="O242" i="35"/>
  <c r="O55" i="145"/>
  <c r="O2271" i="35"/>
  <c r="O49" i="150"/>
  <c r="O2276" i="35"/>
  <c r="O54" i="150"/>
  <c r="O1864" i="35"/>
  <c r="O49" i="148"/>
  <c r="O239" i="35"/>
  <c r="O52" i="145"/>
  <c r="O1461" i="35"/>
  <c r="O53" i="147"/>
  <c r="O238" i="35"/>
  <c r="O51" i="145"/>
  <c r="O649" i="35"/>
  <c r="O55" i="146"/>
  <c r="O241" i="35"/>
  <c r="O54" i="145"/>
  <c r="O1055" i="35"/>
  <c r="O54" i="149"/>
  <c r="O1868" i="35"/>
  <c r="O53" i="148"/>
  <c r="O2272" i="35"/>
  <c r="O50" i="150"/>
  <c r="O1866" i="35"/>
  <c r="O51" i="148"/>
  <c r="O644" i="35"/>
  <c r="O50" i="146"/>
  <c r="O2277" i="35"/>
  <c r="O55" i="150"/>
  <c r="O1462" i="35"/>
  <c r="O54" i="147"/>
  <c r="O1054" i="35"/>
  <c r="O53" i="149"/>
  <c r="O1867" i="35"/>
  <c r="O52" i="148"/>
  <c r="O1456" i="35"/>
  <c r="O48" i="147"/>
  <c r="O1053" i="35"/>
  <c r="O52" i="149"/>
  <c r="O1052" i="35"/>
  <c r="O51" i="149"/>
  <c r="O236" i="35"/>
  <c r="O49" i="145"/>
  <c r="O1458" i="35"/>
  <c r="O50" i="147"/>
  <c r="O646" i="35"/>
  <c r="O52" i="146"/>
  <c r="O2278" i="35"/>
  <c r="O56" i="150"/>
  <c r="O1057" i="35"/>
  <c r="O56" i="149"/>
  <c r="O650" i="35"/>
  <c r="O56" i="146"/>
  <c r="O1463" i="35"/>
  <c r="O55" i="147"/>
  <c r="O2274" i="35"/>
  <c r="O52" i="150"/>
  <c r="O1869" i="35"/>
  <c r="O54" i="148"/>
  <c r="O235" i="35"/>
  <c r="O48" i="145"/>
  <c r="O1870" i="35"/>
  <c r="O55" i="148"/>
  <c r="O647" i="35"/>
  <c r="O53" i="146"/>
  <c r="O645" i="35"/>
  <c r="O51" i="146"/>
  <c r="O648" i="35"/>
  <c r="O54" i="146"/>
  <c r="O1863" i="35"/>
  <c r="O48" i="148"/>
  <c r="O1459" i="35"/>
  <c r="O51" i="147"/>
  <c r="O237" i="35"/>
  <c r="O50" i="145"/>
  <c r="O1865" i="35"/>
  <c r="O50" i="148"/>
  <c r="O2275" i="35"/>
  <c r="O53" i="150"/>
  <c r="O2273" i="35"/>
  <c r="O51" i="150"/>
  <c r="O1464" i="35"/>
  <c r="O56" i="147"/>
  <c r="O1051" i="35"/>
  <c r="O50" i="149"/>
  <c r="O1457" i="35"/>
  <c r="O49" i="147"/>
  <c r="O240" i="35"/>
  <c r="O53" i="145"/>
  <c r="O1050" i="35"/>
  <c r="O49" i="149"/>
  <c r="O643" i="35"/>
  <c r="O49" i="146"/>
  <c r="O642" i="35"/>
  <c r="O48" i="146"/>
  <c r="O1871" i="35"/>
  <c r="O56" i="148"/>
  <c r="O243" i="35"/>
  <c r="O56" i="145"/>
  <c r="O53" i="143"/>
  <c r="O48" i="143"/>
  <c r="O50" i="143"/>
  <c r="O54" i="143"/>
  <c r="O55" i="143"/>
  <c r="O49" i="143"/>
  <c r="O52" i="143"/>
  <c r="O51" i="143"/>
  <c r="O57" i="143"/>
  <c r="O56" i="143"/>
  <c r="O234" i="31"/>
  <c r="O68" i="143" s="1"/>
  <c r="O231" i="31"/>
  <c r="O65" i="143" s="1"/>
  <c r="O235" i="31"/>
  <c r="O69" i="143" s="1"/>
  <c r="O236" i="31"/>
  <c r="O70" i="143" s="1"/>
  <c r="O230" i="31"/>
  <c r="O64" i="143" s="1"/>
  <c r="O233" i="31"/>
  <c r="O67" i="143" s="1"/>
  <c r="O232" i="31"/>
  <c r="O66" i="143" s="1"/>
  <c r="O238" i="31"/>
  <c r="O72" i="143" s="1"/>
  <c r="O237" i="31"/>
  <c r="O71" i="143" s="1"/>
  <c r="O175" i="140"/>
  <c r="O214" i="140"/>
  <c r="O201" i="140"/>
  <c r="O188" i="140"/>
  <c r="O390" i="34"/>
  <c r="O654" i="35"/>
  <c r="O384" i="20"/>
  <c r="O975" i="34"/>
  <c r="O183" i="20"/>
  <c r="O1862" i="35"/>
  <c r="O61" i="148" s="1"/>
  <c r="O1170" i="34"/>
  <c r="O2269" i="35"/>
  <c r="O61" i="150" s="1"/>
  <c r="O1455" i="35"/>
  <c r="O61" i="147" s="1"/>
  <c r="O780" i="34"/>
  <c r="O585" i="34"/>
  <c r="O1048" i="35"/>
  <c r="O61" i="149" s="1"/>
  <c r="O234" i="35"/>
  <c r="O61" i="145" s="1"/>
  <c r="O195" i="34"/>
  <c r="O229" i="31"/>
  <c r="O63" i="143" s="1"/>
  <c r="O227" i="30"/>
  <c r="M245" i="110"/>
  <c r="M299" i="111" s="1"/>
  <c r="O655" i="35" l="1"/>
  <c r="O682" i="35" s="1"/>
  <c r="O78" i="146" s="1"/>
  <c r="O62" i="146"/>
  <c r="O1470" i="35"/>
  <c r="O63" i="147"/>
  <c r="O2288" i="35"/>
  <c r="O67" i="150"/>
  <c r="O1876" i="35"/>
  <c r="O62" i="148"/>
  <c r="O1883" i="35"/>
  <c r="O1897" i="35" s="1"/>
  <c r="O69" i="148"/>
  <c r="O1476" i="35"/>
  <c r="O69" i="147"/>
  <c r="O659" i="35"/>
  <c r="O673" i="35" s="1"/>
  <c r="O66" i="146"/>
  <c r="O1066" i="35"/>
  <c r="O66" i="149"/>
  <c r="O1475" i="35"/>
  <c r="O1489" i="35" s="1"/>
  <c r="O68" i="147"/>
  <c r="O2285" i="35"/>
  <c r="O64" i="150"/>
  <c r="O662" i="35"/>
  <c r="O676" i="35" s="1"/>
  <c r="O69" i="146"/>
  <c r="O1877" i="35"/>
  <c r="O63" i="148"/>
  <c r="O1473" i="35"/>
  <c r="O1487" i="35" s="1"/>
  <c r="O66" i="147"/>
  <c r="O656" i="35"/>
  <c r="O670" i="35" s="1"/>
  <c r="O63" i="146"/>
  <c r="O1064" i="35"/>
  <c r="O64" i="149"/>
  <c r="O1878" i="35"/>
  <c r="O64" i="148"/>
  <c r="O661" i="35"/>
  <c r="O675" i="35" s="1"/>
  <c r="O68" i="146"/>
  <c r="O248" i="35"/>
  <c r="O262" i="35" s="1"/>
  <c r="O62" i="145"/>
  <c r="O663" i="35"/>
  <c r="O677" i="35" s="1"/>
  <c r="O70" i="146"/>
  <c r="O1471" i="35"/>
  <c r="O64" i="147"/>
  <c r="O1469" i="35"/>
  <c r="O62" i="147"/>
  <c r="O2290" i="35"/>
  <c r="O69" i="150"/>
  <c r="O1881" i="35"/>
  <c r="O1895" i="35" s="1"/>
  <c r="O67" i="148"/>
  <c r="O251" i="35"/>
  <c r="O265" i="35" s="1"/>
  <c r="O65" i="145"/>
  <c r="O2289" i="35"/>
  <c r="O68" i="150"/>
  <c r="O1062" i="35"/>
  <c r="O62" i="149"/>
  <c r="O256" i="35"/>
  <c r="O270" i="35" s="1"/>
  <c r="O70" i="145"/>
  <c r="O1063" i="35"/>
  <c r="O63" i="149"/>
  <c r="O1477" i="35"/>
  <c r="O70" i="147"/>
  <c r="O250" i="35"/>
  <c r="O264" i="35" s="1"/>
  <c r="O64" i="145"/>
  <c r="O658" i="35"/>
  <c r="O685" i="35" s="1"/>
  <c r="O81" i="146" s="1"/>
  <c r="O65" i="146"/>
  <c r="O1882" i="35"/>
  <c r="O68" i="148"/>
  <c r="O1070" i="35"/>
  <c r="O70" i="149"/>
  <c r="O249" i="35"/>
  <c r="O263" i="35" s="1"/>
  <c r="O63" i="145"/>
  <c r="O1880" i="35"/>
  <c r="O66" i="148"/>
  <c r="O657" i="35"/>
  <c r="O671" i="35" s="1"/>
  <c r="O64" i="146"/>
  <c r="O1068" i="35"/>
  <c r="O68" i="149"/>
  <c r="O1474" i="35"/>
  <c r="O67" i="147"/>
  <c r="O2284" i="35"/>
  <c r="O63" i="150"/>
  <c r="O2283" i="35"/>
  <c r="O62" i="150"/>
  <c r="O1884" i="35"/>
  <c r="O1898" i="35" s="1"/>
  <c r="O70" i="148"/>
  <c r="O253" i="35"/>
  <c r="O267" i="35" s="1"/>
  <c r="O67" i="145"/>
  <c r="O2286" i="35"/>
  <c r="O2300" i="35" s="1"/>
  <c r="O65" i="150"/>
  <c r="O1472" i="35"/>
  <c r="O1486" i="35" s="1"/>
  <c r="O65" i="147"/>
  <c r="O660" i="35"/>
  <c r="O674" i="35" s="1"/>
  <c r="O67" i="146"/>
  <c r="O2287" i="35"/>
  <c r="O2301" i="35" s="1"/>
  <c r="O66" i="150"/>
  <c r="O2291" i="35"/>
  <c r="O2305" i="35" s="1"/>
  <c r="O70" i="150"/>
  <c r="O1065" i="35"/>
  <c r="O65" i="149"/>
  <c r="O1067" i="35"/>
  <c r="O67" i="149"/>
  <c r="O1879" i="35"/>
  <c r="O65" i="148"/>
  <c r="O254" i="35"/>
  <c r="O268" i="35" s="1"/>
  <c r="O68" i="145"/>
  <c r="O252" i="35"/>
  <c r="O266" i="35" s="1"/>
  <c r="O66" i="145"/>
  <c r="O255" i="35"/>
  <c r="O269" i="35" s="1"/>
  <c r="O69" i="145"/>
  <c r="O1069" i="35"/>
  <c r="O69" i="149"/>
  <c r="O57" i="146"/>
  <c r="O57" i="147"/>
  <c r="O57" i="145"/>
  <c r="O57" i="149"/>
  <c r="O57" i="148"/>
  <c r="O57" i="150"/>
  <c r="O1872" i="35"/>
  <c r="O651" i="35"/>
  <c r="O58" i="143"/>
  <c r="O251" i="31"/>
  <c r="O264" i="31" s="1"/>
  <c r="O243" i="31"/>
  <c r="O269" i="31" s="1"/>
  <c r="O80" i="143" s="1"/>
  <c r="O109" i="143" s="1"/>
  <c r="O249" i="31"/>
  <c r="O262" i="31" s="1"/>
  <c r="O244" i="31"/>
  <c r="O257" i="31" s="1"/>
  <c r="O250" i="31"/>
  <c r="O247" i="31"/>
  <c r="O248" i="31"/>
  <c r="O245" i="31"/>
  <c r="O246" i="31"/>
  <c r="O73" i="143"/>
  <c r="O75" i="143" s="1"/>
  <c r="O668" i="35"/>
  <c r="O1875" i="35"/>
  <c r="O2279" i="35"/>
  <c r="O2282" i="35"/>
  <c r="O1465" i="35"/>
  <c r="O1468" i="35"/>
  <c r="O1058" i="35"/>
  <c r="O1061" i="35"/>
  <c r="O239" i="31"/>
  <c r="O242" i="31"/>
  <c r="O244" i="35"/>
  <c r="O247" i="35"/>
  <c r="N64" i="17"/>
  <c r="O71" i="147" l="1"/>
  <c r="O73" i="147" s="1"/>
  <c r="O1903" i="35"/>
  <c r="O78" i="148" s="1"/>
  <c r="O1906" i="35"/>
  <c r="O81" i="148" s="1"/>
  <c r="O1504" i="35"/>
  <c r="O86" i="147" s="1"/>
  <c r="O1078" i="35"/>
  <c r="O1484" i="35"/>
  <c r="O2302" i="35"/>
  <c r="O672" i="35"/>
  <c r="O2303" i="35"/>
  <c r="O669" i="35"/>
  <c r="O1483" i="35"/>
  <c r="O1084" i="35"/>
  <c r="O1080" i="35"/>
  <c r="O71" i="150"/>
  <c r="O73" i="150" s="1"/>
  <c r="O1491" i="35"/>
  <c r="O71" i="148"/>
  <c r="O73" i="148" s="1"/>
  <c r="O2299" i="35"/>
  <c r="O1894" i="35"/>
  <c r="O1081" i="35"/>
  <c r="O1485" i="35"/>
  <c r="O2317" i="35"/>
  <c r="O85" i="150" s="1"/>
  <c r="O1077" i="35"/>
  <c r="O1896" i="35"/>
  <c r="O1892" i="35"/>
  <c r="O1890" i="35"/>
  <c r="O664" i="35"/>
  <c r="O681" i="35" s="1"/>
  <c r="O77" i="146" s="1"/>
  <c r="O1490" i="35"/>
  <c r="O1488" i="35"/>
  <c r="O71" i="149"/>
  <c r="O73" i="149" s="1"/>
  <c r="O71" i="145"/>
  <c r="O73" i="145" s="1"/>
  <c r="O1079" i="35"/>
  <c r="O2304" i="35"/>
  <c r="O1891" i="35"/>
  <c r="O2298" i="35"/>
  <c r="O1083" i="35"/>
  <c r="O1893" i="35"/>
  <c r="O1082" i="35"/>
  <c r="O1076" i="35"/>
  <c r="O71" i="146"/>
  <c r="O73" i="146" s="1"/>
  <c r="O2297" i="35"/>
  <c r="O161" i="143"/>
  <c r="O148" i="143"/>
  <c r="O122" i="143"/>
  <c r="O135" i="143"/>
  <c r="O263" i="31"/>
  <c r="O256" i="31"/>
  <c r="O260" i="31"/>
  <c r="O261" i="31"/>
  <c r="O259" i="31"/>
  <c r="O258" i="31"/>
  <c r="O272" i="31"/>
  <c r="O83" i="143" s="1"/>
  <c r="O112" i="143" s="1"/>
  <c r="O1889" i="35"/>
  <c r="O1885" i="35"/>
  <c r="O2292" i="35"/>
  <c r="O2296" i="35"/>
  <c r="O1478" i="35"/>
  <c r="O1482" i="35"/>
  <c r="O1071" i="35"/>
  <c r="O1075" i="35"/>
  <c r="O257" i="35"/>
  <c r="O261" i="35"/>
  <c r="O271" i="35" s="1"/>
  <c r="O288" i="35" s="1"/>
  <c r="O91" i="145" s="1"/>
  <c r="O252" i="31"/>
  <c r="O268" i="31" s="1"/>
  <c r="O79" i="143" s="1"/>
  <c r="O108" i="143" s="1"/>
  <c r="O255" i="31"/>
  <c r="N65" i="17"/>
  <c r="N66" i="17" s="1"/>
  <c r="N76" i="17"/>
  <c r="N75" i="17"/>
  <c r="B7" i="29"/>
  <c r="D54" i="10" s="1"/>
  <c r="O1902" i="35" l="1"/>
  <c r="O77" i="148" s="1"/>
  <c r="O1905" i="35"/>
  <c r="O80" i="148" s="1"/>
  <c r="O1909" i="35"/>
  <c r="O84" i="148" s="1"/>
  <c r="O1497" i="35"/>
  <c r="O79" i="147" s="1"/>
  <c r="O1501" i="35"/>
  <c r="O83" i="147" s="1"/>
  <c r="O1097" i="35"/>
  <c r="O86" i="149" s="1"/>
  <c r="O1095" i="35"/>
  <c r="O84" i="149" s="1"/>
  <c r="O1092" i="35"/>
  <c r="O81" i="149" s="1"/>
  <c r="O1503" i="35"/>
  <c r="O85" i="147" s="1"/>
  <c r="O1908" i="35"/>
  <c r="O83" i="148" s="1"/>
  <c r="O1500" i="35"/>
  <c r="O82" i="147" s="1"/>
  <c r="O1496" i="35"/>
  <c r="O78" i="147" s="1"/>
  <c r="O1093" i="35"/>
  <c r="O82" i="149" s="1"/>
  <c r="O1910" i="35"/>
  <c r="O85" i="148" s="1"/>
  <c r="O1094" i="35"/>
  <c r="O83" i="149" s="1"/>
  <c r="O1907" i="35"/>
  <c r="O82" i="148" s="1"/>
  <c r="O1502" i="35"/>
  <c r="O84" i="147" s="1"/>
  <c r="O1089" i="35"/>
  <c r="O78" i="149" s="1"/>
  <c r="O1090" i="35"/>
  <c r="O79" i="149" s="1"/>
  <c r="O1904" i="35"/>
  <c r="O79" i="148" s="1"/>
  <c r="O1911" i="35"/>
  <c r="O86" i="148" s="1"/>
  <c r="O1091" i="35"/>
  <c r="O80" i="149" s="1"/>
  <c r="O1096" i="35"/>
  <c r="O85" i="149" s="1"/>
  <c r="O1499" i="35"/>
  <c r="O81" i="147" s="1"/>
  <c r="O1498" i="35"/>
  <c r="O80" i="147" s="1"/>
  <c r="O678" i="35"/>
  <c r="O697" i="35" s="1"/>
  <c r="O93" i="146" s="1"/>
  <c r="O1492" i="35"/>
  <c r="O686" i="35"/>
  <c r="O82" i="146" s="1"/>
  <c r="O684" i="35"/>
  <c r="O80" i="146" s="1"/>
  <c r="O690" i="35"/>
  <c r="O86" i="146" s="1"/>
  <c r="O687" i="35"/>
  <c r="O83" i="146" s="1"/>
  <c r="O683" i="35"/>
  <c r="O79" i="146" s="1"/>
  <c r="O689" i="35"/>
  <c r="O85" i="146" s="1"/>
  <c r="O1085" i="35"/>
  <c r="O2306" i="35"/>
  <c r="O2329" i="35" s="1"/>
  <c r="O97" i="150" s="1"/>
  <c r="O688" i="35"/>
  <c r="O84" i="146" s="1"/>
  <c r="O1899" i="35"/>
  <c r="O164" i="143"/>
  <c r="O151" i="143"/>
  <c r="O160" i="143"/>
  <c r="O147" i="143"/>
  <c r="O125" i="143"/>
  <c r="O138" i="143"/>
  <c r="O121" i="143"/>
  <c r="O134" i="143"/>
  <c r="O265" i="31"/>
  <c r="O289" i="31" s="1"/>
  <c r="O101" i="143" s="1"/>
  <c r="C173" i="143"/>
  <c r="C140" i="144"/>
  <c r="O2316" i="35"/>
  <c r="O84" i="150" s="1"/>
  <c r="O2315" i="35"/>
  <c r="O83" i="150" s="1"/>
  <c r="O291" i="35"/>
  <c r="O94" i="145" s="1"/>
  <c r="O274" i="35"/>
  <c r="O77" i="145" s="1"/>
  <c r="O275" i="35"/>
  <c r="O78" i="145" s="1"/>
  <c r="O295" i="35"/>
  <c r="O98" i="145" s="1"/>
  <c r="O287" i="35"/>
  <c r="O90" i="145" s="1"/>
  <c r="O293" i="35"/>
  <c r="O96" i="145" s="1"/>
  <c r="O292" i="35"/>
  <c r="O95" i="145" s="1"/>
  <c r="O290" i="35"/>
  <c r="O93" i="145" s="1"/>
  <c r="O294" i="35"/>
  <c r="O97" i="145" s="1"/>
  <c r="O296" i="35"/>
  <c r="O99" i="145" s="1"/>
  <c r="O281" i="35"/>
  <c r="O84" i="145" s="1"/>
  <c r="O283" i="35"/>
  <c r="O86" i="145" s="1"/>
  <c r="O280" i="35"/>
  <c r="O83" i="145" s="1"/>
  <c r="O278" i="35"/>
  <c r="O81" i="145" s="1"/>
  <c r="O276" i="35"/>
  <c r="O79" i="145" s="1"/>
  <c r="O279" i="35"/>
  <c r="O82" i="145" s="1"/>
  <c r="O282" i="35"/>
  <c r="O85" i="145" s="1"/>
  <c r="O277" i="35"/>
  <c r="O80" i="145" s="1"/>
  <c r="O289" i="35"/>
  <c r="O92" i="145" s="1"/>
  <c r="O2309" i="35"/>
  <c r="O77" i="150" s="1"/>
  <c r="O1495" i="35"/>
  <c r="O277" i="31"/>
  <c r="O88" i="143" s="1"/>
  <c r="O117" i="143" s="1"/>
  <c r="O275" i="31"/>
  <c r="O86" i="143" s="1"/>
  <c r="O115" i="143" s="1"/>
  <c r="O273" i="31"/>
  <c r="O84" i="143" s="1"/>
  <c r="O113" i="143" s="1"/>
  <c r="O276" i="31"/>
  <c r="O87" i="143" s="1"/>
  <c r="O116" i="143" s="1"/>
  <c r="O271" i="31"/>
  <c r="O82" i="143" s="1"/>
  <c r="O111" i="143" s="1"/>
  <c r="O274" i="31"/>
  <c r="O85" i="143" s="1"/>
  <c r="O114" i="143" s="1"/>
  <c r="O270" i="31"/>
  <c r="O81" i="143" s="1"/>
  <c r="O1088" i="35"/>
  <c r="N77" i="17"/>
  <c r="O288" i="31" l="1"/>
  <c r="O100" i="143" s="1"/>
  <c r="O282" i="31"/>
  <c r="O94" i="143" s="1"/>
  <c r="O287" i="31"/>
  <c r="O99" i="143" s="1"/>
  <c r="O283" i="31"/>
  <c r="O95" i="143" s="1"/>
  <c r="O285" i="31"/>
  <c r="O97" i="143" s="1"/>
  <c r="O1924" i="35"/>
  <c r="O99" i="148" s="1"/>
  <c r="O1917" i="35"/>
  <c r="O92" i="148" s="1"/>
  <c r="O1920" i="35"/>
  <c r="O95" i="148" s="1"/>
  <c r="O1923" i="35"/>
  <c r="O98" i="148" s="1"/>
  <c r="O1921" i="35"/>
  <c r="O96" i="148" s="1"/>
  <c r="O1918" i="35"/>
  <c r="O93" i="148" s="1"/>
  <c r="O1919" i="35"/>
  <c r="O94" i="148" s="1"/>
  <c r="O1916" i="35"/>
  <c r="O91" i="148" s="1"/>
  <c r="O1915" i="35"/>
  <c r="O1922" i="35"/>
  <c r="O97" i="148" s="1"/>
  <c r="O1510" i="35"/>
  <c r="O92" i="147" s="1"/>
  <c r="O1517" i="35"/>
  <c r="O99" i="147" s="1"/>
  <c r="O1515" i="35"/>
  <c r="O97" i="147" s="1"/>
  <c r="O1511" i="35"/>
  <c r="O93" i="147" s="1"/>
  <c r="O1508" i="35"/>
  <c r="O1513" i="35"/>
  <c r="O95" i="147" s="1"/>
  <c r="O1512" i="35"/>
  <c r="O94" i="147" s="1"/>
  <c r="O1509" i="35"/>
  <c r="O91" i="147" s="1"/>
  <c r="O1516" i="35"/>
  <c r="O98" i="147" s="1"/>
  <c r="O1514" i="35"/>
  <c r="O96" i="147" s="1"/>
  <c r="O1101" i="35"/>
  <c r="O1110" i="35"/>
  <c r="O99" i="149" s="1"/>
  <c r="O1105" i="35"/>
  <c r="O94" i="149" s="1"/>
  <c r="O1109" i="35"/>
  <c r="O98" i="149" s="1"/>
  <c r="O1104" i="35"/>
  <c r="O93" i="149" s="1"/>
  <c r="O1103" i="35"/>
  <c r="O92" i="149" s="1"/>
  <c r="O1102" i="35"/>
  <c r="O91" i="149" s="1"/>
  <c r="O1107" i="35"/>
  <c r="O96" i="149" s="1"/>
  <c r="O1106" i="35"/>
  <c r="O95" i="149" s="1"/>
  <c r="O1108" i="35"/>
  <c r="O97" i="149" s="1"/>
  <c r="O286" i="31"/>
  <c r="O98" i="143" s="1"/>
  <c r="O701" i="35"/>
  <c r="O97" i="146" s="1"/>
  <c r="O281" i="31"/>
  <c r="O93" i="143" s="1"/>
  <c r="O702" i="35"/>
  <c r="O98" i="146" s="1"/>
  <c r="O2328" i="35"/>
  <c r="O96" i="150" s="1"/>
  <c r="O2324" i="35"/>
  <c r="O92" i="150" s="1"/>
  <c r="O2327" i="35"/>
  <c r="O95" i="150" s="1"/>
  <c r="O2326" i="35"/>
  <c r="O94" i="150" s="1"/>
  <c r="O2323" i="35"/>
  <c r="O91" i="150" s="1"/>
  <c r="O2322" i="35"/>
  <c r="O90" i="150" s="1"/>
  <c r="O2331" i="35"/>
  <c r="O99" i="150" s="1"/>
  <c r="O694" i="35"/>
  <c r="O90" i="146" s="1"/>
  <c r="O698" i="35"/>
  <c r="O94" i="146" s="1"/>
  <c r="O703" i="35"/>
  <c r="O99" i="146" s="1"/>
  <c r="O87" i="148"/>
  <c r="O1912" i="35"/>
  <c r="O2318" i="35"/>
  <c r="O86" i="150" s="1"/>
  <c r="O2311" i="35"/>
  <c r="O79" i="150" s="1"/>
  <c r="O100" i="145"/>
  <c r="O2314" i="35"/>
  <c r="O82" i="150" s="1"/>
  <c r="O2313" i="35"/>
  <c r="O81" i="150" s="1"/>
  <c r="O2310" i="35"/>
  <c r="O78" i="150" s="1"/>
  <c r="O2330" i="35"/>
  <c r="O98" i="150" s="1"/>
  <c r="O696" i="35"/>
  <c r="O92" i="146" s="1"/>
  <c r="O699" i="35"/>
  <c r="O95" i="146" s="1"/>
  <c r="O2325" i="35"/>
  <c r="O284" i="31"/>
  <c r="O96" i="143" s="1"/>
  <c r="O87" i="146"/>
  <c r="O1505" i="35"/>
  <c r="O77" i="147"/>
  <c r="O87" i="147" s="1"/>
  <c r="O1098" i="35"/>
  <c r="O77" i="149"/>
  <c r="O87" i="149" s="1"/>
  <c r="O87" i="145"/>
  <c r="O695" i="35"/>
  <c r="O91" i="146" s="1"/>
  <c r="O700" i="35"/>
  <c r="O96" i="146" s="1"/>
  <c r="O691" i="35"/>
  <c r="O149" i="143"/>
  <c r="O110" i="143"/>
  <c r="O118" i="143" s="1"/>
  <c r="O166" i="143"/>
  <c r="O153" i="143"/>
  <c r="O168" i="143"/>
  <c r="O155" i="143"/>
  <c r="O165" i="143"/>
  <c r="O152" i="143"/>
  <c r="O163" i="143"/>
  <c r="O150" i="143"/>
  <c r="O169" i="143"/>
  <c r="O156" i="143"/>
  <c r="O167" i="143"/>
  <c r="O154" i="143"/>
  <c r="O136" i="143"/>
  <c r="O162" i="143"/>
  <c r="O130" i="143"/>
  <c r="O143" i="143"/>
  <c r="O128" i="143"/>
  <c r="O141" i="143"/>
  <c r="O124" i="143"/>
  <c r="O137" i="143"/>
  <c r="O127" i="143"/>
  <c r="O140" i="143"/>
  <c r="O129" i="143"/>
  <c r="O142" i="143"/>
  <c r="O126" i="143"/>
  <c r="O139" i="143"/>
  <c r="O123" i="143"/>
  <c r="O89" i="143"/>
  <c r="O290" i="31"/>
  <c r="O297" i="35"/>
  <c r="O284" i="35"/>
  <c r="O278" i="31"/>
  <c r="M84" i="37"/>
  <c r="M82" i="37"/>
  <c r="M83" i="37"/>
  <c r="M85" i="37"/>
  <c r="M78" i="37"/>
  <c r="D2222" i="35"/>
  <c r="D1001" i="35"/>
  <c r="D1815" i="35"/>
  <c r="D1408" i="35"/>
  <c r="D594" i="35"/>
  <c r="D187" i="35"/>
  <c r="D2220" i="35"/>
  <c r="D999" i="35"/>
  <c r="D1813" i="35"/>
  <c r="D1406" i="35"/>
  <c r="D592" i="35"/>
  <c r="D185" i="35"/>
  <c r="D184" i="19"/>
  <c r="D167" i="19"/>
  <c r="D166" i="19"/>
  <c r="C12" i="17"/>
  <c r="O90" i="148" l="1"/>
  <c r="O100" i="148" s="1"/>
  <c r="O1925" i="35"/>
  <c r="O90" i="147"/>
  <c r="O100" i="147" s="1"/>
  <c r="O1518" i="35"/>
  <c r="O90" i="149"/>
  <c r="O100" i="149" s="1"/>
  <c r="O1111" i="35"/>
  <c r="O100" i="146"/>
  <c r="O2312" i="35"/>
  <c r="O80" i="150" s="1"/>
  <c r="O87" i="150" s="1"/>
  <c r="O93" i="150"/>
  <c r="O100" i="150" s="1"/>
  <c r="O704" i="35"/>
  <c r="O2332" i="35"/>
  <c r="O170" i="143"/>
  <c r="O157" i="143"/>
  <c r="O144" i="143"/>
  <c r="O131" i="143"/>
  <c r="O291" i="31"/>
  <c r="O102" i="143"/>
  <c r="O103" i="143" s="1"/>
  <c r="M86" i="37"/>
  <c r="M73" i="37"/>
  <c r="M77" i="37"/>
  <c r="O2319" i="35" l="1"/>
  <c r="M79" i="37"/>
  <c r="M74" i="37"/>
  <c r="M88" i="37" l="1"/>
  <c r="H2319" i="35" l="1"/>
  <c r="H1098" i="35"/>
  <c r="H1912" i="35"/>
  <c r="H1505" i="35"/>
  <c r="H691" i="35"/>
  <c r="H284" i="35"/>
  <c r="H278" i="31"/>
  <c r="C28" i="15"/>
  <c r="H396" i="37" s="1"/>
  <c r="C29" i="15"/>
  <c r="C35" i="51"/>
  <c r="L394" i="17" l="1"/>
  <c r="K394" i="17"/>
  <c r="J394" i="17"/>
  <c r="L2580" i="33"/>
  <c r="L1955" i="33"/>
  <c r="L3165" i="33"/>
  <c r="L776" i="33"/>
  <c r="J1598" i="33"/>
  <c r="J418" i="33"/>
  <c r="L145" i="29"/>
  <c r="D37" i="32"/>
  <c r="D38" i="32"/>
  <c r="L159" i="17"/>
  <c r="K418" i="33"/>
  <c r="K1011" i="33"/>
  <c r="L1011" i="33"/>
  <c r="L2190" i="33"/>
  <c r="K1598" i="33"/>
  <c r="L2782" i="33"/>
  <c r="K2190" i="33"/>
  <c r="L3367" i="33"/>
  <c r="K2782" i="33"/>
  <c r="L1396" i="33"/>
  <c r="K3367" i="33"/>
  <c r="L1723" i="33"/>
  <c r="L1598" i="33"/>
  <c r="L1136" i="33"/>
  <c r="L418" i="33"/>
  <c r="L1429" i="33"/>
  <c r="L543" i="33"/>
  <c r="L2315" i="33"/>
  <c r="L2907" i="33"/>
  <c r="L3132" i="33"/>
  <c r="L3492" i="33"/>
  <c r="L249" i="33"/>
  <c r="J1011" i="33"/>
  <c r="L842" i="33"/>
  <c r="J2190" i="33"/>
  <c r="L2021" i="33"/>
  <c r="J2782" i="33"/>
  <c r="L2613" i="33"/>
  <c r="L2547" i="33"/>
  <c r="L3198" i="33"/>
  <c r="J3367" i="33"/>
  <c r="L216" i="33"/>
  <c r="K380" i="29"/>
  <c r="L1363" i="33"/>
  <c r="L809" i="33"/>
  <c r="L380" i="29"/>
  <c r="L183" i="33"/>
  <c r="L1988" i="33"/>
  <c r="L505" i="29"/>
  <c r="L211" i="29"/>
  <c r="L178" i="29"/>
  <c r="J380" i="29"/>
  <c r="L225" i="17"/>
  <c r="L192" i="17"/>
  <c r="H213" i="14"/>
  <c r="D283" i="19" l="1"/>
  <c r="D253" i="19"/>
  <c r="D278" i="31" l="1"/>
  <c r="D265" i="31"/>
  <c r="D252" i="31"/>
  <c r="D239" i="31"/>
  <c r="D301" i="20"/>
  <c r="N69" i="37" l="1"/>
  <c r="D2319" i="35"/>
  <c r="D1098" i="35"/>
  <c r="D1912" i="35"/>
  <c r="D1505" i="35"/>
  <c r="D691" i="35"/>
  <c r="D284" i="35"/>
  <c r="D2292" i="35"/>
  <c r="D1071" i="35"/>
  <c r="D1885" i="35"/>
  <c r="D1478" i="35"/>
  <c r="D664" i="35"/>
  <c r="D257" i="35"/>
  <c r="D2279" i="35"/>
  <c r="D1058" i="35"/>
  <c r="D1872" i="35"/>
  <c r="D1465" i="35"/>
  <c r="D651" i="35"/>
  <c r="D244" i="35"/>
  <c r="N70" i="37" l="1"/>
  <c r="N245" i="110"/>
  <c r="N299" i="111" s="1"/>
  <c r="D213" i="20"/>
  <c r="D200" i="20"/>
  <c r="D203" i="14"/>
  <c r="D183" i="14"/>
  <c r="D141" i="14"/>
  <c r="C14" i="20" l="1"/>
  <c r="I330" i="37" l="1"/>
  <c r="D2280" i="36"/>
  <c r="J2469" i="33"/>
  <c r="O677" i="33"/>
  <c r="L103" i="29"/>
  <c r="J102" i="29"/>
  <c r="L3077" i="33"/>
  <c r="L2493" i="33"/>
  <c r="L1901" i="33"/>
  <c r="L1312" i="33"/>
  <c r="L723" i="33"/>
  <c r="L133" i="33"/>
  <c r="L111" i="17"/>
  <c r="N84" i="37" l="1"/>
  <c r="N85" i="37"/>
  <c r="N83" i="37"/>
  <c r="N82" i="37"/>
  <c r="N78" i="37"/>
  <c r="K385" i="37"/>
  <c r="L385" i="37"/>
  <c r="M385" i="37"/>
  <c r="N385" i="37"/>
  <c r="O385" i="37"/>
  <c r="J385" i="37"/>
  <c r="L115" i="17"/>
  <c r="L1907" i="33"/>
  <c r="L1908" i="33"/>
  <c r="L2498" i="33"/>
  <c r="L2496" i="33"/>
  <c r="L114" i="17"/>
  <c r="L2500" i="33"/>
  <c r="L120" i="17"/>
  <c r="L116" i="17"/>
  <c r="L1903" i="33"/>
  <c r="O101" i="33"/>
  <c r="L1902" i="33"/>
  <c r="L2497" i="33"/>
  <c r="L118" i="17"/>
  <c r="L1905" i="33"/>
  <c r="L1909" i="33"/>
  <c r="L119" i="17"/>
  <c r="L1906" i="33"/>
  <c r="L117" i="17"/>
  <c r="O102" i="33"/>
  <c r="L2494" i="33"/>
  <c r="L120" i="29"/>
  <c r="L121" i="29" s="1"/>
  <c r="L121" i="17"/>
  <c r="L1910" i="33"/>
  <c r="L2499" i="33"/>
  <c r="L2495" i="33"/>
  <c r="L113" i="17"/>
  <c r="D44" i="32"/>
  <c r="D43" i="32"/>
  <c r="B12" i="144" s="1"/>
  <c r="C176" i="143" s="1"/>
  <c r="D46" i="32"/>
  <c r="L1904" i="33"/>
  <c r="D940" i="36"/>
  <c r="J1882" i="33"/>
  <c r="L102" i="29"/>
  <c r="J3092" i="33"/>
  <c r="D1385" i="36"/>
  <c r="L3076" i="33"/>
  <c r="J722" i="33"/>
  <c r="D939" i="36"/>
  <c r="O1866" i="33"/>
  <c r="L1313" i="33"/>
  <c r="L1314" i="33"/>
  <c r="L1315" i="33"/>
  <c r="J1327" i="33"/>
  <c r="J663" i="33"/>
  <c r="J1256" i="33"/>
  <c r="J746" i="33"/>
  <c r="L1311" i="33"/>
  <c r="J1843" i="33"/>
  <c r="J2453" i="33"/>
  <c r="M2469" i="33"/>
  <c r="J2492" i="33"/>
  <c r="M2512" i="33"/>
  <c r="D1832" i="36"/>
  <c r="D1831" i="36"/>
  <c r="J2435" i="33"/>
  <c r="O2435" i="33"/>
  <c r="J2512" i="33"/>
  <c r="O2453" i="33"/>
  <c r="D1833" i="36"/>
  <c r="D1834" i="36"/>
  <c r="L2492" i="33"/>
  <c r="J3076" i="33"/>
  <c r="M3062" i="33"/>
  <c r="J3046" i="33"/>
  <c r="D2279" i="36"/>
  <c r="J1922" i="33"/>
  <c r="L1900" i="33"/>
  <c r="J1291" i="33"/>
  <c r="O1275" i="33"/>
  <c r="O3027" i="33"/>
  <c r="D1384" i="36"/>
  <c r="D2278" i="36"/>
  <c r="M1327" i="33"/>
  <c r="J3062" i="33"/>
  <c r="D938" i="36"/>
  <c r="M1922" i="33"/>
  <c r="J1311" i="33"/>
  <c r="M1291" i="33"/>
  <c r="J1275" i="33"/>
  <c r="J3027" i="33"/>
  <c r="D937" i="36"/>
  <c r="O3046" i="33"/>
  <c r="J1900" i="33"/>
  <c r="M1882" i="33"/>
  <c r="J1866" i="33"/>
  <c r="O1256" i="33"/>
  <c r="D1387" i="36"/>
  <c r="D2281" i="36"/>
  <c r="M3092" i="33"/>
  <c r="O1843" i="33"/>
  <c r="D1386" i="36"/>
  <c r="J677" i="33"/>
  <c r="D492" i="36"/>
  <c r="L722" i="33"/>
  <c r="D493" i="36"/>
  <c r="J693" i="33"/>
  <c r="D491" i="36"/>
  <c r="M746" i="33"/>
  <c r="O663" i="33"/>
  <c r="D490" i="36"/>
  <c r="M693" i="33"/>
  <c r="D45" i="32"/>
  <c r="L86" i="29"/>
  <c r="J86" i="29"/>
  <c r="J119" i="29"/>
  <c r="N59" i="29"/>
  <c r="L119" i="29"/>
  <c r="N71" i="29"/>
  <c r="J71" i="29"/>
  <c r="M150" i="33"/>
  <c r="J114" i="33"/>
  <c r="M114" i="33"/>
  <c r="J86" i="33"/>
  <c r="J150" i="33"/>
  <c r="D44" i="36"/>
  <c r="D43" i="36"/>
  <c r="O86" i="33"/>
  <c r="J132" i="33"/>
  <c r="J99" i="33"/>
  <c r="L132" i="33"/>
  <c r="O99" i="33"/>
  <c r="D46" i="36"/>
  <c r="D45" i="36"/>
  <c r="O89" i="33"/>
  <c r="O88" i="33"/>
  <c r="L3078" i="33"/>
  <c r="L3079" i="33"/>
  <c r="L3080" i="33"/>
  <c r="J111" i="17"/>
  <c r="D47" i="18"/>
  <c r="J73" i="17"/>
  <c r="N62" i="17"/>
  <c r="N73" i="17"/>
  <c r="D46" i="18"/>
  <c r="D45" i="18"/>
  <c r="D44" i="18"/>
  <c r="B11" i="142" s="1"/>
  <c r="L88" i="17"/>
  <c r="J88" i="17"/>
  <c r="J62" i="17"/>
  <c r="B12" i="153" l="1"/>
  <c r="C106" i="147" s="1"/>
  <c r="B12" i="156"/>
  <c r="C106" i="150" s="1"/>
  <c r="B12" i="154"/>
  <c r="C106" i="148" s="1"/>
  <c r="B12" i="155"/>
  <c r="C106" i="149" s="1"/>
  <c r="B12" i="151"/>
  <c r="C106" i="145" s="1"/>
  <c r="B12" i="152"/>
  <c r="C106" i="146" s="1"/>
  <c r="N86" i="37"/>
  <c r="N73" i="37"/>
  <c r="N77" i="37"/>
  <c r="D393" i="19"/>
  <c r="D394" i="19"/>
  <c r="D336" i="19"/>
  <c r="D339" i="19"/>
  <c r="D338" i="19"/>
  <c r="D2446" i="35"/>
  <c r="D2443" i="35"/>
  <c r="D2447" i="35"/>
  <c r="D2442" i="35"/>
  <c r="D814" i="35"/>
  <c r="D819" i="35"/>
  <c r="D818" i="35"/>
  <c r="D815" i="35"/>
  <c r="D1221" i="35"/>
  <c r="D1222" i="35"/>
  <c r="D1225" i="35"/>
  <c r="D1226" i="35"/>
  <c r="D2035" i="35"/>
  <c r="D2036" i="35"/>
  <c r="D2039" i="35"/>
  <c r="D2040" i="35"/>
  <c r="D400" i="31"/>
  <c r="D347" i="31"/>
  <c r="D401" i="31"/>
  <c r="D411" i="35"/>
  <c r="D412" i="35"/>
  <c r="D407" i="35"/>
  <c r="D408" i="35"/>
  <c r="D1633" i="35"/>
  <c r="D1628" i="35"/>
  <c r="D1629" i="35"/>
  <c r="D1632" i="35"/>
  <c r="D2427" i="35"/>
  <c r="D2439" i="35"/>
  <c r="D2402" i="35"/>
  <c r="D2414" i="35"/>
  <c r="D2007" i="35"/>
  <c r="D2020" i="35"/>
  <c r="D2032" i="35"/>
  <c r="D1995" i="35"/>
  <c r="D1625" i="35"/>
  <c r="D1600" i="35"/>
  <c r="D1613" i="35"/>
  <c r="D1588" i="35"/>
  <c r="D1206" i="35"/>
  <c r="D1193" i="35"/>
  <c r="D1218" i="35"/>
  <c r="D1181" i="35"/>
  <c r="D811" i="35"/>
  <c r="D774" i="35"/>
  <c r="D786" i="35"/>
  <c r="D799" i="35"/>
  <c r="D386" i="31"/>
  <c r="D361" i="31"/>
  <c r="D373" i="31"/>
  <c r="D352" i="19"/>
  <c r="D391" i="19"/>
  <c r="D378" i="19"/>
  <c r="D365" i="19"/>
  <c r="D404" i="35"/>
  <c r="D367" i="35"/>
  <c r="D392" i="35"/>
  <c r="D379" i="35"/>
  <c r="L1316" i="33"/>
  <c r="G228" i="37" s="1"/>
  <c r="M1316" i="33"/>
  <c r="M1317" i="33" s="1"/>
  <c r="M1318" i="33" s="1"/>
  <c r="N1316" i="33"/>
  <c r="O90" i="33"/>
  <c r="O103" i="33"/>
  <c r="N3081" i="33"/>
  <c r="L2501" i="33"/>
  <c r="G227" i="37" s="1"/>
  <c r="M3081" i="33"/>
  <c r="L1911" i="33"/>
  <c r="G229" i="37" s="1"/>
  <c r="L3081" i="33"/>
  <c r="G230" i="37" s="1"/>
  <c r="L122" i="17"/>
  <c r="G223" i="37" s="1"/>
  <c r="G250" i="37" l="1"/>
  <c r="D100" i="37"/>
  <c r="D155" i="37" s="1"/>
  <c r="D280" i="37"/>
  <c r="D284" i="37"/>
  <c r="D106" i="37"/>
  <c r="D161" i="37" s="1"/>
  <c r="D101" i="37"/>
  <c r="D281" i="37"/>
  <c r="D108" i="37"/>
  <c r="D163" i="37" s="1"/>
  <c r="D285" i="37"/>
  <c r="G252" i="37"/>
  <c r="G251" i="37"/>
  <c r="G253" i="37"/>
  <c r="G246" i="37"/>
  <c r="D283" i="37"/>
  <c r="D105" i="37"/>
  <c r="D107" i="37"/>
  <c r="D162" i="37" s="1"/>
  <c r="D282" i="37"/>
  <c r="N79" i="37"/>
  <c r="N74" i="37"/>
  <c r="M2501" i="33"/>
  <c r="M2502" i="33" s="1"/>
  <c r="M2503" i="33" s="1"/>
  <c r="M108" i="29"/>
  <c r="M109" i="29" s="1"/>
  <c r="M1911" i="33"/>
  <c r="M1912" i="33" s="1"/>
  <c r="M1913" i="33" s="1"/>
  <c r="M736" i="33"/>
  <c r="M737" i="33" s="1"/>
  <c r="N108" i="29"/>
  <c r="N109" i="29" s="1"/>
  <c r="N736" i="33"/>
  <c r="N737" i="33" s="1"/>
  <c r="N2501" i="33"/>
  <c r="N2502" i="33" s="1"/>
  <c r="N2503" i="33" s="1"/>
  <c r="N1911" i="33"/>
  <c r="N1912" i="33" s="1"/>
  <c r="N1913" i="33" s="1"/>
  <c r="N140" i="33"/>
  <c r="M140" i="33"/>
  <c r="M141" i="33" s="1"/>
  <c r="N3082" i="33"/>
  <c r="N3083" i="33" s="1"/>
  <c r="N1317" i="33"/>
  <c r="N1318" i="33" s="1"/>
  <c r="M3082" i="33"/>
  <c r="M3083" i="33" s="1"/>
  <c r="M122" i="17"/>
  <c r="M123" i="17" s="1"/>
  <c r="M124" i="17" s="1"/>
  <c r="N122" i="17"/>
  <c r="N123" i="17" s="1"/>
  <c r="N124" i="17" s="1"/>
  <c r="D322" i="37" l="1"/>
  <c r="D251" i="37"/>
  <c r="D228" i="37"/>
  <c r="D156" i="37"/>
  <c r="D323" i="37"/>
  <c r="D252" i="37"/>
  <c r="D229" i="37"/>
  <c r="D248" i="37"/>
  <c r="D319" i="37"/>
  <c r="D225" i="37"/>
  <c r="D321" i="37"/>
  <c r="D250" i="37"/>
  <c r="D227" i="37"/>
  <c r="D324" i="37"/>
  <c r="D253" i="37"/>
  <c r="D230" i="37"/>
  <c r="D160" i="37"/>
  <c r="D320" i="37"/>
  <c r="D249" i="37"/>
  <c r="D226" i="37"/>
  <c r="N88" i="37"/>
  <c r="N141" i="33"/>
  <c r="H19" i="4" l="1"/>
  <c r="H18" i="4"/>
  <c r="B13" i="21" l="1"/>
  <c r="C125" i="142" l="1"/>
  <c r="C239" i="140"/>
  <c r="C132" i="17"/>
  <c r="O69" i="37" l="1"/>
  <c r="O70" i="37" s="1"/>
  <c r="I69" i="37" l="1"/>
  <c r="I70" i="37"/>
  <c r="O245" i="110"/>
  <c r="O299" i="111" s="1"/>
  <c r="C18" i="41"/>
  <c r="H314" i="37" l="1"/>
  <c r="H59" i="37" l="1"/>
  <c r="H58" i="37"/>
  <c r="D471" i="37"/>
  <c r="D470" i="37"/>
  <c r="D473" i="37"/>
  <c r="D469" i="37"/>
  <c r="D382" i="37"/>
  <c r="D377" i="37"/>
  <c r="D367" i="37"/>
  <c r="D354" i="37"/>
  <c r="D349" i="37"/>
  <c r="D339" i="37"/>
  <c r="D397" i="37"/>
  <c r="D395" i="37"/>
  <c r="D312" i="37"/>
  <c r="C233" i="37" l="1"/>
  <c r="D236" i="37" s="1"/>
  <c r="D244" i="37"/>
  <c r="D254" i="37" s="1"/>
  <c r="D235" i="37" s="1"/>
  <c r="D238" i="37"/>
  <c r="D242" i="37" s="1"/>
  <c r="D234" i="37" s="1"/>
  <c r="C209" i="37"/>
  <c r="D212" i="37" s="1"/>
  <c r="D231" i="37"/>
  <c r="D211" i="37" s="1"/>
  <c r="D38" i="37"/>
  <c r="D293" i="37"/>
  <c r="D39" i="37"/>
  <c r="D294" i="37"/>
  <c r="D37" i="37"/>
  <c r="D292" i="37"/>
  <c r="D20" i="37"/>
  <c r="D273" i="37"/>
  <c r="D19" i="37"/>
  <c r="D272" i="37"/>
  <c r="D21" i="37"/>
  <c r="D274" i="37"/>
  <c r="D290" i="37"/>
  <c r="C269" i="37"/>
  <c r="C289" i="37"/>
  <c r="D270" i="37"/>
  <c r="D275" i="37" s="1"/>
  <c r="O82" i="37" l="1"/>
  <c r="O78" i="37"/>
  <c r="I78" i="37" s="1"/>
  <c r="O85" i="37"/>
  <c r="O84" i="37"/>
  <c r="O83" i="37"/>
  <c r="D240" i="37"/>
  <c r="D217" i="37"/>
  <c r="D218" i="37"/>
  <c r="D241" i="37"/>
  <c r="D216" i="37"/>
  <c r="D239" i="37"/>
  <c r="I16" i="37"/>
  <c r="I34" i="37"/>
  <c r="D18" i="37"/>
  <c r="D58" i="37" s="1"/>
  <c r="D42" i="37"/>
  <c r="D24" i="37"/>
  <c r="D59" i="37" s="1"/>
  <c r="D36" i="37"/>
  <c r="D384" i="37"/>
  <c r="C332" i="37"/>
  <c r="C360" i="37"/>
  <c r="C404" i="37"/>
  <c r="D431" i="37" s="1"/>
  <c r="C433" i="37"/>
  <c r="D460" i="37" s="1"/>
  <c r="C34" i="37"/>
  <c r="D49" i="37" s="1"/>
  <c r="C16" i="37"/>
  <c r="D32" i="37" s="1"/>
  <c r="D358" i="37"/>
  <c r="D386" i="37"/>
  <c r="D356" i="37"/>
  <c r="I84" i="37" l="1"/>
  <c r="I83" i="37"/>
  <c r="I85" i="37"/>
  <c r="O77" i="37"/>
  <c r="O86" i="37"/>
  <c r="I86" i="37" s="1"/>
  <c r="I82" i="37"/>
  <c r="O73" i="37"/>
  <c r="N6" i="4"/>
  <c r="K6" i="91"/>
  <c r="M6" i="91"/>
  <c r="N7" i="4"/>
  <c r="D197" i="37"/>
  <c r="O79" i="37" l="1"/>
  <c r="I79" i="37" s="1"/>
  <c r="I77" i="37"/>
  <c r="O74" i="37"/>
  <c r="I73" i="37"/>
  <c r="I1759" i="33"/>
  <c r="K57" i="10" s="1"/>
  <c r="M57" i="10" s="1"/>
  <c r="I1172" i="33"/>
  <c r="K56" i="10" s="1"/>
  <c r="M56" i="10" s="1"/>
  <c r="O88" i="37" l="1"/>
  <c r="I88" i="37" s="1"/>
  <c r="I74" i="37"/>
  <c r="I3528" i="33"/>
  <c r="K60" i="10" s="1"/>
  <c r="M60" i="10" s="1"/>
  <c r="D99" i="37"/>
  <c r="D102" i="37" s="1"/>
  <c r="D95" i="37"/>
  <c r="D97" i="37" s="1"/>
  <c r="D91" i="37"/>
  <c r="D93" i="37" s="1"/>
  <c r="D104" i="37"/>
  <c r="D109" i="37" s="1"/>
  <c r="D115" i="37"/>
  <c r="D136" i="37" s="1"/>
  <c r="C181" i="37"/>
  <c r="I181" i="37"/>
  <c r="I171" i="37"/>
  <c r="C113" i="37"/>
  <c r="I113" i="37"/>
  <c r="I90" i="37"/>
  <c r="C171" i="37"/>
  <c r="C90" i="37"/>
  <c r="D111" i="37" s="1"/>
  <c r="C2334" i="35"/>
  <c r="D1940" i="35"/>
  <c r="C1927" i="35"/>
  <c r="D1533" i="35"/>
  <c r="C1520" i="35"/>
  <c r="D719" i="35"/>
  <c r="C706" i="35"/>
  <c r="D1126" i="35"/>
  <c r="C1113" i="35"/>
  <c r="U143" i="29"/>
  <c r="I540" i="29" s="1"/>
  <c r="D1574" i="35"/>
  <c r="D1575" i="35"/>
  <c r="D1572" i="35"/>
  <c r="D1167" i="35"/>
  <c r="D1168" i="35"/>
  <c r="D1165" i="35"/>
  <c r="D761" i="35"/>
  <c r="D758" i="35"/>
  <c r="D760" i="35"/>
  <c r="D2388" i="35"/>
  <c r="D2389" i="35"/>
  <c r="D2386" i="35"/>
  <c r="D1982" i="35"/>
  <c r="D1981" i="35"/>
  <c r="D1979" i="35"/>
  <c r="D2347" i="35"/>
  <c r="I2943" i="33" l="1"/>
  <c r="K59" i="10" s="1"/>
  <c r="M59" i="10" s="1"/>
  <c r="I2351" i="33"/>
  <c r="K58" i="10" s="1"/>
  <c r="M58" i="10" s="1"/>
  <c r="I541" i="29"/>
  <c r="K54" i="10" s="1"/>
  <c r="M54" i="10" s="1"/>
  <c r="I579" i="33"/>
  <c r="K55" i="10" s="1"/>
  <c r="M55" i="10" s="1"/>
  <c r="C299" i="35"/>
  <c r="D348" i="31"/>
  <c r="D179" i="37"/>
  <c r="D189" i="37"/>
  <c r="C297" i="19"/>
  <c r="C293" i="31"/>
  <c r="D306" i="31"/>
  <c r="D398" i="31"/>
  <c r="D345" i="31"/>
  <c r="D354" i="35"/>
  <c r="D353" i="35"/>
  <c r="D351" i="35"/>
  <c r="D312" i="35"/>
  <c r="I523" i="17" l="1"/>
  <c r="K53" i="10" s="1"/>
  <c r="M53" i="10" s="1"/>
  <c r="C1179" i="34"/>
  <c r="C3531" i="33"/>
  <c r="C2451" i="35"/>
  <c r="C3530" i="33"/>
  <c r="C2450" i="35"/>
  <c r="C1178" i="34"/>
  <c r="C594" i="34"/>
  <c r="C2946" i="33"/>
  <c r="C1230" i="35"/>
  <c r="C2945" i="33"/>
  <c r="C1229" i="35"/>
  <c r="C593" i="34"/>
  <c r="C984" i="34"/>
  <c r="C2354" i="33"/>
  <c r="C2044" i="35"/>
  <c r="C2353" i="33"/>
  <c r="C2043" i="35"/>
  <c r="C983" i="34"/>
  <c r="C789" i="34"/>
  <c r="C1762" i="33"/>
  <c r="C1637" i="35"/>
  <c r="C1761" i="33"/>
  <c r="C1636" i="35"/>
  <c r="C788" i="34"/>
  <c r="C399" i="34"/>
  <c r="C1175" i="33"/>
  <c r="C823" i="35"/>
  <c r="C1174" i="33"/>
  <c r="C822" i="35"/>
  <c r="C398" i="34"/>
  <c r="C204" i="34"/>
  <c r="C582" i="33"/>
  <c r="C416" i="35"/>
  <c r="C581" i="33"/>
  <c r="C415" i="35"/>
  <c r="C203" i="34"/>
  <c r="C231" i="30"/>
  <c r="C544" i="29"/>
  <c r="C404" i="31"/>
  <c r="C543" i="29"/>
  <c r="C403" i="31"/>
  <c r="C230" i="30"/>
  <c r="C267" i="21"/>
  <c r="C397" i="19"/>
  <c r="C396" i="19"/>
  <c r="C266" i="21"/>
  <c r="D332" i="31" l="1"/>
  <c r="D178" i="29"/>
  <c r="D1966" i="35"/>
  <c r="D1988" i="33"/>
  <c r="D1152" i="35"/>
  <c r="D2580" i="33"/>
  <c r="D338" i="35"/>
  <c r="D216" i="33"/>
  <c r="D745" i="35"/>
  <c r="D809" i="33"/>
  <c r="D2373" i="35"/>
  <c r="D3165" i="33"/>
  <c r="D1559" i="35"/>
  <c r="D1396" i="33"/>
  <c r="D323" i="19"/>
  <c r="D192" i="17"/>
  <c r="H2389" i="35"/>
  <c r="D447" i="37" s="1"/>
  <c r="H1168" i="35"/>
  <c r="D446" i="37" s="1"/>
  <c r="H1982" i="35"/>
  <c r="D445" i="37" s="1"/>
  <c r="H1575" i="35"/>
  <c r="D444" i="37" s="1"/>
  <c r="H761" i="35"/>
  <c r="D443" i="37" s="1"/>
  <c r="H354" i="35"/>
  <c r="D442" i="37" s="1"/>
  <c r="H2388" i="35"/>
  <c r="D418" i="37" s="1"/>
  <c r="D481" i="37" s="1"/>
  <c r="H1167" i="35"/>
  <c r="D417" i="37" s="1"/>
  <c r="D480" i="37" s="1"/>
  <c r="H1981" i="35"/>
  <c r="D416" i="37" s="1"/>
  <c r="D479" i="37" s="1"/>
  <c r="H1574" i="35"/>
  <c r="D415" i="37" s="1"/>
  <c r="D478" i="37" s="1"/>
  <c r="H760" i="35"/>
  <c r="D414" i="37" s="1"/>
  <c r="D477" i="37" s="1"/>
  <c r="H353" i="35"/>
  <c r="D413" i="37" s="1"/>
  <c r="D476" i="37" s="1"/>
  <c r="H348" i="31"/>
  <c r="D441" i="37" s="1"/>
  <c r="H347" i="31"/>
  <c r="D412" i="37" s="1"/>
  <c r="D475" i="37" s="1"/>
  <c r="M3093" i="33" l="1"/>
  <c r="M3094" i="33"/>
  <c r="M3095" i="33"/>
  <c r="M3096" i="33"/>
  <c r="M3097" i="33"/>
  <c r="M3098" i="33"/>
  <c r="M3099" i="33"/>
  <c r="M3100" i="33"/>
  <c r="M3101" i="33"/>
  <c r="M3102" i="33"/>
  <c r="M3103" i="33"/>
  <c r="D2064" i="35"/>
  <c r="D2081" i="35"/>
  <c r="D2098" i="35"/>
  <c r="D2115" i="35"/>
  <c r="D2132" i="35"/>
  <c r="D2149" i="35"/>
  <c r="D2237" i="35"/>
  <c r="D2265" i="35"/>
  <c r="D2306" i="35"/>
  <c r="D2332" i="35"/>
  <c r="H2332" i="35"/>
  <c r="D85" i="37" s="1"/>
  <c r="O3048" i="33"/>
  <c r="O3049" i="33"/>
  <c r="O3050" i="33"/>
  <c r="D1170" i="34"/>
  <c r="M2470" i="33"/>
  <c r="M2471" i="33"/>
  <c r="M2472" i="33"/>
  <c r="M2473" i="33"/>
  <c r="M2474" i="33"/>
  <c r="M2475" i="33"/>
  <c r="M2476" i="33"/>
  <c r="M2477" i="33"/>
  <c r="M2478" i="33"/>
  <c r="M2479" i="33"/>
  <c r="M2480" i="33"/>
  <c r="M2481" i="33"/>
  <c r="O2455" i="33"/>
  <c r="O2456" i="33"/>
  <c r="O2457" i="33"/>
  <c r="D843" i="35"/>
  <c r="D860" i="35"/>
  <c r="D877" i="35"/>
  <c r="D894" i="35"/>
  <c r="D911" i="35"/>
  <c r="D928" i="35"/>
  <c r="D1016" i="35"/>
  <c r="D1044" i="35"/>
  <c r="D1085" i="35"/>
  <c r="D1111" i="35"/>
  <c r="H1111" i="35"/>
  <c r="D84" i="37" s="1"/>
  <c r="D585" i="34"/>
  <c r="M1883" i="33"/>
  <c r="M1884" i="33"/>
  <c r="M1885" i="33"/>
  <c r="M1886" i="33"/>
  <c r="M1887" i="33"/>
  <c r="M1888" i="33"/>
  <c r="M1889" i="33"/>
  <c r="O1868" i="33"/>
  <c r="O1869" i="33"/>
  <c r="O1870" i="33"/>
  <c r="D975" i="34"/>
  <c r="D1657" i="35"/>
  <c r="D1674" i="35"/>
  <c r="D1691" i="35"/>
  <c r="D1708" i="35"/>
  <c r="D1725" i="35"/>
  <c r="D1742" i="35"/>
  <c r="D1830" i="35"/>
  <c r="D1858" i="35"/>
  <c r="D1899" i="35"/>
  <c r="D1925" i="35"/>
  <c r="H1925" i="35"/>
  <c r="D83" i="37" s="1"/>
  <c r="M747" i="33"/>
  <c r="M748" i="33" s="1"/>
  <c r="M1328" i="33"/>
  <c r="M1329" i="33"/>
  <c r="M1330" i="33"/>
  <c r="M1331" i="33"/>
  <c r="M1332" i="33"/>
  <c r="M1333" i="33"/>
  <c r="M1334" i="33"/>
  <c r="M115" i="33"/>
  <c r="M116" i="33"/>
  <c r="M117" i="33"/>
  <c r="M118" i="33"/>
  <c r="M119" i="33"/>
  <c r="M120" i="33"/>
  <c r="M121" i="33"/>
  <c r="D678" i="35"/>
  <c r="D271" i="35"/>
  <c r="D1492" i="35"/>
  <c r="O679" i="33"/>
  <c r="O680" i="33"/>
  <c r="O681" i="33"/>
  <c r="O1277" i="33"/>
  <c r="O1278" i="33"/>
  <c r="O1279" i="33"/>
  <c r="O665" i="33"/>
  <c r="O666" i="33"/>
  <c r="O667" i="33"/>
  <c r="D780" i="34"/>
  <c r="D1250" i="35"/>
  <c r="D1267" i="35"/>
  <c r="D1284" i="35"/>
  <c r="D1301" i="35"/>
  <c r="D1318" i="35"/>
  <c r="D1335" i="35"/>
  <c r="D1423" i="35"/>
  <c r="D1451" i="35"/>
  <c r="D1518" i="35"/>
  <c r="H1518" i="35"/>
  <c r="D82" i="37" s="1"/>
  <c r="D436" i="35"/>
  <c r="D453" i="35"/>
  <c r="D470" i="35"/>
  <c r="D487" i="35"/>
  <c r="D504" i="35"/>
  <c r="D521" i="35"/>
  <c r="D609" i="35"/>
  <c r="D637" i="35"/>
  <c r="D704" i="35"/>
  <c r="H704" i="35"/>
  <c r="D78" i="37" s="1"/>
  <c r="D390" i="34"/>
  <c r="D263" i="37" l="1"/>
  <c r="D264" i="37"/>
  <c r="D266" i="37"/>
  <c r="D265" i="37"/>
  <c r="D267" i="37"/>
  <c r="D732" i="35"/>
  <c r="D776" i="33"/>
  <c r="D1546" i="35"/>
  <c r="D1363" i="33"/>
  <c r="D1953" i="35"/>
  <c r="D1955" i="33"/>
  <c r="D1139" i="35"/>
  <c r="D2547" i="33"/>
  <c r="D2360" i="35"/>
  <c r="D3132" i="33"/>
  <c r="M3104" i="33"/>
  <c r="O3051" i="33"/>
  <c r="O2458" i="33"/>
  <c r="M2482" i="33"/>
  <c r="O1871" i="33"/>
  <c r="M1890" i="33"/>
  <c r="M1335" i="33"/>
  <c r="M122" i="33"/>
  <c r="O682" i="33"/>
  <c r="O1280" i="33"/>
  <c r="O668" i="33"/>
  <c r="D47" i="37" l="1"/>
  <c r="D29" i="37"/>
  <c r="D458" i="37"/>
  <c r="D46" i="37" s="1"/>
  <c r="D454" i="37"/>
  <c r="D45" i="37" s="1"/>
  <c r="D448" i="37"/>
  <c r="D44" i="37" s="1"/>
  <c r="D437" i="37"/>
  <c r="D43" i="37" s="1"/>
  <c r="D429" i="37"/>
  <c r="D28" i="37" s="1"/>
  <c r="D425" i="37"/>
  <c r="D27" i="37" s="1"/>
  <c r="D419" i="37"/>
  <c r="D408" i="37"/>
  <c r="D25" i="37" s="1"/>
  <c r="D40" i="37"/>
  <c r="D22" i="37"/>
  <c r="D26" i="37" l="1"/>
  <c r="D297" i="35" l="1"/>
  <c r="D291" i="31"/>
  <c r="H291" i="31"/>
  <c r="D73" i="37" s="1"/>
  <c r="H400" i="31"/>
  <c r="H401" i="31"/>
  <c r="D298" i="37" s="1"/>
  <c r="H297" i="35"/>
  <c r="D77" i="37" s="1"/>
  <c r="H394" i="19"/>
  <c r="D297" i="37" s="1"/>
  <c r="H393" i="19"/>
  <c r="D230" i="35"/>
  <c r="D202" i="35"/>
  <c r="D114" i="35"/>
  <c r="D97" i="35"/>
  <c r="D80" i="35"/>
  <c r="D63" i="35"/>
  <c r="D46" i="35"/>
  <c r="D195" i="34"/>
  <c r="D226" i="31"/>
  <c r="D199" i="31"/>
  <c r="D261" i="37" s="1"/>
  <c r="D114" i="31"/>
  <c r="D97" i="31"/>
  <c r="D80" i="31"/>
  <c r="D63" i="31"/>
  <c r="D46" i="31"/>
  <c r="D29" i="31"/>
  <c r="D227" i="30"/>
  <c r="N73" i="29"/>
  <c r="N74" i="29"/>
  <c r="N75" i="29"/>
  <c r="N61" i="29"/>
  <c r="N62" i="29"/>
  <c r="N63" i="29"/>
  <c r="D262" i="37" l="1"/>
  <c r="C89" i="143"/>
  <c r="I92" i="37"/>
  <c r="D92" i="37"/>
  <c r="D147" i="37" s="1"/>
  <c r="I278" i="37"/>
  <c r="D278" i="37"/>
  <c r="D96" i="37"/>
  <c r="D151" i="37" s="1"/>
  <c r="I279" i="37"/>
  <c r="D279" i="37"/>
  <c r="D117" i="37"/>
  <c r="D121" i="37"/>
  <c r="D29" i="35"/>
  <c r="D319" i="31"/>
  <c r="D145" i="29"/>
  <c r="D325" i="35"/>
  <c r="D183" i="33"/>
  <c r="N76" i="29"/>
  <c r="N64" i="29"/>
  <c r="I286" i="37" l="1"/>
  <c r="D318" i="37"/>
  <c r="D247" i="37"/>
  <c r="D224" i="37"/>
  <c r="D317" i="37"/>
  <c r="D246" i="37"/>
  <c r="D223" i="37"/>
  <c r="C82" i="20" l="1"/>
  <c r="C392" i="20"/>
  <c r="C391" i="20"/>
  <c r="C216" i="14"/>
  <c r="D183" i="19"/>
  <c r="D260" i="37" s="1"/>
  <c r="D243" i="110" l="1"/>
  <c r="D156" i="112" s="1"/>
  <c r="D240" i="19"/>
  <c r="D262" i="21"/>
  <c r="C217" i="14"/>
  <c r="C81" i="20"/>
  <c r="D310" i="19" l="1"/>
  <c r="D159" i="17"/>
  <c r="D46" i="20"/>
  <c r="C264" i="111" s="1"/>
  <c r="D27" i="20"/>
  <c r="C263" i="111" s="1"/>
  <c r="N167" i="19" l="1"/>
  <c r="O167" i="19"/>
  <c r="J167" i="19"/>
  <c r="M167" i="19"/>
  <c r="J185" i="19"/>
  <c r="L167" i="19"/>
  <c r="K167" i="19"/>
  <c r="N168" i="19" l="1"/>
  <c r="J168" i="19"/>
  <c r="M168" i="19"/>
  <c r="L168" i="19"/>
  <c r="O168" i="19"/>
  <c r="K168" i="19"/>
  <c r="D69" i="20"/>
  <c r="C67" i="20" s="1"/>
  <c r="K298" i="111" l="1"/>
  <c r="K297" i="111"/>
  <c r="N298" i="111"/>
  <c r="N297" i="111"/>
  <c r="L298" i="111"/>
  <c r="L297" i="111"/>
  <c r="J297" i="111"/>
  <c r="J298" i="111"/>
  <c r="M298" i="111"/>
  <c r="M297" i="111"/>
  <c r="C18" i="12"/>
  <c r="C18" i="8"/>
  <c r="C215" i="14"/>
  <c r="D162" i="14"/>
  <c r="H16" i="11"/>
  <c r="H13" i="11"/>
  <c r="D77" i="13"/>
  <c r="D78" i="13"/>
  <c r="D79" i="13"/>
  <c r="D80" i="13"/>
  <c r="D47" i="13"/>
  <c r="D48" i="13"/>
  <c r="D49" i="13"/>
  <c r="D50" i="13"/>
  <c r="D51" i="13"/>
  <c r="D52" i="13"/>
  <c r="D53" i="13"/>
  <c r="D54" i="13"/>
  <c r="D55" i="13"/>
  <c r="D56" i="13"/>
  <c r="D57" i="13"/>
  <c r="D58"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5" i="10"/>
  <c r="D29" i="10"/>
  <c r="M36" i="10"/>
  <c r="I30" i="10" s="1"/>
  <c r="D13" i="10"/>
  <c r="M20" i="10"/>
  <c r="I14" i="10" s="1"/>
  <c r="O226" i="111" l="1"/>
  <c r="K228" i="111"/>
  <c r="M229" i="111"/>
  <c r="O219" i="111"/>
  <c r="K221" i="111"/>
  <c r="M222" i="111"/>
  <c r="J227" i="111"/>
  <c r="L228" i="111"/>
  <c r="N229" i="111"/>
  <c r="J220" i="111"/>
  <c r="L221" i="111"/>
  <c r="N222" i="111"/>
  <c r="K226" i="111"/>
  <c r="M227" i="111"/>
  <c r="O228" i="111"/>
  <c r="K219" i="111"/>
  <c r="M220" i="111"/>
  <c r="O221" i="111"/>
  <c r="L226" i="111"/>
  <c r="N227" i="111"/>
  <c r="J229" i="111"/>
  <c r="L219" i="111"/>
  <c r="N220" i="111"/>
  <c r="J222" i="111"/>
  <c r="L227" i="111"/>
  <c r="K229" i="111"/>
  <c r="L220" i="111"/>
  <c r="J226" i="111"/>
  <c r="O229" i="111"/>
  <c r="N228" i="111"/>
  <c r="O222" i="111"/>
  <c r="O220" i="111"/>
  <c r="K227" i="111"/>
  <c r="M228" i="111"/>
  <c r="M221" i="111"/>
  <c r="L222" i="111"/>
  <c r="L229" i="111"/>
  <c r="K222" i="111"/>
  <c r="K220" i="111"/>
  <c r="O227" i="111"/>
  <c r="J228" i="111"/>
  <c r="M219" i="111"/>
  <c r="J221" i="111"/>
  <c r="J219" i="111"/>
  <c r="N226" i="111"/>
  <c r="N221" i="111"/>
  <c r="N219" i="111"/>
  <c r="M226" i="111"/>
  <c r="J251" i="111"/>
  <c r="J244" i="111"/>
  <c r="J250" i="111"/>
  <c r="J243" i="111"/>
  <c r="J248" i="111"/>
  <c r="J241" i="111"/>
  <c r="J249" i="111"/>
  <c r="J242" i="111"/>
  <c r="O249" i="111"/>
  <c r="O242" i="111"/>
  <c r="K249" i="111"/>
  <c r="K242" i="111"/>
  <c r="N249" i="111"/>
  <c r="L249" i="111"/>
  <c r="N242" i="111"/>
  <c r="L242" i="111"/>
  <c r="K250" i="111"/>
  <c r="M249" i="111"/>
  <c r="K243" i="111"/>
  <c r="M242" i="111"/>
  <c r="L250" i="111"/>
  <c r="L243" i="111"/>
  <c r="M250" i="111"/>
  <c r="M243" i="111"/>
  <c r="N250" i="111"/>
  <c r="O250" i="111"/>
  <c r="N243" i="111"/>
  <c r="O243" i="111"/>
  <c r="N206" i="111"/>
  <c r="O203" i="111"/>
  <c r="J201" i="111"/>
  <c r="N194" i="111"/>
  <c r="J207" i="111"/>
  <c r="O202" i="111"/>
  <c r="K206" i="111"/>
  <c r="N191" i="111"/>
  <c r="K194" i="111"/>
  <c r="O197" i="111"/>
  <c r="J195" i="111"/>
  <c r="M202" i="111"/>
  <c r="M197" i="111"/>
  <c r="L193" i="111"/>
  <c r="N205" i="111"/>
  <c r="M201" i="111"/>
  <c r="L207" i="111"/>
  <c r="O192" i="111"/>
  <c r="N193" i="111"/>
  <c r="M206" i="111"/>
  <c r="L194" i="111"/>
  <c r="L205" i="111"/>
  <c r="O204" i="111"/>
  <c r="M196" i="111"/>
  <c r="K203" i="111"/>
  <c r="J204" i="111"/>
  <c r="K201" i="111"/>
  <c r="K196" i="111"/>
  <c r="J192" i="111"/>
  <c r="L204" i="111"/>
  <c r="K197" i="111"/>
  <c r="M203" i="111"/>
  <c r="J206" i="111"/>
  <c r="M191" i="111"/>
  <c r="K195" i="111"/>
  <c r="L192" i="111"/>
  <c r="N204" i="111"/>
  <c r="O193" i="111"/>
  <c r="K192" i="111"/>
  <c r="K193" i="111"/>
  <c r="K191" i="111"/>
  <c r="O191" i="111"/>
  <c r="N202" i="111"/>
  <c r="N207" i="111"/>
  <c r="O194" i="111"/>
  <c r="K207" i="111"/>
  <c r="J203" i="111"/>
  <c r="O195" i="111"/>
  <c r="K202" i="111"/>
  <c r="N196" i="111"/>
  <c r="J191" i="111"/>
  <c r="M204" i="111"/>
  <c r="J202" i="111"/>
  <c r="L197" i="111"/>
  <c r="N192" i="111"/>
  <c r="L201" i="111"/>
  <c r="L206" i="111"/>
  <c r="M193" i="111"/>
  <c r="O205" i="111"/>
  <c r="N201" i="111"/>
  <c r="M194" i="111"/>
  <c r="J197" i="111"/>
  <c r="L203" i="111"/>
  <c r="L195" i="111"/>
  <c r="M192" i="111"/>
  <c r="N195" i="111"/>
  <c r="N203" i="111"/>
  <c r="O196" i="111"/>
  <c r="O207" i="111"/>
  <c r="J205" i="111"/>
  <c r="O206" i="111"/>
  <c r="J194" i="111"/>
  <c r="M205" i="111"/>
  <c r="N197" i="111"/>
  <c r="K205" i="111"/>
  <c r="L202" i="111"/>
  <c r="J196" i="111"/>
  <c r="O201" i="111"/>
  <c r="K204" i="111"/>
  <c r="M207" i="111"/>
  <c r="J193" i="111"/>
  <c r="M195" i="111"/>
  <c r="L191" i="111"/>
  <c r="L196" i="111"/>
  <c r="B5" i="147"/>
  <c r="B5" i="153"/>
  <c r="B5" i="149"/>
  <c r="B5" i="155"/>
  <c r="B5" i="152"/>
  <c r="B5" i="146"/>
  <c r="B5" i="151"/>
  <c r="B5" i="145"/>
  <c r="B5" i="143"/>
  <c r="B5" i="150"/>
  <c r="B5" i="148"/>
  <c r="B5" i="156"/>
  <c r="B5" i="154"/>
  <c r="B5" i="144"/>
  <c r="N6" i="153"/>
  <c r="N7" i="153" s="1"/>
  <c r="N9" i="153" s="1"/>
  <c r="N5" i="153" s="1"/>
  <c r="O6" i="147"/>
  <c r="O7" i="147" s="1"/>
  <c r="O9" i="147" s="1"/>
  <c r="O5" i="147" s="1"/>
  <c r="J6" i="156"/>
  <c r="J7" i="156" s="1"/>
  <c r="J9" i="156" s="1"/>
  <c r="J5" i="156" s="1"/>
  <c r="N6" i="155"/>
  <c r="N7" i="155" s="1"/>
  <c r="N9" i="155" s="1"/>
  <c r="N5" i="155" s="1"/>
  <c r="O6" i="153"/>
  <c r="O7" i="153" s="1"/>
  <c r="O9" i="153" s="1"/>
  <c r="O5" i="153" s="1"/>
  <c r="J6" i="152"/>
  <c r="J7" i="152" s="1"/>
  <c r="J9" i="152" s="1"/>
  <c r="J5" i="152" s="1"/>
  <c r="O6" i="149"/>
  <c r="O7" i="149" s="1"/>
  <c r="O9" i="149" s="1"/>
  <c r="O5" i="149" s="1"/>
  <c r="J6" i="146"/>
  <c r="J7" i="146" s="1"/>
  <c r="J9" i="146" s="1"/>
  <c r="J5" i="146" s="1"/>
  <c r="J6" i="144"/>
  <c r="J7" i="144" s="1"/>
  <c r="J9" i="144" s="1"/>
  <c r="J5" i="144" s="1"/>
  <c r="L6" i="143"/>
  <c r="L7" i="143" s="1"/>
  <c r="L9" i="143" s="1"/>
  <c r="L5" i="143" s="1"/>
  <c r="K6" i="156"/>
  <c r="K7" i="156" s="1"/>
  <c r="K9" i="156" s="1"/>
  <c r="K5" i="156" s="1"/>
  <c r="O6" i="155"/>
  <c r="O7" i="155" s="1"/>
  <c r="O9" i="155" s="1"/>
  <c r="O5" i="155" s="1"/>
  <c r="O6" i="152"/>
  <c r="O7" i="152" s="1"/>
  <c r="O9" i="152" s="1"/>
  <c r="O5" i="152" s="1"/>
  <c r="J6" i="151"/>
  <c r="J7" i="151" s="1"/>
  <c r="J9" i="151" s="1"/>
  <c r="J5" i="151" s="1"/>
  <c r="K6" i="150"/>
  <c r="K7" i="150" s="1"/>
  <c r="K9" i="150" s="1"/>
  <c r="K5" i="150" s="1"/>
  <c r="O6" i="146"/>
  <c r="O7" i="146" s="1"/>
  <c r="O9" i="146" s="1"/>
  <c r="O5" i="146" s="1"/>
  <c r="J6" i="145"/>
  <c r="J7" i="145" s="1"/>
  <c r="J9" i="145" s="1"/>
  <c r="J5" i="145" s="1"/>
  <c r="K6" i="144"/>
  <c r="K7" i="144" s="1"/>
  <c r="K9" i="144" s="1"/>
  <c r="K5" i="144" s="1"/>
  <c r="M6" i="143"/>
  <c r="M7" i="143" s="1"/>
  <c r="M9" i="143" s="1"/>
  <c r="M5" i="143" s="1"/>
  <c r="L6" i="156"/>
  <c r="L7" i="156" s="1"/>
  <c r="L9" i="156" s="1"/>
  <c r="L5" i="156" s="1"/>
  <c r="K6" i="151"/>
  <c r="K7" i="151" s="1"/>
  <c r="K9" i="151" s="1"/>
  <c r="K5" i="151" s="1"/>
  <c r="L6" i="150"/>
  <c r="L7" i="150" s="1"/>
  <c r="L9" i="150" s="1"/>
  <c r="L5" i="150" s="1"/>
  <c r="M6" i="148"/>
  <c r="M7" i="148" s="1"/>
  <c r="M9" i="148" s="1"/>
  <c r="M5" i="148" s="1"/>
  <c r="K6" i="145"/>
  <c r="K7" i="145" s="1"/>
  <c r="K9" i="145" s="1"/>
  <c r="K5" i="145" s="1"/>
  <c r="L6" i="144"/>
  <c r="L7" i="144" s="1"/>
  <c r="L9" i="144" s="1"/>
  <c r="L5" i="144" s="1"/>
  <c r="N6" i="143"/>
  <c r="N7" i="143" s="1"/>
  <c r="N9" i="143" s="1"/>
  <c r="N5" i="143" s="1"/>
  <c r="M6" i="154"/>
  <c r="M7" i="154" s="1"/>
  <c r="M9" i="154" s="1"/>
  <c r="M5" i="154" s="1"/>
  <c r="M6" i="144"/>
  <c r="M7" i="144" s="1"/>
  <c r="M9" i="144" s="1"/>
  <c r="M5" i="144" s="1"/>
  <c r="O6" i="143"/>
  <c r="O7" i="143" s="1"/>
  <c r="O9" i="143" s="1"/>
  <c r="O5" i="143" s="1"/>
  <c r="N6" i="156"/>
  <c r="N7" i="156" s="1"/>
  <c r="N9" i="156" s="1"/>
  <c r="N5" i="156" s="1"/>
  <c r="N6" i="154"/>
  <c r="N7" i="154" s="1"/>
  <c r="N9" i="154" s="1"/>
  <c r="N5" i="154" s="1"/>
  <c r="O6" i="148"/>
  <c r="O7" i="148" s="1"/>
  <c r="O9" i="148" s="1"/>
  <c r="O5" i="148" s="1"/>
  <c r="N6" i="144"/>
  <c r="N7" i="144" s="1"/>
  <c r="N9" i="144" s="1"/>
  <c r="N5" i="144" s="1"/>
  <c r="O6" i="156"/>
  <c r="O7" i="156" s="1"/>
  <c r="O9" i="156" s="1"/>
  <c r="O5" i="156" s="1"/>
  <c r="N6" i="149"/>
  <c r="N7" i="149" s="1"/>
  <c r="N9" i="149" s="1"/>
  <c r="N5" i="149" s="1"/>
  <c r="N6" i="150"/>
  <c r="N7" i="150" s="1"/>
  <c r="N9" i="150" s="1"/>
  <c r="N5" i="150" s="1"/>
  <c r="N6" i="152"/>
  <c r="N7" i="152" s="1"/>
  <c r="N9" i="152" s="1"/>
  <c r="N5" i="152" s="1"/>
  <c r="L6" i="152"/>
  <c r="L7" i="152" s="1"/>
  <c r="L9" i="152" s="1"/>
  <c r="L5" i="152" s="1"/>
  <c r="J6" i="150"/>
  <c r="J7" i="150" s="1"/>
  <c r="J9" i="150" s="1"/>
  <c r="J5" i="150" s="1"/>
  <c r="O6" i="151"/>
  <c r="O7" i="151" s="1"/>
  <c r="O9" i="151" s="1"/>
  <c r="O5" i="151" s="1"/>
  <c r="J6" i="153"/>
  <c r="J7" i="153" s="1"/>
  <c r="J9" i="153" s="1"/>
  <c r="J5" i="153" s="1"/>
  <c r="M6" i="146"/>
  <c r="M7" i="146" s="1"/>
  <c r="M9" i="146" s="1"/>
  <c r="M5" i="146" s="1"/>
  <c r="M6" i="149"/>
  <c r="M7" i="149" s="1"/>
  <c r="M9" i="149" s="1"/>
  <c r="M5" i="149" s="1"/>
  <c r="L6" i="155"/>
  <c r="L7" i="155" s="1"/>
  <c r="L9" i="155" s="1"/>
  <c r="L5" i="155" s="1"/>
  <c r="L6" i="145"/>
  <c r="L7" i="145" s="1"/>
  <c r="L9" i="145" s="1"/>
  <c r="L5" i="145" s="1"/>
  <c r="K6" i="154"/>
  <c r="K7" i="154" s="1"/>
  <c r="K9" i="154" s="1"/>
  <c r="K5" i="154" s="1"/>
  <c r="M6" i="153"/>
  <c r="M7" i="153" s="1"/>
  <c r="M9" i="153" s="1"/>
  <c r="M5" i="153" s="1"/>
  <c r="K6" i="153"/>
  <c r="K7" i="153" s="1"/>
  <c r="K9" i="153" s="1"/>
  <c r="K5" i="153" s="1"/>
  <c r="J6" i="155"/>
  <c r="J7" i="155" s="1"/>
  <c r="J9" i="155" s="1"/>
  <c r="J5" i="155" s="1"/>
  <c r="N6" i="148"/>
  <c r="N7" i="148" s="1"/>
  <c r="N9" i="148" s="1"/>
  <c r="N5" i="148" s="1"/>
  <c r="M6" i="150"/>
  <c r="M7" i="150" s="1"/>
  <c r="M9" i="150" s="1"/>
  <c r="M5" i="150" s="1"/>
  <c r="N6" i="146"/>
  <c r="N7" i="146" s="1"/>
  <c r="N9" i="146" s="1"/>
  <c r="N5" i="146" s="1"/>
  <c r="L6" i="146"/>
  <c r="L7" i="146" s="1"/>
  <c r="L9" i="146" s="1"/>
  <c r="L5" i="146" s="1"/>
  <c r="K6" i="143"/>
  <c r="K7" i="143" s="1"/>
  <c r="K9" i="143" s="1"/>
  <c r="K5" i="143" s="1"/>
  <c r="K6" i="155"/>
  <c r="K7" i="155" s="1"/>
  <c r="K9" i="155" s="1"/>
  <c r="K5" i="155" s="1"/>
  <c r="O6" i="144"/>
  <c r="O7" i="144" s="1"/>
  <c r="O9" i="144" s="1"/>
  <c r="O5" i="144" s="1"/>
  <c r="L6" i="149"/>
  <c r="L7" i="149" s="1"/>
  <c r="L9" i="149" s="1"/>
  <c r="L5" i="149" s="1"/>
  <c r="M6" i="156"/>
  <c r="M7" i="156" s="1"/>
  <c r="M9" i="156" s="1"/>
  <c r="M5" i="156" s="1"/>
  <c r="L6" i="151"/>
  <c r="L7" i="151" s="1"/>
  <c r="L9" i="151" s="1"/>
  <c r="L5" i="151" s="1"/>
  <c r="K6" i="148"/>
  <c r="K7" i="148" s="1"/>
  <c r="K9" i="148" s="1"/>
  <c r="K5" i="148" s="1"/>
  <c r="M6" i="147"/>
  <c r="M7" i="147" s="1"/>
  <c r="M9" i="147" s="1"/>
  <c r="M5" i="147" s="1"/>
  <c r="N6" i="145"/>
  <c r="N7" i="145" s="1"/>
  <c r="N9" i="145" s="1"/>
  <c r="N5" i="145" s="1"/>
  <c r="J6" i="149"/>
  <c r="J7" i="149" s="1"/>
  <c r="J9" i="149" s="1"/>
  <c r="J5" i="149" s="1"/>
  <c r="N6" i="147"/>
  <c r="N7" i="147" s="1"/>
  <c r="N9" i="147" s="1"/>
  <c r="N5" i="147" s="1"/>
  <c r="M6" i="145"/>
  <c r="M7" i="145" s="1"/>
  <c r="M9" i="145" s="1"/>
  <c r="M5" i="145" s="1"/>
  <c r="M6" i="152"/>
  <c r="M7" i="152" s="1"/>
  <c r="M9" i="152" s="1"/>
  <c r="M5" i="152" s="1"/>
  <c r="K6" i="152"/>
  <c r="K7" i="152" s="1"/>
  <c r="K9" i="152" s="1"/>
  <c r="K5" i="152" s="1"/>
  <c r="L6" i="153"/>
  <c r="L7" i="153" s="1"/>
  <c r="L9" i="153" s="1"/>
  <c r="L5" i="153" s="1"/>
  <c r="K6" i="147"/>
  <c r="K7" i="147" s="1"/>
  <c r="K9" i="147" s="1"/>
  <c r="K5" i="147" s="1"/>
  <c r="O6" i="150"/>
  <c r="O7" i="150" s="1"/>
  <c r="O9" i="150" s="1"/>
  <c r="O5" i="150" s="1"/>
  <c r="M6" i="155"/>
  <c r="M7" i="155" s="1"/>
  <c r="M9" i="155" s="1"/>
  <c r="M5" i="155" s="1"/>
  <c r="J6" i="147"/>
  <c r="J7" i="147" s="1"/>
  <c r="J9" i="147" s="1"/>
  <c r="J5" i="147" s="1"/>
  <c r="L6" i="154"/>
  <c r="L7" i="154" s="1"/>
  <c r="L9" i="154" s="1"/>
  <c r="L5" i="154" s="1"/>
  <c r="J6" i="154"/>
  <c r="J7" i="154" s="1"/>
  <c r="J9" i="154" s="1"/>
  <c r="J5" i="154" s="1"/>
  <c r="J6" i="143"/>
  <c r="J7" i="143" s="1"/>
  <c r="J9" i="143" s="1"/>
  <c r="J5" i="143" s="1"/>
  <c r="K6" i="149"/>
  <c r="K7" i="149" s="1"/>
  <c r="K9" i="149" s="1"/>
  <c r="K5" i="149" s="1"/>
  <c r="O6" i="145"/>
  <c r="O7" i="145" s="1"/>
  <c r="O9" i="145" s="1"/>
  <c r="O5" i="145" s="1"/>
  <c r="O6" i="154"/>
  <c r="O7" i="154" s="1"/>
  <c r="O9" i="154" s="1"/>
  <c r="O5" i="154" s="1"/>
  <c r="M6" i="151"/>
  <c r="M7" i="151" s="1"/>
  <c r="M9" i="151" s="1"/>
  <c r="M5" i="151" s="1"/>
  <c r="L6" i="148"/>
  <c r="L7" i="148" s="1"/>
  <c r="L9" i="148" s="1"/>
  <c r="L5" i="148" s="1"/>
  <c r="J6" i="148"/>
  <c r="J7" i="148" s="1"/>
  <c r="J9" i="148" s="1"/>
  <c r="J5" i="148" s="1"/>
  <c r="L6" i="147"/>
  <c r="L7" i="147" s="1"/>
  <c r="L9" i="147" s="1"/>
  <c r="L5" i="147" s="1"/>
  <c r="N6" i="151"/>
  <c r="N7" i="151" s="1"/>
  <c r="N9" i="151" s="1"/>
  <c r="N5" i="151" s="1"/>
  <c r="K6" i="146"/>
  <c r="K7" i="146" s="1"/>
  <c r="K9" i="146" s="1"/>
  <c r="K5" i="146" s="1"/>
  <c r="I247" i="37"/>
  <c r="I224" i="37"/>
  <c r="I249" i="37"/>
  <c r="I226" i="37"/>
  <c r="I248" i="37"/>
  <c r="I225" i="37"/>
  <c r="I250" i="37"/>
  <c r="I253" i="37"/>
  <c r="I227" i="37"/>
  <c r="I252" i="37"/>
  <c r="I230" i="37"/>
  <c r="I246" i="37"/>
  <c r="I229" i="37"/>
  <c r="I228" i="37"/>
  <c r="I223" i="37"/>
  <c r="I251" i="37"/>
  <c r="B5" i="140"/>
  <c r="B5" i="142"/>
  <c r="J6" i="142"/>
  <c r="J7" i="142" s="1"/>
  <c r="J9" i="142" s="1"/>
  <c r="J5" i="142" s="1"/>
  <c r="M6" i="142"/>
  <c r="M7" i="142" s="1"/>
  <c r="M9" i="142" s="1"/>
  <c r="M5" i="142" s="1"/>
  <c r="N6" i="142"/>
  <c r="N7" i="142" s="1"/>
  <c r="N9" i="142" s="1"/>
  <c r="N5" i="142" s="1"/>
  <c r="O6" i="142"/>
  <c r="O7" i="142" s="1"/>
  <c r="O9" i="142" s="1"/>
  <c r="O5" i="142" s="1"/>
  <c r="K6" i="142"/>
  <c r="K7" i="142" s="1"/>
  <c r="K9" i="142" s="1"/>
  <c r="K5" i="142" s="1"/>
  <c r="L6" i="142"/>
  <c r="L7" i="142" s="1"/>
  <c r="L9" i="142" s="1"/>
  <c r="L5" i="142" s="1"/>
  <c r="N6" i="140"/>
  <c r="N7" i="140" s="1"/>
  <c r="N9" i="140" s="1"/>
  <c r="N5" i="140" s="1"/>
  <c r="O6" i="140"/>
  <c r="O7" i="140" s="1"/>
  <c r="O9" i="140" s="1"/>
  <c r="O5" i="140" s="1"/>
  <c r="J6" i="140"/>
  <c r="J7" i="140" s="1"/>
  <c r="J9" i="140" s="1"/>
  <c r="J5" i="140" s="1"/>
  <c r="L6" i="140"/>
  <c r="L7" i="140" s="1"/>
  <c r="L9" i="140" s="1"/>
  <c r="L5" i="140" s="1"/>
  <c r="M6" i="140"/>
  <c r="M7" i="140" s="1"/>
  <c r="M9" i="140" s="1"/>
  <c r="M5" i="140" s="1"/>
  <c r="K6" i="140"/>
  <c r="K7" i="140" s="1"/>
  <c r="K9" i="140" s="1"/>
  <c r="K5" i="140" s="1"/>
  <c r="O789" i="35"/>
  <c r="O109" i="152" s="1"/>
  <c r="K771" i="35"/>
  <c r="K90" i="152" s="1"/>
  <c r="O771" i="35"/>
  <c r="O90" i="152" s="1"/>
  <c r="N795" i="35"/>
  <c r="N115" i="152" s="1"/>
  <c r="J796" i="35"/>
  <c r="J116" i="152" s="1"/>
  <c r="K796" i="35"/>
  <c r="K116" i="152" s="1"/>
  <c r="M789" i="35"/>
  <c r="M109" i="152" s="1"/>
  <c r="J797" i="35"/>
  <c r="J117" i="152" s="1"/>
  <c r="L793" i="35"/>
  <c r="L113" i="152" s="1"/>
  <c r="K790" i="35"/>
  <c r="K110" i="152" s="1"/>
  <c r="N797" i="35"/>
  <c r="N117" i="152" s="1"/>
  <c r="J769" i="35"/>
  <c r="J88" i="152" s="1"/>
  <c r="M794" i="35"/>
  <c r="M114" i="152" s="1"/>
  <c r="N767" i="35"/>
  <c r="N86" i="152" s="1"/>
  <c r="M795" i="35"/>
  <c r="M115" i="152" s="1"/>
  <c r="N769" i="35"/>
  <c r="N88" i="152" s="1"/>
  <c r="O791" i="35"/>
  <c r="O111" i="152" s="1"/>
  <c r="J798" i="35"/>
  <c r="J118" i="152" s="1"/>
  <c r="L773" i="35"/>
  <c r="L92" i="152" s="1"/>
  <c r="L764" i="35"/>
  <c r="L83" i="152" s="1"/>
  <c r="M772" i="35"/>
  <c r="M91" i="152" s="1"/>
  <c r="L772" i="35"/>
  <c r="L91" i="152" s="1"/>
  <c r="N770" i="35"/>
  <c r="N89" i="152" s="1"/>
  <c r="L789" i="35"/>
  <c r="L109" i="152" s="1"/>
  <c r="L766" i="35"/>
  <c r="L85" i="152" s="1"/>
  <c r="K766" i="35"/>
  <c r="K85" i="152" s="1"/>
  <c r="N765" i="35"/>
  <c r="N84" i="152" s="1"/>
  <c r="M771" i="35"/>
  <c r="M90" i="152" s="1"/>
  <c r="O772" i="35"/>
  <c r="O91" i="152" s="1"/>
  <c r="J771" i="35"/>
  <c r="J90" i="152" s="1"/>
  <c r="N790" i="35"/>
  <c r="N110" i="152" s="1"/>
  <c r="O770" i="35"/>
  <c r="O89" i="152" s="1"/>
  <c r="L790" i="35"/>
  <c r="L110" i="152" s="1"/>
  <c r="L767" i="35"/>
  <c r="L86" i="152" s="1"/>
  <c r="J773" i="35"/>
  <c r="J92" i="152" s="1"/>
  <c r="O766" i="35"/>
  <c r="O85" i="152" s="1"/>
  <c r="M770" i="35"/>
  <c r="M89" i="152" s="1"/>
  <c r="K767" i="35"/>
  <c r="K86" i="152" s="1"/>
  <c r="O794" i="35"/>
  <c r="O114" i="152" s="1"/>
  <c r="O768" i="35"/>
  <c r="O87" i="152" s="1"/>
  <c r="K770" i="35"/>
  <c r="K89" i="152" s="1"/>
  <c r="J789" i="35"/>
  <c r="J109" i="152" s="1"/>
  <c r="O792" i="35"/>
  <c r="O112" i="152" s="1"/>
  <c r="N789" i="35"/>
  <c r="N109" i="152" s="1"/>
  <c r="M767" i="35"/>
  <c r="M86" i="152" s="1"/>
  <c r="K773" i="35"/>
  <c r="K92" i="152" s="1"/>
  <c r="L798" i="35"/>
  <c r="L118" i="152" s="1"/>
  <c r="M798" i="35"/>
  <c r="M118" i="152" s="1"/>
  <c r="N792" i="35"/>
  <c r="N112" i="152" s="1"/>
  <c r="K794" i="35"/>
  <c r="K114" i="152" s="1"/>
  <c r="K765" i="35"/>
  <c r="K84" i="152" s="1"/>
  <c r="M792" i="35"/>
  <c r="M112" i="152" s="1"/>
  <c r="K789" i="35"/>
  <c r="K109" i="152" s="1"/>
  <c r="K791" i="35"/>
  <c r="K111" i="152" s="1"/>
  <c r="J795" i="35"/>
  <c r="J115" i="152" s="1"/>
  <c r="M793" i="35"/>
  <c r="M113" i="152" s="1"/>
  <c r="N772" i="35"/>
  <c r="N91" i="152" s="1"/>
  <c r="J790" i="35"/>
  <c r="J110" i="152" s="1"/>
  <c r="L770" i="35"/>
  <c r="L89" i="152" s="1"/>
  <c r="N793" i="35"/>
  <c r="N113" i="152" s="1"/>
  <c r="J794" i="35"/>
  <c r="J114" i="152" s="1"/>
  <c r="L765" i="35"/>
  <c r="L84" i="152" s="1"/>
  <c r="N798" i="35"/>
  <c r="N118" i="152" s="1"/>
  <c r="J791" i="35"/>
  <c r="J111" i="152" s="1"/>
  <c r="M796" i="35"/>
  <c r="M116" i="152" s="1"/>
  <c r="O765" i="35"/>
  <c r="O84" i="152" s="1"/>
  <c r="O798" i="35"/>
  <c r="O118" i="152" s="1"/>
  <c r="J764" i="35"/>
  <c r="J83" i="152" s="1"/>
  <c r="K797" i="35"/>
  <c r="K117" i="152" s="1"/>
  <c r="J767" i="35"/>
  <c r="J86" i="152" s="1"/>
  <c r="K772" i="35"/>
  <c r="K91" i="152" s="1"/>
  <c r="M790" i="35"/>
  <c r="M110" i="152" s="1"/>
  <c r="N764" i="35"/>
  <c r="N83" i="152" s="1"/>
  <c r="L791" i="35"/>
  <c r="L111" i="152" s="1"/>
  <c r="N766" i="35"/>
  <c r="N85" i="152" s="1"/>
  <c r="M797" i="35"/>
  <c r="M117" i="152" s="1"/>
  <c r="O796" i="35"/>
  <c r="O116" i="152" s="1"/>
  <c r="K768" i="35"/>
  <c r="K87" i="152" s="1"/>
  <c r="O764" i="35"/>
  <c r="O83" i="152" s="1"/>
  <c r="N796" i="35"/>
  <c r="N116" i="152" s="1"/>
  <c r="O795" i="35"/>
  <c r="O115" i="152" s="1"/>
  <c r="N771" i="35"/>
  <c r="N90" i="152" s="1"/>
  <c r="O797" i="35"/>
  <c r="O117" i="152" s="1"/>
  <c r="O769" i="35"/>
  <c r="O88" i="152" s="1"/>
  <c r="L792" i="35"/>
  <c r="L112" i="152" s="1"/>
  <c r="L796" i="35"/>
  <c r="L116" i="152" s="1"/>
  <c r="L768" i="35"/>
  <c r="L87" i="152" s="1"/>
  <c r="K769" i="35"/>
  <c r="K88" i="152" s="1"/>
  <c r="K764" i="35"/>
  <c r="K83" i="152" s="1"/>
  <c r="K793" i="35"/>
  <c r="K113" i="152" s="1"/>
  <c r="K792" i="35"/>
  <c r="K112" i="152" s="1"/>
  <c r="L794" i="35"/>
  <c r="L114" i="152" s="1"/>
  <c r="N794" i="35"/>
  <c r="N114" i="152" s="1"/>
  <c r="L769" i="35"/>
  <c r="L88" i="152" s="1"/>
  <c r="N768" i="35"/>
  <c r="N87" i="152" s="1"/>
  <c r="O767" i="35"/>
  <c r="O86" i="152" s="1"/>
  <c r="M791" i="35"/>
  <c r="M111" i="152" s="1"/>
  <c r="M766" i="35"/>
  <c r="M85" i="152" s="1"/>
  <c r="M773" i="35"/>
  <c r="M92" i="152" s="1"/>
  <c r="L795" i="35"/>
  <c r="L115" i="152" s="1"/>
  <c r="J765" i="35"/>
  <c r="J84" i="152" s="1"/>
  <c r="J770" i="35"/>
  <c r="J89" i="152" s="1"/>
  <c r="M768" i="35"/>
  <c r="M87" i="152" s="1"/>
  <c r="J768" i="35"/>
  <c r="J87" i="152" s="1"/>
  <c r="O790" i="35"/>
  <c r="O110" i="152" s="1"/>
  <c r="M765" i="35"/>
  <c r="M84" i="152" s="1"/>
  <c r="N791" i="35"/>
  <c r="N111" i="152" s="1"/>
  <c r="J792" i="35"/>
  <c r="J112" i="152" s="1"/>
  <c r="K798" i="35"/>
  <c r="K118" i="152" s="1"/>
  <c r="J766" i="35"/>
  <c r="J85" i="152" s="1"/>
  <c r="L797" i="35"/>
  <c r="L117" i="152" s="1"/>
  <c r="O793" i="35"/>
  <c r="O113" i="152" s="1"/>
  <c r="K795" i="35"/>
  <c r="K115" i="152" s="1"/>
  <c r="O773" i="35"/>
  <c r="O92" i="152" s="1"/>
  <c r="L771" i="35"/>
  <c r="L90" i="152" s="1"/>
  <c r="M769" i="35"/>
  <c r="M88" i="152" s="1"/>
  <c r="J793" i="35"/>
  <c r="J113" i="152" s="1"/>
  <c r="M764" i="35"/>
  <c r="M83" i="152" s="1"/>
  <c r="N773" i="35"/>
  <c r="N92" i="152" s="1"/>
  <c r="J772" i="35"/>
  <c r="J91" i="152" s="1"/>
  <c r="J713" i="35"/>
  <c r="J33" i="152" s="1"/>
  <c r="J710" i="35"/>
  <c r="J30" i="152" s="1"/>
  <c r="J712" i="35"/>
  <c r="J32" i="152" s="1"/>
  <c r="J715" i="35"/>
  <c r="J35" i="152" s="1"/>
  <c r="J718" i="35"/>
  <c r="J38" i="152" s="1"/>
  <c r="J711" i="35"/>
  <c r="J31" i="152" s="1"/>
  <c r="J714" i="35"/>
  <c r="J34" i="152" s="1"/>
  <c r="J709" i="35"/>
  <c r="J29" i="152" s="1"/>
  <c r="J716" i="35"/>
  <c r="J36" i="152" s="1"/>
  <c r="J717" i="35"/>
  <c r="J37" i="152" s="1"/>
  <c r="K717" i="35"/>
  <c r="K37" i="152" s="1"/>
  <c r="K711" i="35"/>
  <c r="K31" i="152" s="1"/>
  <c r="K716" i="35"/>
  <c r="K36" i="152" s="1"/>
  <c r="K713" i="35"/>
  <c r="K33" i="152" s="1"/>
  <c r="K718" i="35"/>
  <c r="K38" i="152" s="1"/>
  <c r="K710" i="35"/>
  <c r="K30" i="152" s="1"/>
  <c r="K714" i="35"/>
  <c r="K34" i="152" s="1"/>
  <c r="K712" i="35"/>
  <c r="K32" i="152" s="1"/>
  <c r="K715" i="35"/>
  <c r="K35" i="152" s="1"/>
  <c r="K709" i="35"/>
  <c r="K29" i="152" s="1"/>
  <c r="L715" i="35"/>
  <c r="L35" i="152" s="1"/>
  <c r="L711" i="35"/>
  <c r="L31" i="152" s="1"/>
  <c r="L712" i="35"/>
  <c r="L32" i="152" s="1"/>
  <c r="L713" i="35"/>
  <c r="L33" i="152" s="1"/>
  <c r="L709" i="35"/>
  <c r="L29" i="152" s="1"/>
  <c r="L717" i="35"/>
  <c r="L37" i="152" s="1"/>
  <c r="L710" i="35"/>
  <c r="L30" i="152" s="1"/>
  <c r="L714" i="35"/>
  <c r="L34" i="152" s="1"/>
  <c r="L716" i="35"/>
  <c r="L36" i="152" s="1"/>
  <c r="L718" i="35"/>
  <c r="L38" i="152" s="1"/>
  <c r="M709" i="35"/>
  <c r="M29" i="152" s="1"/>
  <c r="M712" i="35"/>
  <c r="M32" i="152" s="1"/>
  <c r="M711" i="35"/>
  <c r="M31" i="152" s="1"/>
  <c r="M718" i="35"/>
  <c r="M38" i="152" s="1"/>
  <c r="M710" i="35"/>
  <c r="M30" i="152" s="1"/>
  <c r="M717" i="35"/>
  <c r="M37" i="152" s="1"/>
  <c r="M716" i="35"/>
  <c r="M36" i="152" s="1"/>
  <c r="M713" i="35"/>
  <c r="M33" i="152" s="1"/>
  <c r="M715" i="35"/>
  <c r="M35" i="152" s="1"/>
  <c r="M714" i="35"/>
  <c r="M34" i="152" s="1"/>
  <c r="N710" i="35"/>
  <c r="N30" i="152" s="1"/>
  <c r="N718" i="35"/>
  <c r="N38" i="152" s="1"/>
  <c r="N715" i="35"/>
  <c r="N35" i="152" s="1"/>
  <c r="N712" i="35"/>
  <c r="N32" i="152" s="1"/>
  <c r="N711" i="35"/>
  <c r="N31" i="152" s="1"/>
  <c r="N713" i="35"/>
  <c r="N33" i="152" s="1"/>
  <c r="N709" i="35"/>
  <c r="N29" i="152" s="1"/>
  <c r="N714" i="35"/>
  <c r="N34" i="152" s="1"/>
  <c r="N716" i="35"/>
  <c r="N36" i="152" s="1"/>
  <c r="N717" i="35"/>
  <c r="N37" i="152" s="1"/>
  <c r="O716" i="35"/>
  <c r="O36" i="152" s="1"/>
  <c r="O718" i="35"/>
  <c r="O38" i="152" s="1"/>
  <c r="O713" i="35"/>
  <c r="O33" i="152" s="1"/>
  <c r="O714" i="35"/>
  <c r="O34" i="152" s="1"/>
  <c r="O709" i="35"/>
  <c r="O29" i="152" s="1"/>
  <c r="O711" i="35"/>
  <c r="O31" i="152" s="1"/>
  <c r="O717" i="35"/>
  <c r="O37" i="152" s="1"/>
  <c r="O712" i="35"/>
  <c r="O32" i="152" s="1"/>
  <c r="O710" i="35"/>
  <c r="O30" i="152" s="1"/>
  <c r="O715" i="35"/>
  <c r="O35" i="152" s="1"/>
  <c r="O777" i="35"/>
  <c r="O97" i="152" s="1"/>
  <c r="O781" i="35"/>
  <c r="O101" i="152" s="1"/>
  <c r="K780" i="35"/>
  <c r="K100" i="152" s="1"/>
  <c r="L781" i="35"/>
  <c r="L101" i="152" s="1"/>
  <c r="K782" i="35"/>
  <c r="K102" i="152" s="1"/>
  <c r="M785" i="35"/>
  <c r="M105" i="152" s="1"/>
  <c r="O785" i="35"/>
  <c r="O105" i="152" s="1"/>
  <c r="M808" i="35"/>
  <c r="M129" i="152" s="1"/>
  <c r="K804" i="35"/>
  <c r="K125" i="152" s="1"/>
  <c r="J801" i="35"/>
  <c r="J122" i="152" s="1"/>
  <c r="K802" i="35"/>
  <c r="K123" i="152" s="1"/>
  <c r="J804" i="35"/>
  <c r="J125" i="152" s="1"/>
  <c r="O803" i="35"/>
  <c r="O124" i="152" s="1"/>
  <c r="M801" i="35"/>
  <c r="M122" i="152" s="1"/>
  <c r="K808" i="35"/>
  <c r="K129" i="152" s="1"/>
  <c r="M776" i="35"/>
  <c r="M96" i="152" s="1"/>
  <c r="J785" i="35"/>
  <c r="J105" i="152" s="1"/>
  <c r="N782" i="35"/>
  <c r="N102" i="152" s="1"/>
  <c r="M780" i="35"/>
  <c r="M100" i="152" s="1"/>
  <c r="J784" i="35"/>
  <c r="J104" i="152" s="1"/>
  <c r="L784" i="35"/>
  <c r="L104" i="152" s="1"/>
  <c r="N785" i="35"/>
  <c r="N105" i="152" s="1"/>
  <c r="K776" i="35"/>
  <c r="K96" i="152" s="1"/>
  <c r="J780" i="35"/>
  <c r="J100" i="152" s="1"/>
  <c r="K803" i="35"/>
  <c r="K124" i="152" s="1"/>
  <c r="L805" i="35"/>
  <c r="L126" i="152" s="1"/>
  <c r="L807" i="35"/>
  <c r="L128" i="152" s="1"/>
  <c r="N802" i="35"/>
  <c r="N123" i="152" s="1"/>
  <c r="O809" i="35"/>
  <c r="O130" i="152" s="1"/>
  <c r="M803" i="35"/>
  <c r="M124" i="152" s="1"/>
  <c r="K809" i="35"/>
  <c r="K130" i="152" s="1"/>
  <c r="N808" i="35"/>
  <c r="N129" i="152" s="1"/>
  <c r="M807" i="35"/>
  <c r="M128" i="152" s="1"/>
  <c r="L777" i="35"/>
  <c r="L97" i="152" s="1"/>
  <c r="J809" i="35"/>
  <c r="J130" i="152" s="1"/>
  <c r="K801" i="35"/>
  <c r="K122" i="152" s="1"/>
  <c r="L785" i="35"/>
  <c r="L105" i="152" s="1"/>
  <c r="N783" i="35"/>
  <c r="N103" i="152" s="1"/>
  <c r="N778" i="35"/>
  <c r="N98" i="152" s="1"/>
  <c r="J776" i="35"/>
  <c r="J96" i="152" s="1"/>
  <c r="N776" i="35"/>
  <c r="N96" i="152" s="1"/>
  <c r="L778" i="35"/>
  <c r="L98" i="152" s="1"/>
  <c r="K777" i="35"/>
  <c r="K97" i="152" s="1"/>
  <c r="J783" i="35"/>
  <c r="J103" i="152" s="1"/>
  <c r="J810" i="35"/>
  <c r="J131" i="152" s="1"/>
  <c r="K805" i="35"/>
  <c r="K126" i="152" s="1"/>
  <c r="L802" i="35"/>
  <c r="L123" i="152" s="1"/>
  <c r="J806" i="35"/>
  <c r="J127" i="152" s="1"/>
  <c r="K810" i="35"/>
  <c r="K131" i="152" s="1"/>
  <c r="L804" i="35"/>
  <c r="L125" i="152" s="1"/>
  <c r="L808" i="35"/>
  <c r="L129" i="152" s="1"/>
  <c r="M783" i="35"/>
  <c r="M103" i="152" s="1"/>
  <c r="K785" i="35"/>
  <c r="K105" i="152" s="1"/>
  <c r="N804" i="35"/>
  <c r="N125" i="152" s="1"/>
  <c r="K778" i="35"/>
  <c r="K98" i="152" s="1"/>
  <c r="M778" i="35"/>
  <c r="M98" i="152" s="1"/>
  <c r="K783" i="35"/>
  <c r="K103" i="152" s="1"/>
  <c r="M784" i="35"/>
  <c r="M104" i="152" s="1"/>
  <c r="K781" i="35"/>
  <c r="K101" i="152" s="1"/>
  <c r="M781" i="35"/>
  <c r="M101" i="152" s="1"/>
  <c r="J781" i="35"/>
  <c r="J101" i="152" s="1"/>
  <c r="O779" i="35"/>
  <c r="O99" i="152" s="1"/>
  <c r="O801" i="35"/>
  <c r="O122" i="152" s="1"/>
  <c r="N806" i="35"/>
  <c r="N127" i="152" s="1"/>
  <c r="L806" i="35"/>
  <c r="L127" i="152" s="1"/>
  <c r="M806" i="35"/>
  <c r="M127" i="152" s="1"/>
  <c r="N805" i="35"/>
  <c r="N126" i="152" s="1"/>
  <c r="K806" i="35"/>
  <c r="K127" i="152" s="1"/>
  <c r="M779" i="35"/>
  <c r="M99" i="152" s="1"/>
  <c r="M782" i="35"/>
  <c r="M102" i="152" s="1"/>
  <c r="J779" i="35"/>
  <c r="J99" i="152" s="1"/>
  <c r="K779" i="35"/>
  <c r="K99" i="152" s="1"/>
  <c r="N781" i="35"/>
  <c r="N101" i="152" s="1"/>
  <c r="L782" i="35"/>
  <c r="L102" i="152" s="1"/>
  <c r="O784" i="35"/>
  <c r="O104" i="152" s="1"/>
  <c r="K784" i="35"/>
  <c r="K104" i="152" s="1"/>
  <c r="N801" i="35"/>
  <c r="N122" i="152" s="1"/>
  <c r="O805" i="35"/>
  <c r="O126" i="152" s="1"/>
  <c r="K807" i="35"/>
  <c r="K128" i="152" s="1"/>
  <c r="O807" i="35"/>
  <c r="O128" i="152" s="1"/>
  <c r="M809" i="35"/>
  <c r="M130" i="152" s="1"/>
  <c r="J805" i="35"/>
  <c r="J126" i="152" s="1"/>
  <c r="N810" i="35"/>
  <c r="N131" i="152" s="1"/>
  <c r="J782" i="35"/>
  <c r="J102" i="152" s="1"/>
  <c r="J778" i="35"/>
  <c r="J98" i="152" s="1"/>
  <c r="J808" i="35"/>
  <c r="J129" i="152" s="1"/>
  <c r="O776" i="35"/>
  <c r="O96" i="152" s="1"/>
  <c r="M777" i="35"/>
  <c r="M97" i="152" s="1"/>
  <c r="O783" i="35"/>
  <c r="O103" i="152" s="1"/>
  <c r="L780" i="35"/>
  <c r="L100" i="152" s="1"/>
  <c r="N784" i="35"/>
  <c r="N104" i="152" s="1"/>
  <c r="J777" i="35"/>
  <c r="J97" i="152" s="1"/>
  <c r="O778" i="35"/>
  <c r="O98" i="152" s="1"/>
  <c r="M804" i="35"/>
  <c r="M125" i="152" s="1"/>
  <c r="N803" i="35"/>
  <c r="N124" i="152" s="1"/>
  <c r="N809" i="35"/>
  <c r="N130" i="152" s="1"/>
  <c r="J803" i="35"/>
  <c r="J124" i="152" s="1"/>
  <c r="M805" i="35"/>
  <c r="M126" i="152" s="1"/>
  <c r="M802" i="35"/>
  <c r="M123" i="152" s="1"/>
  <c r="O806" i="35"/>
  <c r="O127" i="152" s="1"/>
  <c r="O808" i="35"/>
  <c r="O129" i="152" s="1"/>
  <c r="J802" i="35"/>
  <c r="J123" i="152" s="1"/>
  <c r="L783" i="35"/>
  <c r="L103" i="152" s="1"/>
  <c r="N779" i="35"/>
  <c r="N99" i="152" s="1"/>
  <c r="L776" i="35"/>
  <c r="L96" i="152" s="1"/>
  <c r="L779" i="35"/>
  <c r="L99" i="152" s="1"/>
  <c r="O782" i="35"/>
  <c r="O102" i="152" s="1"/>
  <c r="N777" i="35"/>
  <c r="N97" i="152" s="1"/>
  <c r="N780" i="35"/>
  <c r="N100" i="152" s="1"/>
  <c r="L810" i="35"/>
  <c r="L131" i="152" s="1"/>
  <c r="O810" i="35"/>
  <c r="O131" i="152" s="1"/>
  <c r="L803" i="35"/>
  <c r="L124" i="152" s="1"/>
  <c r="L801" i="35"/>
  <c r="L122" i="152" s="1"/>
  <c r="N807" i="35"/>
  <c r="N128" i="152" s="1"/>
  <c r="L809" i="35"/>
  <c r="L130" i="152" s="1"/>
  <c r="M810" i="35"/>
  <c r="M131" i="152" s="1"/>
  <c r="J807" i="35"/>
  <c r="J128" i="152" s="1"/>
  <c r="O802" i="35"/>
  <c r="O123" i="152" s="1"/>
  <c r="O780" i="35"/>
  <c r="O100" i="152" s="1"/>
  <c r="O804" i="35"/>
  <c r="O125" i="152" s="1"/>
  <c r="J750" i="35"/>
  <c r="J44" i="152" s="1"/>
  <c r="J752" i="35"/>
  <c r="J46" i="152" s="1"/>
  <c r="K748" i="35"/>
  <c r="K42" i="152" s="1"/>
  <c r="L755" i="35"/>
  <c r="L49" i="152" s="1"/>
  <c r="M752" i="35"/>
  <c r="M46" i="152" s="1"/>
  <c r="N751" i="35"/>
  <c r="N45" i="152" s="1"/>
  <c r="N750" i="35"/>
  <c r="N44" i="152" s="1"/>
  <c r="O756" i="35"/>
  <c r="O50" i="152" s="1"/>
  <c r="J754" i="35"/>
  <c r="J48" i="152" s="1"/>
  <c r="J755" i="35"/>
  <c r="J49" i="152" s="1"/>
  <c r="K752" i="35"/>
  <c r="K46" i="152" s="1"/>
  <c r="L754" i="35"/>
  <c r="L48" i="152" s="1"/>
  <c r="M751" i="35"/>
  <c r="M45" i="152" s="1"/>
  <c r="N756" i="35"/>
  <c r="N50" i="152" s="1"/>
  <c r="N757" i="35"/>
  <c r="N51" i="152" s="1"/>
  <c r="O751" i="35"/>
  <c r="O45" i="152" s="1"/>
  <c r="J753" i="35"/>
  <c r="J47" i="152" s="1"/>
  <c r="K756" i="35"/>
  <c r="K50" i="152" s="1"/>
  <c r="K749" i="35"/>
  <c r="K43" i="152" s="1"/>
  <c r="L751" i="35"/>
  <c r="L45" i="152" s="1"/>
  <c r="M757" i="35"/>
  <c r="M51" i="152" s="1"/>
  <c r="N752" i="35"/>
  <c r="N46" i="152" s="1"/>
  <c r="O755" i="35"/>
  <c r="O49" i="152" s="1"/>
  <c r="O749" i="35"/>
  <c r="O43" i="152" s="1"/>
  <c r="N748" i="35"/>
  <c r="N42" i="152" s="1"/>
  <c r="J756" i="35"/>
  <c r="J50" i="152" s="1"/>
  <c r="K751" i="35"/>
  <c r="K45" i="152" s="1"/>
  <c r="K753" i="35"/>
  <c r="K47" i="152" s="1"/>
  <c r="L748" i="35"/>
  <c r="L42" i="152" s="1"/>
  <c r="M750" i="35"/>
  <c r="M44" i="152" s="1"/>
  <c r="N753" i="35"/>
  <c r="N47" i="152" s="1"/>
  <c r="O757" i="35"/>
  <c r="O51" i="152" s="1"/>
  <c r="O754" i="35"/>
  <c r="O48" i="152" s="1"/>
  <c r="M753" i="35"/>
  <c r="M47" i="152" s="1"/>
  <c r="J749" i="35"/>
  <c r="J43" i="152" s="1"/>
  <c r="K750" i="35"/>
  <c r="K44" i="152" s="1"/>
  <c r="L753" i="35"/>
  <c r="L47" i="152" s="1"/>
  <c r="L749" i="35"/>
  <c r="L43" i="152" s="1"/>
  <c r="M756" i="35"/>
  <c r="M50" i="152" s="1"/>
  <c r="N754" i="35"/>
  <c r="N48" i="152" s="1"/>
  <c r="O748" i="35"/>
  <c r="O42" i="152" s="1"/>
  <c r="J757" i="35"/>
  <c r="J51" i="152" s="1"/>
  <c r="K755" i="35"/>
  <c r="K49" i="152" s="1"/>
  <c r="L756" i="35"/>
  <c r="L50" i="152" s="1"/>
  <c r="L752" i="35"/>
  <c r="L46" i="152" s="1"/>
  <c r="M749" i="35"/>
  <c r="M43" i="152" s="1"/>
  <c r="N755" i="35"/>
  <c r="N49" i="152" s="1"/>
  <c r="O753" i="35"/>
  <c r="O47" i="152" s="1"/>
  <c r="J748" i="35"/>
  <c r="J42" i="152" s="1"/>
  <c r="K757" i="35"/>
  <c r="K51" i="152" s="1"/>
  <c r="L757" i="35"/>
  <c r="L51" i="152" s="1"/>
  <c r="M755" i="35"/>
  <c r="M49" i="152" s="1"/>
  <c r="M754" i="35"/>
  <c r="M48" i="152" s="1"/>
  <c r="N749" i="35"/>
  <c r="N43" i="152" s="1"/>
  <c r="O752" i="35"/>
  <c r="O46" i="152" s="1"/>
  <c r="J751" i="35"/>
  <c r="J45" i="152" s="1"/>
  <c r="K754" i="35"/>
  <c r="K48" i="152" s="1"/>
  <c r="L750" i="35"/>
  <c r="L44" i="152" s="1"/>
  <c r="M748" i="35"/>
  <c r="M42" i="152" s="1"/>
  <c r="O750" i="35"/>
  <c r="O44" i="152" s="1"/>
  <c r="L729" i="35"/>
  <c r="O730" i="35"/>
  <c r="K723" i="35"/>
  <c r="L723" i="35"/>
  <c r="M723" i="35"/>
  <c r="N723" i="35"/>
  <c r="O727" i="35"/>
  <c r="L744" i="35"/>
  <c r="M744" i="35"/>
  <c r="N744" i="35"/>
  <c r="O744" i="35"/>
  <c r="O735" i="35"/>
  <c r="L737" i="35"/>
  <c r="M741" i="35"/>
  <c r="O740" i="35"/>
  <c r="N730" i="35"/>
  <c r="J723" i="35"/>
  <c r="M724" i="35"/>
  <c r="N724" i="35"/>
  <c r="O724" i="35"/>
  <c r="J725" i="35"/>
  <c r="K729" i="35"/>
  <c r="J735" i="35"/>
  <c r="K735" i="35"/>
  <c r="L735" i="35"/>
  <c r="M735" i="35"/>
  <c r="N735" i="35"/>
  <c r="K737" i="35"/>
  <c r="N738" i="35"/>
  <c r="O742" i="35"/>
  <c r="O723" i="35"/>
  <c r="O722" i="35"/>
  <c r="L724" i="35"/>
  <c r="O725" i="35"/>
  <c r="J726" i="35"/>
  <c r="K726" i="35"/>
  <c r="L726" i="35"/>
  <c r="M730" i="35"/>
  <c r="L736" i="35"/>
  <c r="M736" i="35"/>
  <c r="N736" i="35"/>
  <c r="O736" i="35"/>
  <c r="J737" i="35"/>
  <c r="M738" i="35"/>
  <c r="J740" i="35"/>
  <c r="K744" i="35"/>
  <c r="L728" i="35"/>
  <c r="K730" i="35"/>
  <c r="J741" i="35"/>
  <c r="N722" i="35"/>
  <c r="K724" i="35"/>
  <c r="N725" i="35"/>
  <c r="K727" i="35"/>
  <c r="L727" i="35"/>
  <c r="M727" i="35"/>
  <c r="N727" i="35"/>
  <c r="O731" i="35"/>
  <c r="N737" i="35"/>
  <c r="O737" i="35"/>
  <c r="J738" i="35"/>
  <c r="K738" i="35"/>
  <c r="L738" i="35"/>
  <c r="O739" i="35"/>
  <c r="L741" i="35"/>
  <c r="K736" i="35"/>
  <c r="O726" i="35"/>
  <c r="J730" i="35"/>
  <c r="M740" i="35"/>
  <c r="J744" i="35"/>
  <c r="J724" i="35"/>
  <c r="M725" i="35"/>
  <c r="J727" i="35"/>
  <c r="M728" i="35"/>
  <c r="N728" i="35"/>
  <c r="O728" i="35"/>
  <c r="J729" i="35"/>
  <c r="M722" i="35"/>
  <c r="J739" i="35"/>
  <c r="K739" i="35"/>
  <c r="L739" i="35"/>
  <c r="M739" i="35"/>
  <c r="N739" i="35"/>
  <c r="K741" i="35"/>
  <c r="N742" i="35"/>
  <c r="M737" i="35"/>
  <c r="L725" i="35"/>
  <c r="L19" i="152" s="1"/>
  <c r="O729" i="35"/>
  <c r="N740" i="35"/>
  <c r="N726" i="35"/>
  <c r="K728" i="35"/>
  <c r="N729" i="35"/>
  <c r="K731" i="35"/>
  <c r="L731" i="35"/>
  <c r="M731" i="35"/>
  <c r="N731" i="35"/>
  <c r="K725" i="35"/>
  <c r="N741" i="35"/>
  <c r="O741" i="35"/>
  <c r="J742" i="35"/>
  <c r="K742" i="35"/>
  <c r="L742" i="35"/>
  <c r="O743" i="35"/>
  <c r="O738" i="35"/>
  <c r="L740" i="35"/>
  <c r="J728" i="35"/>
  <c r="J22" i="152" s="1"/>
  <c r="M729" i="35"/>
  <c r="J731" i="35"/>
  <c r="J722" i="35"/>
  <c r="K722" i="35"/>
  <c r="L722" i="35"/>
  <c r="M726" i="35"/>
  <c r="J743" i="35"/>
  <c r="K743" i="35"/>
  <c r="L743" i="35"/>
  <c r="M743" i="35"/>
  <c r="N743" i="35"/>
  <c r="J736" i="35"/>
  <c r="K740" i="35"/>
  <c r="L730" i="35"/>
  <c r="M742" i="35"/>
  <c r="J2346" i="35"/>
  <c r="J38" i="156" s="1"/>
  <c r="J2344" i="35"/>
  <c r="J36" i="156" s="1"/>
  <c r="J1545" i="35"/>
  <c r="J1543" i="35"/>
  <c r="J1976" i="35"/>
  <c r="J49" i="154" s="1"/>
  <c r="J1978" i="35"/>
  <c r="J51" i="154" s="1"/>
  <c r="J1950" i="35"/>
  <c r="J1952" i="35"/>
  <c r="J2342" i="35"/>
  <c r="J34" i="156" s="1"/>
  <c r="J2343" i="35"/>
  <c r="J35" i="156" s="1"/>
  <c r="J2341" i="35"/>
  <c r="J33" i="156" s="1"/>
  <c r="J2338" i="35"/>
  <c r="J30" i="156" s="1"/>
  <c r="J1538" i="35"/>
  <c r="J2339" i="35"/>
  <c r="J31" i="156" s="1"/>
  <c r="J1541" i="35"/>
  <c r="J1540" i="35"/>
  <c r="J1973" i="35"/>
  <c r="J46" i="154" s="1"/>
  <c r="J1977" i="35"/>
  <c r="J50" i="154" s="1"/>
  <c r="J1971" i="35"/>
  <c r="J44" i="154" s="1"/>
  <c r="J1944" i="35"/>
  <c r="J1537" i="35"/>
  <c r="J1947" i="35"/>
  <c r="J1544" i="35"/>
  <c r="J1542" i="35"/>
  <c r="J1945" i="35"/>
  <c r="J1974" i="35"/>
  <c r="J47" i="154" s="1"/>
  <c r="J1975" i="35"/>
  <c r="J48" i="154" s="1"/>
  <c r="J1951" i="35"/>
  <c r="J2340" i="35"/>
  <c r="J32" i="156" s="1"/>
  <c r="J1948" i="35"/>
  <c r="J1539" i="35"/>
  <c r="J1970" i="35"/>
  <c r="J43" i="154" s="1"/>
  <c r="J1972" i="35"/>
  <c r="J45" i="154" s="1"/>
  <c r="J2345" i="35"/>
  <c r="J37" i="156" s="1"/>
  <c r="J1949" i="35"/>
  <c r="J1946" i="35"/>
  <c r="J1530" i="35"/>
  <c r="J36" i="153" s="1"/>
  <c r="J1529" i="35"/>
  <c r="J35" i="153" s="1"/>
  <c r="J1527" i="35"/>
  <c r="J33" i="153" s="1"/>
  <c r="J1528" i="35"/>
  <c r="J34" i="153" s="1"/>
  <c r="J1525" i="35"/>
  <c r="J31" i="153" s="1"/>
  <c r="J1524" i="35"/>
  <c r="J30" i="153" s="1"/>
  <c r="J1531" i="35"/>
  <c r="J37" i="153" s="1"/>
  <c r="J1526" i="35"/>
  <c r="J32" i="153" s="1"/>
  <c r="J1532" i="35"/>
  <c r="J38" i="153" s="1"/>
  <c r="J2337" i="35"/>
  <c r="J29" i="156" s="1"/>
  <c r="J1943" i="35"/>
  <c r="J1523" i="35"/>
  <c r="J29" i="153" s="1"/>
  <c r="J1536" i="35"/>
  <c r="J1969" i="35"/>
  <c r="J42" i="154" s="1"/>
  <c r="K2338" i="35"/>
  <c r="K30" i="156" s="1"/>
  <c r="K1524" i="35"/>
  <c r="K30" i="153" s="1"/>
  <c r="K1537" i="35"/>
  <c r="K1970" i="35"/>
  <c r="K43" i="154" s="1"/>
  <c r="K1944" i="35"/>
  <c r="K2344" i="35"/>
  <c r="K36" i="156" s="1"/>
  <c r="K1531" i="35"/>
  <c r="K37" i="153" s="1"/>
  <c r="K2346" i="35"/>
  <c r="K38" i="156" s="1"/>
  <c r="K1544" i="35"/>
  <c r="K2345" i="35"/>
  <c r="K37" i="156" s="1"/>
  <c r="K1532" i="35"/>
  <c r="K38" i="153" s="1"/>
  <c r="K1545" i="35"/>
  <c r="K1543" i="35"/>
  <c r="K1950" i="35"/>
  <c r="K1952" i="35"/>
  <c r="K1977" i="35"/>
  <c r="K50" i="154" s="1"/>
  <c r="K1530" i="35"/>
  <c r="K36" i="153" s="1"/>
  <c r="L2338" i="35"/>
  <c r="L30" i="156" s="1"/>
  <c r="K1951" i="35"/>
  <c r="K1976" i="35"/>
  <c r="K49" i="154" s="1"/>
  <c r="K1978" i="35"/>
  <c r="K51" i="154" s="1"/>
  <c r="L1537" i="35"/>
  <c r="L1524" i="35"/>
  <c r="L30" i="153" s="1"/>
  <c r="L1970" i="35"/>
  <c r="L43" i="154" s="1"/>
  <c r="L1944" i="35"/>
  <c r="K2339" i="35"/>
  <c r="K31" i="156" s="1"/>
  <c r="K1529" i="35"/>
  <c r="K35" i="153" s="1"/>
  <c r="K2341" i="35"/>
  <c r="K33" i="156" s="1"/>
  <c r="K1542" i="35"/>
  <c r="K1972" i="35"/>
  <c r="K45" i="154" s="1"/>
  <c r="K1527" i="35"/>
  <c r="K33" i="153" s="1"/>
  <c r="K2343" i="35"/>
  <c r="K35" i="156" s="1"/>
  <c r="K1946" i="35"/>
  <c r="K1540" i="35"/>
  <c r="K1974" i="35"/>
  <c r="K47" i="154" s="1"/>
  <c r="K1971" i="35"/>
  <c r="K44" i="154" s="1"/>
  <c r="K1526" i="35"/>
  <c r="K32" i="153" s="1"/>
  <c r="K1538" i="35"/>
  <c r="K2342" i="35"/>
  <c r="K34" i="156" s="1"/>
  <c r="K1948" i="35"/>
  <c r="K1945" i="35"/>
  <c r="K1539" i="35"/>
  <c r="K1525" i="35"/>
  <c r="K31" i="153" s="1"/>
  <c r="K1973" i="35"/>
  <c r="K46" i="154" s="1"/>
  <c r="K1528" i="35"/>
  <c r="K34" i="153" s="1"/>
  <c r="K2340" i="35"/>
  <c r="K32" i="156" s="1"/>
  <c r="K1975" i="35"/>
  <c r="K48" i="154" s="1"/>
  <c r="K1947" i="35"/>
  <c r="K1541" i="35"/>
  <c r="K1949" i="35"/>
  <c r="K1943" i="35"/>
  <c r="K1969" i="35"/>
  <c r="K42" i="154" s="1"/>
  <c r="K2337" i="35"/>
  <c r="K29" i="156" s="1"/>
  <c r="K1523" i="35"/>
  <c r="K29" i="153" s="1"/>
  <c r="K1536" i="35"/>
  <c r="L1974" i="35"/>
  <c r="L47" i="154" s="1"/>
  <c r="L1952" i="35"/>
  <c r="L1948" i="35"/>
  <c r="L1977" i="35"/>
  <c r="L50" i="154" s="1"/>
  <c r="L1951" i="35"/>
  <c r="L1978" i="35"/>
  <c r="L51" i="154" s="1"/>
  <c r="L1976" i="35"/>
  <c r="L49" i="154" s="1"/>
  <c r="L2358" i="35"/>
  <c r="J2351" i="35"/>
  <c r="J2354" i="35"/>
  <c r="L1528" i="35"/>
  <c r="L34" i="153" s="1"/>
  <c r="L2345" i="35"/>
  <c r="L37" i="156" s="1"/>
  <c r="K2353" i="35"/>
  <c r="J2355" i="35"/>
  <c r="L2355" i="35"/>
  <c r="L1543" i="35"/>
  <c r="L2344" i="35"/>
  <c r="L36" i="156" s="1"/>
  <c r="K2357" i="35"/>
  <c r="J2359" i="35"/>
  <c r="J2358" i="35"/>
  <c r="L1532" i="35"/>
  <c r="L38" i="153" s="1"/>
  <c r="L1541" i="35"/>
  <c r="J2352" i="35"/>
  <c r="K2351" i="35"/>
  <c r="L2359" i="35"/>
  <c r="L1950" i="35"/>
  <c r="L2346" i="35"/>
  <c r="L38" i="156" s="1"/>
  <c r="J2356" i="35"/>
  <c r="K2355" i="35"/>
  <c r="K2350" i="35"/>
  <c r="L1545" i="35"/>
  <c r="L2357" i="35"/>
  <c r="K2359" i="35"/>
  <c r="K2354" i="35"/>
  <c r="L1531" i="35"/>
  <c r="L37" i="153" s="1"/>
  <c r="L2342" i="35"/>
  <c r="L34" i="156" s="1"/>
  <c r="J2353" i="35"/>
  <c r="K2352" i="35"/>
  <c r="J2350" i="35"/>
  <c r="K2358" i="35"/>
  <c r="J2357" i="35"/>
  <c r="K2356" i="35"/>
  <c r="L2351" i="35"/>
  <c r="L1530" i="35"/>
  <c r="L36" i="153" s="1"/>
  <c r="L1544" i="35"/>
  <c r="L2356" i="35"/>
  <c r="L1529" i="35"/>
  <c r="L35" i="153" s="1"/>
  <c r="L1972" i="35"/>
  <c r="L45" i="154" s="1"/>
  <c r="L1542" i="35"/>
  <c r="L2343" i="35"/>
  <c r="L35" i="156" s="1"/>
  <c r="L1946" i="35"/>
  <c r="L1945" i="35"/>
  <c r="L2353" i="35"/>
  <c r="L2341" i="35"/>
  <c r="L33" i="156" s="1"/>
  <c r="L1525" i="35"/>
  <c r="L31" i="153" s="1"/>
  <c r="L1539" i="35"/>
  <c r="L1971" i="35"/>
  <c r="L44" i="154" s="1"/>
  <c r="L2354" i="35"/>
  <c r="L1975" i="35"/>
  <c r="L48" i="154" s="1"/>
  <c r="L1973" i="35"/>
  <c r="L46" i="154" s="1"/>
  <c r="L2339" i="35"/>
  <c r="L31" i="156" s="1"/>
  <c r="L1538" i="35"/>
  <c r="L1947" i="35"/>
  <c r="L1949" i="35"/>
  <c r="L1527" i="35"/>
  <c r="L33" i="153" s="1"/>
  <c r="L2352" i="35"/>
  <c r="L2340" i="35"/>
  <c r="L32" i="156" s="1"/>
  <c r="L1540" i="35"/>
  <c r="L1526" i="35"/>
  <c r="L32" i="153" s="1"/>
  <c r="L1523" i="35"/>
  <c r="L29" i="153" s="1"/>
  <c r="L2337" i="35"/>
  <c r="L29" i="156" s="1"/>
  <c r="L1536" i="35"/>
  <c r="L2350" i="35"/>
  <c r="L1969" i="35"/>
  <c r="L42" i="154" s="1"/>
  <c r="L1943" i="35"/>
  <c r="M1545" i="35"/>
  <c r="M1530" i="35"/>
  <c r="M36" i="153" s="1"/>
  <c r="M2346" i="35"/>
  <c r="M38" i="156" s="1"/>
  <c r="M2359" i="35"/>
  <c r="M2344" i="35"/>
  <c r="M36" i="156" s="1"/>
  <c r="M1543" i="35"/>
  <c r="M2357" i="35"/>
  <c r="M1532" i="35"/>
  <c r="M38" i="153" s="1"/>
  <c r="M1950" i="35"/>
  <c r="M1978" i="35"/>
  <c r="M51" i="154" s="1"/>
  <c r="M1952" i="35"/>
  <c r="M1976" i="35"/>
  <c r="M49" i="154" s="1"/>
  <c r="M2354" i="35"/>
  <c r="M1524" i="35"/>
  <c r="M30" i="153" s="1"/>
  <c r="M1527" i="35"/>
  <c r="M33" i="153" s="1"/>
  <c r="M2343" i="35"/>
  <c r="M35" i="156" s="1"/>
  <c r="M2338" i="35"/>
  <c r="M30" i="156" s="1"/>
  <c r="M1977" i="35"/>
  <c r="M50" i="154" s="1"/>
  <c r="M1537" i="35"/>
  <c r="M1540" i="35"/>
  <c r="M2356" i="35"/>
  <c r="M2351" i="35"/>
  <c r="M1525" i="35"/>
  <c r="M31" i="153" s="1"/>
  <c r="M1529" i="35"/>
  <c r="M35" i="153" s="1"/>
  <c r="M2340" i="35"/>
  <c r="M32" i="156" s="1"/>
  <c r="M2339" i="35"/>
  <c r="M31" i="156" s="1"/>
  <c r="M1951" i="35"/>
  <c r="M1526" i="35"/>
  <c r="M32" i="153" s="1"/>
  <c r="M1538" i="35"/>
  <c r="M1542" i="35"/>
  <c r="M2353" i="35"/>
  <c r="M2352" i="35"/>
  <c r="M2341" i="35"/>
  <c r="M33" i="156" s="1"/>
  <c r="M1539" i="35"/>
  <c r="M1974" i="35"/>
  <c r="M47" i="154" s="1"/>
  <c r="M2355" i="35"/>
  <c r="M1945" i="35"/>
  <c r="M1948" i="35"/>
  <c r="M1975" i="35"/>
  <c r="M48" i="154" s="1"/>
  <c r="M1947" i="35"/>
  <c r="M1528" i="35"/>
  <c r="M34" i="153" s="1"/>
  <c r="M2345" i="35"/>
  <c r="M37" i="156" s="1"/>
  <c r="M2358" i="35"/>
  <c r="M1949" i="35"/>
  <c r="M1541" i="35"/>
  <c r="M1970" i="35"/>
  <c r="M43" i="154" s="1"/>
  <c r="M1972" i="35"/>
  <c r="M45" i="154" s="1"/>
  <c r="M1531" i="35"/>
  <c r="M37" i="153" s="1"/>
  <c r="M2342" i="35"/>
  <c r="M34" i="156" s="1"/>
  <c r="M1971" i="35"/>
  <c r="M44" i="154" s="1"/>
  <c r="M1944" i="35"/>
  <c r="M1946" i="35"/>
  <c r="M1544" i="35"/>
  <c r="M1973" i="35"/>
  <c r="M46" i="154" s="1"/>
  <c r="M1523" i="35"/>
  <c r="M29" i="153" s="1"/>
  <c r="M2337" i="35"/>
  <c r="M29" i="156" s="1"/>
  <c r="M1536" i="35"/>
  <c r="M2350" i="35"/>
  <c r="M1943" i="35"/>
  <c r="M1969" i="35"/>
  <c r="M42" i="154" s="1"/>
  <c r="N1532" i="35"/>
  <c r="N38" i="153" s="1"/>
  <c r="N2346" i="35"/>
  <c r="N38" i="156" s="1"/>
  <c r="N2359" i="35"/>
  <c r="N2344" i="35"/>
  <c r="N36" i="156" s="1"/>
  <c r="N1545" i="35"/>
  <c r="N2357" i="35"/>
  <c r="N1530" i="35"/>
  <c r="N36" i="153" s="1"/>
  <c r="N1543" i="35"/>
  <c r="N1976" i="35"/>
  <c r="N49" i="154" s="1"/>
  <c r="N1950" i="35"/>
  <c r="N1978" i="35"/>
  <c r="N51" i="154" s="1"/>
  <c r="N1952" i="35"/>
  <c r="N2354" i="35"/>
  <c r="N2352" i="35"/>
  <c r="N1540" i="35"/>
  <c r="N2340" i="35"/>
  <c r="N32" i="156" s="1"/>
  <c r="N2338" i="35"/>
  <c r="N30" i="156" s="1"/>
  <c r="N1528" i="35"/>
  <c r="N34" i="153" s="1"/>
  <c r="N1539" i="35"/>
  <c r="N2342" i="35"/>
  <c r="N34" i="156" s="1"/>
  <c r="N2351" i="35"/>
  <c r="N1531" i="35"/>
  <c r="N37" i="153" s="1"/>
  <c r="N2343" i="35"/>
  <c r="N35" i="156" s="1"/>
  <c r="N2355" i="35"/>
  <c r="N2353" i="35"/>
  <c r="N1541" i="35"/>
  <c r="N1524" i="35"/>
  <c r="N30" i="153" s="1"/>
  <c r="N2345" i="35"/>
  <c r="N37" i="156" s="1"/>
  <c r="N1525" i="35"/>
  <c r="N31" i="153" s="1"/>
  <c r="N2356" i="35"/>
  <c r="N1537" i="35"/>
  <c r="N2341" i="35"/>
  <c r="N33" i="156" s="1"/>
  <c r="N2339" i="35"/>
  <c r="N31" i="156" s="1"/>
  <c r="N2358" i="35"/>
  <c r="N1527" i="35"/>
  <c r="N33" i="153" s="1"/>
  <c r="N1538" i="35"/>
  <c r="N1526" i="35"/>
  <c r="N32" i="153" s="1"/>
  <c r="N1529" i="35"/>
  <c r="N35" i="153" s="1"/>
  <c r="N1542" i="35"/>
  <c r="N1975" i="35"/>
  <c r="N48" i="154" s="1"/>
  <c r="N1948" i="35"/>
  <c r="N1971" i="35"/>
  <c r="N44" i="154" s="1"/>
  <c r="N1944" i="35"/>
  <c r="N1949" i="35"/>
  <c r="N1972" i="35"/>
  <c r="N45" i="154" s="1"/>
  <c r="N1977" i="35"/>
  <c r="N50" i="154" s="1"/>
  <c r="N1544" i="35"/>
  <c r="N1973" i="35"/>
  <c r="N46" i="154" s="1"/>
  <c r="N1946" i="35"/>
  <c r="N1970" i="35"/>
  <c r="N43" i="154" s="1"/>
  <c r="N1945" i="35"/>
  <c r="N1951" i="35"/>
  <c r="N1974" i="35"/>
  <c r="N47" i="154" s="1"/>
  <c r="N1947" i="35"/>
  <c r="N2337" i="35"/>
  <c r="N29" i="156" s="1"/>
  <c r="N2350" i="35"/>
  <c r="N1523" i="35"/>
  <c r="N29" i="153" s="1"/>
  <c r="N1536" i="35"/>
  <c r="N1969" i="35"/>
  <c r="N42" i="154" s="1"/>
  <c r="N1943" i="35"/>
  <c r="O1543" i="35"/>
  <c r="O2346" i="35"/>
  <c r="O38" i="156" s="1"/>
  <c r="O2359" i="35"/>
  <c r="O1532" i="35"/>
  <c r="O38" i="153" s="1"/>
  <c r="O2344" i="35"/>
  <c r="O36" i="156" s="1"/>
  <c r="O1545" i="35"/>
  <c r="O2357" i="35"/>
  <c r="O1530" i="35"/>
  <c r="O36" i="153" s="1"/>
  <c r="O1950" i="35"/>
  <c r="O1978" i="35"/>
  <c r="O51" i="154" s="1"/>
  <c r="O1952" i="35"/>
  <c r="O1976" i="35"/>
  <c r="O49" i="154" s="1"/>
  <c r="O2342" i="35"/>
  <c r="O34" i="156" s="1"/>
  <c r="O1529" i="35"/>
  <c r="O35" i="153" s="1"/>
  <c r="O2341" i="35"/>
  <c r="O33" i="156" s="1"/>
  <c r="O2355" i="35"/>
  <c r="O1946" i="35"/>
  <c r="O2343" i="35"/>
  <c r="O35" i="156" s="1"/>
  <c r="O1527" i="35"/>
  <c r="O33" i="153" s="1"/>
  <c r="O1542" i="35"/>
  <c r="O2354" i="35"/>
  <c r="O1525" i="35"/>
  <c r="O31" i="153" s="1"/>
  <c r="O2356" i="35"/>
  <c r="O2339" i="35"/>
  <c r="O31" i="156" s="1"/>
  <c r="O1970" i="35"/>
  <c r="O43" i="154" s="1"/>
  <c r="O1538" i="35"/>
  <c r="O2352" i="35"/>
  <c r="O1944" i="35"/>
  <c r="O1972" i="35"/>
  <c r="O45" i="154" s="1"/>
  <c r="O1951" i="35"/>
  <c r="O2340" i="35"/>
  <c r="O32" i="156" s="1"/>
  <c r="O1945" i="35"/>
  <c r="O1540" i="35"/>
  <c r="O1974" i="35"/>
  <c r="O47" i="154" s="1"/>
  <c r="O1526" i="35"/>
  <c r="O32" i="153" s="1"/>
  <c r="O1537" i="35"/>
  <c r="O1531" i="35"/>
  <c r="O37" i="153" s="1"/>
  <c r="O2345" i="35"/>
  <c r="O37" i="156" s="1"/>
  <c r="O2353" i="35"/>
  <c r="O1973" i="35"/>
  <c r="O46" i="154" s="1"/>
  <c r="O1948" i="35"/>
  <c r="O1539" i="35"/>
  <c r="O1975" i="35"/>
  <c r="O48" i="154" s="1"/>
  <c r="O1977" i="35"/>
  <c r="O50" i="154" s="1"/>
  <c r="O2358" i="35"/>
  <c r="O1528" i="35"/>
  <c r="O34" i="153" s="1"/>
  <c r="O1947" i="35"/>
  <c r="O1541" i="35"/>
  <c r="O2338" i="35"/>
  <c r="O30" i="156" s="1"/>
  <c r="O1971" i="35"/>
  <c r="O44" i="154" s="1"/>
  <c r="O1949" i="35"/>
  <c r="O1544" i="35"/>
  <c r="O2351" i="35"/>
  <c r="O1524" i="35"/>
  <c r="O30" i="153" s="1"/>
  <c r="O1943" i="35"/>
  <c r="O1969" i="35"/>
  <c r="O42" i="154" s="1"/>
  <c r="O1536" i="35"/>
  <c r="O2337" i="35"/>
  <c r="O29" i="156" s="1"/>
  <c r="O2350" i="35"/>
  <c r="O1523" i="35"/>
  <c r="O29" i="153" s="1"/>
  <c r="M2422" i="35"/>
  <c r="M114" i="156" s="1"/>
  <c r="O2419" i="35"/>
  <c r="O111" i="156" s="1"/>
  <c r="M2424" i="35"/>
  <c r="M116" i="156" s="1"/>
  <c r="L2396" i="35"/>
  <c r="L87" i="156" s="1"/>
  <c r="J2400" i="35"/>
  <c r="J91" i="156" s="1"/>
  <c r="J2422" i="35"/>
  <c r="J114" i="156" s="1"/>
  <c r="M2425" i="35"/>
  <c r="M117" i="156" s="1"/>
  <c r="J2401" i="35"/>
  <c r="J92" i="156" s="1"/>
  <c r="N2395" i="35"/>
  <c r="N86" i="156" s="1"/>
  <c r="N2419" i="35"/>
  <c r="N111" i="156" s="1"/>
  <c r="J2423" i="35"/>
  <c r="J115" i="156" s="1"/>
  <c r="O2394" i="35"/>
  <c r="O85" i="156" s="1"/>
  <c r="L2418" i="35"/>
  <c r="L110" i="156" s="1"/>
  <c r="L2419" i="35"/>
  <c r="L111" i="156" s="1"/>
  <c r="J2418" i="35"/>
  <c r="J110" i="156" s="1"/>
  <c r="L1993" i="35"/>
  <c r="L91" i="154" s="1"/>
  <c r="M2015" i="35"/>
  <c r="M114" i="154" s="1"/>
  <c r="O1985" i="35"/>
  <c r="O83" i="154" s="1"/>
  <c r="K2019" i="35"/>
  <c r="K118" i="154" s="1"/>
  <c r="O2014" i="35"/>
  <c r="O113" i="154" s="1"/>
  <c r="O2011" i="35"/>
  <c r="O110" i="154" s="1"/>
  <c r="N1985" i="35"/>
  <c r="N83" i="154" s="1"/>
  <c r="L1987" i="35"/>
  <c r="L85" i="154" s="1"/>
  <c r="K2010" i="35"/>
  <c r="K109" i="154" s="1"/>
  <c r="M2011" i="35"/>
  <c r="M110" i="154" s="1"/>
  <c r="N2014" i="35"/>
  <c r="N113" i="154" s="1"/>
  <c r="K1988" i="35"/>
  <c r="K86" i="154" s="1"/>
  <c r="K1989" i="35"/>
  <c r="K87" i="154" s="1"/>
  <c r="M1988" i="35"/>
  <c r="M86" i="154" s="1"/>
  <c r="L1989" i="35"/>
  <c r="L87" i="154" s="1"/>
  <c r="L1594" i="35"/>
  <c r="L100" i="153" s="1"/>
  <c r="L1590" i="35"/>
  <c r="L96" i="153" s="1"/>
  <c r="O1598" i="35"/>
  <c r="O104" i="153" s="1"/>
  <c r="N1595" i="35"/>
  <c r="N101" i="153" s="1"/>
  <c r="L1593" i="35"/>
  <c r="L99" i="153" s="1"/>
  <c r="K1592" i="35"/>
  <c r="K98" i="153" s="1"/>
  <c r="O1599" i="35"/>
  <c r="O105" i="153" s="1"/>
  <c r="J1597" i="35"/>
  <c r="J103" i="153" s="1"/>
  <c r="J1587" i="35"/>
  <c r="J92" i="153" s="1"/>
  <c r="K1603" i="35"/>
  <c r="K109" i="153" s="1"/>
  <c r="N1612" i="35"/>
  <c r="N118" i="153" s="1"/>
  <c r="L1609" i="35"/>
  <c r="L115" i="153" s="1"/>
  <c r="N1609" i="35"/>
  <c r="N115" i="153" s="1"/>
  <c r="M1578" i="35"/>
  <c r="M83" i="153" s="1"/>
  <c r="K1580" i="35"/>
  <c r="K85" i="153" s="1"/>
  <c r="M1585" i="35"/>
  <c r="M90" i="153" s="1"/>
  <c r="M1584" i="35"/>
  <c r="M89" i="153" s="1"/>
  <c r="O1587" i="35"/>
  <c r="O92" i="153" s="1"/>
  <c r="K1612" i="35"/>
  <c r="K118" i="153" s="1"/>
  <c r="K1586" i="35"/>
  <c r="K91" i="153" s="1"/>
  <c r="O1603" i="35"/>
  <c r="O109" i="153" s="1"/>
  <c r="O1584" i="35"/>
  <c r="O89" i="153" s="1"/>
  <c r="M1583" i="35"/>
  <c r="M88" i="153" s="1"/>
  <c r="J2419" i="35"/>
  <c r="J111" i="156" s="1"/>
  <c r="K2393" i="35"/>
  <c r="K84" i="156" s="1"/>
  <c r="M2423" i="35"/>
  <c r="M115" i="156" s="1"/>
  <c r="N2396" i="35"/>
  <c r="N87" i="156" s="1"/>
  <c r="M2426" i="35"/>
  <c r="M118" i="156" s="1"/>
  <c r="K2421" i="35"/>
  <c r="K113" i="156" s="1"/>
  <c r="M2399" i="35"/>
  <c r="M90" i="156" s="1"/>
  <c r="N2423" i="35"/>
  <c r="N115" i="156" s="1"/>
  <c r="O2425" i="35"/>
  <c r="O117" i="156" s="1"/>
  <c r="K2424" i="35"/>
  <c r="K116" i="156" s="1"/>
  <c r="K2400" i="35"/>
  <c r="K91" i="156" s="1"/>
  <c r="K2399" i="35"/>
  <c r="K90" i="156" s="1"/>
  <c r="O2422" i="35"/>
  <c r="O114" i="156" s="1"/>
  <c r="M2397" i="35"/>
  <c r="M88" i="156" s="1"/>
  <c r="O2392" i="35"/>
  <c r="O83" i="156" s="1"/>
  <c r="O2018" i="35"/>
  <c r="O117" i="154" s="1"/>
  <c r="L2013" i="35"/>
  <c r="L112" i="154" s="1"/>
  <c r="K1992" i="35"/>
  <c r="K90" i="154" s="1"/>
  <c r="L1992" i="35"/>
  <c r="L90" i="154" s="1"/>
  <c r="O1993" i="35"/>
  <c r="O91" i="154" s="1"/>
  <c r="N2015" i="35"/>
  <c r="N114" i="154" s="1"/>
  <c r="J2017" i="35"/>
  <c r="J116" i="154" s="1"/>
  <c r="L2015" i="35"/>
  <c r="L114" i="154" s="1"/>
  <c r="L2010" i="35"/>
  <c r="L109" i="154" s="1"/>
  <c r="O1986" i="35"/>
  <c r="O84" i="154" s="1"/>
  <c r="N1992" i="35"/>
  <c r="N90" i="154" s="1"/>
  <c r="N2016" i="35"/>
  <c r="N115" i="154" s="1"/>
  <c r="L2014" i="35"/>
  <c r="L113" i="154" s="1"/>
  <c r="L2019" i="35"/>
  <c r="L118" i="154" s="1"/>
  <c r="M2018" i="35"/>
  <c r="M117" i="154" s="1"/>
  <c r="J1599" i="35"/>
  <c r="J105" i="153" s="1"/>
  <c r="N1592" i="35"/>
  <c r="N98" i="153" s="1"/>
  <c r="J1593" i="35"/>
  <c r="J99" i="153" s="1"/>
  <c r="N1598" i="35"/>
  <c r="N104" i="153" s="1"/>
  <c r="N1590" i="35"/>
  <c r="N96" i="153" s="1"/>
  <c r="M1595" i="35"/>
  <c r="M101" i="153" s="1"/>
  <c r="K1594" i="35"/>
  <c r="K100" i="153" s="1"/>
  <c r="M1591" i="35"/>
  <c r="M97" i="153" s="1"/>
  <c r="J1582" i="35"/>
  <c r="J87" i="153" s="1"/>
  <c r="N1580" i="35"/>
  <c r="N85" i="153" s="1"/>
  <c r="O1608" i="35"/>
  <c r="O114" i="153" s="1"/>
  <c r="N1586" i="35"/>
  <c r="N91" i="153" s="1"/>
  <c r="K1585" i="35"/>
  <c r="K90" i="153" s="1"/>
  <c r="M1609" i="35"/>
  <c r="M115" i="153" s="1"/>
  <c r="J1581" i="35"/>
  <c r="J86" i="153" s="1"/>
  <c r="K1610" i="35"/>
  <c r="K116" i="153" s="1"/>
  <c r="N1585" i="35"/>
  <c r="N90" i="153" s="1"/>
  <c r="N1583" i="35"/>
  <c r="N88" i="153" s="1"/>
  <c r="L1612" i="35"/>
  <c r="L118" i="153" s="1"/>
  <c r="O1579" i="35"/>
  <c r="O84" i="153" s="1"/>
  <c r="M1611" i="35"/>
  <c r="M117" i="153" s="1"/>
  <c r="K1587" i="35"/>
  <c r="K92" i="153" s="1"/>
  <c r="L1583" i="35"/>
  <c r="L88" i="153" s="1"/>
  <c r="K2425" i="35"/>
  <c r="K117" i="156" s="1"/>
  <c r="L2400" i="35"/>
  <c r="L91" i="156" s="1"/>
  <c r="L2420" i="35"/>
  <c r="L112" i="156" s="1"/>
  <c r="K2418" i="35"/>
  <c r="K110" i="156" s="1"/>
  <c r="J2420" i="35"/>
  <c r="J112" i="156" s="1"/>
  <c r="N2400" i="35"/>
  <c r="N91" i="156" s="1"/>
  <c r="O2418" i="35"/>
  <c r="O110" i="156" s="1"/>
  <c r="K2422" i="35"/>
  <c r="K114" i="156" s="1"/>
  <c r="N2424" i="35"/>
  <c r="N116" i="156" s="1"/>
  <c r="M2420" i="35"/>
  <c r="M112" i="156" s="1"/>
  <c r="N2420" i="35"/>
  <c r="N112" i="156" s="1"/>
  <c r="J2426" i="35"/>
  <c r="J118" i="156" s="1"/>
  <c r="O2426" i="35"/>
  <c r="O118" i="156" s="1"/>
  <c r="K2401" i="35"/>
  <c r="K92" i="156" s="1"/>
  <c r="N2392" i="35"/>
  <c r="N83" i="156" s="1"/>
  <c r="K2014" i="35"/>
  <c r="K113" i="154" s="1"/>
  <c r="L1991" i="35"/>
  <c r="L89" i="154" s="1"/>
  <c r="N2019" i="35"/>
  <c r="N118" i="154" s="1"/>
  <c r="M1992" i="35"/>
  <c r="M90" i="154" s="1"/>
  <c r="J2014" i="35"/>
  <c r="J113" i="154" s="1"/>
  <c r="L1988" i="35"/>
  <c r="L86" i="154" s="1"/>
  <c r="O1989" i="35"/>
  <c r="O87" i="154" s="1"/>
  <c r="N1990" i="35"/>
  <c r="N88" i="154" s="1"/>
  <c r="N2018" i="35"/>
  <c r="N117" i="154" s="1"/>
  <c r="O1990" i="35"/>
  <c r="O88" i="154" s="1"/>
  <c r="O2017" i="35"/>
  <c r="O116" i="154" s="1"/>
  <c r="O1991" i="35"/>
  <c r="O89" i="154" s="1"/>
  <c r="J1987" i="35"/>
  <c r="J85" i="154" s="1"/>
  <c r="O2012" i="35"/>
  <c r="O111" i="154" s="1"/>
  <c r="L2011" i="35"/>
  <c r="L110" i="154" s="1"/>
  <c r="J1594" i="35"/>
  <c r="J100" i="153" s="1"/>
  <c r="N1597" i="35"/>
  <c r="N103" i="153" s="1"/>
  <c r="L1595" i="35"/>
  <c r="L101" i="153" s="1"/>
  <c r="K1597" i="35"/>
  <c r="K103" i="153" s="1"/>
  <c r="K1596" i="35"/>
  <c r="K102" i="153" s="1"/>
  <c r="O1597" i="35"/>
  <c r="O103" i="153" s="1"/>
  <c r="O1592" i="35"/>
  <c r="O98" i="153" s="1"/>
  <c r="L1596" i="35"/>
  <c r="L102" i="153" s="1"/>
  <c r="L1607" i="35"/>
  <c r="L113" i="153" s="1"/>
  <c r="J1583" i="35"/>
  <c r="J88" i="153" s="1"/>
  <c r="K1583" i="35"/>
  <c r="K88" i="153" s="1"/>
  <c r="N1607" i="35"/>
  <c r="N113" i="153" s="1"/>
  <c r="O1611" i="35"/>
  <c r="O117" i="153" s="1"/>
  <c r="J1585" i="35"/>
  <c r="J90" i="153" s="1"/>
  <c r="N1608" i="35"/>
  <c r="N114" i="153" s="1"/>
  <c r="K1604" i="35"/>
  <c r="K110" i="153" s="1"/>
  <c r="O1578" i="35"/>
  <c r="O83" i="153" s="1"/>
  <c r="N1603" i="35"/>
  <c r="N109" i="153" s="1"/>
  <c r="L1585" i="35"/>
  <c r="L90" i="153" s="1"/>
  <c r="M1587" i="35"/>
  <c r="M92" i="153" s="1"/>
  <c r="O1612" i="35"/>
  <c r="O118" i="153" s="1"/>
  <c r="L1587" i="35"/>
  <c r="L92" i="153" s="1"/>
  <c r="J1586" i="35"/>
  <c r="J91" i="153" s="1"/>
  <c r="M2398" i="35"/>
  <c r="M89" i="156" s="1"/>
  <c r="O2421" i="35"/>
  <c r="O113" i="156" s="1"/>
  <c r="K2392" i="35"/>
  <c r="K83" i="156" s="1"/>
  <c r="K2396" i="35"/>
  <c r="K87" i="156" s="1"/>
  <c r="L2395" i="35"/>
  <c r="L86" i="156" s="1"/>
  <c r="K2397" i="35"/>
  <c r="K88" i="156" s="1"/>
  <c r="J2395" i="35"/>
  <c r="J86" i="156" s="1"/>
  <c r="N2393" i="35"/>
  <c r="N84" i="156" s="1"/>
  <c r="L2397" i="35"/>
  <c r="L88" i="156" s="1"/>
  <c r="M2417" i="35"/>
  <c r="M109" i="156" s="1"/>
  <c r="O2400" i="35"/>
  <c r="O91" i="156" s="1"/>
  <c r="M2395" i="35"/>
  <c r="M86" i="156" s="1"/>
  <c r="J2393" i="35"/>
  <c r="J84" i="156" s="1"/>
  <c r="O2398" i="35"/>
  <c r="O89" i="156" s="1"/>
  <c r="O2424" i="35"/>
  <c r="O116" i="156" s="1"/>
  <c r="J1993" i="35"/>
  <c r="J91" i="154" s="1"/>
  <c r="M1994" i="35"/>
  <c r="M92" i="154" s="1"/>
  <c r="M2010" i="35"/>
  <c r="M109" i="154" s="1"/>
  <c r="J1988" i="35"/>
  <c r="J86" i="154" s="1"/>
  <c r="K1987" i="35"/>
  <c r="K85" i="154" s="1"/>
  <c r="L2016" i="35"/>
  <c r="L115" i="154" s="1"/>
  <c r="M1985" i="35"/>
  <c r="M83" i="154" s="1"/>
  <c r="O2015" i="35"/>
  <c r="O114" i="154" s="1"/>
  <c r="J1986" i="35"/>
  <c r="J84" i="154" s="1"/>
  <c r="L1994" i="35"/>
  <c r="L92" i="154" s="1"/>
  <c r="J1991" i="35"/>
  <c r="J89" i="154" s="1"/>
  <c r="N1989" i="35"/>
  <c r="N87" i="154" s="1"/>
  <c r="J2015" i="35"/>
  <c r="J114" i="154" s="1"/>
  <c r="O2010" i="35"/>
  <c r="O109" i="154" s="1"/>
  <c r="K1994" i="35"/>
  <c r="K92" i="154" s="1"/>
  <c r="L1592" i="35"/>
  <c r="L98" i="153" s="1"/>
  <c r="J1595" i="35"/>
  <c r="J101" i="153" s="1"/>
  <c r="J1598" i="35"/>
  <c r="J104" i="153" s="1"/>
  <c r="K1598" i="35"/>
  <c r="K104" i="153" s="1"/>
  <c r="L1598" i="35"/>
  <c r="L104" i="153" s="1"/>
  <c r="O1593" i="35"/>
  <c r="O99" i="153" s="1"/>
  <c r="L1597" i="35"/>
  <c r="L103" i="153" s="1"/>
  <c r="N1594" i="35"/>
  <c r="N100" i="153" s="1"/>
  <c r="M1580" i="35"/>
  <c r="M85" i="153" s="1"/>
  <c r="L1603" i="35"/>
  <c r="L109" i="153" s="1"/>
  <c r="J1609" i="35"/>
  <c r="J115" i="153" s="1"/>
  <c r="L1580" i="35"/>
  <c r="L85" i="153" s="1"/>
  <c r="M1604" i="35"/>
  <c r="M110" i="153" s="1"/>
  <c r="M1582" i="35"/>
  <c r="M87" i="153" s="1"/>
  <c r="N1578" i="35"/>
  <c r="N83" i="153" s="1"/>
  <c r="O1585" i="35"/>
  <c r="O90" i="153" s="1"/>
  <c r="M1586" i="35"/>
  <c r="M91" i="153" s="1"/>
  <c r="K1609" i="35"/>
  <c r="K115" i="153" s="1"/>
  <c r="N1604" i="35"/>
  <c r="N110" i="153" s="1"/>
  <c r="O1583" i="35"/>
  <c r="O88" i="153" s="1"/>
  <c r="L1584" i="35"/>
  <c r="L89" i="153" s="1"/>
  <c r="L1610" i="35"/>
  <c r="L116" i="153" s="1"/>
  <c r="O1604" i="35"/>
  <c r="O110" i="153" s="1"/>
  <c r="M2401" i="35"/>
  <c r="M92" i="156" s="1"/>
  <c r="J2394" i="35"/>
  <c r="J85" i="156" s="1"/>
  <c r="O2420" i="35"/>
  <c r="O112" i="156" s="1"/>
  <c r="N2398" i="35"/>
  <c r="N89" i="156" s="1"/>
  <c r="N2399" i="35"/>
  <c r="N90" i="156" s="1"/>
  <c r="O2396" i="35"/>
  <c r="O87" i="156" s="1"/>
  <c r="J2399" i="35"/>
  <c r="J90" i="156" s="1"/>
  <c r="M2421" i="35"/>
  <c r="M113" i="156" s="1"/>
  <c r="L2399" i="35"/>
  <c r="L90" i="156" s="1"/>
  <c r="M2396" i="35"/>
  <c r="M87" i="156" s="1"/>
  <c r="L2393" i="35"/>
  <c r="L84" i="156" s="1"/>
  <c r="L2394" i="35"/>
  <c r="L85" i="156" s="1"/>
  <c r="L2401" i="35"/>
  <c r="L92" i="156" s="1"/>
  <c r="N2422" i="35"/>
  <c r="N114" i="156" s="1"/>
  <c r="L2421" i="35"/>
  <c r="L113" i="156" s="1"/>
  <c r="K1986" i="35"/>
  <c r="K84" i="154" s="1"/>
  <c r="O2019" i="35"/>
  <c r="O118" i="154" s="1"/>
  <c r="K2012" i="35"/>
  <c r="K111" i="154" s="1"/>
  <c r="N1988" i="35"/>
  <c r="N86" i="154" s="1"/>
  <c r="J2018" i="35"/>
  <c r="J117" i="154" s="1"/>
  <c r="M2019" i="35"/>
  <c r="M118" i="154" s="1"/>
  <c r="O1988" i="35"/>
  <c r="O86" i="154" s="1"/>
  <c r="M1987" i="35"/>
  <c r="M85" i="154" s="1"/>
  <c r="M1989" i="35"/>
  <c r="M87" i="154" s="1"/>
  <c r="J2019" i="35"/>
  <c r="J118" i="154" s="1"/>
  <c r="L1986" i="35"/>
  <c r="L84" i="154" s="1"/>
  <c r="L1985" i="35"/>
  <c r="L83" i="154" s="1"/>
  <c r="K2018" i="35"/>
  <c r="K117" i="154" s="1"/>
  <c r="J1985" i="35"/>
  <c r="J83" i="154" s="1"/>
  <c r="L2017" i="35"/>
  <c r="L116" i="154" s="1"/>
  <c r="M1592" i="35"/>
  <c r="M98" i="153" s="1"/>
  <c r="N1596" i="35"/>
  <c r="N102" i="153" s="1"/>
  <c r="J1591" i="35"/>
  <c r="J97" i="153" s="1"/>
  <c r="M1599" i="35"/>
  <c r="M105" i="153" s="1"/>
  <c r="M1593" i="35"/>
  <c r="M99" i="153" s="1"/>
  <c r="M1596" i="35"/>
  <c r="M102" i="153" s="1"/>
  <c r="O1591" i="35"/>
  <c r="O97" i="153" s="1"/>
  <c r="K1578" i="35"/>
  <c r="K83" i="153" s="1"/>
  <c r="J1578" i="35"/>
  <c r="J83" i="153" s="1"/>
  <c r="J1607" i="35"/>
  <c r="J113" i="153" s="1"/>
  <c r="J1610" i="35"/>
  <c r="J116" i="153" s="1"/>
  <c r="L1605" i="35"/>
  <c r="L111" i="153" s="1"/>
  <c r="J1606" i="35"/>
  <c r="J112" i="153" s="1"/>
  <c r="O1582" i="35"/>
  <c r="O87" i="153" s="1"/>
  <c r="N1611" i="35"/>
  <c r="N117" i="153" s="1"/>
  <c r="K1611" i="35"/>
  <c r="K117" i="153" s="1"/>
  <c r="M1607" i="35"/>
  <c r="M113" i="153" s="1"/>
  <c r="L1611" i="35"/>
  <c r="L117" i="153" s="1"/>
  <c r="K1605" i="35"/>
  <c r="K111" i="153" s="1"/>
  <c r="J1580" i="35"/>
  <c r="J85" i="153" s="1"/>
  <c r="N1582" i="35"/>
  <c r="N87" i="153" s="1"/>
  <c r="O1586" i="35"/>
  <c r="O91" i="153" s="1"/>
  <c r="O2395" i="35"/>
  <c r="O86" i="156" s="1"/>
  <c r="K2426" i="35"/>
  <c r="K118" i="156" s="1"/>
  <c r="M2393" i="35"/>
  <c r="M84" i="156" s="1"/>
  <c r="N2425" i="35"/>
  <c r="N117" i="156" s="1"/>
  <c r="K2417" i="35"/>
  <c r="K109" i="156" s="1"/>
  <c r="N2418" i="35"/>
  <c r="N110" i="156" s="1"/>
  <c r="L2424" i="35"/>
  <c r="L116" i="156" s="1"/>
  <c r="M2400" i="35"/>
  <c r="M91" i="156" s="1"/>
  <c r="O2417" i="35"/>
  <c r="O109" i="156" s="1"/>
  <c r="L2423" i="35"/>
  <c r="L115" i="156" s="1"/>
  <c r="L2422" i="35"/>
  <c r="L114" i="156" s="1"/>
  <c r="J2421" i="35"/>
  <c r="J113" i="156" s="1"/>
  <c r="L2392" i="35"/>
  <c r="L83" i="156" s="1"/>
  <c r="N2401" i="35"/>
  <c r="N92" i="156" s="1"/>
  <c r="N2421" i="35"/>
  <c r="N113" i="156" s="1"/>
  <c r="N1986" i="35"/>
  <c r="N84" i="154" s="1"/>
  <c r="M2017" i="35"/>
  <c r="M116" i="154" s="1"/>
  <c r="M1993" i="35"/>
  <c r="M91" i="154" s="1"/>
  <c r="M1991" i="35"/>
  <c r="M89" i="154" s="1"/>
  <c r="K1991" i="35"/>
  <c r="K89" i="154" s="1"/>
  <c r="O1994" i="35"/>
  <c r="O92" i="154" s="1"/>
  <c r="M2014" i="35"/>
  <c r="M113" i="154" s="1"/>
  <c r="K2013" i="35"/>
  <c r="K112" i="154" s="1"/>
  <c r="J2012" i="35"/>
  <c r="J111" i="154" s="1"/>
  <c r="O1987" i="35"/>
  <c r="O85" i="154" s="1"/>
  <c r="L2012" i="35"/>
  <c r="L111" i="154" s="1"/>
  <c r="N1993" i="35"/>
  <c r="N91" i="154" s="1"/>
  <c r="N2011" i="35"/>
  <c r="N110" i="154" s="1"/>
  <c r="K2017" i="35"/>
  <c r="K116" i="154" s="1"/>
  <c r="N1994" i="35"/>
  <c r="N92" i="154" s="1"/>
  <c r="J1590" i="35"/>
  <c r="J96" i="153" s="1"/>
  <c r="J1592" i="35"/>
  <c r="J98" i="153" s="1"/>
  <c r="K1595" i="35"/>
  <c r="K101" i="153" s="1"/>
  <c r="M1590" i="35"/>
  <c r="M96" i="153" s="1"/>
  <c r="O1596" i="35"/>
  <c r="O102" i="153" s="1"/>
  <c r="O1590" i="35"/>
  <c r="O96" i="153" s="1"/>
  <c r="N1599" i="35"/>
  <c r="N105" i="153" s="1"/>
  <c r="J1603" i="35"/>
  <c r="J109" i="153" s="1"/>
  <c r="J1612" i="35"/>
  <c r="J118" i="153" s="1"/>
  <c r="J1608" i="35"/>
  <c r="J114" i="153" s="1"/>
  <c r="N1606" i="35"/>
  <c r="N112" i="153" s="1"/>
  <c r="K1582" i="35"/>
  <c r="K87" i="153" s="1"/>
  <c r="O1610" i="35"/>
  <c r="O116" i="153" s="1"/>
  <c r="L1581" i="35"/>
  <c r="L86" i="153" s="1"/>
  <c r="K1584" i="35"/>
  <c r="K89" i="153" s="1"/>
  <c r="M1612" i="35"/>
  <c r="M118" i="153" s="1"/>
  <c r="O1607" i="35"/>
  <c r="O113" i="153" s="1"/>
  <c r="M1606" i="35"/>
  <c r="M112" i="153" s="1"/>
  <c r="M1608" i="35"/>
  <c r="M114" i="153" s="1"/>
  <c r="N1584" i="35"/>
  <c r="N89" i="153" s="1"/>
  <c r="L1586" i="35"/>
  <c r="L91" i="153" s="1"/>
  <c r="L1604" i="35"/>
  <c r="L110" i="153" s="1"/>
  <c r="L2426" i="35"/>
  <c r="L118" i="156" s="1"/>
  <c r="N2397" i="35"/>
  <c r="N88" i="156" s="1"/>
  <c r="K2420" i="35"/>
  <c r="K112" i="156" s="1"/>
  <c r="O2423" i="35"/>
  <c r="O115" i="156" s="1"/>
  <c r="J2424" i="35"/>
  <c r="J116" i="156" s="1"/>
  <c r="L2398" i="35"/>
  <c r="L89" i="156" s="1"/>
  <c r="K2394" i="35"/>
  <c r="K85" i="156" s="1"/>
  <c r="J2425" i="35"/>
  <c r="J117" i="156" s="1"/>
  <c r="M2418" i="35"/>
  <c r="M110" i="156" s="1"/>
  <c r="K2398" i="35"/>
  <c r="K89" i="156" s="1"/>
  <c r="N2417" i="35"/>
  <c r="N109" i="156" s="1"/>
  <c r="J2398" i="35"/>
  <c r="J89" i="156" s="1"/>
  <c r="J2392" i="35"/>
  <c r="J83" i="156" s="1"/>
  <c r="O2397" i="35"/>
  <c r="O88" i="156" s="1"/>
  <c r="J2417" i="35"/>
  <c r="J109" i="156" s="1"/>
  <c r="L2018" i="35"/>
  <c r="L117" i="154" s="1"/>
  <c r="N1987" i="35"/>
  <c r="N85" i="154" s="1"/>
  <c r="K2016" i="35"/>
  <c r="K115" i="154" s="1"/>
  <c r="J2010" i="35"/>
  <c r="J109" i="154" s="1"/>
  <c r="K2011" i="35"/>
  <c r="K110" i="154" s="1"/>
  <c r="J1994" i="35"/>
  <c r="J92" i="154" s="1"/>
  <c r="J1990" i="35"/>
  <c r="J88" i="154" s="1"/>
  <c r="M2016" i="35"/>
  <c r="M115" i="154" s="1"/>
  <c r="K1993" i="35"/>
  <c r="K91" i="154" s="1"/>
  <c r="N2013" i="35"/>
  <c r="N112" i="154" s="1"/>
  <c r="M2013" i="35"/>
  <c r="M112" i="154" s="1"/>
  <c r="J2011" i="35"/>
  <c r="J110" i="154" s="1"/>
  <c r="K1990" i="35"/>
  <c r="K88" i="154" s="1"/>
  <c r="N2017" i="35"/>
  <c r="N116" i="154" s="1"/>
  <c r="J2013" i="35"/>
  <c r="J112" i="154" s="1"/>
  <c r="N1593" i="35"/>
  <c r="N99" i="153" s="1"/>
  <c r="K1599" i="35"/>
  <c r="K105" i="153" s="1"/>
  <c r="L1591" i="35"/>
  <c r="L97" i="153" s="1"/>
  <c r="M1594" i="35"/>
  <c r="M100" i="153" s="1"/>
  <c r="M1597" i="35"/>
  <c r="M103" i="153" s="1"/>
  <c r="M1598" i="35"/>
  <c r="M104" i="153" s="1"/>
  <c r="O1595" i="35"/>
  <c r="O101" i="153" s="1"/>
  <c r="M1605" i="35"/>
  <c r="M111" i="153" s="1"/>
  <c r="N1605" i="35"/>
  <c r="N111" i="153" s="1"/>
  <c r="N1610" i="35"/>
  <c r="N116" i="153" s="1"/>
  <c r="L1579" i="35"/>
  <c r="L84" i="153" s="1"/>
  <c r="O1580" i="35"/>
  <c r="O85" i="153" s="1"/>
  <c r="J1604" i="35"/>
  <c r="J110" i="153" s="1"/>
  <c r="M1579" i="35"/>
  <c r="M84" i="153" s="1"/>
  <c r="O1606" i="35"/>
  <c r="O112" i="153" s="1"/>
  <c r="M1603" i="35"/>
  <c r="M109" i="153" s="1"/>
  <c r="L1606" i="35"/>
  <c r="L112" i="153" s="1"/>
  <c r="O1609" i="35"/>
  <c r="O115" i="153" s="1"/>
  <c r="L1608" i="35"/>
  <c r="L114" i="153" s="1"/>
  <c r="K1608" i="35"/>
  <c r="K114" i="153" s="1"/>
  <c r="K1607" i="35"/>
  <c r="K113" i="153" s="1"/>
  <c r="N1579" i="35"/>
  <c r="N84" i="153" s="1"/>
  <c r="K2419" i="35"/>
  <c r="K111" i="156" s="1"/>
  <c r="M2394" i="35"/>
  <c r="M85" i="156" s="1"/>
  <c r="J2397" i="35"/>
  <c r="J88" i="156" s="1"/>
  <c r="M2419" i="35"/>
  <c r="M111" i="156" s="1"/>
  <c r="K2395" i="35"/>
  <c r="K86" i="156" s="1"/>
  <c r="K2423" i="35"/>
  <c r="K115" i="156" s="1"/>
  <c r="N2394" i="35"/>
  <c r="N85" i="156" s="1"/>
  <c r="O2393" i="35"/>
  <c r="O84" i="156" s="1"/>
  <c r="L2417" i="35"/>
  <c r="L109" i="156" s="1"/>
  <c r="J2396" i="35"/>
  <c r="J87" i="156" s="1"/>
  <c r="O2399" i="35"/>
  <c r="O90" i="156" s="1"/>
  <c r="N2426" i="35"/>
  <c r="N118" i="156" s="1"/>
  <c r="M2392" i="35"/>
  <c r="M83" i="156" s="1"/>
  <c r="O2401" i="35"/>
  <c r="O92" i="156" s="1"/>
  <c r="L2425" i="35"/>
  <c r="L117" i="156" s="1"/>
  <c r="L1990" i="35"/>
  <c r="L88" i="154" s="1"/>
  <c r="N2010" i="35"/>
  <c r="N109" i="154" s="1"/>
  <c r="K2015" i="35"/>
  <c r="K114" i="154" s="1"/>
  <c r="K1985" i="35"/>
  <c r="K83" i="154" s="1"/>
  <c r="M1986" i="35"/>
  <c r="M84" i="154" s="1"/>
  <c r="N2012" i="35"/>
  <c r="N111" i="154" s="1"/>
  <c r="O1992" i="35"/>
  <c r="O90" i="154" s="1"/>
  <c r="N1991" i="35"/>
  <c r="N89" i="154" s="1"/>
  <c r="J2016" i="35"/>
  <c r="J115" i="154" s="1"/>
  <c r="J1992" i="35"/>
  <c r="J90" i="154" s="1"/>
  <c r="M2012" i="35"/>
  <c r="M111" i="154" s="1"/>
  <c r="O2013" i="35"/>
  <c r="O112" i="154" s="1"/>
  <c r="M1990" i="35"/>
  <c r="M88" i="154" s="1"/>
  <c r="J1989" i="35"/>
  <c r="J87" i="154" s="1"/>
  <c r="O2016" i="35"/>
  <c r="O115" i="154" s="1"/>
  <c r="K1590" i="35"/>
  <c r="K96" i="153" s="1"/>
  <c r="L1599" i="35"/>
  <c r="L105" i="153" s="1"/>
  <c r="K1593" i="35"/>
  <c r="K99" i="153" s="1"/>
  <c r="O1594" i="35"/>
  <c r="O100" i="153" s="1"/>
  <c r="N1591" i="35"/>
  <c r="N97" i="153" s="1"/>
  <c r="K1591" i="35"/>
  <c r="K97" i="153" s="1"/>
  <c r="J1596" i="35"/>
  <c r="J102" i="153" s="1"/>
  <c r="L1578" i="35"/>
  <c r="L83" i="153" s="1"/>
  <c r="L1582" i="35"/>
  <c r="L87" i="153" s="1"/>
  <c r="J1579" i="35"/>
  <c r="J84" i="153" s="1"/>
  <c r="K1581" i="35"/>
  <c r="K86" i="153" s="1"/>
  <c r="J1605" i="35"/>
  <c r="J111" i="153" s="1"/>
  <c r="N1587" i="35"/>
  <c r="N92" i="153" s="1"/>
  <c r="K1606" i="35"/>
  <c r="K112" i="153" s="1"/>
  <c r="M1581" i="35"/>
  <c r="M86" i="153" s="1"/>
  <c r="O1581" i="35"/>
  <c r="O86" i="153" s="1"/>
  <c r="K1579" i="35"/>
  <c r="K84" i="153" s="1"/>
  <c r="M1610" i="35"/>
  <c r="M116" i="153" s="1"/>
  <c r="J1611" i="35"/>
  <c r="J117" i="153" s="1"/>
  <c r="J1584" i="35"/>
  <c r="J89" i="153" s="1"/>
  <c r="O1605" i="35"/>
  <c r="O111" i="153" s="1"/>
  <c r="N1581" i="35"/>
  <c r="N86" i="153" s="1"/>
  <c r="K2404" i="35"/>
  <c r="K96" i="156" s="1"/>
  <c r="O2405" i="35"/>
  <c r="O97" i="156" s="1"/>
  <c r="K2410" i="35"/>
  <c r="K102" i="156" s="1"/>
  <c r="N2407" i="35"/>
  <c r="N99" i="156" s="1"/>
  <c r="J2404" i="35"/>
  <c r="J96" i="156" s="1"/>
  <c r="L2406" i="35"/>
  <c r="L98" i="156" s="1"/>
  <c r="J2406" i="35"/>
  <c r="J98" i="156" s="1"/>
  <c r="N2435" i="35"/>
  <c r="N128" i="156" s="1"/>
  <c r="L2435" i="35"/>
  <c r="L128" i="156" s="1"/>
  <c r="J2438" i="35"/>
  <c r="J131" i="156" s="1"/>
  <c r="N2429" i="35"/>
  <c r="N122" i="156" s="1"/>
  <c r="J2429" i="35"/>
  <c r="J122" i="156" s="1"/>
  <c r="K2438" i="35"/>
  <c r="K131" i="156" s="1"/>
  <c r="L2437" i="35"/>
  <c r="L130" i="156" s="1"/>
  <c r="L2001" i="35"/>
  <c r="L100" i="154" s="1"/>
  <c r="K1998" i="35"/>
  <c r="K97" i="154" s="1"/>
  <c r="J2000" i="35"/>
  <c r="J99" i="154" s="1"/>
  <c r="M1998" i="35"/>
  <c r="M97" i="154" s="1"/>
  <c r="N2003" i="35"/>
  <c r="N102" i="154" s="1"/>
  <c r="L2006" i="35"/>
  <c r="L105" i="154" s="1"/>
  <c r="K2000" i="35"/>
  <c r="K99" i="154" s="1"/>
  <c r="M2030" i="35"/>
  <c r="M130" i="154" s="1"/>
  <c r="L2027" i="35"/>
  <c r="L127" i="154" s="1"/>
  <c r="O2023" i="35"/>
  <c r="O123" i="154" s="1"/>
  <c r="M2022" i="35"/>
  <c r="M122" i="154" s="1"/>
  <c r="O2025" i="35"/>
  <c r="O125" i="154" s="1"/>
  <c r="L2024" i="35"/>
  <c r="L124" i="154" s="1"/>
  <c r="N2023" i="35"/>
  <c r="N123" i="154" s="1"/>
  <c r="O2026" i="35"/>
  <c r="O126" i="154" s="1"/>
  <c r="J1624" i="35"/>
  <c r="J131" i="153" s="1"/>
  <c r="L1615" i="35"/>
  <c r="L122" i="153" s="1"/>
  <c r="N1624" i="35"/>
  <c r="N131" i="153" s="1"/>
  <c r="N1619" i="35"/>
  <c r="N126" i="153" s="1"/>
  <c r="K1618" i="35"/>
  <c r="K125" i="153" s="1"/>
  <c r="M1619" i="35"/>
  <c r="M126" i="153" s="1"/>
  <c r="L1616" i="35"/>
  <c r="L123" i="153" s="1"/>
  <c r="M1623" i="35"/>
  <c r="M130" i="153" s="1"/>
  <c r="O2413" i="35"/>
  <c r="O105" i="156" s="1"/>
  <c r="M2413" i="35"/>
  <c r="M105" i="156" s="1"/>
  <c r="L2411" i="35"/>
  <c r="L103" i="156" s="1"/>
  <c r="O2412" i="35"/>
  <c r="O104" i="156" s="1"/>
  <c r="L2410" i="35"/>
  <c r="L102" i="156" s="1"/>
  <c r="M2409" i="35"/>
  <c r="M101" i="156" s="1"/>
  <c r="M2410" i="35"/>
  <c r="M102" i="156" s="1"/>
  <c r="K2434" i="35"/>
  <c r="K127" i="156" s="1"/>
  <c r="M2437" i="35"/>
  <c r="M130" i="156" s="1"/>
  <c r="M2432" i="35"/>
  <c r="M125" i="156" s="1"/>
  <c r="K2436" i="35"/>
  <c r="K129" i="156" s="1"/>
  <c r="N2438" i="35"/>
  <c r="N131" i="156" s="1"/>
  <c r="N2434" i="35"/>
  <c r="N127" i="156" s="1"/>
  <c r="M2431" i="35"/>
  <c r="M124" i="156" s="1"/>
  <c r="K1999" i="35"/>
  <c r="K98" i="154" s="1"/>
  <c r="N1998" i="35"/>
  <c r="N97" i="154" s="1"/>
  <c r="N2000" i="35"/>
  <c r="N99" i="154" s="1"/>
  <c r="O2006" i="35"/>
  <c r="O105" i="154" s="1"/>
  <c r="M1997" i="35"/>
  <c r="M96" i="154" s="1"/>
  <c r="O1999" i="35"/>
  <c r="O98" i="154" s="1"/>
  <c r="O2003" i="35"/>
  <c r="O102" i="154" s="1"/>
  <c r="L2029" i="35"/>
  <c r="L129" i="154" s="1"/>
  <c r="L2025" i="35"/>
  <c r="L125" i="154" s="1"/>
  <c r="M2025" i="35"/>
  <c r="M125" i="154" s="1"/>
  <c r="J2027" i="35"/>
  <c r="J127" i="154" s="1"/>
  <c r="K2026" i="35"/>
  <c r="K126" i="154" s="1"/>
  <c r="M2029" i="35"/>
  <c r="M129" i="154" s="1"/>
  <c r="K2027" i="35"/>
  <c r="K127" i="154" s="1"/>
  <c r="N2029" i="35"/>
  <c r="N129" i="154" s="1"/>
  <c r="J1619" i="35"/>
  <c r="J126" i="153" s="1"/>
  <c r="N1621" i="35"/>
  <c r="N128" i="153" s="1"/>
  <c r="M1615" i="35"/>
  <c r="M122" i="153" s="1"/>
  <c r="O1618" i="35"/>
  <c r="O125" i="153" s="1"/>
  <c r="K1617" i="35"/>
  <c r="K124" i="153" s="1"/>
  <c r="L1621" i="35"/>
  <c r="L128" i="153" s="1"/>
  <c r="M1620" i="35"/>
  <c r="M127" i="153" s="1"/>
  <c r="O1624" i="35"/>
  <c r="O131" i="153" s="1"/>
  <c r="K2413" i="35"/>
  <c r="K105" i="156" s="1"/>
  <c r="L2408" i="35"/>
  <c r="L100" i="156" s="1"/>
  <c r="K2406" i="35"/>
  <c r="K98" i="156" s="1"/>
  <c r="M2405" i="35"/>
  <c r="M97" i="156" s="1"/>
  <c r="L2405" i="35"/>
  <c r="L97" i="156" s="1"/>
  <c r="J2408" i="35"/>
  <c r="J100" i="156" s="1"/>
  <c r="M2412" i="35"/>
  <c r="M104" i="156" s="1"/>
  <c r="O2407" i="35"/>
  <c r="O99" i="156" s="1"/>
  <c r="J2437" i="35"/>
  <c r="J130" i="156" s="1"/>
  <c r="M2436" i="35"/>
  <c r="M129" i="156" s="1"/>
  <c r="M2433" i="35"/>
  <c r="M126" i="156" s="1"/>
  <c r="M2429" i="35"/>
  <c r="M122" i="156" s="1"/>
  <c r="O2434" i="35"/>
  <c r="O127" i="156" s="1"/>
  <c r="M2435" i="35"/>
  <c r="M128" i="156" s="1"/>
  <c r="K2437" i="35"/>
  <c r="K130" i="156" s="1"/>
  <c r="K2003" i="35"/>
  <c r="K102" i="154" s="1"/>
  <c r="L2003" i="35"/>
  <c r="L102" i="154" s="1"/>
  <c r="M2003" i="35"/>
  <c r="M102" i="154" s="1"/>
  <c r="J2006" i="35"/>
  <c r="J105" i="154" s="1"/>
  <c r="J1998" i="35"/>
  <c r="J97" i="154" s="1"/>
  <c r="O1997" i="35"/>
  <c r="O96" i="154" s="1"/>
  <c r="O2005" i="35"/>
  <c r="O104" i="154" s="1"/>
  <c r="J2025" i="35"/>
  <c r="J125" i="154" s="1"/>
  <c r="O2031" i="35"/>
  <c r="O131" i="154" s="1"/>
  <c r="L2031" i="35"/>
  <c r="L131" i="154" s="1"/>
  <c r="L2023" i="35"/>
  <c r="L123" i="154" s="1"/>
  <c r="J2024" i="35"/>
  <c r="J124" i="154" s="1"/>
  <c r="M2024" i="35"/>
  <c r="M124" i="154" s="1"/>
  <c r="L2028" i="35"/>
  <c r="L128" i="154" s="1"/>
  <c r="N1618" i="35"/>
  <c r="N125" i="153" s="1"/>
  <c r="K1615" i="35"/>
  <c r="K122" i="153" s="1"/>
  <c r="O1620" i="35"/>
  <c r="O127" i="153" s="1"/>
  <c r="M1618" i="35"/>
  <c r="M125" i="153" s="1"/>
  <c r="N1620" i="35"/>
  <c r="N127" i="153" s="1"/>
  <c r="N1615" i="35"/>
  <c r="N122" i="153" s="1"/>
  <c r="L1620" i="35"/>
  <c r="L127" i="153" s="1"/>
  <c r="J1618" i="35"/>
  <c r="J125" i="153" s="1"/>
  <c r="N2409" i="35"/>
  <c r="N101" i="156" s="1"/>
  <c r="N2408" i="35"/>
  <c r="N100" i="156" s="1"/>
  <c r="N2406" i="35"/>
  <c r="N98" i="156" s="1"/>
  <c r="L2404" i="35"/>
  <c r="L96" i="156" s="1"/>
  <c r="L2407" i="35"/>
  <c r="L99" i="156" s="1"/>
  <c r="J2410" i="35"/>
  <c r="J102" i="156" s="1"/>
  <c r="J2405" i="35"/>
  <c r="J97" i="156" s="1"/>
  <c r="L2413" i="35"/>
  <c r="L105" i="156" s="1"/>
  <c r="O2433" i="35"/>
  <c r="O126" i="156" s="1"/>
  <c r="J2432" i="35"/>
  <c r="J125" i="156" s="1"/>
  <c r="O2430" i="35"/>
  <c r="O123" i="156" s="1"/>
  <c r="J2433" i="35"/>
  <c r="J126" i="156" s="1"/>
  <c r="L2431" i="35"/>
  <c r="L124" i="156" s="1"/>
  <c r="O2438" i="35"/>
  <c r="O131" i="156" s="1"/>
  <c r="K2429" i="35"/>
  <c r="K122" i="156" s="1"/>
  <c r="M2438" i="35"/>
  <c r="M131" i="156" s="1"/>
  <c r="K2002" i="35"/>
  <c r="K101" i="154" s="1"/>
  <c r="M2006" i="35"/>
  <c r="M105" i="154" s="1"/>
  <c r="K1997" i="35"/>
  <c r="K96" i="154" s="1"/>
  <c r="O2000" i="35"/>
  <c r="O99" i="154" s="1"/>
  <c r="M2001" i="35"/>
  <c r="M100" i="154" s="1"/>
  <c r="J2004" i="35"/>
  <c r="J103" i="154" s="1"/>
  <c r="K2001" i="35"/>
  <c r="K100" i="154" s="1"/>
  <c r="M2028" i="35"/>
  <c r="M128" i="154" s="1"/>
  <c r="M2026" i="35"/>
  <c r="M126" i="154" s="1"/>
  <c r="O2024" i="35"/>
  <c r="O124" i="154" s="1"/>
  <c r="N2027" i="35"/>
  <c r="N127" i="154" s="1"/>
  <c r="M2027" i="35"/>
  <c r="M127" i="154" s="1"/>
  <c r="L2022" i="35"/>
  <c r="L122" i="154" s="1"/>
  <c r="M2031" i="35"/>
  <c r="M131" i="154" s="1"/>
  <c r="L1617" i="35"/>
  <c r="L124" i="153" s="1"/>
  <c r="J1615" i="35"/>
  <c r="J122" i="153" s="1"/>
  <c r="J1621" i="35"/>
  <c r="J128" i="153" s="1"/>
  <c r="M1622" i="35"/>
  <c r="M129" i="153" s="1"/>
  <c r="N1623" i="35"/>
  <c r="N130" i="153" s="1"/>
  <c r="L1623" i="35"/>
  <c r="L130" i="153" s="1"/>
  <c r="J1623" i="35"/>
  <c r="J130" i="153" s="1"/>
  <c r="M2406" i="35"/>
  <c r="M98" i="156" s="1"/>
  <c r="K2408" i="35"/>
  <c r="K100" i="156" s="1"/>
  <c r="L2412" i="35"/>
  <c r="L104" i="156" s="1"/>
  <c r="K2411" i="35"/>
  <c r="K103" i="156" s="1"/>
  <c r="N2411" i="35"/>
  <c r="N103" i="156" s="1"/>
  <c r="O2409" i="35"/>
  <c r="O101" i="156" s="1"/>
  <c r="K2412" i="35"/>
  <c r="K104" i="156" s="1"/>
  <c r="K2407" i="35"/>
  <c r="K99" i="156" s="1"/>
  <c r="O2435" i="35"/>
  <c r="O128" i="156" s="1"/>
  <c r="N2436" i="35"/>
  <c r="N129" i="156" s="1"/>
  <c r="N2432" i="35"/>
  <c r="N125" i="156" s="1"/>
  <c r="J2435" i="35"/>
  <c r="J128" i="156" s="1"/>
  <c r="K2435" i="35"/>
  <c r="K128" i="156" s="1"/>
  <c r="O2429" i="35"/>
  <c r="O122" i="156" s="1"/>
  <c r="O2432" i="35"/>
  <c r="O125" i="156" s="1"/>
  <c r="O2431" i="35"/>
  <c r="O124" i="156" s="1"/>
  <c r="N2006" i="35"/>
  <c r="N105" i="154" s="1"/>
  <c r="K2006" i="35"/>
  <c r="K105" i="154" s="1"/>
  <c r="N1999" i="35"/>
  <c r="N98" i="154" s="1"/>
  <c r="N2001" i="35"/>
  <c r="N100" i="154" s="1"/>
  <c r="O2004" i="35"/>
  <c r="O103" i="154" s="1"/>
  <c r="J2002" i="35"/>
  <c r="J101" i="154" s="1"/>
  <c r="N2004" i="35"/>
  <c r="N103" i="154" s="1"/>
  <c r="M2002" i="35"/>
  <c r="M101" i="154" s="1"/>
  <c r="O2030" i="35"/>
  <c r="O130" i="154" s="1"/>
  <c r="K2031" i="35"/>
  <c r="K131" i="154" s="1"/>
  <c r="N2022" i="35"/>
  <c r="N122" i="154" s="1"/>
  <c r="K2025" i="35"/>
  <c r="K125" i="154" s="1"/>
  <c r="O2027" i="35"/>
  <c r="O127" i="154" s="1"/>
  <c r="K2024" i="35"/>
  <c r="K124" i="154" s="1"/>
  <c r="N2024" i="35"/>
  <c r="N124" i="154" s="1"/>
  <c r="L1619" i="35"/>
  <c r="L126" i="153" s="1"/>
  <c r="K1619" i="35"/>
  <c r="K126" i="153" s="1"/>
  <c r="J1622" i="35"/>
  <c r="J129" i="153" s="1"/>
  <c r="K1616" i="35"/>
  <c r="K123" i="153" s="1"/>
  <c r="K1622" i="35"/>
  <c r="K129" i="153" s="1"/>
  <c r="O1621" i="35"/>
  <c r="O128" i="153" s="1"/>
  <c r="J1616" i="35"/>
  <c r="J123" i="153" s="1"/>
  <c r="M2411" i="35"/>
  <c r="M103" i="156" s="1"/>
  <c r="N2412" i="35"/>
  <c r="N104" i="156" s="1"/>
  <c r="K2409" i="35"/>
  <c r="K101" i="156" s="1"/>
  <c r="N2410" i="35"/>
  <c r="N102" i="156" s="1"/>
  <c r="O2404" i="35"/>
  <c r="O96" i="156" s="1"/>
  <c r="J2411" i="35"/>
  <c r="J103" i="156" s="1"/>
  <c r="L2409" i="35"/>
  <c r="L101" i="156" s="1"/>
  <c r="K2405" i="35"/>
  <c r="K97" i="156" s="1"/>
  <c r="L2432" i="35"/>
  <c r="L125" i="156" s="1"/>
  <c r="J2436" i="35"/>
  <c r="J129" i="156" s="1"/>
  <c r="O2437" i="35"/>
  <c r="O130" i="156" s="1"/>
  <c r="L2434" i="35"/>
  <c r="L127" i="156" s="1"/>
  <c r="L2430" i="35"/>
  <c r="L123" i="156" s="1"/>
  <c r="L2438" i="35"/>
  <c r="L131" i="156" s="1"/>
  <c r="L2433" i="35"/>
  <c r="L126" i="156" s="1"/>
  <c r="K2433" i="35"/>
  <c r="K126" i="156" s="1"/>
  <c r="L2005" i="35"/>
  <c r="L104" i="154" s="1"/>
  <c r="J1997" i="35"/>
  <c r="J96" i="154" s="1"/>
  <c r="K2004" i="35"/>
  <c r="K103" i="154" s="1"/>
  <c r="N2005" i="35"/>
  <c r="N104" i="154" s="1"/>
  <c r="L1999" i="35"/>
  <c r="L98" i="154" s="1"/>
  <c r="K2005" i="35"/>
  <c r="K104" i="154" s="1"/>
  <c r="L1998" i="35"/>
  <c r="L97" i="154" s="1"/>
  <c r="L2000" i="35"/>
  <c r="L99" i="154" s="1"/>
  <c r="J2026" i="35"/>
  <c r="J126" i="154" s="1"/>
  <c r="N2028" i="35"/>
  <c r="N128" i="154" s="1"/>
  <c r="N2025" i="35"/>
  <c r="N125" i="154" s="1"/>
  <c r="O2022" i="35"/>
  <c r="O122" i="154" s="1"/>
  <c r="J2031" i="35"/>
  <c r="J131" i="154" s="1"/>
  <c r="J2030" i="35"/>
  <c r="J130" i="154" s="1"/>
  <c r="J2022" i="35"/>
  <c r="J122" i="154" s="1"/>
  <c r="N1617" i="35"/>
  <c r="N124" i="153" s="1"/>
  <c r="O1617" i="35"/>
  <c r="O124" i="153" s="1"/>
  <c r="O1619" i="35"/>
  <c r="O126" i="153" s="1"/>
  <c r="O1622" i="35"/>
  <c r="O129" i="153" s="1"/>
  <c r="K1623" i="35"/>
  <c r="K130" i="153" s="1"/>
  <c r="K1624" i="35"/>
  <c r="K131" i="153" s="1"/>
  <c r="J1617" i="35"/>
  <c r="J124" i="153" s="1"/>
  <c r="N2413" i="35"/>
  <c r="N105" i="156" s="1"/>
  <c r="N2405" i="35"/>
  <c r="N97" i="156" s="1"/>
  <c r="O2408" i="35"/>
  <c r="O100" i="156" s="1"/>
  <c r="M2404" i="35"/>
  <c r="M96" i="156" s="1"/>
  <c r="J2409" i="35"/>
  <c r="J101" i="156" s="1"/>
  <c r="N2404" i="35"/>
  <c r="N96" i="156" s="1"/>
  <c r="O2411" i="35"/>
  <c r="O103" i="156" s="1"/>
  <c r="K2432" i="35"/>
  <c r="K125" i="156" s="1"/>
  <c r="L2436" i="35"/>
  <c r="L129" i="156" s="1"/>
  <c r="K2431" i="35"/>
  <c r="K124" i="156" s="1"/>
  <c r="M2430" i="35"/>
  <c r="M123" i="156" s="1"/>
  <c r="J2430" i="35"/>
  <c r="J123" i="156" s="1"/>
  <c r="M2434" i="35"/>
  <c r="M127" i="156" s="1"/>
  <c r="N2433" i="35"/>
  <c r="N126" i="156" s="1"/>
  <c r="N2437" i="35"/>
  <c r="N130" i="156" s="1"/>
  <c r="L1997" i="35"/>
  <c r="L96" i="154" s="1"/>
  <c r="O2001" i="35"/>
  <c r="O100" i="154" s="1"/>
  <c r="M2005" i="35"/>
  <c r="M104" i="154" s="1"/>
  <c r="J1999" i="35"/>
  <c r="J98" i="154" s="1"/>
  <c r="M2000" i="35"/>
  <c r="M99" i="154" s="1"/>
  <c r="O1998" i="35"/>
  <c r="O97" i="154" s="1"/>
  <c r="O2002" i="35"/>
  <c r="O101" i="154" s="1"/>
  <c r="M2004" i="35"/>
  <c r="M103" i="154" s="1"/>
  <c r="N2031" i="35"/>
  <c r="N131" i="154" s="1"/>
  <c r="L2026" i="35"/>
  <c r="L126" i="154" s="1"/>
  <c r="J2023" i="35"/>
  <c r="J123" i="154" s="1"/>
  <c r="J2029" i="35"/>
  <c r="J129" i="154" s="1"/>
  <c r="O2028" i="35"/>
  <c r="O128" i="154" s="1"/>
  <c r="O2029" i="35"/>
  <c r="O129" i="154" s="1"/>
  <c r="K2028" i="35"/>
  <c r="K128" i="154" s="1"/>
  <c r="K2022" i="35"/>
  <c r="K122" i="154" s="1"/>
  <c r="N1622" i="35"/>
  <c r="N129" i="153" s="1"/>
  <c r="L1622" i="35"/>
  <c r="L129" i="153" s="1"/>
  <c r="L1618" i="35"/>
  <c r="L125" i="153" s="1"/>
  <c r="M1621" i="35"/>
  <c r="M128" i="153" s="1"/>
  <c r="O1616" i="35"/>
  <c r="O123" i="153" s="1"/>
  <c r="L1624" i="35"/>
  <c r="L131" i="153" s="1"/>
  <c r="K1620" i="35"/>
  <c r="K127" i="153" s="1"/>
  <c r="J2407" i="35"/>
  <c r="J99" i="156" s="1"/>
  <c r="O2410" i="35"/>
  <c r="O102" i="156" s="1"/>
  <c r="M2408" i="35"/>
  <c r="M100" i="156" s="1"/>
  <c r="J2412" i="35"/>
  <c r="J104" i="156" s="1"/>
  <c r="M2407" i="35"/>
  <c r="M99" i="156" s="1"/>
  <c r="J2413" i="35"/>
  <c r="J105" i="156" s="1"/>
  <c r="O2406" i="35"/>
  <c r="O98" i="156" s="1"/>
  <c r="J2434" i="35"/>
  <c r="J127" i="156" s="1"/>
  <c r="N2430" i="35"/>
  <c r="N123" i="156" s="1"/>
  <c r="N2431" i="35"/>
  <c r="N124" i="156" s="1"/>
  <c r="L2429" i="35"/>
  <c r="L122" i="156" s="1"/>
  <c r="O2436" i="35"/>
  <c r="O129" i="156" s="1"/>
  <c r="J2431" i="35"/>
  <c r="J124" i="156" s="1"/>
  <c r="K2430" i="35"/>
  <c r="K123" i="156" s="1"/>
  <c r="J2001" i="35"/>
  <c r="J100" i="154" s="1"/>
  <c r="J2005" i="35"/>
  <c r="J104" i="154" s="1"/>
  <c r="L2002" i="35"/>
  <c r="L101" i="154" s="1"/>
  <c r="J2003" i="35"/>
  <c r="J102" i="154" s="1"/>
  <c r="M1999" i="35"/>
  <c r="M98" i="154" s="1"/>
  <c r="N2002" i="35"/>
  <c r="N101" i="154" s="1"/>
  <c r="L2004" i="35"/>
  <c r="L103" i="154" s="1"/>
  <c r="N1997" i="35"/>
  <c r="N96" i="154" s="1"/>
  <c r="L2030" i="35"/>
  <c r="L130" i="154" s="1"/>
  <c r="M2023" i="35"/>
  <c r="M123" i="154" s="1"/>
  <c r="K2030" i="35"/>
  <c r="K130" i="154" s="1"/>
  <c r="N2026" i="35"/>
  <c r="N126" i="154" s="1"/>
  <c r="N2030" i="35"/>
  <c r="N130" i="154" s="1"/>
  <c r="J2028" i="35"/>
  <c r="J128" i="154" s="1"/>
  <c r="K2023" i="35"/>
  <c r="K123" i="154" s="1"/>
  <c r="K2029" i="35"/>
  <c r="K129" i="154" s="1"/>
  <c r="M1617" i="35"/>
  <c r="M124" i="153" s="1"/>
  <c r="J1620" i="35"/>
  <c r="J127" i="153" s="1"/>
  <c r="M1616" i="35"/>
  <c r="M123" i="153" s="1"/>
  <c r="K1621" i="35"/>
  <c r="K128" i="153" s="1"/>
  <c r="N1616" i="35"/>
  <c r="N123" i="153" s="1"/>
  <c r="M1624" i="35"/>
  <c r="M131" i="153" s="1"/>
  <c r="O1623" i="35"/>
  <c r="O130" i="153" s="1"/>
  <c r="O1615" i="35"/>
  <c r="O122" i="153" s="1"/>
  <c r="J2385" i="35"/>
  <c r="J51" i="156" s="1"/>
  <c r="J2384" i="35"/>
  <c r="J50" i="156" s="1"/>
  <c r="K2380" i="35"/>
  <c r="K46" i="156" s="1"/>
  <c r="L2384" i="35"/>
  <c r="L50" i="156" s="1"/>
  <c r="M2377" i="35"/>
  <c r="M43" i="156" s="1"/>
  <c r="N2385" i="35"/>
  <c r="N51" i="156" s="1"/>
  <c r="N2378" i="35"/>
  <c r="N44" i="156" s="1"/>
  <c r="O2384" i="35"/>
  <c r="O50" i="156" s="1"/>
  <c r="L2369" i="35"/>
  <c r="O2370" i="35"/>
  <c r="J2371" i="35"/>
  <c r="K2371" i="35"/>
  <c r="L2371" i="35"/>
  <c r="M2371" i="35"/>
  <c r="N2371" i="35"/>
  <c r="J1937" i="35"/>
  <c r="J36" i="154" s="1"/>
  <c r="J1935" i="35"/>
  <c r="J34" i="154" s="1"/>
  <c r="K1935" i="35"/>
  <c r="K34" i="154" s="1"/>
  <c r="L1938" i="35"/>
  <c r="L37" i="154" s="1"/>
  <c r="L63" i="154" s="1"/>
  <c r="M1938" i="35"/>
  <c r="M37" i="154" s="1"/>
  <c r="N1937" i="35"/>
  <c r="N36" i="154" s="1"/>
  <c r="N1931" i="35"/>
  <c r="N30" i="154" s="1"/>
  <c r="O1935" i="35"/>
  <c r="O34" i="154" s="1"/>
  <c r="K1961" i="35"/>
  <c r="K1959" i="35"/>
  <c r="L1961" i="35"/>
  <c r="K1958" i="35"/>
  <c r="J1962" i="35"/>
  <c r="N1965" i="35"/>
  <c r="O1960" i="35"/>
  <c r="L1549" i="35"/>
  <c r="M1549" i="35"/>
  <c r="L1552" i="35"/>
  <c r="O1553" i="35"/>
  <c r="L1555" i="35"/>
  <c r="O1556" i="35"/>
  <c r="M1558" i="35"/>
  <c r="O1558" i="35"/>
  <c r="J1567" i="35"/>
  <c r="J47" i="153" s="1"/>
  <c r="K1571" i="35"/>
  <c r="K51" i="153" s="1"/>
  <c r="K1562" i="35"/>
  <c r="K42" i="153" s="1"/>
  <c r="L1565" i="35"/>
  <c r="L45" i="153" s="1"/>
  <c r="M1566" i="35"/>
  <c r="M46" i="153" s="1"/>
  <c r="N1566" i="35"/>
  <c r="N46" i="153" s="1"/>
  <c r="O1567" i="35"/>
  <c r="O47" i="153" s="1"/>
  <c r="J2383" i="35"/>
  <c r="J49" i="156" s="1"/>
  <c r="J2376" i="35"/>
  <c r="J42" i="156" s="1"/>
  <c r="K2382" i="35"/>
  <c r="K48" i="156" s="1"/>
  <c r="L2382" i="35"/>
  <c r="L48" i="156" s="1"/>
  <c r="M2380" i="35"/>
  <c r="M46" i="156" s="1"/>
  <c r="N2383" i="35"/>
  <c r="N49" i="156" s="1"/>
  <c r="N2376" i="35"/>
  <c r="N42" i="156" s="1"/>
  <c r="O2379" i="35"/>
  <c r="O45" i="156" s="1"/>
  <c r="N2370" i="35"/>
  <c r="K2372" i="35"/>
  <c r="L2372" i="35"/>
  <c r="M2372" i="35"/>
  <c r="N2372" i="35"/>
  <c r="O2372" i="35"/>
  <c r="O2363" i="35"/>
  <c r="J1939" i="35"/>
  <c r="J38" i="154" s="1"/>
  <c r="J1930" i="35"/>
  <c r="J29" i="154" s="1"/>
  <c r="K1936" i="35"/>
  <c r="K35" i="154" s="1"/>
  <c r="L1934" i="35"/>
  <c r="L33" i="154" s="1"/>
  <c r="M1935" i="35"/>
  <c r="M34" i="154" s="1"/>
  <c r="N1939" i="35"/>
  <c r="N38" i="154" s="1"/>
  <c r="N1930" i="35"/>
  <c r="N29" i="154" s="1"/>
  <c r="N55" i="154" s="1"/>
  <c r="O1932" i="35"/>
  <c r="O31" i="154" s="1"/>
  <c r="M1962" i="35"/>
  <c r="M1960" i="35"/>
  <c r="J1963" i="35"/>
  <c r="J1960" i="35"/>
  <c r="N1963" i="35"/>
  <c r="O1956" i="35"/>
  <c r="N1962" i="35"/>
  <c r="N1550" i="35"/>
  <c r="O1550" i="35"/>
  <c r="N1553" i="35"/>
  <c r="K1555" i="35"/>
  <c r="N1556" i="35"/>
  <c r="K1549" i="35"/>
  <c r="J1557" i="35"/>
  <c r="J1553" i="35"/>
  <c r="J1564" i="35"/>
  <c r="J44" i="153" s="1"/>
  <c r="K1570" i="35"/>
  <c r="K50" i="153" s="1"/>
  <c r="L1570" i="35"/>
  <c r="L50" i="153" s="1"/>
  <c r="L1562" i="35"/>
  <c r="L42" i="153" s="1"/>
  <c r="M1567" i="35"/>
  <c r="M47" i="153" s="1"/>
  <c r="N1570" i="35"/>
  <c r="N50" i="153" s="1"/>
  <c r="O1566" i="35"/>
  <c r="O46" i="153" s="1"/>
  <c r="J2382" i="35"/>
  <c r="J48" i="156" s="1"/>
  <c r="K2377" i="35"/>
  <c r="K43" i="156" s="1"/>
  <c r="K2381" i="35"/>
  <c r="K47" i="156" s="1"/>
  <c r="L2378" i="35"/>
  <c r="L44" i="156" s="1"/>
  <c r="M2379" i="35"/>
  <c r="M45" i="156" s="1"/>
  <c r="N2382" i="35"/>
  <c r="N48" i="156" s="1"/>
  <c r="O2383" i="35"/>
  <c r="O49" i="156" s="1"/>
  <c r="O2377" i="35"/>
  <c r="O43" i="156" s="1"/>
  <c r="J2372" i="35"/>
  <c r="J2363" i="35"/>
  <c r="K2363" i="35"/>
  <c r="L2363" i="35"/>
  <c r="M2363" i="35"/>
  <c r="N2363" i="35"/>
  <c r="K2365" i="35"/>
  <c r="J1933" i="35"/>
  <c r="J32" i="154" s="1"/>
  <c r="K1931" i="35"/>
  <c r="K30" i="154" s="1"/>
  <c r="K1934" i="35"/>
  <c r="K33" i="154" s="1"/>
  <c r="L1933" i="35"/>
  <c r="L32" i="154" s="1"/>
  <c r="M1932" i="35"/>
  <c r="M31" i="154" s="1"/>
  <c r="M57" i="154" s="1"/>
  <c r="N1934" i="35"/>
  <c r="N33" i="154" s="1"/>
  <c r="O1937" i="35"/>
  <c r="O36" i="154" s="1"/>
  <c r="O62" i="154" s="1"/>
  <c r="O1936" i="35"/>
  <c r="O35" i="154" s="1"/>
  <c r="O1963" i="35"/>
  <c r="O1961" i="35"/>
  <c r="O1964" i="35"/>
  <c r="N1961" i="35"/>
  <c r="M1965" i="35"/>
  <c r="O1958" i="35"/>
  <c r="L1964" i="35"/>
  <c r="J1552" i="35"/>
  <c r="K1552" i="35"/>
  <c r="J1555" i="35"/>
  <c r="M1556" i="35"/>
  <c r="J1558" i="35"/>
  <c r="M1550" i="35"/>
  <c r="M1557" i="35"/>
  <c r="L1554" i="35"/>
  <c r="J1563" i="35"/>
  <c r="J43" i="153" s="1"/>
  <c r="L1563" i="35"/>
  <c r="L43" i="153" s="1"/>
  <c r="L1569" i="35"/>
  <c r="L49" i="153" s="1"/>
  <c r="M1569" i="35"/>
  <c r="M49" i="153" s="1"/>
  <c r="M1570" i="35"/>
  <c r="M50" i="153" s="1"/>
  <c r="N1567" i="35"/>
  <c r="N47" i="153" s="1"/>
  <c r="O1564" i="35"/>
  <c r="O44" i="153" s="1"/>
  <c r="J2380" i="35"/>
  <c r="J46" i="156" s="1"/>
  <c r="K2384" i="35"/>
  <c r="K50" i="156" s="1"/>
  <c r="K2379" i="35"/>
  <c r="K45" i="156" s="1"/>
  <c r="L2380" i="35"/>
  <c r="L46" i="156" s="1"/>
  <c r="M2378" i="35"/>
  <c r="M44" i="156" s="1"/>
  <c r="N2384" i="35"/>
  <c r="N50" i="156" s="1"/>
  <c r="O2385" i="35"/>
  <c r="O51" i="156" s="1"/>
  <c r="O2376" i="35"/>
  <c r="O42" i="156" s="1"/>
  <c r="K2364" i="35"/>
  <c r="L2364" i="35"/>
  <c r="M2364" i="35"/>
  <c r="N2364" i="35"/>
  <c r="O2364" i="35"/>
  <c r="J2365" i="35"/>
  <c r="M2366" i="35"/>
  <c r="J1938" i="35"/>
  <c r="J37" i="154" s="1"/>
  <c r="K1937" i="35"/>
  <c r="K36" i="154" s="1"/>
  <c r="K1932" i="35"/>
  <c r="K31" i="154" s="1"/>
  <c r="L1932" i="35"/>
  <c r="L31" i="154" s="1"/>
  <c r="L57" i="154" s="1"/>
  <c r="M1931" i="35"/>
  <c r="M30" i="154" s="1"/>
  <c r="N1933" i="35"/>
  <c r="N32" i="154" s="1"/>
  <c r="O1939" i="35"/>
  <c r="O38" i="154" s="1"/>
  <c r="O1930" i="35"/>
  <c r="O29" i="154" s="1"/>
  <c r="K1965" i="35"/>
  <c r="K1963" i="35"/>
  <c r="J1958" i="35"/>
  <c r="M1963" i="35"/>
  <c r="L1956" i="35"/>
  <c r="N1960" i="35"/>
  <c r="M1957" i="35"/>
  <c r="L1553" i="35"/>
  <c r="M1553" i="35"/>
  <c r="L1556" i="35"/>
  <c r="O1557" i="35"/>
  <c r="K1550" i="35"/>
  <c r="O1551" i="35"/>
  <c r="J1549" i="35"/>
  <c r="N1555" i="35"/>
  <c r="J1565" i="35"/>
  <c r="J45" i="153" s="1"/>
  <c r="K1566" i="35"/>
  <c r="K46" i="153" s="1"/>
  <c r="L1571" i="35"/>
  <c r="L51" i="153" s="1"/>
  <c r="M1571" i="35"/>
  <c r="M51" i="153" s="1"/>
  <c r="M1562" i="35"/>
  <c r="M42" i="153" s="1"/>
  <c r="N1563" i="35"/>
  <c r="N43" i="153" s="1"/>
  <c r="O1568" i="35"/>
  <c r="O48" i="153" s="1"/>
  <c r="J2378" i="35"/>
  <c r="J44" i="156" s="1"/>
  <c r="K2385" i="35"/>
  <c r="K51" i="156" s="1"/>
  <c r="K2376" i="35"/>
  <c r="K42" i="156" s="1"/>
  <c r="L2379" i="35"/>
  <c r="L45" i="156" s="1"/>
  <c r="M2382" i="35"/>
  <c r="M48" i="156" s="1"/>
  <c r="N2381" i="35"/>
  <c r="N47" i="156" s="1"/>
  <c r="O2378" i="35"/>
  <c r="O44" i="156" s="1"/>
  <c r="J2364" i="35"/>
  <c r="M2365" i="35"/>
  <c r="N2365" i="35"/>
  <c r="O2365" i="35"/>
  <c r="J2366" i="35"/>
  <c r="K2366" i="35"/>
  <c r="L2366" i="35"/>
  <c r="O2367" i="35"/>
  <c r="J1932" i="35"/>
  <c r="J31" i="154" s="1"/>
  <c r="K1939" i="35"/>
  <c r="K38" i="154" s="1"/>
  <c r="K1930" i="35"/>
  <c r="K29" i="154" s="1"/>
  <c r="K55" i="154" s="1"/>
  <c r="L1936" i="35"/>
  <c r="L35" i="154" s="1"/>
  <c r="M1933" i="35"/>
  <c r="M32" i="154" s="1"/>
  <c r="N1936" i="35"/>
  <c r="N35" i="154" s="1"/>
  <c r="O1931" i="35"/>
  <c r="O30" i="154" s="1"/>
  <c r="N1956" i="35"/>
  <c r="J1956" i="35"/>
  <c r="M1964" i="35"/>
  <c r="N1959" i="35"/>
  <c r="L1965" i="35"/>
  <c r="N1958" i="35"/>
  <c r="L1962" i="35"/>
  <c r="L1959" i="35"/>
  <c r="N1554" i="35"/>
  <c r="O1554" i="35"/>
  <c r="N1557" i="35"/>
  <c r="J1550" i="35"/>
  <c r="M1551" i="35"/>
  <c r="K1553" i="35"/>
  <c r="K1558" i="35"/>
  <c r="J1571" i="35"/>
  <c r="J51" i="153" s="1"/>
  <c r="J1570" i="35"/>
  <c r="J50" i="153" s="1"/>
  <c r="K1564" i="35"/>
  <c r="K44" i="153" s="1"/>
  <c r="L1567" i="35"/>
  <c r="L47" i="153" s="1"/>
  <c r="M1565" i="35"/>
  <c r="M45" i="153" s="1"/>
  <c r="N1571" i="35"/>
  <c r="N51" i="153" s="1"/>
  <c r="N1565" i="35"/>
  <c r="N45" i="153" s="1"/>
  <c r="O1565" i="35"/>
  <c r="O45" i="153" s="1"/>
  <c r="J2377" i="35"/>
  <c r="J43" i="156" s="1"/>
  <c r="K2383" i="35"/>
  <c r="K49" i="156" s="1"/>
  <c r="L2381" i="35"/>
  <c r="L47" i="156" s="1"/>
  <c r="L2376" i="35"/>
  <c r="L42" i="156" s="1"/>
  <c r="M2381" i="35"/>
  <c r="M47" i="156" s="1"/>
  <c r="N2379" i="35"/>
  <c r="N45" i="156" s="1"/>
  <c r="O2380" i="35"/>
  <c r="O46" i="156" s="1"/>
  <c r="L2365" i="35"/>
  <c r="O2366" i="35"/>
  <c r="J2367" i="35"/>
  <c r="K2367" i="35"/>
  <c r="L2367" i="35"/>
  <c r="M2367" i="35"/>
  <c r="N2367" i="35"/>
  <c r="K2369" i="35"/>
  <c r="J1934" i="35"/>
  <c r="J33" i="154" s="1"/>
  <c r="J59" i="154" s="1"/>
  <c r="K1938" i="35"/>
  <c r="K37" i="154" s="1"/>
  <c r="K63" i="154" s="1"/>
  <c r="L1935" i="35"/>
  <c r="L34" i="154" s="1"/>
  <c r="L1930" i="35"/>
  <c r="L29" i="154" s="1"/>
  <c r="M1936" i="35"/>
  <c r="M35" i="154" s="1"/>
  <c r="N1935" i="35"/>
  <c r="N34" i="154" s="1"/>
  <c r="O1933" i="35"/>
  <c r="O32" i="154" s="1"/>
  <c r="K1957" i="35"/>
  <c r="L1957" i="35"/>
  <c r="O1965" i="35"/>
  <c r="M1961" i="35"/>
  <c r="K1956" i="35"/>
  <c r="L1960" i="35"/>
  <c r="K1964" i="35"/>
  <c r="J1961" i="35"/>
  <c r="J1556" i="35"/>
  <c r="K1556" i="35"/>
  <c r="O1549" i="35"/>
  <c r="L1551" i="35"/>
  <c r="O1552" i="35"/>
  <c r="M1554" i="35"/>
  <c r="L1550" i="35"/>
  <c r="J1569" i="35"/>
  <c r="J49" i="153" s="1"/>
  <c r="J1562" i="35"/>
  <c r="J42" i="153" s="1"/>
  <c r="K1568" i="35"/>
  <c r="K48" i="153" s="1"/>
  <c r="L1568" i="35"/>
  <c r="L48" i="153" s="1"/>
  <c r="M1564" i="35"/>
  <c r="M44" i="153" s="1"/>
  <c r="N1569" i="35"/>
  <c r="N49" i="153" s="1"/>
  <c r="N1562" i="35"/>
  <c r="N42" i="153" s="1"/>
  <c r="O1563" i="35"/>
  <c r="O43" i="153" s="1"/>
  <c r="J2381" i="35"/>
  <c r="J47" i="156" s="1"/>
  <c r="L2377" i="35"/>
  <c r="L43" i="156" s="1"/>
  <c r="L2383" i="35"/>
  <c r="L49" i="156" s="1"/>
  <c r="M2385" i="35"/>
  <c r="M51" i="156" s="1"/>
  <c r="M2384" i="35"/>
  <c r="M50" i="156" s="1"/>
  <c r="N2377" i="35"/>
  <c r="N43" i="156" s="1"/>
  <c r="O2382" i="35"/>
  <c r="O48" i="156" s="1"/>
  <c r="N2366" i="35"/>
  <c r="K2368" i="35"/>
  <c r="L2368" i="35"/>
  <c r="M2368" i="35"/>
  <c r="N2368" i="35"/>
  <c r="O2368" i="35"/>
  <c r="J2369" i="35"/>
  <c r="M2370" i="35"/>
  <c r="J1931" i="35"/>
  <c r="J30" i="154" s="1"/>
  <c r="L1931" i="35"/>
  <c r="L30" i="154" s="1"/>
  <c r="L1939" i="35"/>
  <c r="L38" i="154" s="1"/>
  <c r="M1937" i="35"/>
  <c r="M36" i="154" s="1"/>
  <c r="M1934" i="35"/>
  <c r="M33" i="154" s="1"/>
  <c r="M59" i="154" s="1"/>
  <c r="N1938" i="35"/>
  <c r="N37" i="154" s="1"/>
  <c r="O1938" i="35"/>
  <c r="O37" i="154" s="1"/>
  <c r="M1958" i="35"/>
  <c r="M1956" i="35"/>
  <c r="N1957" i="35"/>
  <c r="L1963" i="35"/>
  <c r="L1958" i="35"/>
  <c r="K1962" i="35"/>
  <c r="J1957" i="35"/>
  <c r="O1962" i="35"/>
  <c r="L1557" i="35"/>
  <c r="N1549" i="35"/>
  <c r="K1551" i="35"/>
  <c r="N1552" i="35"/>
  <c r="K1554" i="35"/>
  <c r="O1555" i="35"/>
  <c r="L1558" i="35"/>
  <c r="J1566" i="35"/>
  <c r="J46" i="153" s="1"/>
  <c r="K1563" i="35"/>
  <c r="K43" i="153" s="1"/>
  <c r="K1565" i="35"/>
  <c r="K45" i="153" s="1"/>
  <c r="L1566" i="35"/>
  <c r="L46" i="153" s="1"/>
  <c r="M1563" i="35"/>
  <c r="M43" i="153" s="1"/>
  <c r="N1564" i="35"/>
  <c r="N44" i="153" s="1"/>
  <c r="O1571" i="35"/>
  <c r="O51" i="153" s="1"/>
  <c r="O1570" i="35"/>
  <c r="O50" i="153" s="1"/>
  <c r="J2379" i="35"/>
  <c r="J45" i="156" s="1"/>
  <c r="K2378" i="35"/>
  <c r="K44" i="156" s="1"/>
  <c r="L2385" i="35"/>
  <c r="L51" i="156" s="1"/>
  <c r="M2383" i="35"/>
  <c r="M49" i="156" s="1"/>
  <c r="M2376" i="35"/>
  <c r="M42" i="156" s="1"/>
  <c r="N2380" i="35"/>
  <c r="N46" i="156" s="1"/>
  <c r="O2381" i="35"/>
  <c r="O47" i="156" s="1"/>
  <c r="J2368" i="35"/>
  <c r="M2369" i="35"/>
  <c r="N2369" i="35"/>
  <c r="O2369" i="35"/>
  <c r="J2370" i="35"/>
  <c r="K2370" i="35"/>
  <c r="L2370" i="35"/>
  <c r="O2371" i="35"/>
  <c r="J1936" i="35"/>
  <c r="J35" i="154" s="1"/>
  <c r="J61" i="154" s="1"/>
  <c r="K1933" i="35"/>
  <c r="K32" i="154" s="1"/>
  <c r="L1937" i="35"/>
  <c r="L36" i="154" s="1"/>
  <c r="M1939" i="35"/>
  <c r="M38" i="154" s="1"/>
  <c r="M64" i="154" s="1"/>
  <c r="M1930" i="35"/>
  <c r="M29" i="154" s="1"/>
  <c r="N1932" i="35"/>
  <c r="N31" i="154" s="1"/>
  <c r="O1934" i="35"/>
  <c r="O33" i="154" s="1"/>
  <c r="O1959" i="35"/>
  <c r="O1957" i="35"/>
  <c r="M1959" i="35"/>
  <c r="J1965" i="35"/>
  <c r="K1960" i="35"/>
  <c r="J1964" i="35"/>
  <c r="J1959" i="35"/>
  <c r="N1964" i="35"/>
  <c r="N1558" i="35"/>
  <c r="J1551" i="35"/>
  <c r="M1552" i="35"/>
  <c r="J1554" i="35"/>
  <c r="M1555" i="35"/>
  <c r="K1557" i="35"/>
  <c r="N1551" i="35"/>
  <c r="J1568" i="35"/>
  <c r="J48" i="153" s="1"/>
  <c r="K1569" i="35"/>
  <c r="K49" i="153" s="1"/>
  <c r="K1567" i="35"/>
  <c r="K47" i="153" s="1"/>
  <c r="L1564" i="35"/>
  <c r="L44" i="153" s="1"/>
  <c r="M1568" i="35"/>
  <c r="M48" i="153" s="1"/>
  <c r="N1568" i="35"/>
  <c r="N48" i="153" s="1"/>
  <c r="O1569" i="35"/>
  <c r="O49" i="153" s="1"/>
  <c r="O1562" i="35"/>
  <c r="O42" i="153" s="1"/>
  <c r="M352" i="31"/>
  <c r="M84" i="144" s="1"/>
  <c r="L352" i="31"/>
  <c r="L84" i="144" s="1"/>
  <c r="O355" i="31"/>
  <c r="O87" i="144" s="1"/>
  <c r="J356" i="31"/>
  <c r="J88" i="144" s="1"/>
  <c r="J357" i="31"/>
  <c r="J89" i="144" s="1"/>
  <c r="J360" i="31"/>
  <c r="J92" i="144" s="1"/>
  <c r="L357" i="31"/>
  <c r="L89" i="144" s="1"/>
  <c r="O357" i="31"/>
  <c r="O89" i="144" s="1"/>
  <c r="O352" i="31"/>
  <c r="O84" i="144" s="1"/>
  <c r="M356" i="31"/>
  <c r="M88" i="144" s="1"/>
  <c r="N353" i="31"/>
  <c r="N85" i="144" s="1"/>
  <c r="K358" i="31"/>
  <c r="K90" i="144" s="1"/>
  <c r="M359" i="31"/>
  <c r="M91" i="144" s="1"/>
  <c r="L360" i="31"/>
  <c r="L92" i="144" s="1"/>
  <c r="N359" i="31"/>
  <c r="N91" i="144" s="1"/>
  <c r="K354" i="31"/>
  <c r="K86" i="144" s="1"/>
  <c r="N355" i="31"/>
  <c r="N87" i="144" s="1"/>
  <c r="M354" i="31"/>
  <c r="M86" i="144" s="1"/>
  <c r="O356" i="31"/>
  <c r="O88" i="144" s="1"/>
  <c r="M358" i="31"/>
  <c r="M90" i="144" s="1"/>
  <c r="N351" i="31"/>
  <c r="N83" i="144" s="1"/>
  <c r="J351" i="31"/>
  <c r="J83" i="144" s="1"/>
  <c r="K355" i="31"/>
  <c r="K87" i="144" s="1"/>
  <c r="J354" i="31"/>
  <c r="J86" i="144" s="1"/>
  <c r="L355" i="31"/>
  <c r="L87" i="144" s="1"/>
  <c r="M357" i="31"/>
  <c r="M89" i="144" s="1"/>
  <c r="K357" i="31"/>
  <c r="K89" i="144" s="1"/>
  <c r="K351" i="31"/>
  <c r="K83" i="144" s="1"/>
  <c r="K352" i="31"/>
  <c r="K84" i="144" s="1"/>
  <c r="M360" i="31"/>
  <c r="M92" i="144" s="1"/>
  <c r="O360" i="31"/>
  <c r="O92" i="144" s="1"/>
  <c r="L358" i="31"/>
  <c r="L90" i="144" s="1"/>
  <c r="O354" i="31"/>
  <c r="O86" i="144" s="1"/>
  <c r="K360" i="31"/>
  <c r="K92" i="144" s="1"/>
  <c r="O359" i="31"/>
  <c r="O91" i="144" s="1"/>
  <c r="N354" i="31"/>
  <c r="N86" i="144" s="1"/>
  <c r="M353" i="31"/>
  <c r="M85" i="144" s="1"/>
  <c r="K359" i="31"/>
  <c r="K91" i="144" s="1"/>
  <c r="J353" i="31"/>
  <c r="J85" i="144" s="1"/>
  <c r="L353" i="31"/>
  <c r="L85" i="144" s="1"/>
  <c r="O358" i="31"/>
  <c r="O90" i="144" s="1"/>
  <c r="K356" i="31"/>
  <c r="K88" i="144" s="1"/>
  <c r="N356" i="31"/>
  <c r="N88" i="144" s="1"/>
  <c r="J358" i="31"/>
  <c r="J90" i="144" s="1"/>
  <c r="N360" i="31"/>
  <c r="N92" i="144" s="1"/>
  <c r="J352" i="31"/>
  <c r="J84" i="144" s="1"/>
  <c r="N358" i="31"/>
  <c r="N90" i="144" s="1"/>
  <c r="N357" i="31"/>
  <c r="N89" i="144" s="1"/>
  <c r="J355" i="31"/>
  <c r="J87" i="144" s="1"/>
  <c r="L359" i="31"/>
  <c r="L91" i="144" s="1"/>
  <c r="M351" i="31"/>
  <c r="M83" i="144" s="1"/>
  <c r="L354" i="31"/>
  <c r="L86" i="144" s="1"/>
  <c r="K353" i="31"/>
  <c r="K85" i="144" s="1"/>
  <c r="M355" i="31"/>
  <c r="M87" i="144" s="1"/>
  <c r="O353" i="31"/>
  <c r="O85" i="144" s="1"/>
  <c r="N352" i="31"/>
  <c r="N84" i="144" s="1"/>
  <c r="L351" i="31"/>
  <c r="O351" i="31"/>
  <c r="J359" i="31"/>
  <c r="J91" i="144" s="1"/>
  <c r="L356" i="31"/>
  <c r="L88" i="144" s="1"/>
  <c r="N358" i="35"/>
  <c r="N84" i="151" s="1"/>
  <c r="J364" i="35"/>
  <c r="J90" i="151" s="1"/>
  <c r="M360" i="35"/>
  <c r="M86" i="151" s="1"/>
  <c r="N362" i="35"/>
  <c r="N88" i="151" s="1"/>
  <c r="N386" i="35"/>
  <c r="N113" i="151" s="1"/>
  <c r="K388" i="35"/>
  <c r="K115" i="151" s="1"/>
  <c r="N385" i="35"/>
  <c r="N112" i="151" s="1"/>
  <c r="M359" i="35"/>
  <c r="M85" i="151" s="1"/>
  <c r="O386" i="35"/>
  <c r="O113" i="151" s="1"/>
  <c r="M389" i="35"/>
  <c r="M116" i="151" s="1"/>
  <c r="L361" i="35"/>
  <c r="L87" i="151" s="1"/>
  <c r="M383" i="35"/>
  <c r="M110" i="151" s="1"/>
  <c r="O390" i="35"/>
  <c r="O117" i="151" s="1"/>
  <c r="O387" i="35"/>
  <c r="O114" i="151" s="1"/>
  <c r="L365" i="35"/>
  <c r="L91" i="151" s="1"/>
  <c r="M386" i="35"/>
  <c r="M113" i="151" s="1"/>
  <c r="O357" i="35"/>
  <c r="O83" i="151" s="1"/>
  <c r="M391" i="35"/>
  <c r="M118" i="151" s="1"/>
  <c r="M390" i="35"/>
  <c r="M117" i="151" s="1"/>
  <c r="K359" i="35"/>
  <c r="K85" i="151" s="1"/>
  <c r="L362" i="35"/>
  <c r="L88" i="151" s="1"/>
  <c r="O364" i="35"/>
  <c r="O90" i="151" s="1"/>
  <c r="O384" i="35"/>
  <c r="O111" i="151" s="1"/>
  <c r="J384" i="35"/>
  <c r="J111" i="151" s="1"/>
  <c r="J358" i="35"/>
  <c r="J84" i="151" s="1"/>
  <c r="L383" i="35"/>
  <c r="L110" i="151" s="1"/>
  <c r="O362" i="35"/>
  <c r="O88" i="151" s="1"/>
  <c r="M357" i="35"/>
  <c r="M83" i="151" s="1"/>
  <c r="N363" i="35"/>
  <c r="N89" i="151" s="1"/>
  <c r="J357" i="35"/>
  <c r="J83" i="151" s="1"/>
  <c r="K384" i="35"/>
  <c r="K111" i="151" s="1"/>
  <c r="L387" i="35"/>
  <c r="L114" i="151" s="1"/>
  <c r="M382" i="35"/>
  <c r="M109" i="151" s="1"/>
  <c r="K360" i="35"/>
  <c r="K86" i="151" s="1"/>
  <c r="O391" i="35"/>
  <c r="O118" i="151" s="1"/>
  <c r="K390" i="35"/>
  <c r="K117" i="151" s="1"/>
  <c r="J385" i="35"/>
  <c r="J112" i="151" s="1"/>
  <c r="L388" i="35"/>
  <c r="L115" i="151" s="1"/>
  <c r="K364" i="35"/>
  <c r="K90" i="151" s="1"/>
  <c r="J387" i="35"/>
  <c r="J114" i="151" s="1"/>
  <c r="J359" i="35"/>
  <c r="J85" i="151" s="1"/>
  <c r="N366" i="35"/>
  <c r="N92" i="151" s="1"/>
  <c r="N388" i="35"/>
  <c r="N115" i="151" s="1"/>
  <c r="L358" i="35"/>
  <c r="L84" i="151" s="1"/>
  <c r="O385" i="35"/>
  <c r="O112" i="151" s="1"/>
  <c r="K365" i="35"/>
  <c r="K91" i="151" s="1"/>
  <c r="J360" i="35"/>
  <c r="J86" i="151" s="1"/>
  <c r="N359" i="35"/>
  <c r="N85" i="151" s="1"/>
  <c r="J366" i="35"/>
  <c r="J92" i="151" s="1"/>
  <c r="M363" i="35"/>
  <c r="M89" i="151" s="1"/>
  <c r="O358" i="35"/>
  <c r="O84" i="151" s="1"/>
  <c r="N382" i="35"/>
  <c r="N109" i="151" s="1"/>
  <c r="L357" i="35"/>
  <c r="L83" i="151" s="1"/>
  <c r="K361" i="35"/>
  <c r="K87" i="151" s="1"/>
  <c r="O383" i="35"/>
  <c r="O110" i="151" s="1"/>
  <c r="K362" i="35"/>
  <c r="K88" i="151" s="1"/>
  <c r="L363" i="35"/>
  <c r="L89" i="151" s="1"/>
  <c r="K389" i="35"/>
  <c r="K116" i="151" s="1"/>
  <c r="N391" i="35"/>
  <c r="N118" i="151" s="1"/>
  <c r="J390" i="35"/>
  <c r="J117" i="151" s="1"/>
  <c r="J388" i="35"/>
  <c r="J115" i="151" s="1"/>
  <c r="L386" i="35"/>
  <c r="L113" i="151" s="1"/>
  <c r="K358" i="35"/>
  <c r="K84" i="151" s="1"/>
  <c r="M384" i="35"/>
  <c r="M111" i="151" s="1"/>
  <c r="O363" i="35"/>
  <c r="O89" i="151" s="1"/>
  <c r="K366" i="35"/>
  <c r="K92" i="151" s="1"/>
  <c r="J383" i="35"/>
  <c r="J110" i="151" s="1"/>
  <c r="K385" i="35"/>
  <c r="K112" i="151" s="1"/>
  <c r="N387" i="35"/>
  <c r="N114" i="151" s="1"/>
  <c r="N384" i="35"/>
  <c r="N111" i="151" s="1"/>
  <c r="M387" i="35"/>
  <c r="M114" i="151" s="1"/>
  <c r="L382" i="35"/>
  <c r="L109" i="151" s="1"/>
  <c r="K386" i="35"/>
  <c r="K113" i="151" s="1"/>
  <c r="M385" i="35"/>
  <c r="M112" i="151" s="1"/>
  <c r="M365" i="35"/>
  <c r="M91" i="151" s="1"/>
  <c r="K391" i="35"/>
  <c r="K118" i="151" s="1"/>
  <c r="N357" i="35"/>
  <c r="N83" i="151" s="1"/>
  <c r="M364" i="35"/>
  <c r="M90" i="151" s="1"/>
  <c r="O359" i="35"/>
  <c r="O85" i="151" s="1"/>
  <c r="L390" i="35"/>
  <c r="L117" i="151" s="1"/>
  <c r="J361" i="35"/>
  <c r="J87" i="151" s="1"/>
  <c r="K387" i="35"/>
  <c r="K114" i="151" s="1"/>
  <c r="N389" i="35"/>
  <c r="N116" i="151" s="1"/>
  <c r="J382" i="35"/>
  <c r="J109" i="151" s="1"/>
  <c r="N390" i="35"/>
  <c r="N117" i="151" s="1"/>
  <c r="L360" i="35"/>
  <c r="L86" i="151" s="1"/>
  <c r="L364" i="35"/>
  <c r="L90" i="151" s="1"/>
  <c r="L384" i="35"/>
  <c r="L111" i="151" s="1"/>
  <c r="M366" i="35"/>
  <c r="M92" i="151" s="1"/>
  <c r="L359" i="35"/>
  <c r="L85" i="151" s="1"/>
  <c r="O361" i="35"/>
  <c r="O87" i="151" s="1"/>
  <c r="O365" i="35"/>
  <c r="O91" i="151" s="1"/>
  <c r="L385" i="35"/>
  <c r="L112" i="151" s="1"/>
  <c r="O360" i="35"/>
  <c r="O86" i="151" s="1"/>
  <c r="J363" i="35"/>
  <c r="J89" i="151" s="1"/>
  <c r="N383" i="35"/>
  <c r="N110" i="151" s="1"/>
  <c r="M362" i="35"/>
  <c r="M88" i="151" s="1"/>
  <c r="K357" i="35"/>
  <c r="K83" i="151" s="1"/>
  <c r="O388" i="35"/>
  <c r="O115" i="151" s="1"/>
  <c r="K363" i="35"/>
  <c r="K89" i="151" s="1"/>
  <c r="N360" i="35"/>
  <c r="N86" i="151" s="1"/>
  <c r="N364" i="35"/>
  <c r="N90" i="151" s="1"/>
  <c r="O382" i="35"/>
  <c r="O109" i="151" s="1"/>
  <c r="L389" i="35"/>
  <c r="L116" i="151" s="1"/>
  <c r="O366" i="35"/>
  <c r="O92" i="151" s="1"/>
  <c r="J386" i="35"/>
  <c r="J113" i="151" s="1"/>
  <c r="L366" i="35"/>
  <c r="L92" i="151" s="1"/>
  <c r="O389" i="35"/>
  <c r="O116" i="151" s="1"/>
  <c r="J365" i="35"/>
  <c r="J91" i="151" s="1"/>
  <c r="L391" i="35"/>
  <c r="L118" i="151" s="1"/>
  <c r="N365" i="35"/>
  <c r="N91" i="151" s="1"/>
  <c r="J389" i="35"/>
  <c r="J116" i="151" s="1"/>
  <c r="M358" i="35"/>
  <c r="M84" i="151" s="1"/>
  <c r="J362" i="35"/>
  <c r="J88" i="151" s="1"/>
  <c r="K383" i="35"/>
  <c r="K110" i="151" s="1"/>
  <c r="N361" i="35"/>
  <c r="N87" i="151" s="1"/>
  <c r="K382" i="35"/>
  <c r="K109" i="151" s="1"/>
  <c r="M361" i="35"/>
  <c r="M87" i="151" s="1"/>
  <c r="J391" i="35"/>
  <c r="J118" i="151" s="1"/>
  <c r="M388" i="35"/>
  <c r="M115" i="151" s="1"/>
  <c r="J335" i="19"/>
  <c r="J37" i="142" s="1"/>
  <c r="J50" i="142" s="1"/>
  <c r="J330" i="19"/>
  <c r="J32" i="142" s="1"/>
  <c r="J45" i="142" s="1"/>
  <c r="J331" i="19"/>
  <c r="J33" i="142" s="1"/>
  <c r="J46" i="142" s="1"/>
  <c r="J329" i="19"/>
  <c r="J31" i="142" s="1"/>
  <c r="J44" i="142" s="1"/>
  <c r="J326" i="19"/>
  <c r="J28" i="142" s="1"/>
  <c r="J41" i="142" s="1"/>
  <c r="J327" i="19"/>
  <c r="J29" i="142" s="1"/>
  <c r="J42" i="142" s="1"/>
  <c r="J334" i="19"/>
  <c r="J36" i="142" s="1"/>
  <c r="J49" i="142" s="1"/>
  <c r="J328" i="19"/>
  <c r="J30" i="142" s="1"/>
  <c r="J43" i="142" s="1"/>
  <c r="J332" i="19"/>
  <c r="J34" i="142" s="1"/>
  <c r="J47" i="142" s="1"/>
  <c r="J333" i="19"/>
  <c r="J35" i="142" s="1"/>
  <c r="J48" i="142" s="1"/>
  <c r="J297" i="31"/>
  <c r="J30" i="144" s="1"/>
  <c r="J300" i="31"/>
  <c r="J33" i="144" s="1"/>
  <c r="J304" i="31"/>
  <c r="J37" i="144" s="1"/>
  <c r="J301" i="31"/>
  <c r="J34" i="144" s="1"/>
  <c r="J298" i="31"/>
  <c r="J31" i="144" s="1"/>
  <c r="J296" i="31"/>
  <c r="J29" i="144" s="1"/>
  <c r="J305" i="31"/>
  <c r="J38" i="144" s="1"/>
  <c r="J350" i="35"/>
  <c r="J51" i="151" s="1"/>
  <c r="J302" i="31"/>
  <c r="J35" i="144" s="1"/>
  <c r="J303" i="31"/>
  <c r="J36" i="144" s="1"/>
  <c r="J299" i="31"/>
  <c r="J32" i="144" s="1"/>
  <c r="J343" i="35"/>
  <c r="J44" i="151" s="1"/>
  <c r="J348" i="35"/>
  <c r="J49" i="151" s="1"/>
  <c r="J1133" i="35"/>
  <c r="J344" i="35"/>
  <c r="J45" i="151" s="1"/>
  <c r="J1132" i="35"/>
  <c r="J347" i="35"/>
  <c r="J48" i="151" s="1"/>
  <c r="J1138" i="35"/>
  <c r="J342" i="35"/>
  <c r="J43" i="151" s="1"/>
  <c r="J345" i="35"/>
  <c r="J46" i="151" s="1"/>
  <c r="J346" i="35"/>
  <c r="J47" i="151" s="1"/>
  <c r="J1131" i="35"/>
  <c r="J1137" i="35"/>
  <c r="J1135" i="35"/>
  <c r="J1136" i="35"/>
  <c r="J1134" i="35"/>
  <c r="J341" i="35"/>
  <c r="J42" i="151" s="1"/>
  <c r="J349" i="35"/>
  <c r="J50" i="151" s="1"/>
  <c r="J1130" i="35"/>
  <c r="J1129" i="35"/>
  <c r="K1130" i="35"/>
  <c r="K1136" i="35"/>
  <c r="K1138" i="35"/>
  <c r="K1137" i="35"/>
  <c r="K328" i="19"/>
  <c r="K329" i="19"/>
  <c r="K334" i="19"/>
  <c r="K332" i="19"/>
  <c r="L1130" i="35"/>
  <c r="K331" i="19"/>
  <c r="K326" i="19"/>
  <c r="K335" i="19"/>
  <c r="K333" i="19"/>
  <c r="K327" i="19"/>
  <c r="K330" i="19"/>
  <c r="K1133" i="35"/>
  <c r="K1135" i="35"/>
  <c r="K1134" i="35"/>
  <c r="K1132" i="35"/>
  <c r="K1131" i="35"/>
  <c r="K348" i="35"/>
  <c r="K49" i="151" s="1"/>
  <c r="K347" i="35"/>
  <c r="K48" i="151" s="1"/>
  <c r="K341" i="35"/>
  <c r="K42" i="151" s="1"/>
  <c r="K343" i="35"/>
  <c r="K44" i="151" s="1"/>
  <c r="K342" i="35"/>
  <c r="K43" i="151" s="1"/>
  <c r="K303" i="31"/>
  <c r="K36" i="144" s="1"/>
  <c r="K1129" i="35"/>
  <c r="K345" i="35"/>
  <c r="K46" i="151" s="1"/>
  <c r="K346" i="35"/>
  <c r="K47" i="151" s="1"/>
  <c r="K301" i="31"/>
  <c r="K34" i="144" s="1"/>
  <c r="K349" i="35"/>
  <c r="K50" i="151" s="1"/>
  <c r="K298" i="31"/>
  <c r="K31" i="144" s="1"/>
  <c r="K350" i="35"/>
  <c r="K51" i="151" s="1"/>
  <c r="K297" i="31"/>
  <c r="K30" i="144" s="1"/>
  <c r="K304" i="31"/>
  <c r="K37" i="144" s="1"/>
  <c r="K305" i="31"/>
  <c r="K38" i="144" s="1"/>
  <c r="K300" i="31"/>
  <c r="K33" i="144" s="1"/>
  <c r="K344" i="35"/>
  <c r="K45" i="151" s="1"/>
  <c r="K299" i="31"/>
  <c r="K32" i="144" s="1"/>
  <c r="K302" i="31"/>
  <c r="K35" i="144" s="1"/>
  <c r="K296" i="31"/>
  <c r="K29" i="144" s="1"/>
  <c r="J1157" i="35"/>
  <c r="J44" i="155" s="1"/>
  <c r="K1162" i="35"/>
  <c r="K49" i="155" s="1"/>
  <c r="K1158" i="35"/>
  <c r="K45" i="155" s="1"/>
  <c r="J1159" i="35"/>
  <c r="J46" i="155" s="1"/>
  <c r="K1163" i="35"/>
  <c r="K50" i="155" s="1"/>
  <c r="K1155" i="35"/>
  <c r="K42" i="155" s="1"/>
  <c r="J1156" i="35"/>
  <c r="J43" i="155" s="1"/>
  <c r="K1164" i="35"/>
  <c r="K51" i="155" s="1"/>
  <c r="J1161" i="35"/>
  <c r="J48" i="155" s="1"/>
  <c r="L1156" i="35"/>
  <c r="L43" i="155" s="1"/>
  <c r="J1158" i="35"/>
  <c r="J45" i="155" s="1"/>
  <c r="K1160" i="35"/>
  <c r="K47" i="155" s="1"/>
  <c r="J1162" i="35"/>
  <c r="J49" i="155" s="1"/>
  <c r="J1163" i="35"/>
  <c r="J50" i="155" s="1"/>
  <c r="K1161" i="35"/>
  <c r="K48" i="155" s="1"/>
  <c r="J1164" i="35"/>
  <c r="J51" i="155" s="1"/>
  <c r="J1155" i="35"/>
  <c r="J42" i="155" s="1"/>
  <c r="K1157" i="35"/>
  <c r="K44" i="155" s="1"/>
  <c r="J1160" i="35"/>
  <c r="J47" i="155" s="1"/>
  <c r="K1156" i="35"/>
  <c r="K43" i="155" s="1"/>
  <c r="K1159" i="35"/>
  <c r="K46" i="155" s="1"/>
  <c r="L330" i="19"/>
  <c r="L1163" i="35"/>
  <c r="L50" i="155" s="1"/>
  <c r="L332" i="19"/>
  <c r="L1164" i="35"/>
  <c r="L51" i="155" s="1"/>
  <c r="L326" i="19"/>
  <c r="L328" i="19"/>
  <c r="L1137" i="35"/>
  <c r="L1138" i="35"/>
  <c r="L1162" i="35"/>
  <c r="L49" i="155" s="1"/>
  <c r="L1134" i="35"/>
  <c r="L1136" i="35"/>
  <c r="L334" i="19"/>
  <c r="L1160" i="35"/>
  <c r="L47" i="155" s="1"/>
  <c r="L331" i="19"/>
  <c r="L327" i="19"/>
  <c r="L335" i="19"/>
  <c r="L329" i="19"/>
  <c r="L333" i="19"/>
  <c r="L1157" i="35"/>
  <c r="L44" i="155" s="1"/>
  <c r="L1131" i="35"/>
  <c r="L1159" i="35"/>
  <c r="L46" i="155" s="1"/>
  <c r="L1133" i="35"/>
  <c r="L1158" i="35"/>
  <c r="L45" i="155" s="1"/>
  <c r="L1132" i="35"/>
  <c r="L1161" i="35"/>
  <c r="L48" i="155" s="1"/>
  <c r="L1135" i="35"/>
  <c r="L342" i="35"/>
  <c r="L43" i="151" s="1"/>
  <c r="L302" i="31"/>
  <c r="L35" i="144" s="1"/>
  <c r="L1155" i="35"/>
  <c r="L42" i="155" s="1"/>
  <c r="L341" i="35"/>
  <c r="L42" i="151" s="1"/>
  <c r="L301" i="31"/>
  <c r="L34" i="144" s="1"/>
  <c r="L344" i="35"/>
  <c r="L45" i="151" s="1"/>
  <c r="L299" i="31"/>
  <c r="L32" i="144" s="1"/>
  <c r="L304" i="31"/>
  <c r="L37" i="144" s="1"/>
  <c r="L303" i="31"/>
  <c r="L36" i="144" s="1"/>
  <c r="L297" i="31"/>
  <c r="L30" i="144" s="1"/>
  <c r="L348" i="35"/>
  <c r="L49" i="151" s="1"/>
  <c r="L1129" i="35"/>
  <c r="L300" i="31"/>
  <c r="L33" i="144" s="1"/>
  <c r="L350" i="35"/>
  <c r="L51" i="151" s="1"/>
  <c r="L298" i="31"/>
  <c r="L31" i="144" s="1"/>
  <c r="L296" i="31"/>
  <c r="L29" i="144" s="1"/>
  <c r="L305" i="31"/>
  <c r="L38" i="144" s="1"/>
  <c r="L346" i="35"/>
  <c r="L47" i="151" s="1"/>
  <c r="L345" i="35"/>
  <c r="L46" i="151" s="1"/>
  <c r="L349" i="35"/>
  <c r="L50" i="151" s="1"/>
  <c r="L347" i="35"/>
  <c r="L48" i="151" s="1"/>
  <c r="L343" i="35"/>
  <c r="L44" i="151" s="1"/>
  <c r="M1164" i="35"/>
  <c r="M51" i="155" s="1"/>
  <c r="M1138" i="35"/>
  <c r="M1162" i="35"/>
  <c r="M49" i="155" s="1"/>
  <c r="M1136" i="35"/>
  <c r="M333" i="19"/>
  <c r="M335" i="19"/>
  <c r="M330" i="19"/>
  <c r="M326" i="19"/>
  <c r="M328" i="19"/>
  <c r="M327" i="19"/>
  <c r="M334" i="19"/>
  <c r="M331" i="19"/>
  <c r="M332" i="19"/>
  <c r="M329" i="19"/>
  <c r="M1156" i="35"/>
  <c r="M43" i="155" s="1"/>
  <c r="M1163" i="35"/>
  <c r="M50" i="155" s="1"/>
  <c r="M1130" i="35"/>
  <c r="M1158" i="35"/>
  <c r="M45" i="155" s="1"/>
  <c r="M1132" i="35"/>
  <c r="M1137" i="35"/>
  <c r="M1161" i="35"/>
  <c r="M48" i="155" s="1"/>
  <c r="M1159" i="35"/>
  <c r="M46" i="155" s="1"/>
  <c r="M1135" i="35"/>
  <c r="M1160" i="35"/>
  <c r="M47" i="155" s="1"/>
  <c r="M1134" i="35"/>
  <c r="M1133" i="35"/>
  <c r="M1157" i="35"/>
  <c r="M44" i="155" s="1"/>
  <c r="M1131" i="35"/>
  <c r="M344" i="35"/>
  <c r="M45" i="151" s="1"/>
  <c r="M345" i="35"/>
  <c r="M46" i="151" s="1"/>
  <c r="M350" i="35"/>
  <c r="M51" i="151" s="1"/>
  <c r="M346" i="35"/>
  <c r="M47" i="151" s="1"/>
  <c r="M341" i="35"/>
  <c r="M42" i="151" s="1"/>
  <c r="M347" i="35"/>
  <c r="M48" i="151" s="1"/>
  <c r="M349" i="35"/>
  <c r="M50" i="151" s="1"/>
  <c r="M305" i="31"/>
  <c r="M38" i="144" s="1"/>
  <c r="M348" i="35"/>
  <c r="M49" i="151" s="1"/>
  <c r="M1129" i="35"/>
  <c r="M1155" i="35"/>
  <c r="M42" i="155" s="1"/>
  <c r="M299" i="31"/>
  <c r="M32" i="144" s="1"/>
  <c r="M342" i="35"/>
  <c r="M43" i="151" s="1"/>
  <c r="M343" i="35"/>
  <c r="M44" i="151" s="1"/>
  <c r="M298" i="31"/>
  <c r="M31" i="144" s="1"/>
  <c r="M297" i="31"/>
  <c r="M30" i="144" s="1"/>
  <c r="M296" i="31"/>
  <c r="M29" i="144" s="1"/>
  <c r="M303" i="31"/>
  <c r="M36" i="144" s="1"/>
  <c r="M301" i="31"/>
  <c r="M34" i="144" s="1"/>
  <c r="M304" i="31"/>
  <c r="M37" i="144" s="1"/>
  <c r="M300" i="31"/>
  <c r="M33" i="144" s="1"/>
  <c r="M302" i="31"/>
  <c r="M35" i="144" s="1"/>
  <c r="N1162" i="35"/>
  <c r="N49" i="155" s="1"/>
  <c r="N1136" i="35"/>
  <c r="N1164" i="35"/>
  <c r="N51" i="155" s="1"/>
  <c r="N1138" i="35"/>
  <c r="N333" i="19"/>
  <c r="N328" i="19"/>
  <c r="N331" i="19"/>
  <c r="N329" i="19"/>
  <c r="N335" i="19"/>
  <c r="N330" i="19"/>
  <c r="N327" i="19"/>
  <c r="N332" i="19"/>
  <c r="N334" i="19"/>
  <c r="N326" i="19"/>
  <c r="N1132" i="35"/>
  <c r="N1134" i="35"/>
  <c r="N1163" i="35"/>
  <c r="N50" i="155" s="1"/>
  <c r="N1157" i="35"/>
  <c r="N44" i="155" s="1"/>
  <c r="N1161" i="35"/>
  <c r="N48" i="155" s="1"/>
  <c r="N1137" i="35"/>
  <c r="N1131" i="35"/>
  <c r="N1135" i="35"/>
  <c r="N1156" i="35"/>
  <c r="N43" i="155" s="1"/>
  <c r="N1159" i="35"/>
  <c r="N46" i="155" s="1"/>
  <c r="N1130" i="35"/>
  <c r="N1160" i="35"/>
  <c r="N47" i="155" s="1"/>
  <c r="N1133" i="35"/>
  <c r="N1158" i="35"/>
  <c r="N45" i="155" s="1"/>
  <c r="N345" i="35"/>
  <c r="N46" i="151" s="1"/>
  <c r="N347" i="35"/>
  <c r="N48" i="151" s="1"/>
  <c r="N300" i="31"/>
  <c r="N33" i="144" s="1"/>
  <c r="N304" i="31"/>
  <c r="N37" i="144" s="1"/>
  <c r="N350" i="35"/>
  <c r="N51" i="151" s="1"/>
  <c r="N305" i="31"/>
  <c r="N38" i="144" s="1"/>
  <c r="N296" i="31"/>
  <c r="N29" i="144" s="1"/>
  <c r="N1155" i="35"/>
  <c r="N42" i="155" s="1"/>
  <c r="N297" i="31"/>
  <c r="N30" i="144" s="1"/>
  <c r="N298" i="31"/>
  <c r="N31" i="144" s="1"/>
  <c r="N346" i="35"/>
  <c r="N47" i="151" s="1"/>
  <c r="N343" i="35"/>
  <c r="N44" i="151" s="1"/>
  <c r="N302" i="31"/>
  <c r="N35" i="144" s="1"/>
  <c r="N301" i="31"/>
  <c r="N34" i="144" s="1"/>
  <c r="N348" i="35"/>
  <c r="N49" i="151" s="1"/>
  <c r="N342" i="35"/>
  <c r="N43" i="151" s="1"/>
  <c r="N344" i="35"/>
  <c r="N45" i="151" s="1"/>
  <c r="N1129" i="35"/>
  <c r="N349" i="35"/>
  <c r="N50" i="151" s="1"/>
  <c r="N299" i="31"/>
  <c r="N32" i="144" s="1"/>
  <c r="N341" i="35"/>
  <c r="N42" i="151" s="1"/>
  <c r="N303" i="31"/>
  <c r="N36" i="144" s="1"/>
  <c r="O1136" i="35"/>
  <c r="O1164" i="35"/>
  <c r="O51" i="155" s="1"/>
  <c r="O1138" i="35"/>
  <c r="O1162" i="35"/>
  <c r="O49" i="155" s="1"/>
  <c r="O333" i="19"/>
  <c r="O327" i="19"/>
  <c r="O329" i="19"/>
  <c r="O332" i="19"/>
  <c r="O326" i="19"/>
  <c r="O335" i="19"/>
  <c r="O334" i="19"/>
  <c r="O331" i="19"/>
  <c r="O328" i="19"/>
  <c r="O330" i="19"/>
  <c r="O1156" i="35"/>
  <c r="O43" i="155" s="1"/>
  <c r="O1134" i="35"/>
  <c r="O1158" i="35"/>
  <c r="O45" i="155" s="1"/>
  <c r="O1132" i="35"/>
  <c r="O1159" i="35"/>
  <c r="O46" i="155" s="1"/>
  <c r="O1130" i="35"/>
  <c r="O1163" i="35"/>
  <c r="O50" i="155" s="1"/>
  <c r="O1160" i="35"/>
  <c r="O47" i="155" s="1"/>
  <c r="O1133" i="35"/>
  <c r="O1161" i="35"/>
  <c r="O48" i="155" s="1"/>
  <c r="O1157" i="35"/>
  <c r="O44" i="155" s="1"/>
  <c r="O1135" i="35"/>
  <c r="O1131" i="35"/>
  <c r="O1137" i="35"/>
  <c r="O305" i="19"/>
  <c r="J306" i="19"/>
  <c r="M307" i="19"/>
  <c r="J309" i="19"/>
  <c r="J300" i="19"/>
  <c r="K300" i="19"/>
  <c r="L300" i="19"/>
  <c r="O302" i="31"/>
  <c r="O35" i="144" s="1"/>
  <c r="O299" i="31"/>
  <c r="O32" i="144" s="1"/>
  <c r="O344" i="35"/>
  <c r="O45" i="151" s="1"/>
  <c r="O348" i="35"/>
  <c r="O49" i="151" s="1"/>
  <c r="K307" i="19"/>
  <c r="L307" i="19"/>
  <c r="O308" i="19"/>
  <c r="K301" i="19"/>
  <c r="L301" i="19"/>
  <c r="M301" i="19"/>
  <c r="N301" i="19"/>
  <c r="O347" i="35"/>
  <c r="O48" i="151" s="1"/>
  <c r="O305" i="31"/>
  <c r="O38" i="144" s="1"/>
  <c r="L309" i="19"/>
  <c r="M308" i="19"/>
  <c r="N308" i="19"/>
  <c r="J301" i="19"/>
  <c r="M302" i="19"/>
  <c r="N302" i="19"/>
  <c r="O302" i="19"/>
  <c r="J303" i="19"/>
  <c r="O341" i="35"/>
  <c r="O42" i="151" s="1"/>
  <c r="O1155" i="35"/>
  <c r="O42" i="155" s="1"/>
  <c r="O297" i="31"/>
  <c r="O30" i="144" s="1"/>
  <c r="O342" i="35"/>
  <c r="O43" i="151" s="1"/>
  <c r="O309" i="19"/>
  <c r="O300" i="19"/>
  <c r="L302" i="19"/>
  <c r="O303" i="19"/>
  <c r="J304" i="19"/>
  <c r="K304" i="19"/>
  <c r="L304" i="19"/>
  <c r="O349" i="35"/>
  <c r="O50" i="151" s="1"/>
  <c r="O298" i="31"/>
  <c r="O31" i="144" s="1"/>
  <c r="M300" i="19"/>
  <c r="N300" i="19"/>
  <c r="K302" i="19"/>
  <c r="N303" i="19"/>
  <c r="K305" i="19"/>
  <c r="L305" i="19"/>
  <c r="M305" i="19"/>
  <c r="N305" i="19"/>
  <c r="O1129" i="35"/>
  <c r="O350" i="35"/>
  <c r="O51" i="151" s="1"/>
  <c r="M304" i="19"/>
  <c r="K306" i="19"/>
  <c r="N307" i="19"/>
  <c r="M309" i="19"/>
  <c r="O304" i="31"/>
  <c r="O37" i="144" s="1"/>
  <c r="O343" i="35"/>
  <c r="O44" i="151" s="1"/>
  <c r="O301" i="19"/>
  <c r="J302" i="19"/>
  <c r="M303" i="19"/>
  <c r="J305" i="19"/>
  <c r="M306" i="19"/>
  <c r="N306" i="19"/>
  <c r="O306" i="19"/>
  <c r="J307" i="19"/>
  <c r="O346" i="35"/>
  <c r="O47" i="151" s="1"/>
  <c r="O300" i="31"/>
  <c r="O33" i="144" s="1"/>
  <c r="O345" i="35"/>
  <c r="O46" i="151" s="1"/>
  <c r="O296" i="31"/>
  <c r="O29" i="144" s="1"/>
  <c r="K303" i="19"/>
  <c r="L303" i="19"/>
  <c r="O304" i="19"/>
  <c r="L306" i="19"/>
  <c r="O307" i="19"/>
  <c r="J308" i="19"/>
  <c r="K308" i="19"/>
  <c r="L308" i="19"/>
  <c r="O301" i="31"/>
  <c r="O34" i="144" s="1"/>
  <c r="N304" i="19"/>
  <c r="K309" i="19"/>
  <c r="N309" i="19"/>
  <c r="O303" i="31"/>
  <c r="O36" i="144" s="1"/>
  <c r="M315" i="19"/>
  <c r="N315" i="19"/>
  <c r="O315" i="19"/>
  <c r="J316" i="19"/>
  <c r="K316" i="19"/>
  <c r="L316" i="19"/>
  <c r="O317" i="19"/>
  <c r="L319" i="19"/>
  <c r="O316" i="19"/>
  <c r="J317" i="19"/>
  <c r="K317" i="19"/>
  <c r="L317" i="19"/>
  <c r="M317" i="19"/>
  <c r="N317" i="19"/>
  <c r="K319" i="19"/>
  <c r="N320" i="19"/>
  <c r="K318" i="19"/>
  <c r="L318" i="19"/>
  <c r="M318" i="19"/>
  <c r="N318" i="19"/>
  <c r="O318" i="19"/>
  <c r="J319" i="19"/>
  <c r="M320" i="19"/>
  <c r="J322" i="19"/>
  <c r="M319" i="19"/>
  <c r="N319" i="19"/>
  <c r="O319" i="19"/>
  <c r="J320" i="19"/>
  <c r="K320" i="19"/>
  <c r="L320" i="19"/>
  <c r="O321" i="19"/>
  <c r="O320" i="19"/>
  <c r="J321" i="19"/>
  <c r="K321" i="19"/>
  <c r="L321" i="19"/>
  <c r="M321" i="19"/>
  <c r="N321" i="19"/>
  <c r="J314" i="19"/>
  <c r="K322" i="19"/>
  <c r="L322" i="19"/>
  <c r="M322" i="19"/>
  <c r="N322" i="19"/>
  <c r="O322" i="19"/>
  <c r="O313" i="19"/>
  <c r="L315" i="19"/>
  <c r="J313" i="19"/>
  <c r="K313" i="19"/>
  <c r="L313" i="19"/>
  <c r="M313" i="19"/>
  <c r="N313" i="19"/>
  <c r="K315" i="19"/>
  <c r="N316" i="19"/>
  <c r="K314" i="19"/>
  <c r="L314" i="19"/>
  <c r="M314" i="19"/>
  <c r="N314" i="19"/>
  <c r="O314" i="19"/>
  <c r="J315" i="19"/>
  <c r="M316" i="19"/>
  <c r="J318" i="19"/>
  <c r="J336" i="31"/>
  <c r="J43" i="144" s="1"/>
  <c r="J335" i="31"/>
  <c r="J42" i="144" s="1"/>
  <c r="K336" i="31"/>
  <c r="K43" i="144" s="1"/>
  <c r="L336" i="31"/>
  <c r="L43" i="144" s="1"/>
  <c r="M344" i="31"/>
  <c r="M51" i="144" s="1"/>
  <c r="N344" i="31"/>
  <c r="N51" i="144" s="1"/>
  <c r="N342" i="31"/>
  <c r="N49" i="144" s="1"/>
  <c r="O344" i="31"/>
  <c r="O51" i="144" s="1"/>
  <c r="M343" i="31"/>
  <c r="M50" i="144" s="1"/>
  <c r="J340" i="31"/>
  <c r="J47" i="144" s="1"/>
  <c r="J339" i="31"/>
  <c r="J46" i="144" s="1"/>
  <c r="K339" i="31"/>
  <c r="K46" i="144" s="1"/>
  <c r="L341" i="31"/>
  <c r="L48" i="144" s="1"/>
  <c r="M336" i="31"/>
  <c r="M43" i="144" s="1"/>
  <c r="N343" i="31"/>
  <c r="N50" i="144" s="1"/>
  <c r="N339" i="31"/>
  <c r="N46" i="144" s="1"/>
  <c r="O339" i="31"/>
  <c r="O46" i="144" s="1"/>
  <c r="J344" i="31"/>
  <c r="J51" i="144" s="1"/>
  <c r="J341" i="31"/>
  <c r="J48" i="144" s="1"/>
  <c r="K342" i="31"/>
  <c r="K49" i="144" s="1"/>
  <c r="K335" i="31"/>
  <c r="K42" i="144" s="1"/>
  <c r="L342" i="31"/>
  <c r="L49" i="144" s="1"/>
  <c r="M335" i="31"/>
  <c r="M42" i="144" s="1"/>
  <c r="N336" i="31"/>
  <c r="N43" i="144" s="1"/>
  <c r="O343" i="31"/>
  <c r="O50" i="144" s="1"/>
  <c r="O342" i="31"/>
  <c r="O49" i="144" s="1"/>
  <c r="M338" i="31"/>
  <c r="M45" i="144" s="1"/>
  <c r="J338" i="31"/>
  <c r="J45" i="144" s="1"/>
  <c r="K344" i="31"/>
  <c r="K51" i="144" s="1"/>
  <c r="K338" i="31"/>
  <c r="K45" i="144" s="1"/>
  <c r="L339" i="31"/>
  <c r="L46" i="144" s="1"/>
  <c r="M341" i="31"/>
  <c r="M48" i="144" s="1"/>
  <c r="N340" i="31"/>
  <c r="N47" i="144" s="1"/>
  <c r="O337" i="31"/>
  <c r="O44" i="144" s="1"/>
  <c r="O335" i="31"/>
  <c r="O42" i="144" s="1"/>
  <c r="L343" i="31"/>
  <c r="L50" i="144" s="1"/>
  <c r="J343" i="31"/>
  <c r="J50" i="144" s="1"/>
  <c r="K341" i="31"/>
  <c r="K48" i="144" s="1"/>
  <c r="L344" i="31"/>
  <c r="L51" i="144" s="1"/>
  <c r="L338" i="31"/>
  <c r="L45" i="144" s="1"/>
  <c r="M339" i="31"/>
  <c r="M46" i="144" s="1"/>
  <c r="N341" i="31"/>
  <c r="N48" i="144" s="1"/>
  <c r="O341" i="31"/>
  <c r="O48" i="144" s="1"/>
  <c r="O336" i="31"/>
  <c r="O43" i="144" s="1"/>
  <c r="J337" i="31"/>
  <c r="J44" i="144" s="1"/>
  <c r="K337" i="31"/>
  <c r="K44" i="144" s="1"/>
  <c r="L335" i="31"/>
  <c r="L42" i="144" s="1"/>
  <c r="L340" i="31"/>
  <c r="L47" i="144" s="1"/>
  <c r="M340" i="31"/>
  <c r="M47" i="144" s="1"/>
  <c r="N338" i="31"/>
  <c r="N45" i="144" s="1"/>
  <c r="O338" i="31"/>
  <c r="O45" i="144" s="1"/>
  <c r="K343" i="31"/>
  <c r="K50" i="144" s="1"/>
  <c r="J342" i="31"/>
  <c r="J49" i="144" s="1"/>
  <c r="K340" i="31"/>
  <c r="K47" i="144" s="1"/>
  <c r="L337" i="31"/>
  <c r="L44" i="144" s="1"/>
  <c r="M337" i="31"/>
  <c r="M44" i="144" s="1"/>
  <c r="M342" i="31"/>
  <c r="M49" i="144" s="1"/>
  <c r="N337" i="31"/>
  <c r="N44" i="144" s="1"/>
  <c r="O340" i="31"/>
  <c r="O47" i="144" s="1"/>
  <c r="N335" i="31"/>
  <c r="N42" i="144" s="1"/>
  <c r="J1180" i="35"/>
  <c r="J92" i="155" s="1"/>
  <c r="N1205" i="35"/>
  <c r="N118" i="155" s="1"/>
  <c r="N1204" i="35"/>
  <c r="N117" i="155" s="1"/>
  <c r="O1199" i="35"/>
  <c r="O112" i="155" s="1"/>
  <c r="L1197" i="35"/>
  <c r="L110" i="155" s="1"/>
  <c r="M1200" i="35"/>
  <c r="M113" i="155" s="1"/>
  <c r="J1196" i="35"/>
  <c r="J109" i="155" s="1"/>
  <c r="K1179" i="35"/>
  <c r="K91" i="155" s="1"/>
  <c r="M1171" i="35"/>
  <c r="M83" i="155" s="1"/>
  <c r="M1201" i="35"/>
  <c r="M114" i="155" s="1"/>
  <c r="N1178" i="35"/>
  <c r="N90" i="155" s="1"/>
  <c r="M1202" i="35"/>
  <c r="M115" i="155" s="1"/>
  <c r="K1174" i="35"/>
  <c r="K86" i="155" s="1"/>
  <c r="L1201" i="35"/>
  <c r="L114" i="155" s="1"/>
  <c r="L1175" i="35"/>
  <c r="L87" i="155" s="1"/>
  <c r="O332" i="35"/>
  <c r="L334" i="35"/>
  <c r="O335" i="35"/>
  <c r="J336" i="35"/>
  <c r="K336" i="35"/>
  <c r="L336" i="35"/>
  <c r="M336" i="35"/>
  <c r="N336" i="35"/>
  <c r="K350" i="19"/>
  <c r="K76" i="142" s="1"/>
  <c r="L372" i="19"/>
  <c r="L98" i="142" s="1"/>
  <c r="N350" i="19"/>
  <c r="N76" i="142" s="1"/>
  <c r="N342" i="19"/>
  <c r="N68" i="142" s="1"/>
  <c r="L371" i="19"/>
  <c r="L97" i="142" s="1"/>
  <c r="L368" i="19"/>
  <c r="L94" i="142" s="1"/>
  <c r="L377" i="19"/>
  <c r="L103" i="142" s="1"/>
  <c r="K348" i="19"/>
  <c r="K74" i="142" s="1"/>
  <c r="L373" i="19"/>
  <c r="L99" i="142" s="1"/>
  <c r="K373" i="19"/>
  <c r="K99" i="142" s="1"/>
  <c r="O370" i="19"/>
  <c r="O96" i="142" s="1"/>
  <c r="N349" i="19"/>
  <c r="N75" i="142" s="1"/>
  <c r="N376" i="19"/>
  <c r="N102" i="142" s="1"/>
  <c r="J376" i="19"/>
  <c r="J102" i="142" s="1"/>
  <c r="J348" i="19"/>
  <c r="J74" i="142" s="1"/>
  <c r="O321" i="35"/>
  <c r="J322" i="35"/>
  <c r="K322" i="35"/>
  <c r="L322" i="35"/>
  <c r="O323" i="35"/>
  <c r="K1175" i="35"/>
  <c r="K87" i="155" s="1"/>
  <c r="M1180" i="35"/>
  <c r="M92" i="155" s="1"/>
  <c r="O1173" i="35"/>
  <c r="O85" i="155" s="1"/>
  <c r="L1176" i="35"/>
  <c r="L88" i="155" s="1"/>
  <c r="N1198" i="35"/>
  <c r="N111" i="155" s="1"/>
  <c r="K1177" i="35"/>
  <c r="K89" i="155" s="1"/>
  <c r="L1203" i="35"/>
  <c r="L116" i="155" s="1"/>
  <c r="K1178" i="35"/>
  <c r="K90" i="155" s="1"/>
  <c r="K1173" i="35"/>
  <c r="K85" i="155" s="1"/>
  <c r="M1175" i="35"/>
  <c r="M87" i="155" s="1"/>
  <c r="K1172" i="35"/>
  <c r="K84" i="155" s="1"/>
  <c r="N1175" i="35"/>
  <c r="N87" i="155" s="1"/>
  <c r="M1176" i="35"/>
  <c r="M88" i="155" s="1"/>
  <c r="J1198" i="35"/>
  <c r="J111" i="155" s="1"/>
  <c r="N1179" i="35"/>
  <c r="N91" i="155" s="1"/>
  <c r="K334" i="35"/>
  <c r="N335" i="35"/>
  <c r="K337" i="35"/>
  <c r="L337" i="35"/>
  <c r="M337" i="35"/>
  <c r="N337" i="35"/>
  <c r="O337" i="35"/>
  <c r="O372" i="19"/>
  <c r="O98" i="142" s="1"/>
  <c r="N345" i="19"/>
  <c r="N71" i="142" s="1"/>
  <c r="N372" i="19"/>
  <c r="N98" i="142" s="1"/>
  <c r="M342" i="19"/>
  <c r="M68" i="142" s="1"/>
  <c r="O346" i="19"/>
  <c r="O72" i="142" s="1"/>
  <c r="L346" i="19"/>
  <c r="L72" i="142" s="1"/>
  <c r="O344" i="19"/>
  <c r="O70" i="142" s="1"/>
  <c r="M344" i="19"/>
  <c r="M70" i="142" s="1"/>
  <c r="M376" i="19"/>
  <c r="M102" i="142" s="1"/>
  <c r="J345" i="19"/>
  <c r="J71" i="142" s="1"/>
  <c r="L374" i="19"/>
  <c r="L100" i="142" s="1"/>
  <c r="M368" i="19"/>
  <c r="M94" i="142" s="1"/>
  <c r="O342" i="19"/>
  <c r="O68" i="142" s="1"/>
  <c r="J370" i="19"/>
  <c r="J96" i="142" s="1"/>
  <c r="J342" i="19"/>
  <c r="J68" i="142" s="1"/>
  <c r="K323" i="35"/>
  <c r="L323" i="35"/>
  <c r="M323" i="35"/>
  <c r="N323" i="35"/>
  <c r="J316" i="35"/>
  <c r="L1198" i="35"/>
  <c r="L111" i="155" s="1"/>
  <c r="K1205" i="35"/>
  <c r="K118" i="155" s="1"/>
  <c r="M1199" i="35"/>
  <c r="M112" i="155" s="1"/>
  <c r="K1176" i="35"/>
  <c r="K88" i="155" s="1"/>
  <c r="K1200" i="35"/>
  <c r="K113" i="155" s="1"/>
  <c r="J1199" i="35"/>
  <c r="J112" i="155" s="1"/>
  <c r="L1171" i="35"/>
  <c r="L83" i="155" s="1"/>
  <c r="L1180" i="35"/>
  <c r="L92" i="155" s="1"/>
  <c r="N1173" i="35"/>
  <c r="N85" i="155" s="1"/>
  <c r="K1202" i="35"/>
  <c r="K115" i="155" s="1"/>
  <c r="O1197" i="35"/>
  <c r="O110" i="155" s="1"/>
  <c r="N1203" i="35"/>
  <c r="N116" i="155" s="1"/>
  <c r="L1173" i="35"/>
  <c r="L85" i="155" s="1"/>
  <c r="N1200" i="35"/>
  <c r="N113" i="155" s="1"/>
  <c r="M1174" i="35"/>
  <c r="M86" i="155" s="1"/>
  <c r="M335" i="35"/>
  <c r="J337" i="35"/>
  <c r="J328" i="35"/>
  <c r="K328" i="35"/>
  <c r="L328" i="35"/>
  <c r="M328" i="35"/>
  <c r="N328" i="35"/>
  <c r="K343" i="19"/>
  <c r="K69" i="142" s="1"/>
  <c r="O345" i="19"/>
  <c r="O71" i="142" s="1"/>
  <c r="K374" i="19"/>
  <c r="K100" i="142" s="1"/>
  <c r="O374" i="19"/>
  <c r="O100" i="142" s="1"/>
  <c r="K369" i="19"/>
  <c r="K95" i="142" s="1"/>
  <c r="N371" i="19"/>
  <c r="N97" i="142" s="1"/>
  <c r="J369" i="19"/>
  <c r="J95" i="142" s="1"/>
  <c r="O347" i="19"/>
  <c r="O73" i="142" s="1"/>
  <c r="L345" i="19"/>
  <c r="L71" i="142" s="1"/>
  <c r="N377" i="19"/>
  <c r="N103" i="142" s="1"/>
  <c r="M348" i="19"/>
  <c r="M74" i="142" s="1"/>
  <c r="N351" i="19"/>
  <c r="N77" i="142" s="1"/>
  <c r="O351" i="19"/>
  <c r="O77" i="142" s="1"/>
  <c r="J374" i="19"/>
  <c r="J100" i="142" s="1"/>
  <c r="J344" i="19"/>
  <c r="J70" i="142" s="1"/>
  <c r="M324" i="35"/>
  <c r="N324" i="35"/>
  <c r="O324" i="35"/>
  <c r="O315" i="35"/>
  <c r="L317" i="35"/>
  <c r="J1201" i="35"/>
  <c r="J114" i="155" s="1"/>
  <c r="L1179" i="35"/>
  <c r="L91" i="155" s="1"/>
  <c r="K1196" i="35"/>
  <c r="K109" i="155" s="1"/>
  <c r="N1197" i="35"/>
  <c r="N110" i="155" s="1"/>
  <c r="N1202" i="35"/>
  <c r="N115" i="155" s="1"/>
  <c r="L1204" i="35"/>
  <c r="L117" i="155" s="1"/>
  <c r="O1176" i="35"/>
  <c r="O88" i="155" s="1"/>
  <c r="N1172" i="35"/>
  <c r="N84" i="155" s="1"/>
  <c r="M1204" i="35"/>
  <c r="M117" i="155" s="1"/>
  <c r="L1202" i="35"/>
  <c r="L115" i="155" s="1"/>
  <c r="J1174" i="35"/>
  <c r="J86" i="155" s="1"/>
  <c r="J1203" i="35"/>
  <c r="J116" i="155" s="1"/>
  <c r="M1179" i="35"/>
  <c r="M91" i="155" s="1"/>
  <c r="N1176" i="35"/>
  <c r="N88" i="155" s="1"/>
  <c r="J1177" i="35"/>
  <c r="J89" i="155" s="1"/>
  <c r="O336" i="35"/>
  <c r="K329" i="35"/>
  <c r="L329" i="35"/>
  <c r="M329" i="35"/>
  <c r="N329" i="35"/>
  <c r="O329" i="35"/>
  <c r="J330" i="35"/>
  <c r="M373" i="19"/>
  <c r="M99" i="142" s="1"/>
  <c r="M372" i="19"/>
  <c r="M98" i="142" s="1"/>
  <c r="J350" i="19"/>
  <c r="J76" i="142" s="1"/>
  <c r="M347" i="19"/>
  <c r="M73" i="142" s="1"/>
  <c r="J377" i="19"/>
  <c r="J103" i="142" s="1"/>
  <c r="L343" i="19"/>
  <c r="L69" i="142" s="1"/>
  <c r="M375" i="19"/>
  <c r="M101" i="142" s="1"/>
  <c r="L348" i="19"/>
  <c r="L74" i="142" s="1"/>
  <c r="K351" i="19"/>
  <c r="K77" i="142" s="1"/>
  <c r="L369" i="19"/>
  <c r="L95" i="142" s="1"/>
  <c r="M349" i="19"/>
  <c r="M75" i="142" s="1"/>
  <c r="N374" i="19"/>
  <c r="N100" i="142" s="1"/>
  <c r="N347" i="19"/>
  <c r="N73" i="142" s="1"/>
  <c r="N370" i="19"/>
  <c r="N96" i="142" s="1"/>
  <c r="J343" i="19"/>
  <c r="J69" i="142" s="1"/>
  <c r="K315" i="35"/>
  <c r="L315" i="35"/>
  <c r="M315" i="35"/>
  <c r="N315" i="35"/>
  <c r="K317" i="35"/>
  <c r="N318" i="35"/>
  <c r="J1197" i="35"/>
  <c r="J110" i="155" s="1"/>
  <c r="O1177" i="35"/>
  <c r="O89" i="155" s="1"/>
  <c r="L1178" i="35"/>
  <c r="L90" i="155" s="1"/>
  <c r="O1202" i="35"/>
  <c r="O115" i="155" s="1"/>
  <c r="K1204" i="35"/>
  <c r="K117" i="155" s="1"/>
  <c r="K1180" i="35"/>
  <c r="K92" i="155" s="1"/>
  <c r="M1203" i="35"/>
  <c r="M116" i="155" s="1"/>
  <c r="K1201" i="35"/>
  <c r="K114" i="155" s="1"/>
  <c r="L1177" i="35"/>
  <c r="L89" i="155" s="1"/>
  <c r="K1197" i="35"/>
  <c r="K110" i="155" s="1"/>
  <c r="J1204" i="35"/>
  <c r="J117" i="155" s="1"/>
  <c r="M1197" i="35"/>
  <c r="M110" i="155" s="1"/>
  <c r="J1171" i="35"/>
  <c r="J83" i="155" s="1"/>
  <c r="O1198" i="35"/>
  <c r="O111" i="155" s="1"/>
  <c r="L1196" i="35"/>
  <c r="L109" i="155" s="1"/>
  <c r="J329" i="35"/>
  <c r="M330" i="35"/>
  <c r="N330" i="35"/>
  <c r="O330" i="35"/>
  <c r="J331" i="35"/>
  <c r="K331" i="35"/>
  <c r="L331" i="35"/>
  <c r="K344" i="19"/>
  <c r="K70" i="142" s="1"/>
  <c r="N375" i="19"/>
  <c r="N101" i="142" s="1"/>
  <c r="O376" i="19"/>
  <c r="O102" i="142" s="1"/>
  <c r="K370" i="19"/>
  <c r="K96" i="142" s="1"/>
  <c r="K349" i="19"/>
  <c r="K75" i="142" s="1"/>
  <c r="L344" i="19"/>
  <c r="L70" i="142" s="1"/>
  <c r="O371" i="19"/>
  <c r="O97" i="142" s="1"/>
  <c r="N348" i="19"/>
  <c r="N74" i="142" s="1"/>
  <c r="O373" i="19"/>
  <c r="O99" i="142" s="1"/>
  <c r="M351" i="19"/>
  <c r="M77" i="142" s="1"/>
  <c r="M369" i="19"/>
  <c r="M95" i="142" s="1"/>
  <c r="L350" i="19"/>
  <c r="L76" i="142" s="1"/>
  <c r="N343" i="19"/>
  <c r="N69" i="142" s="1"/>
  <c r="L342" i="19"/>
  <c r="L68" i="142" s="1"/>
  <c r="J349" i="19"/>
  <c r="J75" i="142" s="1"/>
  <c r="M316" i="35"/>
  <c r="N316" i="35"/>
  <c r="O316" i="35"/>
  <c r="J317" i="35"/>
  <c r="M318" i="35"/>
  <c r="J320" i="35"/>
  <c r="J1205" i="35"/>
  <c r="J118" i="155" s="1"/>
  <c r="O1201" i="35"/>
  <c r="O114" i="155" s="1"/>
  <c r="O1196" i="35"/>
  <c r="O109" i="155" s="1"/>
  <c r="N1199" i="35"/>
  <c r="N112" i="155" s="1"/>
  <c r="K1203" i="35"/>
  <c r="K116" i="155" s="1"/>
  <c r="O1171" i="35"/>
  <c r="O83" i="155" s="1"/>
  <c r="O1179" i="35"/>
  <c r="O91" i="155" s="1"/>
  <c r="N1177" i="35"/>
  <c r="N89" i="155" s="1"/>
  <c r="K1171" i="35"/>
  <c r="K83" i="155" s="1"/>
  <c r="N1174" i="35"/>
  <c r="N86" i="155" s="1"/>
  <c r="O1204" i="35"/>
  <c r="O117" i="155" s="1"/>
  <c r="O1175" i="35"/>
  <c r="O87" i="155" s="1"/>
  <c r="O1180" i="35"/>
  <c r="O92" i="155" s="1"/>
  <c r="N1171" i="35"/>
  <c r="N83" i="155" s="1"/>
  <c r="M1198" i="35"/>
  <c r="M111" i="155" s="1"/>
  <c r="O328" i="35"/>
  <c r="L330" i="35"/>
  <c r="O331" i="35"/>
  <c r="J332" i="35"/>
  <c r="K332" i="35"/>
  <c r="L332" i="35"/>
  <c r="M332" i="35"/>
  <c r="N332" i="35"/>
  <c r="K377" i="19"/>
  <c r="K103" i="142" s="1"/>
  <c r="O349" i="19"/>
  <c r="O75" i="142" s="1"/>
  <c r="L351" i="19"/>
  <c r="L77" i="142" s="1"/>
  <c r="J372" i="19"/>
  <c r="J98" i="142" s="1"/>
  <c r="K376" i="19"/>
  <c r="K102" i="142" s="1"/>
  <c r="M346" i="19"/>
  <c r="M72" i="142" s="1"/>
  <c r="M343" i="19"/>
  <c r="M69" i="142" s="1"/>
  <c r="L376" i="19"/>
  <c r="L102" i="142" s="1"/>
  <c r="M371" i="19"/>
  <c r="M97" i="142" s="1"/>
  <c r="O368" i="19"/>
  <c r="O94" i="142" s="1"/>
  <c r="N373" i="19"/>
  <c r="N99" i="142" s="1"/>
  <c r="M370" i="19"/>
  <c r="M96" i="142" s="1"/>
  <c r="K371" i="19"/>
  <c r="K97" i="142" s="1"/>
  <c r="M350" i="19"/>
  <c r="M76" i="142" s="1"/>
  <c r="J371" i="19"/>
  <c r="J97" i="142" s="1"/>
  <c r="O317" i="35"/>
  <c r="J318" i="35"/>
  <c r="K318" i="35"/>
  <c r="L318" i="35"/>
  <c r="O319" i="35"/>
  <c r="O20" i="151" s="1"/>
  <c r="L321" i="35"/>
  <c r="L22" i="151" s="1"/>
  <c r="J1172" i="35"/>
  <c r="J84" i="155" s="1"/>
  <c r="O1178" i="35"/>
  <c r="O90" i="155" s="1"/>
  <c r="M1196" i="35"/>
  <c r="M109" i="155" s="1"/>
  <c r="N1196" i="35"/>
  <c r="N109" i="155" s="1"/>
  <c r="J1202" i="35"/>
  <c r="J115" i="155" s="1"/>
  <c r="J1200" i="35"/>
  <c r="J113" i="155" s="1"/>
  <c r="N1180" i="35"/>
  <c r="N92" i="155" s="1"/>
  <c r="M1177" i="35"/>
  <c r="M89" i="155" s="1"/>
  <c r="L1172" i="35"/>
  <c r="L84" i="155" s="1"/>
  <c r="K1199" i="35"/>
  <c r="K112" i="155" s="1"/>
  <c r="N1201" i="35"/>
  <c r="N114" i="155" s="1"/>
  <c r="L1199" i="35"/>
  <c r="L112" i="155" s="1"/>
  <c r="M1173" i="35"/>
  <c r="M85" i="155" s="1"/>
  <c r="O1174" i="35"/>
  <c r="O86" i="155" s="1"/>
  <c r="J1179" i="35"/>
  <c r="J91" i="155" s="1"/>
  <c r="M331" i="35"/>
  <c r="J333" i="35"/>
  <c r="M334" i="35"/>
  <c r="N334" i="35"/>
  <c r="O334" i="35"/>
  <c r="J335" i="35"/>
  <c r="K335" i="35"/>
  <c r="L335" i="35"/>
  <c r="K375" i="19"/>
  <c r="K101" i="142" s="1"/>
  <c r="K342" i="19"/>
  <c r="K68" i="142" s="1"/>
  <c r="K372" i="19"/>
  <c r="K98" i="142" s="1"/>
  <c r="M377" i="19"/>
  <c r="M103" i="142" s="1"/>
  <c r="L347" i="19"/>
  <c r="L73" i="142" s="1"/>
  <c r="K368" i="19"/>
  <c r="K94" i="142" s="1"/>
  <c r="O350" i="19"/>
  <c r="O76" i="142" s="1"/>
  <c r="N346" i="19"/>
  <c r="N72" i="142" s="1"/>
  <c r="L349" i="19"/>
  <c r="L75" i="142" s="1"/>
  <c r="O377" i="19"/>
  <c r="O103" i="142" s="1"/>
  <c r="O343" i="19"/>
  <c r="O69" i="142" s="1"/>
  <c r="M345" i="19"/>
  <c r="M71" i="142" s="1"/>
  <c r="K346" i="19"/>
  <c r="K72" i="142" s="1"/>
  <c r="J373" i="19"/>
  <c r="J99" i="142" s="1"/>
  <c r="J346" i="19"/>
  <c r="J72" i="142" s="1"/>
  <c r="M320" i="35"/>
  <c r="N320" i="35"/>
  <c r="O320" i="35"/>
  <c r="J321" i="35"/>
  <c r="M322" i="35"/>
  <c r="J324" i="35"/>
  <c r="L1174" i="35"/>
  <c r="L86" i="155" s="1"/>
  <c r="K330" i="35"/>
  <c r="O348" i="19"/>
  <c r="O74" i="142" s="1"/>
  <c r="K347" i="19"/>
  <c r="K73" i="142" s="1"/>
  <c r="L319" i="35"/>
  <c r="L20" i="151" s="1"/>
  <c r="K320" i="35"/>
  <c r="L320" i="35"/>
  <c r="J1176" i="35"/>
  <c r="J88" i="155" s="1"/>
  <c r="O1205" i="35"/>
  <c r="O118" i="155" s="1"/>
  <c r="N331" i="35"/>
  <c r="J347" i="19"/>
  <c r="J73" i="142" s="1"/>
  <c r="L370" i="19"/>
  <c r="L96" i="142" s="1"/>
  <c r="M319" i="35"/>
  <c r="M321" i="35"/>
  <c r="M22" i="151" s="1"/>
  <c r="N321" i="35"/>
  <c r="N22" i="151" s="1"/>
  <c r="J368" i="19"/>
  <c r="J94" i="142" s="1"/>
  <c r="M1178" i="35"/>
  <c r="M90" i="155" s="1"/>
  <c r="J1175" i="35"/>
  <c r="J87" i="155" s="1"/>
  <c r="K333" i="35"/>
  <c r="K345" i="19"/>
  <c r="K71" i="142" s="1"/>
  <c r="N369" i="19"/>
  <c r="N95" i="142" s="1"/>
  <c r="N319" i="35"/>
  <c r="O322" i="35"/>
  <c r="J323" i="35"/>
  <c r="O369" i="19"/>
  <c r="O95" i="142" s="1"/>
  <c r="M1172" i="35"/>
  <c r="M84" i="155" s="1"/>
  <c r="L1200" i="35"/>
  <c r="L113" i="155" s="1"/>
  <c r="L333" i="35"/>
  <c r="J351" i="19"/>
  <c r="J77" i="142" s="1"/>
  <c r="N344" i="19"/>
  <c r="N70" i="142" s="1"/>
  <c r="K321" i="35"/>
  <c r="K324" i="35"/>
  <c r="K25" i="151" s="1"/>
  <c r="L324" i="35"/>
  <c r="L25" i="151" s="1"/>
  <c r="O1200" i="35"/>
  <c r="O113" i="155" s="1"/>
  <c r="N317" i="35"/>
  <c r="M1205" i="35"/>
  <c r="M118" i="155" s="1"/>
  <c r="J1173" i="35"/>
  <c r="J85" i="155" s="1"/>
  <c r="M333" i="35"/>
  <c r="L375" i="19"/>
  <c r="L101" i="142" s="1"/>
  <c r="M374" i="19"/>
  <c r="M100" i="142" s="1"/>
  <c r="N322" i="35"/>
  <c r="J315" i="35"/>
  <c r="J16" i="151" s="1"/>
  <c r="L1205" i="35"/>
  <c r="L118" i="155" s="1"/>
  <c r="K1198" i="35"/>
  <c r="K111" i="155" s="1"/>
  <c r="N333" i="35"/>
  <c r="O375" i="19"/>
  <c r="O101" i="142" s="1"/>
  <c r="J375" i="19"/>
  <c r="J101" i="142" s="1"/>
  <c r="K316" i="35"/>
  <c r="L316" i="35"/>
  <c r="O1172" i="35"/>
  <c r="O84" i="155" s="1"/>
  <c r="O333" i="35"/>
  <c r="M317" i="35"/>
  <c r="O1203" i="35"/>
  <c r="O116" i="155" s="1"/>
  <c r="J1178" i="35"/>
  <c r="J90" i="155" s="1"/>
  <c r="J334" i="35"/>
  <c r="N368" i="19"/>
  <c r="N94" i="142" s="1"/>
  <c r="K319" i="35"/>
  <c r="O318" i="35"/>
  <c r="O19" i="151" s="1"/>
  <c r="J319" i="35"/>
  <c r="J20" i="151" s="1"/>
  <c r="N364" i="19"/>
  <c r="N90" i="142" s="1"/>
  <c r="O361" i="19"/>
  <c r="O87" i="142" s="1"/>
  <c r="K355" i="19"/>
  <c r="K81" i="142" s="1"/>
  <c r="N355" i="19"/>
  <c r="N81" i="142" s="1"/>
  <c r="L357" i="19"/>
  <c r="L83" i="142" s="1"/>
  <c r="J362" i="19"/>
  <c r="J88" i="142" s="1"/>
  <c r="K360" i="19"/>
  <c r="K86" i="142" s="1"/>
  <c r="J358" i="19"/>
  <c r="J84" i="142" s="1"/>
  <c r="J1213" i="35"/>
  <c r="J127" i="155" s="1"/>
  <c r="L1208" i="35"/>
  <c r="L122" i="155" s="1"/>
  <c r="N1209" i="35"/>
  <c r="N123" i="155" s="1"/>
  <c r="L1209" i="35"/>
  <c r="L123" i="155" s="1"/>
  <c r="L1215" i="35"/>
  <c r="L129" i="155" s="1"/>
  <c r="K1214" i="35"/>
  <c r="K128" i="155" s="1"/>
  <c r="J1215" i="35"/>
  <c r="J129" i="155" s="1"/>
  <c r="L1211" i="35"/>
  <c r="L125" i="155" s="1"/>
  <c r="M389" i="31"/>
  <c r="M123" i="144" s="1"/>
  <c r="N397" i="31"/>
  <c r="N131" i="144" s="1"/>
  <c r="J388" i="31"/>
  <c r="J122" i="144" s="1"/>
  <c r="N395" i="31"/>
  <c r="N129" i="144" s="1"/>
  <c r="O388" i="31"/>
  <c r="O122" i="144" s="1"/>
  <c r="O390" i="31"/>
  <c r="O124" i="144" s="1"/>
  <c r="N394" i="31"/>
  <c r="N128" i="144" s="1"/>
  <c r="L385" i="19"/>
  <c r="L111" i="142" s="1"/>
  <c r="J388" i="19"/>
  <c r="J114" i="142" s="1"/>
  <c r="N381" i="19"/>
  <c r="N107" i="142" s="1"/>
  <c r="L387" i="19"/>
  <c r="L113" i="142" s="1"/>
  <c r="K386" i="19"/>
  <c r="K112" i="142" s="1"/>
  <c r="J383" i="19"/>
  <c r="J109" i="142" s="1"/>
  <c r="N388" i="19"/>
  <c r="N114" i="142" s="1"/>
  <c r="M385" i="19"/>
  <c r="M111" i="142" s="1"/>
  <c r="O376" i="35"/>
  <c r="O103" i="151" s="1"/>
  <c r="K377" i="35"/>
  <c r="K104" i="151" s="1"/>
  <c r="O369" i="35"/>
  <c r="O96" i="151" s="1"/>
  <c r="J369" i="35"/>
  <c r="J96" i="151" s="1"/>
  <c r="J377" i="35"/>
  <c r="J104" i="151" s="1"/>
  <c r="K375" i="35"/>
  <c r="K102" i="151" s="1"/>
  <c r="O374" i="35"/>
  <c r="O101" i="151" s="1"/>
  <c r="L373" i="35"/>
  <c r="L100" i="151" s="1"/>
  <c r="M381" i="31"/>
  <c r="M114" i="144" s="1"/>
  <c r="K385" i="31"/>
  <c r="K118" i="144" s="1"/>
  <c r="M370" i="31"/>
  <c r="M103" i="144" s="1"/>
  <c r="N360" i="19"/>
  <c r="N86" i="142" s="1"/>
  <c r="J364" i="19"/>
  <c r="J90" i="142" s="1"/>
  <c r="N358" i="19"/>
  <c r="N84" i="142" s="1"/>
  <c r="M355" i="19"/>
  <c r="M81" i="142" s="1"/>
  <c r="M359" i="19"/>
  <c r="M85" i="142" s="1"/>
  <c r="L361" i="19"/>
  <c r="L87" i="142" s="1"/>
  <c r="M364" i="19"/>
  <c r="M90" i="142" s="1"/>
  <c r="M363" i="19"/>
  <c r="M89" i="142" s="1"/>
  <c r="J1209" i="35"/>
  <c r="J123" i="155" s="1"/>
  <c r="O1213" i="35"/>
  <c r="O127" i="155" s="1"/>
  <c r="K1210" i="35"/>
  <c r="K124" i="155" s="1"/>
  <c r="N1210" i="35"/>
  <c r="N124" i="155" s="1"/>
  <c r="K1209" i="35"/>
  <c r="K123" i="155" s="1"/>
  <c r="L1210" i="35"/>
  <c r="L124" i="155" s="1"/>
  <c r="K1212" i="35"/>
  <c r="K126" i="155" s="1"/>
  <c r="K397" i="31"/>
  <c r="K131" i="144" s="1"/>
  <c r="L391" i="31"/>
  <c r="L125" i="144" s="1"/>
  <c r="N390" i="31"/>
  <c r="N124" i="144" s="1"/>
  <c r="L389" i="31"/>
  <c r="L123" i="144" s="1"/>
  <c r="L394" i="31"/>
  <c r="L128" i="144" s="1"/>
  <c r="L397" i="31"/>
  <c r="L131" i="144" s="1"/>
  <c r="N391" i="31"/>
  <c r="N125" i="144" s="1"/>
  <c r="N384" i="19"/>
  <c r="N110" i="142" s="1"/>
  <c r="L384" i="19"/>
  <c r="L110" i="142" s="1"/>
  <c r="L381" i="19"/>
  <c r="L107" i="142" s="1"/>
  <c r="O381" i="19"/>
  <c r="O107" i="142" s="1"/>
  <c r="M389" i="19"/>
  <c r="M115" i="142" s="1"/>
  <c r="M387" i="19"/>
  <c r="M113" i="142" s="1"/>
  <c r="K381" i="19"/>
  <c r="K107" i="142" s="1"/>
  <c r="N385" i="19"/>
  <c r="N111" i="142" s="1"/>
  <c r="M378" i="35"/>
  <c r="M105" i="151" s="1"/>
  <c r="O373" i="35"/>
  <c r="O100" i="151" s="1"/>
  <c r="L376" i="35"/>
  <c r="L103" i="151" s="1"/>
  <c r="O375" i="35"/>
  <c r="O102" i="151" s="1"/>
  <c r="L370" i="35"/>
  <c r="L97" i="151" s="1"/>
  <c r="J370" i="35"/>
  <c r="J97" i="151" s="1"/>
  <c r="J374" i="35"/>
  <c r="J101" i="151" s="1"/>
  <c r="M369" i="35"/>
  <c r="M96" i="151" s="1"/>
  <c r="O379" i="31"/>
  <c r="O112" i="144" s="1"/>
  <c r="K371" i="31"/>
  <c r="K104" i="144" s="1"/>
  <c r="N356" i="19"/>
  <c r="N82" i="142" s="1"/>
  <c r="K363" i="19"/>
  <c r="K89" i="142" s="1"/>
  <c r="M362" i="19"/>
  <c r="M88" i="142" s="1"/>
  <c r="K362" i="19"/>
  <c r="K88" i="142" s="1"/>
  <c r="O356" i="19"/>
  <c r="O82" i="142" s="1"/>
  <c r="N361" i="19"/>
  <c r="N87" i="142" s="1"/>
  <c r="M360" i="19"/>
  <c r="M86" i="142" s="1"/>
  <c r="O359" i="19"/>
  <c r="O85" i="142" s="1"/>
  <c r="J1217" i="35"/>
  <c r="J131" i="155" s="1"/>
  <c r="N1217" i="35"/>
  <c r="N131" i="155" s="1"/>
  <c r="N1214" i="35"/>
  <c r="N128" i="155" s="1"/>
  <c r="J1212" i="35"/>
  <c r="J126" i="155" s="1"/>
  <c r="M1216" i="35"/>
  <c r="M130" i="155" s="1"/>
  <c r="J1216" i="35"/>
  <c r="J130" i="155" s="1"/>
  <c r="L1216" i="35"/>
  <c r="L130" i="155" s="1"/>
  <c r="K396" i="31"/>
  <c r="K130" i="144" s="1"/>
  <c r="J392" i="31"/>
  <c r="J126" i="144" s="1"/>
  <c r="N389" i="31"/>
  <c r="N123" i="144" s="1"/>
  <c r="L388" i="31"/>
  <c r="L122" i="144" s="1"/>
  <c r="N392" i="31"/>
  <c r="N126" i="144" s="1"/>
  <c r="M391" i="31"/>
  <c r="M125" i="144" s="1"/>
  <c r="J395" i="31"/>
  <c r="J129" i="144" s="1"/>
  <c r="O384" i="19"/>
  <c r="O110" i="142" s="1"/>
  <c r="M381" i="19"/>
  <c r="M107" i="142" s="1"/>
  <c r="J385" i="19"/>
  <c r="J111" i="142" s="1"/>
  <c r="N387" i="19"/>
  <c r="N113" i="142" s="1"/>
  <c r="M390" i="19"/>
  <c r="M116" i="142" s="1"/>
  <c r="N383" i="19"/>
  <c r="N109" i="142" s="1"/>
  <c r="O387" i="19"/>
  <c r="O113" i="142" s="1"/>
  <c r="K387" i="19"/>
  <c r="K113" i="142" s="1"/>
  <c r="M371" i="35"/>
  <c r="M98" i="151" s="1"/>
  <c r="N370" i="35"/>
  <c r="N97" i="151" s="1"/>
  <c r="M375" i="35"/>
  <c r="M102" i="151" s="1"/>
  <c r="K371" i="35"/>
  <c r="K98" i="151" s="1"/>
  <c r="L369" i="35"/>
  <c r="L96" i="151" s="1"/>
  <c r="J371" i="35"/>
  <c r="J98" i="151" s="1"/>
  <c r="J375" i="35"/>
  <c r="J102" i="151" s="1"/>
  <c r="N378" i="35"/>
  <c r="N105" i="151" s="1"/>
  <c r="M368" i="31"/>
  <c r="M101" i="144" s="1"/>
  <c r="K380" i="31"/>
  <c r="K113" i="144" s="1"/>
  <c r="O363" i="19"/>
  <c r="O89" i="142" s="1"/>
  <c r="L362" i="19"/>
  <c r="L88" i="142" s="1"/>
  <c r="O358" i="19"/>
  <c r="O84" i="142" s="1"/>
  <c r="M358" i="19"/>
  <c r="M84" i="142" s="1"/>
  <c r="M361" i="19"/>
  <c r="M87" i="142" s="1"/>
  <c r="M357" i="19"/>
  <c r="M83" i="142" s="1"/>
  <c r="L355" i="19"/>
  <c r="L81" i="142" s="1"/>
  <c r="N362" i="19"/>
  <c r="N88" i="142" s="1"/>
  <c r="O1212" i="35"/>
  <c r="O126" i="155" s="1"/>
  <c r="K1208" i="35"/>
  <c r="K122" i="155" s="1"/>
  <c r="M1214" i="35"/>
  <c r="M128" i="155" s="1"/>
  <c r="N1208" i="35"/>
  <c r="N122" i="155" s="1"/>
  <c r="O1217" i="35"/>
  <c r="O131" i="155" s="1"/>
  <c r="O1216" i="35"/>
  <c r="O130" i="155" s="1"/>
  <c r="O1214" i="35"/>
  <c r="O128" i="155" s="1"/>
  <c r="K392" i="31"/>
  <c r="K126" i="144" s="1"/>
  <c r="K393" i="31"/>
  <c r="K127" i="144" s="1"/>
  <c r="L393" i="31"/>
  <c r="L127" i="144" s="1"/>
  <c r="J394" i="31"/>
  <c r="J128" i="144" s="1"/>
  <c r="J397" i="31"/>
  <c r="J131" i="144" s="1"/>
  <c r="J389" i="31"/>
  <c r="J123" i="144" s="1"/>
  <c r="M394" i="31"/>
  <c r="M128" i="144" s="1"/>
  <c r="M392" i="31"/>
  <c r="M126" i="144" s="1"/>
  <c r="J389" i="19"/>
  <c r="J115" i="142" s="1"/>
  <c r="K384" i="19"/>
  <c r="K110" i="142" s="1"/>
  <c r="M382" i="19"/>
  <c r="M108" i="142" s="1"/>
  <c r="L389" i="19"/>
  <c r="L115" i="142" s="1"/>
  <c r="O385" i="19"/>
  <c r="O111" i="142" s="1"/>
  <c r="J387" i="19"/>
  <c r="J113" i="142" s="1"/>
  <c r="K388" i="19"/>
  <c r="K114" i="142" s="1"/>
  <c r="O388" i="19"/>
  <c r="O114" i="142" s="1"/>
  <c r="M377" i="35"/>
  <c r="M104" i="151" s="1"/>
  <c r="J372" i="35"/>
  <c r="J99" i="151" s="1"/>
  <c r="M372" i="35"/>
  <c r="M99" i="151" s="1"/>
  <c r="O370" i="35"/>
  <c r="O97" i="151" s="1"/>
  <c r="K369" i="35"/>
  <c r="K96" i="151" s="1"/>
  <c r="L378" i="35"/>
  <c r="L105" i="151" s="1"/>
  <c r="K378" i="35"/>
  <c r="K105" i="151" s="1"/>
  <c r="L375" i="35"/>
  <c r="L102" i="151" s="1"/>
  <c r="M377" i="31"/>
  <c r="M110" i="144" s="1"/>
  <c r="K381" i="31"/>
  <c r="K114" i="144" s="1"/>
  <c r="K359" i="19"/>
  <c r="K85" i="142" s="1"/>
  <c r="L358" i="19"/>
  <c r="L84" i="142" s="1"/>
  <c r="J363" i="19"/>
  <c r="J89" i="142" s="1"/>
  <c r="J355" i="19"/>
  <c r="J81" i="142" s="1"/>
  <c r="L363" i="19"/>
  <c r="L89" i="142" s="1"/>
  <c r="N363" i="19"/>
  <c r="N89" i="142" s="1"/>
  <c r="O360" i="19"/>
  <c r="O86" i="142" s="1"/>
  <c r="L1213" i="35"/>
  <c r="L127" i="155" s="1"/>
  <c r="O1208" i="35"/>
  <c r="O122" i="155" s="1"/>
  <c r="K1216" i="35"/>
  <c r="K130" i="155" s="1"/>
  <c r="M1212" i="35"/>
  <c r="M126" i="155" s="1"/>
  <c r="M1210" i="35"/>
  <c r="M124" i="155" s="1"/>
  <c r="L1212" i="35"/>
  <c r="L126" i="155" s="1"/>
  <c r="O1215" i="35"/>
  <c r="O129" i="155" s="1"/>
  <c r="O395" i="31"/>
  <c r="O129" i="144" s="1"/>
  <c r="M396" i="31"/>
  <c r="M130" i="144" s="1"/>
  <c r="J396" i="31"/>
  <c r="J130" i="144" s="1"/>
  <c r="N396" i="31"/>
  <c r="N130" i="144" s="1"/>
  <c r="J391" i="31"/>
  <c r="J125" i="144" s="1"/>
  <c r="L392" i="31"/>
  <c r="L126" i="144" s="1"/>
  <c r="O396" i="31"/>
  <c r="O130" i="144" s="1"/>
  <c r="O392" i="31"/>
  <c r="O126" i="144" s="1"/>
  <c r="J390" i="19"/>
  <c r="J116" i="142" s="1"/>
  <c r="M388" i="19"/>
  <c r="M114" i="142" s="1"/>
  <c r="O382" i="19"/>
  <c r="O108" i="142" s="1"/>
  <c r="M383" i="19"/>
  <c r="M109" i="142" s="1"/>
  <c r="N390" i="19"/>
  <c r="N116" i="142" s="1"/>
  <c r="M386" i="19"/>
  <c r="M112" i="142" s="1"/>
  <c r="O389" i="19"/>
  <c r="O115" i="142" s="1"/>
  <c r="L371" i="35"/>
  <c r="L98" i="151" s="1"/>
  <c r="N369" i="35"/>
  <c r="N96" i="151" s="1"/>
  <c r="K372" i="35"/>
  <c r="K99" i="151" s="1"/>
  <c r="N371" i="35"/>
  <c r="N98" i="151" s="1"/>
  <c r="M370" i="35"/>
  <c r="M97" i="151" s="1"/>
  <c r="L372" i="35"/>
  <c r="L99" i="151" s="1"/>
  <c r="J373" i="35"/>
  <c r="J100" i="151" s="1"/>
  <c r="K368" i="31"/>
  <c r="K101" i="144" s="1"/>
  <c r="O370" i="31"/>
  <c r="O103" i="144" s="1"/>
  <c r="K367" i="31"/>
  <c r="K100" i="144" s="1"/>
  <c r="O364" i="19"/>
  <c r="O90" i="142" s="1"/>
  <c r="K356" i="19"/>
  <c r="K82" i="142" s="1"/>
  <c r="L364" i="19"/>
  <c r="L90" i="142" s="1"/>
  <c r="L360" i="19"/>
  <c r="L86" i="142" s="1"/>
  <c r="L359" i="19"/>
  <c r="L85" i="142" s="1"/>
  <c r="K357" i="19"/>
  <c r="K83" i="142" s="1"/>
  <c r="J361" i="19"/>
  <c r="J87" i="142" s="1"/>
  <c r="N1211" i="35"/>
  <c r="N125" i="155" s="1"/>
  <c r="J1210" i="35"/>
  <c r="J124" i="155" s="1"/>
  <c r="M1208" i="35"/>
  <c r="M122" i="155" s="1"/>
  <c r="K1215" i="35"/>
  <c r="K129" i="155" s="1"/>
  <c r="J1211" i="35"/>
  <c r="J125" i="155" s="1"/>
  <c r="O1211" i="35"/>
  <c r="O125" i="155" s="1"/>
  <c r="K1217" i="35"/>
  <c r="K131" i="155" s="1"/>
  <c r="M1217" i="35"/>
  <c r="M131" i="155" s="1"/>
  <c r="M397" i="31"/>
  <c r="M131" i="144" s="1"/>
  <c r="N388" i="31"/>
  <c r="N122" i="144" s="1"/>
  <c r="J393" i="31"/>
  <c r="J127" i="144" s="1"/>
  <c r="O397" i="31"/>
  <c r="O131" i="144" s="1"/>
  <c r="L395" i="31"/>
  <c r="L129" i="144" s="1"/>
  <c r="L396" i="31"/>
  <c r="L130" i="144" s="1"/>
  <c r="N393" i="31"/>
  <c r="N127" i="144" s="1"/>
  <c r="O393" i="31"/>
  <c r="O127" i="144" s="1"/>
  <c r="J381" i="19"/>
  <c r="J107" i="142" s="1"/>
  <c r="L386" i="19"/>
  <c r="L112" i="142" s="1"/>
  <c r="M384" i="19"/>
  <c r="M110" i="142" s="1"/>
  <c r="K385" i="19"/>
  <c r="K111" i="142" s="1"/>
  <c r="K383" i="19"/>
  <c r="K109" i="142" s="1"/>
  <c r="K390" i="19"/>
  <c r="K116" i="142" s="1"/>
  <c r="K389" i="19"/>
  <c r="K115" i="142" s="1"/>
  <c r="O378" i="35"/>
  <c r="O105" i="151" s="1"/>
  <c r="O377" i="35"/>
  <c r="O104" i="151" s="1"/>
  <c r="J378" i="35"/>
  <c r="J105" i="151" s="1"/>
  <c r="N377" i="35"/>
  <c r="N104" i="151" s="1"/>
  <c r="N375" i="35"/>
  <c r="N102" i="151" s="1"/>
  <c r="N372" i="35"/>
  <c r="N99" i="151" s="1"/>
  <c r="M373" i="35"/>
  <c r="M100" i="151" s="1"/>
  <c r="M385" i="31"/>
  <c r="M118" i="144" s="1"/>
  <c r="M364" i="31"/>
  <c r="M97" i="144" s="1"/>
  <c r="K372" i="31"/>
  <c r="K105" i="144" s="1"/>
  <c r="N359" i="19"/>
  <c r="N85" i="142" s="1"/>
  <c r="O362" i="19"/>
  <c r="O88" i="142" s="1"/>
  <c r="J356" i="19"/>
  <c r="J82" i="142" s="1"/>
  <c r="L356" i="19"/>
  <c r="L82" i="142" s="1"/>
  <c r="M356" i="19"/>
  <c r="M82" i="142" s="1"/>
  <c r="J359" i="19"/>
  <c r="J85" i="142" s="1"/>
  <c r="K364" i="19"/>
  <c r="K90" i="142" s="1"/>
  <c r="N1215" i="35"/>
  <c r="N129" i="155" s="1"/>
  <c r="K1213" i="35"/>
  <c r="K127" i="155" s="1"/>
  <c r="N1216" i="35"/>
  <c r="N130" i="155" s="1"/>
  <c r="L1217" i="35"/>
  <c r="L131" i="155" s="1"/>
  <c r="M1215" i="35"/>
  <c r="M129" i="155" s="1"/>
  <c r="K1211" i="35"/>
  <c r="K125" i="155" s="1"/>
  <c r="N1213" i="35"/>
  <c r="N127" i="155" s="1"/>
  <c r="M1209" i="35"/>
  <c r="M123" i="155" s="1"/>
  <c r="O391" i="31"/>
  <c r="O125" i="144" s="1"/>
  <c r="K389" i="31"/>
  <c r="K123" i="144" s="1"/>
  <c r="K394" i="31"/>
  <c r="K128" i="144" s="1"/>
  <c r="O394" i="31"/>
  <c r="O128" i="144" s="1"/>
  <c r="L390" i="31"/>
  <c r="L124" i="144" s="1"/>
  <c r="K391" i="31"/>
  <c r="K125" i="144" s="1"/>
  <c r="K395" i="31"/>
  <c r="K129" i="144" s="1"/>
  <c r="O389" i="31"/>
  <c r="O123" i="144" s="1"/>
  <c r="L390" i="19"/>
  <c r="L116" i="142" s="1"/>
  <c r="L382" i="19"/>
  <c r="L108" i="142" s="1"/>
  <c r="O383" i="19"/>
  <c r="O109" i="142" s="1"/>
  <c r="O390" i="19"/>
  <c r="O116" i="142" s="1"/>
  <c r="N386" i="19"/>
  <c r="N112" i="142" s="1"/>
  <c r="J386" i="19"/>
  <c r="J112" i="142" s="1"/>
  <c r="J382" i="19"/>
  <c r="J108" i="142" s="1"/>
  <c r="L377" i="35"/>
  <c r="L104" i="151" s="1"/>
  <c r="K374" i="35"/>
  <c r="K101" i="151" s="1"/>
  <c r="O371" i="35"/>
  <c r="O98" i="151" s="1"/>
  <c r="K370" i="35"/>
  <c r="K97" i="151" s="1"/>
  <c r="K376" i="35"/>
  <c r="K103" i="151" s="1"/>
  <c r="N373" i="35"/>
  <c r="N100" i="151" s="1"/>
  <c r="L374" i="35"/>
  <c r="L101" i="151" s="1"/>
  <c r="O383" i="31"/>
  <c r="O116" i="144" s="1"/>
  <c r="O366" i="31"/>
  <c r="O99" i="144" s="1"/>
  <c r="J380" i="31"/>
  <c r="J113" i="144" s="1"/>
  <c r="K361" i="19"/>
  <c r="K87" i="142" s="1"/>
  <c r="L1214" i="35"/>
  <c r="L128" i="155" s="1"/>
  <c r="M393" i="31"/>
  <c r="M127" i="144" s="1"/>
  <c r="N376" i="35"/>
  <c r="N103" i="151" s="1"/>
  <c r="J384" i="31"/>
  <c r="J117" i="144" s="1"/>
  <c r="N378" i="31"/>
  <c r="N111" i="144" s="1"/>
  <c r="O369" i="31"/>
  <c r="O102" i="144" s="1"/>
  <c r="J385" i="31"/>
  <c r="J118" i="144" s="1"/>
  <c r="L378" i="31"/>
  <c r="L111" i="144" s="1"/>
  <c r="N365" i="31"/>
  <c r="N98" i="144" s="1"/>
  <c r="J365" i="31"/>
  <c r="J98" i="144" s="1"/>
  <c r="M369" i="31"/>
  <c r="M102" i="144" s="1"/>
  <c r="L385" i="31"/>
  <c r="L118" i="144" s="1"/>
  <c r="J382" i="31"/>
  <c r="J115" i="144" s="1"/>
  <c r="L376" i="31"/>
  <c r="L109" i="144" s="1"/>
  <c r="O376" i="31"/>
  <c r="O109" i="144" s="1"/>
  <c r="J1188" i="35"/>
  <c r="J101" i="155" s="1"/>
  <c r="J1183" i="35"/>
  <c r="J96" i="155" s="1"/>
  <c r="L1190" i="35"/>
  <c r="L103" i="155" s="1"/>
  <c r="K1186" i="35"/>
  <c r="K99" i="155" s="1"/>
  <c r="N1189" i="35"/>
  <c r="N102" i="155" s="1"/>
  <c r="N1185" i="35"/>
  <c r="N98" i="155" s="1"/>
  <c r="J1191" i="35"/>
  <c r="J104" i="155" s="1"/>
  <c r="L381" i="31"/>
  <c r="L114" i="144" s="1"/>
  <c r="N371" i="31"/>
  <c r="N104" i="144" s="1"/>
  <c r="M1190" i="35"/>
  <c r="M103" i="155" s="1"/>
  <c r="N369" i="31"/>
  <c r="N102" i="144" s="1"/>
  <c r="M380" i="31"/>
  <c r="M113" i="144" s="1"/>
  <c r="O371" i="31"/>
  <c r="O104" i="144" s="1"/>
  <c r="L1184" i="35"/>
  <c r="L97" i="155" s="1"/>
  <c r="N357" i="19"/>
  <c r="N83" i="142" s="1"/>
  <c r="N1212" i="35"/>
  <c r="N126" i="155" s="1"/>
  <c r="M390" i="31"/>
  <c r="M124" i="144" s="1"/>
  <c r="L388" i="19"/>
  <c r="L114" i="142" s="1"/>
  <c r="M376" i="35"/>
  <c r="M103" i="151" s="1"/>
  <c r="J370" i="31"/>
  <c r="J103" i="144" s="1"/>
  <c r="O381" i="31"/>
  <c r="O114" i="144" s="1"/>
  <c r="O377" i="31"/>
  <c r="O110" i="144" s="1"/>
  <c r="L383" i="31"/>
  <c r="L116" i="144" s="1"/>
  <c r="K376" i="31"/>
  <c r="K109" i="144" s="1"/>
  <c r="N364" i="31"/>
  <c r="N97" i="144" s="1"/>
  <c r="N385" i="31"/>
  <c r="N118" i="144" s="1"/>
  <c r="J366" i="31"/>
  <c r="J99" i="144" s="1"/>
  <c r="L369" i="31"/>
  <c r="L102" i="144" s="1"/>
  <c r="J364" i="31"/>
  <c r="J97" i="144" s="1"/>
  <c r="J379" i="31"/>
  <c r="J112" i="144" s="1"/>
  <c r="K377" i="31"/>
  <c r="K110" i="144" s="1"/>
  <c r="J1184" i="35"/>
  <c r="J97" i="155" s="1"/>
  <c r="K1187" i="35"/>
  <c r="K100" i="155" s="1"/>
  <c r="M1184" i="35"/>
  <c r="M97" i="155" s="1"/>
  <c r="K1189" i="35"/>
  <c r="K102" i="155" s="1"/>
  <c r="L1186" i="35"/>
  <c r="L99" i="155" s="1"/>
  <c r="M1185" i="35"/>
  <c r="M98" i="155" s="1"/>
  <c r="N1192" i="35"/>
  <c r="N105" i="155" s="1"/>
  <c r="K388" i="31"/>
  <c r="K122" i="144" s="1"/>
  <c r="N381" i="31"/>
  <c r="N114" i="144" s="1"/>
  <c r="O378" i="31"/>
  <c r="O111" i="144" s="1"/>
  <c r="O1184" i="35"/>
  <c r="O97" i="155" s="1"/>
  <c r="M395" i="31"/>
  <c r="M129" i="144" s="1"/>
  <c r="M374" i="35"/>
  <c r="M101" i="151" s="1"/>
  <c r="N383" i="31"/>
  <c r="N116" i="144" s="1"/>
  <c r="M376" i="31"/>
  <c r="M109" i="144" s="1"/>
  <c r="J1190" i="35"/>
  <c r="J103" i="155" s="1"/>
  <c r="K358" i="19"/>
  <c r="K84" i="142" s="1"/>
  <c r="M1211" i="35"/>
  <c r="M125" i="155" s="1"/>
  <c r="K390" i="31"/>
  <c r="K124" i="144" s="1"/>
  <c r="L383" i="19"/>
  <c r="L109" i="142" s="1"/>
  <c r="M372" i="31"/>
  <c r="M105" i="144" s="1"/>
  <c r="J381" i="31"/>
  <c r="J114" i="144" s="1"/>
  <c r="K382" i="31"/>
  <c r="K115" i="144" s="1"/>
  <c r="K378" i="31"/>
  <c r="K111" i="144" s="1"/>
  <c r="N382" i="31"/>
  <c r="N115" i="144" s="1"/>
  <c r="J371" i="31"/>
  <c r="J104" i="144" s="1"/>
  <c r="J369" i="31"/>
  <c r="J102" i="144" s="1"/>
  <c r="L379" i="31"/>
  <c r="L112" i="144" s="1"/>
  <c r="L370" i="31"/>
  <c r="L103" i="144" s="1"/>
  <c r="J376" i="31"/>
  <c r="J109" i="144" s="1"/>
  <c r="L367" i="31"/>
  <c r="L100" i="144" s="1"/>
  <c r="L372" i="31"/>
  <c r="L105" i="144" s="1"/>
  <c r="L384" i="31"/>
  <c r="L117" i="144" s="1"/>
  <c r="N1183" i="35"/>
  <c r="N96" i="155" s="1"/>
  <c r="M1187" i="35"/>
  <c r="M100" i="155" s="1"/>
  <c r="O1185" i="35"/>
  <c r="O98" i="155" s="1"/>
  <c r="O1191" i="35"/>
  <c r="O104" i="155" s="1"/>
  <c r="M1189" i="35"/>
  <c r="M102" i="155" s="1"/>
  <c r="J1187" i="35"/>
  <c r="J100" i="155" s="1"/>
  <c r="K1192" i="35"/>
  <c r="K105" i="155" s="1"/>
  <c r="N374" i="35"/>
  <c r="N101" i="151" s="1"/>
  <c r="K383" i="31"/>
  <c r="K116" i="144" s="1"/>
  <c r="N379" i="31"/>
  <c r="N112" i="144" s="1"/>
  <c r="K1183" i="35"/>
  <c r="K96" i="155" s="1"/>
  <c r="N389" i="19"/>
  <c r="N115" i="142" s="1"/>
  <c r="O372" i="31"/>
  <c r="O105" i="144" s="1"/>
  <c r="N1190" i="35"/>
  <c r="N103" i="155" s="1"/>
  <c r="M1186" i="35"/>
  <c r="M99" i="155" s="1"/>
  <c r="O355" i="19"/>
  <c r="O81" i="142" s="1"/>
  <c r="J1214" i="35"/>
  <c r="J128" i="155" s="1"/>
  <c r="J390" i="31"/>
  <c r="J124" i="144" s="1"/>
  <c r="J384" i="19"/>
  <c r="J110" i="142" s="1"/>
  <c r="O372" i="35"/>
  <c r="O99" i="151" s="1"/>
  <c r="K384" i="31"/>
  <c r="K117" i="144" s="1"/>
  <c r="O382" i="31"/>
  <c r="O115" i="144" s="1"/>
  <c r="M371" i="31"/>
  <c r="M104" i="144" s="1"/>
  <c r="M365" i="31"/>
  <c r="M98" i="144" s="1"/>
  <c r="N380" i="31"/>
  <c r="N113" i="144" s="1"/>
  <c r="J383" i="31"/>
  <c r="J116" i="144" s="1"/>
  <c r="J377" i="31"/>
  <c r="J110" i="144" s="1"/>
  <c r="N370" i="31"/>
  <c r="N103" i="144" s="1"/>
  <c r="L365" i="31"/>
  <c r="L98" i="144" s="1"/>
  <c r="M382" i="31"/>
  <c r="M115" i="144" s="1"/>
  <c r="N384" i="31"/>
  <c r="N117" i="144" s="1"/>
  <c r="O368" i="31"/>
  <c r="O101" i="144" s="1"/>
  <c r="O364" i="31"/>
  <c r="O97" i="144" s="1"/>
  <c r="O1186" i="35"/>
  <c r="O99" i="155" s="1"/>
  <c r="J1186" i="35"/>
  <c r="J99" i="155" s="1"/>
  <c r="L1188" i="35"/>
  <c r="L101" i="155" s="1"/>
  <c r="L1187" i="35"/>
  <c r="L100" i="155" s="1"/>
  <c r="K1191" i="35"/>
  <c r="K104" i="155" s="1"/>
  <c r="L1191" i="35"/>
  <c r="L104" i="155" s="1"/>
  <c r="O1183" i="35"/>
  <c r="O96" i="155" s="1"/>
  <c r="J357" i="19"/>
  <c r="J83" i="142" s="1"/>
  <c r="L382" i="31"/>
  <c r="L115" i="144" s="1"/>
  <c r="L371" i="31"/>
  <c r="L104" i="144" s="1"/>
  <c r="J1189" i="35"/>
  <c r="J102" i="155" s="1"/>
  <c r="M1188" i="35"/>
  <c r="M101" i="155" s="1"/>
  <c r="O1209" i="35"/>
  <c r="O123" i="155" s="1"/>
  <c r="N363" i="31"/>
  <c r="N96" i="144" s="1"/>
  <c r="J372" i="31"/>
  <c r="J105" i="144" s="1"/>
  <c r="O1190" i="35"/>
  <c r="O103" i="155" s="1"/>
  <c r="O357" i="19"/>
  <c r="O83" i="142" s="1"/>
  <c r="J1208" i="35"/>
  <c r="J122" i="155" s="1"/>
  <c r="M388" i="31"/>
  <c r="M122" i="144" s="1"/>
  <c r="O386" i="19"/>
  <c r="O112" i="142" s="1"/>
  <c r="J376" i="35"/>
  <c r="J103" i="151" s="1"/>
  <c r="K370" i="31"/>
  <c r="K103" i="144" s="1"/>
  <c r="M379" i="31"/>
  <c r="M112" i="144" s="1"/>
  <c r="O384" i="31"/>
  <c r="O117" i="144" s="1"/>
  <c r="N372" i="31"/>
  <c r="N105" i="144" s="1"/>
  <c r="J367" i="31"/>
  <c r="J100" i="144" s="1"/>
  <c r="J368" i="31"/>
  <c r="J101" i="144" s="1"/>
  <c r="M384" i="31"/>
  <c r="M117" i="144" s="1"/>
  <c r="L364" i="31"/>
  <c r="L97" i="144" s="1"/>
  <c r="K363" i="31"/>
  <c r="K96" i="144" s="1"/>
  <c r="N367" i="31"/>
  <c r="N100" i="144" s="1"/>
  <c r="O385" i="31"/>
  <c r="O118" i="144" s="1"/>
  <c r="K369" i="31"/>
  <c r="K102" i="144" s="1"/>
  <c r="K365" i="31"/>
  <c r="K98" i="144" s="1"/>
  <c r="J1192" i="35"/>
  <c r="J105" i="155" s="1"/>
  <c r="K1190" i="35"/>
  <c r="K103" i="155" s="1"/>
  <c r="O1189" i="35"/>
  <c r="O102" i="155" s="1"/>
  <c r="K1188" i="35"/>
  <c r="K101" i="155" s="1"/>
  <c r="N1188" i="35"/>
  <c r="N101" i="155" s="1"/>
  <c r="L1192" i="35"/>
  <c r="L105" i="155" s="1"/>
  <c r="K1184" i="35"/>
  <c r="K97" i="155" s="1"/>
  <c r="M1183" i="35"/>
  <c r="M96" i="155" s="1"/>
  <c r="M1213" i="35"/>
  <c r="M127" i="155" s="1"/>
  <c r="M367" i="31"/>
  <c r="M100" i="144" s="1"/>
  <c r="L363" i="31"/>
  <c r="L96" i="144" s="1"/>
  <c r="M378" i="31"/>
  <c r="M111" i="144" s="1"/>
  <c r="M1191" i="35"/>
  <c r="M104" i="155" s="1"/>
  <c r="J360" i="19"/>
  <c r="J86" i="142" s="1"/>
  <c r="M383" i="31"/>
  <c r="M116" i="144" s="1"/>
  <c r="J378" i="31"/>
  <c r="J111" i="144" s="1"/>
  <c r="O1187" i="35"/>
  <c r="O100" i="155" s="1"/>
  <c r="L1185" i="35"/>
  <c r="L98" i="155" s="1"/>
  <c r="O1210" i="35"/>
  <c r="O124" i="155" s="1"/>
  <c r="K382" i="19"/>
  <c r="K108" i="142" s="1"/>
  <c r="K373" i="35"/>
  <c r="K100" i="151" s="1"/>
  <c r="N366" i="31"/>
  <c r="N99" i="144" s="1"/>
  <c r="M366" i="31"/>
  <c r="M99" i="144" s="1"/>
  <c r="K364" i="31"/>
  <c r="K97" i="144" s="1"/>
  <c r="L377" i="31"/>
  <c r="L110" i="144" s="1"/>
  <c r="L368" i="31"/>
  <c r="L101" i="144" s="1"/>
  <c r="O380" i="31"/>
  <c r="O113" i="144" s="1"/>
  <c r="N376" i="31"/>
  <c r="N109" i="144" s="1"/>
  <c r="O365" i="31"/>
  <c r="O98" i="144" s="1"/>
  <c r="O363" i="31"/>
  <c r="O96" i="144" s="1"/>
  <c r="N377" i="31"/>
  <c r="N110" i="144" s="1"/>
  <c r="K366" i="31"/>
  <c r="K99" i="144" s="1"/>
  <c r="N368" i="31"/>
  <c r="N101" i="144" s="1"/>
  <c r="K379" i="31"/>
  <c r="K112" i="144" s="1"/>
  <c r="L1189" i="35"/>
  <c r="L102" i="155" s="1"/>
  <c r="J1185" i="35"/>
  <c r="J98" i="155" s="1"/>
  <c r="M1192" i="35"/>
  <c r="M105" i="155" s="1"/>
  <c r="N1187" i="35"/>
  <c r="N100" i="155" s="1"/>
  <c r="L1183" i="35"/>
  <c r="L96" i="155" s="1"/>
  <c r="K1185" i="35"/>
  <c r="K98" i="155" s="1"/>
  <c r="O1188" i="35"/>
  <c r="O101" i="155" s="1"/>
  <c r="N1184" i="35"/>
  <c r="N97" i="155" s="1"/>
  <c r="N382" i="19"/>
  <c r="N108" i="142" s="1"/>
  <c r="L366" i="31"/>
  <c r="L99" i="144" s="1"/>
  <c r="L380" i="31"/>
  <c r="L113" i="144" s="1"/>
  <c r="N1186" i="35"/>
  <c r="N99" i="155" s="1"/>
  <c r="N1191" i="35"/>
  <c r="N104" i="155" s="1"/>
  <c r="O367" i="31"/>
  <c r="O100" i="144" s="1"/>
  <c r="M363" i="31"/>
  <c r="M96" i="144" s="1"/>
  <c r="J363" i="31"/>
  <c r="J96" i="144" s="1"/>
  <c r="O1192" i="35"/>
  <c r="O105" i="155" s="1"/>
  <c r="N403" i="35"/>
  <c r="N131" i="151" s="1"/>
  <c r="K396" i="35"/>
  <c r="K124" i="151" s="1"/>
  <c r="M402" i="35"/>
  <c r="M130" i="151" s="1"/>
  <c r="K400" i="35"/>
  <c r="K128" i="151" s="1"/>
  <c r="N398" i="35"/>
  <c r="N126" i="151" s="1"/>
  <c r="O396" i="35"/>
  <c r="O124" i="151" s="1"/>
  <c r="N396" i="35"/>
  <c r="N124" i="151" s="1"/>
  <c r="O398" i="35"/>
  <c r="O126" i="151" s="1"/>
  <c r="L399" i="35"/>
  <c r="L127" i="151" s="1"/>
  <c r="M397" i="35"/>
  <c r="M125" i="151" s="1"/>
  <c r="O395" i="35"/>
  <c r="O123" i="151" s="1"/>
  <c r="O401" i="35"/>
  <c r="O129" i="151" s="1"/>
  <c r="J397" i="35"/>
  <c r="J125" i="151" s="1"/>
  <c r="N400" i="35"/>
  <c r="N128" i="151" s="1"/>
  <c r="N399" i="35"/>
  <c r="N127" i="151" s="1"/>
  <c r="M398" i="35"/>
  <c r="M126" i="151" s="1"/>
  <c r="O402" i="35"/>
  <c r="O130" i="151" s="1"/>
  <c r="O403" i="35"/>
  <c r="O131" i="151" s="1"/>
  <c r="L397" i="35"/>
  <c r="L125" i="151" s="1"/>
  <c r="K397" i="35"/>
  <c r="K125" i="151" s="1"/>
  <c r="K403" i="35"/>
  <c r="K131" i="151" s="1"/>
  <c r="M403" i="35"/>
  <c r="M131" i="151" s="1"/>
  <c r="J395" i="35"/>
  <c r="J123" i="151" s="1"/>
  <c r="N394" i="35"/>
  <c r="N122" i="151" s="1"/>
  <c r="J394" i="35"/>
  <c r="J122" i="151" s="1"/>
  <c r="K395" i="35"/>
  <c r="K123" i="151" s="1"/>
  <c r="L403" i="35"/>
  <c r="L131" i="151" s="1"/>
  <c r="J401" i="35"/>
  <c r="J129" i="151" s="1"/>
  <c r="M400" i="35"/>
  <c r="M128" i="151" s="1"/>
  <c r="N401" i="35"/>
  <c r="N129" i="151" s="1"/>
  <c r="J403" i="35"/>
  <c r="J131" i="151" s="1"/>
  <c r="J398" i="35"/>
  <c r="J126" i="151" s="1"/>
  <c r="M396" i="35"/>
  <c r="M124" i="151" s="1"/>
  <c r="J396" i="35"/>
  <c r="J124" i="151" s="1"/>
  <c r="L396" i="35"/>
  <c r="L124" i="151" s="1"/>
  <c r="O400" i="35"/>
  <c r="O128" i="151" s="1"/>
  <c r="M401" i="35"/>
  <c r="M129" i="151" s="1"/>
  <c r="K394" i="35"/>
  <c r="K122" i="151" s="1"/>
  <c r="L402" i="35"/>
  <c r="L130" i="151" s="1"/>
  <c r="L395" i="35"/>
  <c r="L123" i="151" s="1"/>
  <c r="J399" i="35"/>
  <c r="J127" i="151" s="1"/>
  <c r="O397" i="35"/>
  <c r="O125" i="151" s="1"/>
  <c r="N402" i="35"/>
  <c r="N130" i="151" s="1"/>
  <c r="K401" i="35"/>
  <c r="K129" i="151" s="1"/>
  <c r="K399" i="35"/>
  <c r="K127" i="151" s="1"/>
  <c r="L400" i="35"/>
  <c r="L128" i="151" s="1"/>
  <c r="M394" i="35"/>
  <c r="M122" i="151" s="1"/>
  <c r="M399" i="35"/>
  <c r="M127" i="151" s="1"/>
  <c r="L398" i="35"/>
  <c r="L126" i="151" s="1"/>
  <c r="O394" i="35"/>
  <c r="O122" i="151" s="1"/>
  <c r="M395" i="35"/>
  <c r="M123" i="151" s="1"/>
  <c r="N395" i="35"/>
  <c r="N123" i="151" s="1"/>
  <c r="N397" i="35"/>
  <c r="N125" i="151" s="1"/>
  <c r="O399" i="35"/>
  <c r="O127" i="151" s="1"/>
  <c r="J400" i="35"/>
  <c r="J128" i="151" s="1"/>
  <c r="K398" i="35"/>
  <c r="K126" i="151" s="1"/>
  <c r="J402" i="35"/>
  <c r="J130" i="151" s="1"/>
  <c r="L401" i="35"/>
  <c r="L129" i="151" s="1"/>
  <c r="K402" i="35"/>
  <c r="K130" i="151" s="1"/>
  <c r="L394" i="35"/>
  <c r="L122" i="151" s="1"/>
  <c r="J1118" i="35"/>
  <c r="J31" i="155" s="1"/>
  <c r="K1122" i="35"/>
  <c r="K35" i="155" s="1"/>
  <c r="L1124" i="35"/>
  <c r="L37" i="155" s="1"/>
  <c r="M1123" i="35"/>
  <c r="M36" i="155" s="1"/>
  <c r="M1116" i="35"/>
  <c r="M29" i="155" s="1"/>
  <c r="M55" i="155" s="1"/>
  <c r="N1119" i="35"/>
  <c r="N32" i="155" s="1"/>
  <c r="O1122" i="35"/>
  <c r="O35" i="155" s="1"/>
  <c r="J1142" i="35"/>
  <c r="K1142" i="35"/>
  <c r="L1142" i="35"/>
  <c r="M1142" i="35"/>
  <c r="N1142" i="35"/>
  <c r="K1144" i="35"/>
  <c r="O1145" i="35"/>
  <c r="J1147" i="35"/>
  <c r="J309" i="35"/>
  <c r="J36" i="151" s="1"/>
  <c r="K310" i="35"/>
  <c r="K37" i="151" s="1"/>
  <c r="K307" i="35"/>
  <c r="K34" i="151" s="1"/>
  <c r="L306" i="35"/>
  <c r="L33" i="151" s="1"/>
  <c r="J1125" i="35"/>
  <c r="J38" i="155" s="1"/>
  <c r="J1124" i="35"/>
  <c r="J37" i="155" s="1"/>
  <c r="K1120" i="35"/>
  <c r="K33" i="155" s="1"/>
  <c r="L1123" i="35"/>
  <c r="L36" i="155" s="1"/>
  <c r="M1117" i="35"/>
  <c r="M30" i="155" s="1"/>
  <c r="N1123" i="35"/>
  <c r="N36" i="155" s="1"/>
  <c r="N1117" i="35"/>
  <c r="N30" i="155" s="1"/>
  <c r="O1118" i="35"/>
  <c r="O31" i="155" s="1"/>
  <c r="L1143" i="35"/>
  <c r="M1143" i="35"/>
  <c r="N1143" i="35"/>
  <c r="O1143" i="35"/>
  <c r="J1144" i="35"/>
  <c r="M1145" i="35"/>
  <c r="K1147" i="35"/>
  <c r="L1148" i="35"/>
  <c r="J310" i="35"/>
  <c r="J37" i="151" s="1"/>
  <c r="K304" i="35"/>
  <c r="K31" i="151" s="1"/>
  <c r="J1123" i="35"/>
  <c r="J36" i="155" s="1"/>
  <c r="J1116" i="35"/>
  <c r="J29" i="155" s="1"/>
  <c r="K1118" i="35"/>
  <c r="K31" i="155" s="1"/>
  <c r="L1118" i="35"/>
  <c r="L31" i="155" s="1"/>
  <c r="M1122" i="35"/>
  <c r="M35" i="155" s="1"/>
  <c r="N1125" i="35"/>
  <c r="N38" i="155" s="1"/>
  <c r="N1116" i="35"/>
  <c r="N29" i="155" s="1"/>
  <c r="O1121" i="35"/>
  <c r="O34" i="155" s="1"/>
  <c r="N1144" i="35"/>
  <c r="O1144" i="35"/>
  <c r="J1145" i="35"/>
  <c r="K1145" i="35"/>
  <c r="L1145" i="35"/>
  <c r="O1146" i="35"/>
  <c r="M1148" i="35"/>
  <c r="N1149" i="35"/>
  <c r="J307" i="35"/>
  <c r="J34" i="151" s="1"/>
  <c r="K309" i="35"/>
  <c r="K36" i="151" s="1"/>
  <c r="L302" i="35"/>
  <c r="L29" i="151" s="1"/>
  <c r="L55" i="151" s="1"/>
  <c r="J1122" i="35"/>
  <c r="J35" i="155" s="1"/>
  <c r="K1117" i="35"/>
  <c r="K30" i="155" s="1"/>
  <c r="K1119" i="35"/>
  <c r="K32" i="155" s="1"/>
  <c r="L1119" i="35"/>
  <c r="L32" i="155" s="1"/>
  <c r="M1120" i="35"/>
  <c r="M33" i="155" s="1"/>
  <c r="N1122" i="35"/>
  <c r="N35" i="155" s="1"/>
  <c r="O1123" i="35"/>
  <c r="O36" i="155" s="1"/>
  <c r="O1120" i="35"/>
  <c r="O33" i="155" s="1"/>
  <c r="J1146" i="35"/>
  <c r="K1146" i="35"/>
  <c r="L1146" i="35"/>
  <c r="M1146" i="35"/>
  <c r="N1146" i="35"/>
  <c r="K1148" i="35"/>
  <c r="O1149" i="35"/>
  <c r="J1151" i="35"/>
  <c r="J306" i="35"/>
  <c r="J33" i="151" s="1"/>
  <c r="K306" i="35"/>
  <c r="K33" i="151" s="1"/>
  <c r="L305" i="35"/>
  <c r="L32" i="151" s="1"/>
  <c r="J1119" i="35"/>
  <c r="J32" i="155" s="1"/>
  <c r="K1123" i="35"/>
  <c r="K36" i="155" s="1"/>
  <c r="K1121" i="35"/>
  <c r="K34" i="155" s="1"/>
  <c r="L1122" i="35"/>
  <c r="L35" i="155" s="1"/>
  <c r="M1121" i="35"/>
  <c r="M34" i="155" s="1"/>
  <c r="N1121" i="35"/>
  <c r="N34" i="155" s="1"/>
  <c r="J1120" i="35"/>
  <c r="J33" i="155" s="1"/>
  <c r="K1124" i="35"/>
  <c r="K37" i="155" s="1"/>
  <c r="K1116" i="35"/>
  <c r="K29" i="155" s="1"/>
  <c r="L1120" i="35"/>
  <c r="L33" i="155" s="1"/>
  <c r="M1119" i="35"/>
  <c r="M32" i="155" s="1"/>
  <c r="N1124" i="35"/>
  <c r="N37" i="155" s="1"/>
  <c r="O1119" i="35"/>
  <c r="O32" i="155" s="1"/>
  <c r="N1148" i="35"/>
  <c r="O1148" i="35"/>
  <c r="J1149" i="35"/>
  <c r="K1149" i="35"/>
  <c r="L1149" i="35"/>
  <c r="O1150" i="35"/>
  <c r="J1143" i="35"/>
  <c r="J311" i="35"/>
  <c r="J38" i="151" s="1"/>
  <c r="J302" i="35"/>
  <c r="J29" i="151" s="1"/>
  <c r="J55" i="151" s="1"/>
  <c r="K308" i="35"/>
  <c r="K35" i="151" s="1"/>
  <c r="K61" i="151" s="1"/>
  <c r="J1117" i="35"/>
  <c r="J30" i="155" s="1"/>
  <c r="L1117" i="35"/>
  <c r="L30" i="155" s="1"/>
  <c r="L1125" i="35"/>
  <c r="L38" i="155" s="1"/>
  <c r="M1125" i="35"/>
  <c r="M38" i="155" s="1"/>
  <c r="M1124" i="35"/>
  <c r="M37" i="155" s="1"/>
  <c r="N1120" i="35"/>
  <c r="N33" i="155" s="1"/>
  <c r="O1117" i="35"/>
  <c r="O30" i="155" s="1"/>
  <c r="L1151" i="35"/>
  <c r="M1151" i="35"/>
  <c r="N1151" i="35"/>
  <c r="O1151" i="35"/>
  <c r="O1142" i="35"/>
  <c r="M1144" i="35"/>
  <c r="N1145" i="35"/>
  <c r="J303" i="35"/>
  <c r="J30" i="151" s="1"/>
  <c r="J56" i="151" s="1"/>
  <c r="K302" i="35"/>
  <c r="K29" i="151" s="1"/>
  <c r="K311" i="35"/>
  <c r="K38" i="151" s="1"/>
  <c r="L307" i="35"/>
  <c r="L34" i="151" s="1"/>
  <c r="O1124" i="35"/>
  <c r="O37" i="155" s="1"/>
  <c r="L1150" i="35"/>
  <c r="L1144" i="35"/>
  <c r="M309" i="35"/>
  <c r="M36" i="151" s="1"/>
  <c r="J1121" i="35"/>
  <c r="J34" i="155" s="1"/>
  <c r="O1116" i="35"/>
  <c r="O29" i="155" s="1"/>
  <c r="O1147" i="35"/>
  <c r="L309" i="35"/>
  <c r="L36" i="151" s="1"/>
  <c r="M311" i="35"/>
  <c r="M38" i="151" s="1"/>
  <c r="M64" i="151" s="1"/>
  <c r="N303" i="35"/>
  <c r="N30" i="151" s="1"/>
  <c r="N311" i="35"/>
  <c r="N38" i="151" s="1"/>
  <c r="O306" i="35"/>
  <c r="O33" i="151" s="1"/>
  <c r="K1125" i="35"/>
  <c r="K38" i="155" s="1"/>
  <c r="M1150" i="35"/>
  <c r="L308" i="35"/>
  <c r="L35" i="151" s="1"/>
  <c r="N310" i="35"/>
  <c r="N37" i="151" s="1"/>
  <c r="L1121" i="35"/>
  <c r="L34" i="155" s="1"/>
  <c r="L1147" i="35"/>
  <c r="J1148" i="35"/>
  <c r="L311" i="35"/>
  <c r="L38" i="151" s="1"/>
  <c r="M305" i="35"/>
  <c r="M32" i="151" s="1"/>
  <c r="N309" i="35"/>
  <c r="N36" i="151" s="1"/>
  <c r="O302" i="35"/>
  <c r="O29" i="151" s="1"/>
  <c r="O308" i="35"/>
  <c r="O35" i="151" s="1"/>
  <c r="L1116" i="35"/>
  <c r="L29" i="155" s="1"/>
  <c r="J1150" i="35"/>
  <c r="N1150" i="35"/>
  <c r="J304" i="35"/>
  <c r="J31" i="151" s="1"/>
  <c r="L303" i="35"/>
  <c r="L30" i="151" s="1"/>
  <c r="M310" i="35"/>
  <c r="M37" i="151" s="1"/>
  <c r="N302" i="35"/>
  <c r="N29" i="151" s="1"/>
  <c r="O309" i="35"/>
  <c r="O36" i="151" s="1"/>
  <c r="O311" i="35"/>
  <c r="O38" i="151" s="1"/>
  <c r="O64" i="151" s="1"/>
  <c r="N1118" i="35"/>
  <c r="N31" i="155" s="1"/>
  <c r="N57" i="155" s="1"/>
  <c r="K1143" i="35"/>
  <c r="J305" i="35"/>
  <c r="J32" i="151" s="1"/>
  <c r="M302" i="35"/>
  <c r="M29" i="151" s="1"/>
  <c r="N304" i="35"/>
  <c r="N31" i="151" s="1"/>
  <c r="M1118" i="35"/>
  <c r="M31" i="155" s="1"/>
  <c r="M1147" i="35"/>
  <c r="M1149" i="35"/>
  <c r="J308" i="35"/>
  <c r="J35" i="151" s="1"/>
  <c r="L304" i="35"/>
  <c r="L31" i="151" s="1"/>
  <c r="M304" i="35"/>
  <c r="M31" i="151" s="1"/>
  <c r="N308" i="35"/>
  <c r="N35" i="151" s="1"/>
  <c r="O307" i="35"/>
  <c r="O34" i="151" s="1"/>
  <c r="K1150" i="35"/>
  <c r="L310" i="35"/>
  <c r="L37" i="151" s="1"/>
  <c r="N305" i="35"/>
  <c r="N32" i="151" s="1"/>
  <c r="O305" i="35"/>
  <c r="O32" i="151" s="1"/>
  <c r="M307" i="35"/>
  <c r="M34" i="151" s="1"/>
  <c r="O1125" i="35"/>
  <c r="O38" i="155" s="1"/>
  <c r="O64" i="155" s="1"/>
  <c r="N1147" i="35"/>
  <c r="K1151" i="35"/>
  <c r="K303" i="35"/>
  <c r="K30" i="151" s="1"/>
  <c r="M308" i="35"/>
  <c r="M35" i="151" s="1"/>
  <c r="M61" i="151" s="1"/>
  <c r="M306" i="35"/>
  <c r="M33" i="151" s="1"/>
  <c r="N307" i="35"/>
  <c r="N34" i="151" s="1"/>
  <c r="O303" i="35"/>
  <c r="O30" i="151" s="1"/>
  <c r="K305" i="35"/>
  <c r="K32" i="151" s="1"/>
  <c r="M303" i="35"/>
  <c r="M30" i="151" s="1"/>
  <c r="N306" i="35"/>
  <c r="N33" i="151" s="1"/>
  <c r="O310" i="35"/>
  <c r="O37" i="151" s="1"/>
  <c r="O304" i="35"/>
  <c r="O31" i="151" s="1"/>
  <c r="J309" i="31"/>
  <c r="K309" i="31"/>
  <c r="L309" i="31"/>
  <c r="M309" i="31"/>
  <c r="N309" i="31"/>
  <c r="K311" i="31"/>
  <c r="N312" i="31"/>
  <c r="K318" i="31"/>
  <c r="J328" i="31"/>
  <c r="M329" i="31"/>
  <c r="J331" i="31"/>
  <c r="J322" i="31"/>
  <c r="K322" i="31"/>
  <c r="L322" i="31"/>
  <c r="M326" i="31"/>
  <c r="O331" i="31"/>
  <c r="M315" i="31"/>
  <c r="K330" i="31"/>
  <c r="L310" i="31"/>
  <c r="M310" i="31"/>
  <c r="N310" i="31"/>
  <c r="O310" i="31"/>
  <c r="J311" i="31"/>
  <c r="M312" i="31"/>
  <c r="J314" i="31"/>
  <c r="K310" i="31"/>
  <c r="L329" i="31"/>
  <c r="O330" i="31"/>
  <c r="K323" i="31"/>
  <c r="L323" i="31"/>
  <c r="M323" i="31"/>
  <c r="N323" i="31"/>
  <c r="O327" i="31"/>
  <c r="J317" i="31"/>
  <c r="L325" i="31"/>
  <c r="N311" i="31"/>
  <c r="O311" i="31"/>
  <c r="J312" i="31"/>
  <c r="K312" i="31"/>
  <c r="L312" i="31"/>
  <c r="O313" i="31"/>
  <c r="L315" i="31"/>
  <c r="M311" i="31"/>
  <c r="N330" i="31"/>
  <c r="J323" i="31"/>
  <c r="M324" i="31"/>
  <c r="N324" i="31"/>
  <c r="O324" i="31"/>
  <c r="J325" i="31"/>
  <c r="K329" i="31"/>
  <c r="L317" i="31"/>
  <c r="O329" i="31"/>
  <c r="J313" i="31"/>
  <c r="K313" i="31"/>
  <c r="L313" i="31"/>
  <c r="M313" i="31"/>
  <c r="N313" i="31"/>
  <c r="K315" i="31"/>
  <c r="N316" i="31"/>
  <c r="O312" i="31"/>
  <c r="O322" i="31"/>
  <c r="L324" i="31"/>
  <c r="O325" i="31"/>
  <c r="J326" i="31"/>
  <c r="K326" i="31"/>
  <c r="L326" i="31"/>
  <c r="M330" i="31"/>
  <c r="N317" i="31"/>
  <c r="L330" i="31"/>
  <c r="L314" i="31"/>
  <c r="M314" i="31"/>
  <c r="N314" i="31"/>
  <c r="O314" i="31"/>
  <c r="O21" i="144" s="1"/>
  <c r="J315" i="31"/>
  <c r="M316" i="31"/>
  <c r="J318" i="31"/>
  <c r="N322" i="31"/>
  <c r="K324" i="31"/>
  <c r="N325" i="31"/>
  <c r="K327" i="31"/>
  <c r="L327" i="31"/>
  <c r="M327" i="31"/>
  <c r="N327" i="31"/>
  <c r="K317" i="31"/>
  <c r="L328" i="31"/>
  <c r="N315" i="31"/>
  <c r="O315" i="31"/>
  <c r="J316" i="31"/>
  <c r="K316" i="31"/>
  <c r="L316" i="31"/>
  <c r="O317" i="31"/>
  <c r="K314" i="31"/>
  <c r="J324" i="31"/>
  <c r="M325" i="31"/>
  <c r="J327" i="31"/>
  <c r="M328" i="31"/>
  <c r="N328" i="31"/>
  <c r="O328" i="31"/>
  <c r="J329" i="31"/>
  <c r="M322" i="31"/>
  <c r="J310" i="31"/>
  <c r="J17" i="144" s="1"/>
  <c r="J330" i="31"/>
  <c r="L318" i="31"/>
  <c r="M318" i="31"/>
  <c r="N318" i="31"/>
  <c r="O318" i="31"/>
  <c r="O309" i="31"/>
  <c r="L311" i="31"/>
  <c r="O316" i="31"/>
  <c r="N326" i="31"/>
  <c r="K328" i="31"/>
  <c r="N329" i="31"/>
  <c r="K331" i="31"/>
  <c r="L331" i="31"/>
  <c r="M331" i="31"/>
  <c r="N331" i="31"/>
  <c r="K325" i="31"/>
  <c r="M317" i="31"/>
  <c r="O326" i="31"/>
  <c r="O323" i="31"/>
  <c r="N308" i="111"/>
  <c r="N302" i="111"/>
  <c r="N309" i="111"/>
  <c r="N303" i="111"/>
  <c r="J309" i="111"/>
  <c r="J303" i="111"/>
  <c r="J6" i="35"/>
  <c r="J7" i="35" s="1"/>
  <c r="J9" i="35" s="1"/>
  <c r="N6" i="31"/>
  <c r="N7" i="31" s="1"/>
  <c r="N9" i="31" s="1"/>
  <c r="N5" i="31" s="1"/>
  <c r="J6" i="19"/>
  <c r="J7" i="19" s="1"/>
  <c r="J9" i="19" s="1"/>
  <c r="J5" i="19" s="1"/>
  <c r="N6" i="111"/>
  <c r="N7" i="111" s="1"/>
  <c r="N9" i="111" s="1"/>
  <c r="N5" i="111" s="1"/>
  <c r="J6" i="20"/>
  <c r="J7" i="20" s="1"/>
  <c r="J9" i="20" s="1"/>
  <c r="J5" i="20" s="1"/>
  <c r="J31" i="20" s="1"/>
  <c r="N6" i="37"/>
  <c r="N7" i="37" s="1"/>
  <c r="N9" i="37" s="1"/>
  <c r="J6" i="110"/>
  <c r="J7" i="110" s="1"/>
  <c r="J9" i="110" s="1"/>
  <c r="J5" i="110" s="1"/>
  <c r="N6" i="34"/>
  <c r="N7" i="34" s="1"/>
  <c r="N9" i="34" s="1"/>
  <c r="N5" i="34" s="1"/>
  <c r="J6" i="30"/>
  <c r="J7" i="30" s="1"/>
  <c r="J9" i="30" s="1"/>
  <c r="J5" i="30" s="1"/>
  <c r="N6" i="21"/>
  <c r="N7" i="21" s="1"/>
  <c r="N9" i="21" s="1"/>
  <c r="N5" i="21" s="1"/>
  <c r="J6" i="51"/>
  <c r="J7" i="51" s="1"/>
  <c r="J9" i="51" s="1"/>
  <c r="J5" i="51" s="1"/>
  <c r="N6" i="14"/>
  <c r="N7" i="14" s="1"/>
  <c r="N9" i="14" s="1"/>
  <c r="N5" i="14" s="1"/>
  <c r="K6" i="35"/>
  <c r="K7" i="35" s="1"/>
  <c r="K9" i="35" s="1"/>
  <c r="O6" i="31"/>
  <c r="O7" i="31" s="1"/>
  <c r="O9" i="31" s="1"/>
  <c r="O5" i="31" s="1"/>
  <c r="K6" i="19"/>
  <c r="K7" i="19" s="1"/>
  <c r="K9" i="19" s="1"/>
  <c r="K5" i="19" s="1"/>
  <c r="O6" i="111"/>
  <c r="O7" i="111" s="1"/>
  <c r="O9" i="111" s="1"/>
  <c r="O5" i="111" s="1"/>
  <c r="K6" i="20"/>
  <c r="K7" i="20" s="1"/>
  <c r="K9" i="20" s="1"/>
  <c r="K5" i="20" s="1"/>
  <c r="K31" i="20" s="1"/>
  <c r="O6" i="37"/>
  <c r="O7" i="37" s="1"/>
  <c r="O9" i="37" s="1"/>
  <c r="K6" i="110"/>
  <c r="K7" i="110" s="1"/>
  <c r="K9" i="110" s="1"/>
  <c r="K5" i="110" s="1"/>
  <c r="O6" i="34"/>
  <c r="O7" i="34" s="1"/>
  <c r="O9" i="34" s="1"/>
  <c r="O5" i="34" s="1"/>
  <c r="K6" i="30"/>
  <c r="K7" i="30" s="1"/>
  <c r="K9" i="30" s="1"/>
  <c r="K5" i="30" s="1"/>
  <c r="O6" i="21"/>
  <c r="O7" i="21" s="1"/>
  <c r="O9" i="21" s="1"/>
  <c r="O5" i="21" s="1"/>
  <c r="K6" i="51"/>
  <c r="K7" i="51" s="1"/>
  <c r="K9" i="51" s="1"/>
  <c r="K5" i="51" s="1"/>
  <c r="O6" i="14"/>
  <c r="O7" i="14" s="1"/>
  <c r="O9" i="14" s="1"/>
  <c r="O5" i="14" s="1"/>
  <c r="L6" i="35"/>
  <c r="L7" i="35" s="1"/>
  <c r="L9" i="35" s="1"/>
  <c r="M6" i="35"/>
  <c r="M7" i="35" s="1"/>
  <c r="M9" i="35" s="1"/>
  <c r="N6" i="35"/>
  <c r="N7" i="35" s="1"/>
  <c r="N9" i="35" s="1"/>
  <c r="J6" i="31"/>
  <c r="J7" i="31" s="1"/>
  <c r="J9" i="31" s="1"/>
  <c r="J5" i="31" s="1"/>
  <c r="N6" i="19"/>
  <c r="N7" i="19" s="1"/>
  <c r="N9" i="19" s="1"/>
  <c r="N5" i="19" s="1"/>
  <c r="J6" i="111"/>
  <c r="J7" i="111" s="1"/>
  <c r="J9" i="111" s="1"/>
  <c r="J5" i="111" s="1"/>
  <c r="N6" i="20"/>
  <c r="N7" i="20" s="1"/>
  <c r="N9" i="20" s="1"/>
  <c r="N5" i="20" s="1"/>
  <c r="N31" i="20" s="1"/>
  <c r="J6" i="37"/>
  <c r="J7" i="37" s="1"/>
  <c r="J9" i="37" s="1"/>
  <c r="N6" i="110"/>
  <c r="N7" i="110" s="1"/>
  <c r="N9" i="110" s="1"/>
  <c r="N5" i="110" s="1"/>
  <c r="J6" i="34"/>
  <c r="J7" i="34" s="1"/>
  <c r="J9" i="34" s="1"/>
  <c r="J5" i="34" s="1"/>
  <c r="N6" i="30"/>
  <c r="N7" i="30" s="1"/>
  <c r="N9" i="30" s="1"/>
  <c r="N5" i="30" s="1"/>
  <c r="J6" i="21"/>
  <c r="J7" i="21" s="1"/>
  <c r="J9" i="21" s="1"/>
  <c r="J5" i="21" s="1"/>
  <c r="N6" i="51"/>
  <c r="N7" i="51" s="1"/>
  <c r="N9" i="51" s="1"/>
  <c r="N5" i="51" s="1"/>
  <c r="J6" i="14"/>
  <c r="J7" i="14" s="1"/>
  <c r="J9" i="14" s="1"/>
  <c r="J5" i="14" s="1"/>
  <c r="O6" i="35"/>
  <c r="O7" i="35" s="1"/>
  <c r="O9" i="35" s="1"/>
  <c r="K6" i="31"/>
  <c r="K7" i="31" s="1"/>
  <c r="K9" i="31" s="1"/>
  <c r="K5" i="31" s="1"/>
  <c r="O6" i="19"/>
  <c r="O7" i="19" s="1"/>
  <c r="O9" i="19" s="1"/>
  <c r="O5" i="19" s="1"/>
  <c r="K6" i="111"/>
  <c r="K7" i="111" s="1"/>
  <c r="K9" i="111" s="1"/>
  <c r="K5" i="111" s="1"/>
  <c r="O6" i="20"/>
  <c r="O7" i="20" s="1"/>
  <c r="O9" i="20" s="1"/>
  <c r="O5" i="20" s="1"/>
  <c r="O31" i="20" s="1"/>
  <c r="K6" i="37"/>
  <c r="K7" i="37" s="1"/>
  <c r="K9" i="37" s="1"/>
  <c r="O6" i="110"/>
  <c r="O7" i="110" s="1"/>
  <c r="O9" i="110" s="1"/>
  <c r="O5" i="110" s="1"/>
  <c r="K6" i="34"/>
  <c r="K7" i="34" s="1"/>
  <c r="K9" i="34" s="1"/>
  <c r="K5" i="34" s="1"/>
  <c r="O6" i="30"/>
  <c r="O7" i="30" s="1"/>
  <c r="O9" i="30" s="1"/>
  <c r="O5" i="30" s="1"/>
  <c r="K6" i="21"/>
  <c r="K7" i="21" s="1"/>
  <c r="K9" i="21" s="1"/>
  <c r="K5" i="21" s="1"/>
  <c r="O6" i="51"/>
  <c r="O7" i="51" s="1"/>
  <c r="O9" i="51" s="1"/>
  <c r="O5" i="51" s="1"/>
  <c r="K6" i="14"/>
  <c r="K7" i="14" s="1"/>
  <c r="K9" i="14" s="1"/>
  <c r="K5" i="14" s="1"/>
  <c r="M6" i="30"/>
  <c r="M7" i="30" s="1"/>
  <c r="M9" i="30" s="1"/>
  <c r="M5" i="30" s="1"/>
  <c r="L6" i="37"/>
  <c r="L7" i="37" s="1"/>
  <c r="L9" i="37" s="1"/>
  <c r="M6" i="14"/>
  <c r="M7" i="14" s="1"/>
  <c r="M9" i="14" s="1"/>
  <c r="M5" i="14" s="1"/>
  <c r="M6" i="20"/>
  <c r="M7" i="20" s="1"/>
  <c r="M9" i="20" s="1"/>
  <c r="M5" i="20" s="1"/>
  <c r="M31" i="20" s="1"/>
  <c r="L6" i="31"/>
  <c r="L7" i="31" s="1"/>
  <c r="L9" i="31" s="1"/>
  <c r="L5" i="31" s="1"/>
  <c r="M6" i="34"/>
  <c r="M7" i="34" s="1"/>
  <c r="M9" i="34" s="1"/>
  <c r="M5" i="34" s="1"/>
  <c r="L6" i="30"/>
  <c r="L7" i="30" s="1"/>
  <c r="L9" i="30" s="1"/>
  <c r="L5" i="30" s="1"/>
  <c r="M6" i="51"/>
  <c r="M7" i="51" s="1"/>
  <c r="M9" i="51" s="1"/>
  <c r="M5" i="51" s="1"/>
  <c r="M6" i="111"/>
  <c r="M7" i="111" s="1"/>
  <c r="M9" i="111" s="1"/>
  <c r="M5" i="111" s="1"/>
  <c r="L6" i="20"/>
  <c r="L7" i="20" s="1"/>
  <c r="L9" i="20" s="1"/>
  <c r="L5" i="20" s="1"/>
  <c r="L31" i="20" s="1"/>
  <c r="M6" i="110"/>
  <c r="M7" i="110" s="1"/>
  <c r="M9" i="110" s="1"/>
  <c r="M5" i="110" s="1"/>
  <c r="L6" i="14"/>
  <c r="L7" i="14" s="1"/>
  <c r="L9" i="14" s="1"/>
  <c r="L5" i="14" s="1"/>
  <c r="M6" i="21"/>
  <c r="M7" i="21" s="1"/>
  <c r="M9" i="21" s="1"/>
  <c r="M5" i="21" s="1"/>
  <c r="M6" i="19"/>
  <c r="M7" i="19" s="1"/>
  <c r="M9" i="19" s="1"/>
  <c r="M5" i="19" s="1"/>
  <c r="L6" i="34"/>
  <c r="L7" i="34" s="1"/>
  <c r="L9" i="34" s="1"/>
  <c r="L5" i="34" s="1"/>
  <c r="M6" i="37"/>
  <c r="M7" i="37" s="1"/>
  <c r="M9" i="37" s="1"/>
  <c r="L6" i="51"/>
  <c r="L7" i="51" s="1"/>
  <c r="L9" i="51" s="1"/>
  <c r="L5" i="51" s="1"/>
  <c r="L6" i="111"/>
  <c r="L7" i="111" s="1"/>
  <c r="L9" i="111" s="1"/>
  <c r="L5" i="111" s="1"/>
  <c r="M6" i="31"/>
  <c r="M7" i="31" s="1"/>
  <c r="M9" i="31" s="1"/>
  <c r="M5" i="31" s="1"/>
  <c r="L6" i="110"/>
  <c r="L7" i="110" s="1"/>
  <c r="L9" i="110" s="1"/>
  <c r="L5" i="110" s="1"/>
  <c r="L6" i="21"/>
  <c r="L7" i="21" s="1"/>
  <c r="L9" i="21" s="1"/>
  <c r="L5" i="21" s="1"/>
  <c r="L6" i="19"/>
  <c r="L7" i="19" s="1"/>
  <c r="L9" i="19" s="1"/>
  <c r="L5" i="19" s="1"/>
  <c r="K302" i="111"/>
  <c r="K308" i="111"/>
  <c r="J302" i="111"/>
  <c r="J308" i="111"/>
  <c r="O344" i="111"/>
  <c r="K346" i="111"/>
  <c r="M347" i="111"/>
  <c r="O348" i="111"/>
  <c r="K335" i="111"/>
  <c r="M336" i="111"/>
  <c r="O337" i="111"/>
  <c r="K339" i="111"/>
  <c r="M340" i="111"/>
  <c r="J345" i="111"/>
  <c r="L346" i="111"/>
  <c r="N347" i="111"/>
  <c r="J349" i="111"/>
  <c r="L335" i="111"/>
  <c r="N336" i="111"/>
  <c r="J338" i="111"/>
  <c r="L339" i="111"/>
  <c r="N340" i="111"/>
  <c r="K345" i="111"/>
  <c r="M346" i="111"/>
  <c r="O347" i="111"/>
  <c r="K349" i="111"/>
  <c r="M335" i="111"/>
  <c r="O336" i="111"/>
  <c r="K338" i="111"/>
  <c r="M339" i="111"/>
  <c r="O340" i="111"/>
  <c r="J344" i="111"/>
  <c r="L345" i="111"/>
  <c r="N346" i="111"/>
  <c r="J348" i="111"/>
  <c r="L349" i="111"/>
  <c r="N335" i="111"/>
  <c r="J337" i="111"/>
  <c r="L338" i="111"/>
  <c r="N339" i="111"/>
  <c r="K344" i="111"/>
  <c r="M345" i="111"/>
  <c r="O346" i="111"/>
  <c r="K348" i="111"/>
  <c r="M349" i="111"/>
  <c r="O335" i="111"/>
  <c r="K337" i="111"/>
  <c r="M338" i="111"/>
  <c r="O339" i="111"/>
  <c r="L344" i="111"/>
  <c r="N345" i="111"/>
  <c r="J347" i="111"/>
  <c r="L348" i="111"/>
  <c r="N349" i="111"/>
  <c r="J336" i="111"/>
  <c r="L337" i="111"/>
  <c r="N338" i="111"/>
  <c r="J340" i="111"/>
  <c r="M344" i="111"/>
  <c r="O345" i="111"/>
  <c r="K347" i="111"/>
  <c r="M348" i="111"/>
  <c r="O349" i="111"/>
  <c r="K336" i="111"/>
  <c r="M337" i="111"/>
  <c r="O338" i="111"/>
  <c r="K340" i="111"/>
  <c r="N344" i="111"/>
  <c r="J346" i="111"/>
  <c r="L347" i="111"/>
  <c r="N348" i="111"/>
  <c r="J335" i="111"/>
  <c r="L336" i="111"/>
  <c r="N337" i="111"/>
  <c r="J339" i="111"/>
  <c r="L340" i="111"/>
  <c r="O35" i="111"/>
  <c r="O364" i="37" s="1"/>
  <c r="J28" i="111"/>
  <c r="J338" i="37" s="1"/>
  <c r="O77" i="111"/>
  <c r="O375" i="37" s="1"/>
  <c r="N65" i="111"/>
  <c r="N347" i="37" s="1"/>
  <c r="O37" i="111"/>
  <c r="O366" i="37" s="1"/>
  <c r="O62" i="111"/>
  <c r="O344" i="37" s="1"/>
  <c r="N37" i="111"/>
  <c r="N366" i="37" s="1"/>
  <c r="M28" i="111"/>
  <c r="M338" i="37" s="1"/>
  <c r="O63" i="111"/>
  <c r="O345" i="37" s="1"/>
  <c r="J27" i="111"/>
  <c r="J337" i="37" s="1"/>
  <c r="K323" i="111"/>
  <c r="K324" i="111" s="1"/>
  <c r="K152" i="111" s="1"/>
  <c r="K453" i="37" s="1"/>
  <c r="O26" i="111"/>
  <c r="O336" i="37" s="1"/>
  <c r="N35" i="111"/>
  <c r="N364" i="37" s="1"/>
  <c r="O65" i="111"/>
  <c r="O347" i="37" s="1"/>
  <c r="N36" i="111"/>
  <c r="N365" i="37" s="1"/>
  <c r="L76" i="111"/>
  <c r="L374" i="37" s="1"/>
  <c r="O28" i="111"/>
  <c r="O338" i="37" s="1"/>
  <c r="O74" i="111"/>
  <c r="O372" i="37" s="1"/>
  <c r="N28" i="111"/>
  <c r="N338" i="37" s="1"/>
  <c r="K36" i="111"/>
  <c r="K365" i="37" s="1"/>
  <c r="N34" i="111"/>
  <c r="N363" i="37" s="1"/>
  <c r="J319" i="111"/>
  <c r="J320" i="111" s="1"/>
  <c r="J145" i="111" s="1"/>
  <c r="J424" i="37" s="1"/>
  <c r="M34" i="111"/>
  <c r="M363" i="37" s="1"/>
  <c r="N26" i="111"/>
  <c r="N336" i="37" s="1"/>
  <c r="O36" i="111"/>
  <c r="O365" i="37" s="1"/>
  <c r="M76" i="111"/>
  <c r="M374" i="37" s="1"/>
  <c r="N27" i="111"/>
  <c r="N337" i="37" s="1"/>
  <c r="L64" i="111"/>
  <c r="L346" i="37" s="1"/>
  <c r="M36" i="111"/>
  <c r="M365" i="37" s="1"/>
  <c r="L36" i="111"/>
  <c r="L365" i="37" s="1"/>
  <c r="K27" i="111"/>
  <c r="K337" i="37" s="1"/>
  <c r="N25" i="111"/>
  <c r="N335" i="37" s="1"/>
  <c r="N319" i="111"/>
  <c r="N320" i="111" s="1"/>
  <c r="N145" i="111" s="1"/>
  <c r="N424" i="37" s="1"/>
  <c r="J323" i="111"/>
  <c r="J324" i="111" s="1"/>
  <c r="J152" i="111" s="1"/>
  <c r="J453" i="37" s="1"/>
  <c r="M25" i="111"/>
  <c r="M335" i="37" s="1"/>
  <c r="L34" i="111"/>
  <c r="L363" i="37" s="1"/>
  <c r="O27" i="111"/>
  <c r="O337" i="37" s="1"/>
  <c r="M64" i="111"/>
  <c r="M346" i="37" s="1"/>
  <c r="L35" i="111"/>
  <c r="L364" i="37" s="1"/>
  <c r="N73" i="111"/>
  <c r="N371" i="37" s="1"/>
  <c r="M27" i="111"/>
  <c r="M337" i="37" s="1"/>
  <c r="L27" i="111"/>
  <c r="L337" i="37" s="1"/>
  <c r="O34" i="111"/>
  <c r="O363" i="37" s="1"/>
  <c r="N75" i="111"/>
  <c r="N373" i="37" s="1"/>
  <c r="N323" i="111"/>
  <c r="N324" i="111" s="1"/>
  <c r="N152" i="111" s="1"/>
  <c r="N453" i="37" s="1"/>
  <c r="O308" i="111"/>
  <c r="O76" i="111"/>
  <c r="O374" i="37" s="1"/>
  <c r="L25" i="111"/>
  <c r="L335" i="37" s="1"/>
  <c r="M35" i="111"/>
  <c r="M364" i="37" s="1"/>
  <c r="O73" i="111"/>
  <c r="O371" i="37" s="1"/>
  <c r="L26" i="111"/>
  <c r="L336" i="37" s="1"/>
  <c r="N61" i="111"/>
  <c r="N343" i="37" s="1"/>
  <c r="K35" i="111"/>
  <c r="K364" i="37" s="1"/>
  <c r="J35" i="111"/>
  <c r="J364" i="37" s="1"/>
  <c r="O25" i="111"/>
  <c r="O335" i="37" s="1"/>
  <c r="N63" i="111"/>
  <c r="N345" i="37" s="1"/>
  <c r="O302" i="111"/>
  <c r="O319" i="111"/>
  <c r="O320" i="111" s="1"/>
  <c r="O145" i="111" s="1"/>
  <c r="O424" i="37" s="1"/>
  <c r="O64" i="111"/>
  <c r="O346" i="37" s="1"/>
  <c r="J78" i="111"/>
  <c r="J376" i="37" s="1"/>
  <c r="M26" i="111"/>
  <c r="M336" i="37" s="1"/>
  <c r="O61" i="111"/>
  <c r="O343" i="37" s="1"/>
  <c r="J34" i="111"/>
  <c r="J363" i="37" s="1"/>
  <c r="K26" i="111"/>
  <c r="K336" i="37" s="1"/>
  <c r="J26" i="111"/>
  <c r="J336" i="37" s="1"/>
  <c r="K77" i="111"/>
  <c r="K375" i="37" s="1"/>
  <c r="L37" i="111"/>
  <c r="L366" i="37" s="1"/>
  <c r="M319" i="111"/>
  <c r="M320" i="111" s="1"/>
  <c r="M145" i="111" s="1"/>
  <c r="M424" i="37" s="1"/>
  <c r="L319" i="111"/>
  <c r="L320" i="111" s="1"/>
  <c r="L145" i="111" s="1"/>
  <c r="L424" i="37" s="1"/>
  <c r="O309" i="111"/>
  <c r="O323" i="111"/>
  <c r="O324" i="111" s="1"/>
  <c r="O152" i="111" s="1"/>
  <c r="O453" i="37" s="1"/>
  <c r="K37" i="111"/>
  <c r="K366" i="37" s="1"/>
  <c r="O72" i="111"/>
  <c r="O370" i="37" s="1"/>
  <c r="J66" i="111"/>
  <c r="J348" i="37" s="1"/>
  <c r="K34" i="111"/>
  <c r="K363" i="37" s="1"/>
  <c r="J25" i="111"/>
  <c r="J335" i="37" s="1"/>
  <c r="O66" i="111"/>
  <c r="O348" i="37" s="1"/>
  <c r="N62" i="111"/>
  <c r="N344" i="37" s="1"/>
  <c r="K65" i="111"/>
  <c r="K347" i="37" s="1"/>
  <c r="L28" i="111"/>
  <c r="L338" i="37" s="1"/>
  <c r="M323" i="111"/>
  <c r="M324" i="111" s="1"/>
  <c r="M152" i="111" s="1"/>
  <c r="M453" i="37" s="1"/>
  <c r="L323" i="111"/>
  <c r="L324" i="111" s="1"/>
  <c r="L152" i="111" s="1"/>
  <c r="L453" i="37" s="1"/>
  <c r="O303" i="111"/>
  <c r="K28" i="111"/>
  <c r="K338" i="37" s="1"/>
  <c r="O60" i="111"/>
  <c r="O342" i="37" s="1"/>
  <c r="J37" i="111"/>
  <c r="J366" i="37" s="1"/>
  <c r="K25" i="111"/>
  <c r="K335" i="37" s="1"/>
  <c r="N77" i="111"/>
  <c r="N375" i="37" s="1"/>
  <c r="O78" i="111"/>
  <c r="O376" i="37" s="1"/>
  <c r="N74" i="111"/>
  <c r="N372" i="37" s="1"/>
  <c r="M37" i="111"/>
  <c r="M366" i="37" s="1"/>
  <c r="O75" i="111"/>
  <c r="O373" i="37" s="1"/>
  <c r="J36" i="111"/>
  <c r="J365" i="37" s="1"/>
  <c r="K319" i="111"/>
  <c r="K320" i="111" s="1"/>
  <c r="K145" i="111" s="1"/>
  <c r="K424" i="37" s="1"/>
  <c r="N64" i="111"/>
  <c r="N346" i="37" s="1"/>
  <c r="K76" i="111"/>
  <c r="K374" i="37" s="1"/>
  <c r="J76" i="111"/>
  <c r="J374" i="37" s="1"/>
  <c r="J77" i="111"/>
  <c r="J375" i="37" s="1"/>
  <c r="J65" i="111"/>
  <c r="J347" i="37" s="1"/>
  <c r="K64" i="111"/>
  <c r="K346" i="37" s="1"/>
  <c r="L65" i="111"/>
  <c r="L347" i="37" s="1"/>
  <c r="K78" i="111"/>
  <c r="K376" i="37" s="1"/>
  <c r="N72" i="111"/>
  <c r="N370" i="37" s="1"/>
  <c r="N78" i="111"/>
  <c r="N376" i="37" s="1"/>
  <c r="L77" i="111"/>
  <c r="L375" i="37" s="1"/>
  <c r="K66" i="111"/>
  <c r="K348" i="37" s="1"/>
  <c r="N60" i="111"/>
  <c r="N342" i="37" s="1"/>
  <c r="M65" i="111"/>
  <c r="M347" i="37" s="1"/>
  <c r="L78" i="111"/>
  <c r="L376" i="37" s="1"/>
  <c r="M78" i="111"/>
  <c r="M376" i="37" s="1"/>
  <c r="N76" i="111"/>
  <c r="N374" i="37" s="1"/>
  <c r="J64" i="111"/>
  <c r="J346" i="37" s="1"/>
  <c r="M77" i="111"/>
  <c r="M375" i="37" s="1"/>
  <c r="L66" i="111"/>
  <c r="L348" i="37" s="1"/>
  <c r="N66" i="111"/>
  <c r="N348" i="37" s="1"/>
  <c r="M66" i="111"/>
  <c r="M348" i="37" s="1"/>
  <c r="N364" i="111"/>
  <c r="N363" i="111"/>
  <c r="L368" i="111"/>
  <c r="J366" i="111"/>
  <c r="L365" i="111"/>
  <c r="N372" i="111"/>
  <c r="O364" i="111"/>
  <c r="O363" i="111"/>
  <c r="M368" i="111"/>
  <c r="K366" i="111"/>
  <c r="M365" i="111"/>
  <c r="O372" i="111"/>
  <c r="J364" i="111"/>
  <c r="J363" i="111"/>
  <c r="L367" i="111"/>
  <c r="L366" i="111"/>
  <c r="N365" i="111"/>
  <c r="K364" i="111"/>
  <c r="K363" i="111"/>
  <c r="M367" i="111"/>
  <c r="M366" i="111"/>
  <c r="O365" i="111"/>
  <c r="L364" i="111"/>
  <c r="N368" i="111"/>
  <c r="N367" i="111"/>
  <c r="N366" i="111"/>
  <c r="J372" i="111"/>
  <c r="M364" i="111"/>
  <c r="O368" i="111"/>
  <c r="O367" i="111"/>
  <c r="O366" i="111"/>
  <c r="K372" i="111"/>
  <c r="L363" i="111"/>
  <c r="J368" i="111"/>
  <c r="J367" i="111"/>
  <c r="J365" i="111"/>
  <c r="L372" i="111"/>
  <c r="M363" i="111"/>
  <c r="K368" i="111"/>
  <c r="K367" i="111"/>
  <c r="K365" i="111"/>
  <c r="M372" i="111"/>
  <c r="L374" i="111"/>
  <c r="L377" i="111"/>
  <c r="N376" i="111"/>
  <c r="N375" i="111"/>
  <c r="M374" i="111"/>
  <c r="M377" i="111"/>
  <c r="O376" i="111"/>
  <c r="O375" i="111"/>
  <c r="N374" i="111"/>
  <c r="N377" i="111"/>
  <c r="J373" i="111"/>
  <c r="J375" i="111"/>
  <c r="O374" i="111"/>
  <c r="O377" i="111"/>
  <c r="K373" i="111"/>
  <c r="K375" i="111"/>
  <c r="J374" i="111"/>
  <c r="J376" i="111"/>
  <c r="L373" i="111"/>
  <c r="L375" i="111"/>
  <c r="K374" i="111"/>
  <c r="K376" i="111"/>
  <c r="M373" i="111"/>
  <c r="M375" i="111"/>
  <c r="J377" i="111"/>
  <c r="L376" i="111"/>
  <c r="N373" i="111"/>
  <c r="K377" i="111"/>
  <c r="M376" i="111"/>
  <c r="O373" i="111"/>
  <c r="J310" i="111"/>
  <c r="J304" i="111"/>
  <c r="K310" i="111"/>
  <c r="K304" i="111"/>
  <c r="L310" i="111"/>
  <c r="L304" i="111"/>
  <c r="M310" i="111"/>
  <c r="M304" i="111"/>
  <c r="N310" i="111"/>
  <c r="N304" i="111"/>
  <c r="O304" i="111"/>
  <c r="O310" i="111"/>
  <c r="J74" i="111"/>
  <c r="J372" i="37" s="1"/>
  <c r="J62" i="111"/>
  <c r="J344" i="37" s="1"/>
  <c r="J75" i="111"/>
  <c r="J373" i="37" s="1"/>
  <c r="J63" i="111"/>
  <c r="J345" i="37" s="1"/>
  <c r="M74" i="111"/>
  <c r="M372" i="37" s="1"/>
  <c r="M75" i="111"/>
  <c r="M373" i="37" s="1"/>
  <c r="K63" i="111"/>
  <c r="K345" i="37" s="1"/>
  <c r="L62" i="111"/>
  <c r="L344" i="37" s="1"/>
  <c r="M62" i="111"/>
  <c r="M344" i="37" s="1"/>
  <c r="M63" i="111"/>
  <c r="M345" i="37" s="1"/>
  <c r="K74" i="111"/>
  <c r="K372" i="37" s="1"/>
  <c r="K62" i="111"/>
  <c r="K344" i="37" s="1"/>
  <c r="L75" i="111"/>
  <c r="L373" i="37" s="1"/>
  <c r="L63" i="111"/>
  <c r="L345" i="37" s="1"/>
  <c r="K75" i="111"/>
  <c r="K373" i="37" s="1"/>
  <c r="L74" i="111"/>
  <c r="L372" i="37" s="1"/>
  <c r="K309" i="111"/>
  <c r="K303" i="111"/>
  <c r="N238" i="111"/>
  <c r="O238" i="111"/>
  <c r="K238" i="111"/>
  <c r="L238" i="111"/>
  <c r="M238" i="111"/>
  <c r="M308" i="111"/>
  <c r="M302" i="111"/>
  <c r="L308" i="111"/>
  <c r="L302" i="111"/>
  <c r="M303" i="111"/>
  <c r="M309" i="111"/>
  <c r="L303" i="111"/>
  <c r="L309" i="111"/>
  <c r="B5" i="51"/>
  <c r="B5" i="111"/>
  <c r="B5" i="110"/>
  <c r="B5" i="34"/>
  <c r="B5" i="37"/>
  <c r="B5" i="35"/>
  <c r="B5" i="31"/>
  <c r="B5" i="30"/>
  <c r="B5" i="21"/>
  <c r="B5" i="14"/>
  <c r="B5" i="20"/>
  <c r="B5" i="19"/>
  <c r="H14" i="11"/>
  <c r="I13" i="10"/>
  <c r="I29" i="10"/>
  <c r="J62" i="154" l="1"/>
  <c r="O56" i="154"/>
  <c r="K60" i="154"/>
  <c r="O60" i="154"/>
  <c r="M251" i="111"/>
  <c r="M244" i="111"/>
  <c r="L251" i="111"/>
  <c r="L244" i="111"/>
  <c r="K251" i="111"/>
  <c r="K244" i="111"/>
  <c r="O251" i="111"/>
  <c r="O244" i="111"/>
  <c r="N251" i="111"/>
  <c r="N244" i="111"/>
  <c r="N58" i="151"/>
  <c r="L60" i="154"/>
  <c r="M56" i="154"/>
  <c r="J60" i="154"/>
  <c r="L56" i="154"/>
  <c r="J63" i="154"/>
  <c r="J55" i="154"/>
  <c r="O59" i="154"/>
  <c r="L61" i="154"/>
  <c r="J62" i="151"/>
  <c r="J60" i="151"/>
  <c r="M61" i="154"/>
  <c r="L55" i="154"/>
  <c r="J57" i="154"/>
  <c r="K93" i="151"/>
  <c r="K106" i="153"/>
  <c r="N93" i="155"/>
  <c r="L106" i="156"/>
  <c r="N132" i="156"/>
  <c r="J119" i="154"/>
  <c r="N119" i="156"/>
  <c r="J106" i="153"/>
  <c r="L93" i="154"/>
  <c r="L119" i="153"/>
  <c r="O93" i="152"/>
  <c r="J55" i="155"/>
  <c r="J58" i="154"/>
  <c r="J74" i="152"/>
  <c r="O59" i="151"/>
  <c r="J64" i="151"/>
  <c r="K62" i="154"/>
  <c r="L64" i="155"/>
  <c r="J64" i="154"/>
  <c r="L60" i="151"/>
  <c r="K59" i="154"/>
  <c r="M63" i="154"/>
  <c r="K56" i="154"/>
  <c r="N60" i="155"/>
  <c r="J61" i="155"/>
  <c r="J57" i="155"/>
  <c r="K57" i="154"/>
  <c r="J58" i="151"/>
  <c r="O59" i="155"/>
  <c r="M56" i="155"/>
  <c r="O56" i="155"/>
  <c r="N62" i="155"/>
  <c r="N64" i="151"/>
  <c r="N63" i="155"/>
  <c r="K62" i="151"/>
  <c r="O58" i="154"/>
  <c r="K61" i="154"/>
  <c r="L56" i="151"/>
  <c r="L57" i="155"/>
  <c r="K60" i="155"/>
  <c r="L58" i="154"/>
  <c r="O62" i="151"/>
  <c r="O61" i="151"/>
  <c r="L58" i="155"/>
  <c r="J64" i="155"/>
  <c r="M62" i="155"/>
  <c r="K56" i="151"/>
  <c r="M57" i="155"/>
  <c r="N55" i="151"/>
  <c r="L61" i="151"/>
  <c r="K64" i="151"/>
  <c r="N59" i="151"/>
  <c r="M63" i="151"/>
  <c r="J59" i="155"/>
  <c r="K56" i="155"/>
  <c r="K60" i="151"/>
  <c r="K64" i="155"/>
  <c r="O61" i="155"/>
  <c r="O23" i="151"/>
  <c r="O75" i="151" s="1"/>
  <c r="O64" i="154"/>
  <c r="O57" i="154"/>
  <c r="N63" i="154"/>
  <c r="O93" i="155"/>
  <c r="N106" i="156"/>
  <c r="L132" i="151"/>
  <c r="L106" i="155"/>
  <c r="J106" i="155"/>
  <c r="M132" i="155"/>
  <c r="O132" i="155"/>
  <c r="K132" i="155"/>
  <c r="M119" i="155"/>
  <c r="L93" i="155"/>
  <c r="J119" i="151"/>
  <c r="N119" i="151"/>
  <c r="M93" i="151"/>
  <c r="O132" i="153"/>
  <c r="N106" i="154"/>
  <c r="M106" i="156"/>
  <c r="J106" i="154"/>
  <c r="L132" i="154"/>
  <c r="J132" i="156"/>
  <c r="N106" i="153"/>
  <c r="K119" i="153"/>
  <c r="L106" i="153"/>
  <c r="K119" i="154"/>
  <c r="K132" i="152"/>
  <c r="L119" i="152"/>
  <c r="M119" i="152"/>
  <c r="O132" i="151"/>
  <c r="O106" i="155"/>
  <c r="N106" i="151"/>
  <c r="O106" i="151"/>
  <c r="L132" i="155"/>
  <c r="K119" i="155"/>
  <c r="O132" i="156"/>
  <c r="K106" i="154"/>
  <c r="L93" i="153"/>
  <c r="J119" i="153"/>
  <c r="N93" i="154"/>
  <c r="J132" i="152"/>
  <c r="M93" i="152"/>
  <c r="J132" i="151"/>
  <c r="L119" i="155"/>
  <c r="M93" i="155"/>
  <c r="M119" i="151"/>
  <c r="O93" i="151"/>
  <c r="L132" i="156"/>
  <c r="J132" i="154"/>
  <c r="K132" i="153"/>
  <c r="M132" i="154"/>
  <c r="K106" i="156"/>
  <c r="M93" i="156"/>
  <c r="L93" i="156"/>
  <c r="K119" i="156"/>
  <c r="M93" i="154"/>
  <c r="L119" i="154"/>
  <c r="L132" i="152"/>
  <c r="L106" i="152"/>
  <c r="N106" i="152"/>
  <c r="K119" i="152"/>
  <c r="N132" i="151"/>
  <c r="M106" i="151"/>
  <c r="O119" i="155"/>
  <c r="L119" i="151"/>
  <c r="L106" i="154"/>
  <c r="M106" i="154"/>
  <c r="O106" i="153"/>
  <c r="N93" i="153"/>
  <c r="O119" i="154"/>
  <c r="O93" i="156"/>
  <c r="M93" i="153"/>
  <c r="J106" i="152"/>
  <c r="M106" i="152"/>
  <c r="J93" i="152"/>
  <c r="N119" i="152"/>
  <c r="L93" i="152"/>
  <c r="N106" i="155"/>
  <c r="J106" i="151"/>
  <c r="M132" i="151"/>
  <c r="J93" i="155"/>
  <c r="J119" i="155"/>
  <c r="O119" i="151"/>
  <c r="K132" i="154"/>
  <c r="O106" i="156"/>
  <c r="N132" i="154"/>
  <c r="J132" i="153"/>
  <c r="O106" i="154"/>
  <c r="L132" i="153"/>
  <c r="K93" i="154"/>
  <c r="J119" i="156"/>
  <c r="J93" i="153"/>
  <c r="O119" i="153"/>
  <c r="O106" i="152"/>
  <c r="O132" i="152"/>
  <c r="K106" i="152"/>
  <c r="K132" i="151"/>
  <c r="K106" i="151"/>
  <c r="N132" i="155"/>
  <c r="K93" i="155"/>
  <c r="J93" i="151"/>
  <c r="O132" i="154"/>
  <c r="K132" i="156"/>
  <c r="M132" i="156"/>
  <c r="M119" i="153"/>
  <c r="M106" i="153"/>
  <c r="K93" i="153"/>
  <c r="K93" i="156"/>
  <c r="N119" i="153"/>
  <c r="O93" i="154"/>
  <c r="M132" i="152"/>
  <c r="J119" i="152"/>
  <c r="M106" i="155"/>
  <c r="J132" i="155"/>
  <c r="K106" i="155"/>
  <c r="L106" i="151"/>
  <c r="N119" i="155"/>
  <c r="K119" i="151"/>
  <c r="N93" i="151"/>
  <c r="L93" i="151"/>
  <c r="N132" i="153"/>
  <c r="M132" i="153"/>
  <c r="J106" i="156"/>
  <c r="N119" i="154"/>
  <c r="L119" i="156"/>
  <c r="J93" i="156"/>
  <c r="O119" i="156"/>
  <c r="J93" i="154"/>
  <c r="M119" i="154"/>
  <c r="M119" i="156"/>
  <c r="O93" i="153"/>
  <c r="N93" i="156"/>
  <c r="N132" i="152"/>
  <c r="K93" i="152"/>
  <c r="N93" i="152"/>
  <c r="O119" i="152"/>
  <c r="L16" i="152"/>
  <c r="L68" i="152" s="1"/>
  <c r="M25" i="152"/>
  <c r="M77" i="152" s="1"/>
  <c r="N57" i="154"/>
  <c r="L59" i="154"/>
  <c r="N60" i="154"/>
  <c r="N56" i="154"/>
  <c r="J63" i="151"/>
  <c r="N58" i="154"/>
  <c r="O55" i="154"/>
  <c r="M58" i="154"/>
  <c r="L61" i="155"/>
  <c r="L62" i="155"/>
  <c r="N60" i="151"/>
  <c r="M64" i="155"/>
  <c r="O63" i="155"/>
  <c r="J63" i="155"/>
  <c r="N62" i="154"/>
  <c r="O57" i="151"/>
  <c r="N63" i="151"/>
  <c r="K55" i="155"/>
  <c r="K55" i="151"/>
  <c r="N56" i="155"/>
  <c r="N64" i="154"/>
  <c r="M56" i="151"/>
  <c r="M55" i="151"/>
  <c r="K63" i="151"/>
  <c r="N20" i="151"/>
  <c r="N72" i="151" s="1"/>
  <c r="M55" i="154"/>
  <c r="N59" i="154"/>
  <c r="N56" i="151"/>
  <c r="N58" i="155"/>
  <c r="O17" i="151"/>
  <c r="O69" i="151" s="1"/>
  <c r="J56" i="154"/>
  <c r="M59" i="151"/>
  <c r="M59" i="155"/>
  <c r="K24" i="151"/>
  <c r="K76" i="151" s="1"/>
  <c r="L62" i="154"/>
  <c r="L63" i="151"/>
  <c r="J58" i="155"/>
  <c r="N55" i="155"/>
  <c r="N18" i="151"/>
  <c r="N70" i="151" s="1"/>
  <c r="K58" i="154"/>
  <c r="O63" i="154"/>
  <c r="K58" i="155"/>
  <c r="O55" i="155"/>
  <c r="K59" i="151"/>
  <c r="N23" i="151"/>
  <c r="N75" i="151" s="1"/>
  <c r="J60" i="155"/>
  <c r="M62" i="154"/>
  <c r="N61" i="154"/>
  <c r="J52" i="154"/>
  <c r="N119" i="144"/>
  <c r="N25" i="152"/>
  <c r="N77" i="152" s="1"/>
  <c r="M62" i="151"/>
  <c r="O58" i="155"/>
  <c r="K57" i="155"/>
  <c r="L64" i="154"/>
  <c r="J61" i="151"/>
  <c r="N61" i="155"/>
  <c r="L55" i="155"/>
  <c r="L60" i="155"/>
  <c r="L59" i="155"/>
  <c r="K62" i="155"/>
  <c r="K64" i="154"/>
  <c r="L62" i="151"/>
  <c r="L56" i="155"/>
  <c r="O55" i="151"/>
  <c r="N64" i="155"/>
  <c r="O57" i="155"/>
  <c r="L59" i="151"/>
  <c r="N62" i="151"/>
  <c r="M61" i="155"/>
  <c r="M58" i="151"/>
  <c r="L71" i="152"/>
  <c r="O61" i="154"/>
  <c r="M60" i="154"/>
  <c r="N74" i="151"/>
  <c r="M74" i="151"/>
  <c r="L72" i="151"/>
  <c r="L74" i="151"/>
  <c r="J72" i="151"/>
  <c r="O72" i="151"/>
  <c r="O71" i="151"/>
  <c r="J68" i="151"/>
  <c r="L77" i="151"/>
  <c r="K77" i="151"/>
  <c r="K58" i="151"/>
  <c r="M57" i="151"/>
  <c r="J57" i="151"/>
  <c r="L64" i="151"/>
  <c r="N59" i="155"/>
  <c r="M60" i="155"/>
  <c r="O60" i="151"/>
  <c r="O56" i="151"/>
  <c r="M60" i="151"/>
  <c r="L57" i="151"/>
  <c r="M63" i="155"/>
  <c r="O62" i="155"/>
  <c r="O58" i="151"/>
  <c r="M58" i="155"/>
  <c r="J62" i="155"/>
  <c r="K59" i="155"/>
  <c r="O60" i="155"/>
  <c r="K57" i="151"/>
  <c r="O63" i="151"/>
  <c r="J56" i="155"/>
  <c r="K63" i="155"/>
  <c r="L58" i="151"/>
  <c r="L63" i="155"/>
  <c r="M16" i="151"/>
  <c r="M68" i="151" s="1"/>
  <c r="N57" i="151"/>
  <c r="K61" i="155"/>
  <c r="N61" i="151"/>
  <c r="J59" i="151"/>
  <c r="O55" i="153"/>
  <c r="O64" i="153"/>
  <c r="N59" i="156"/>
  <c r="N58" i="156"/>
  <c r="M58" i="153"/>
  <c r="L55" i="156"/>
  <c r="L57" i="153"/>
  <c r="L61" i="153"/>
  <c r="K55" i="153"/>
  <c r="K58" i="156"/>
  <c r="K62" i="156"/>
  <c r="J55" i="153"/>
  <c r="J60" i="153"/>
  <c r="O57" i="152"/>
  <c r="N60" i="152"/>
  <c r="M60" i="152"/>
  <c r="M58" i="152"/>
  <c r="L59" i="152"/>
  <c r="K56" i="152"/>
  <c r="J55" i="152"/>
  <c r="O58" i="153"/>
  <c r="O59" i="153"/>
  <c r="N55" i="156"/>
  <c r="N61" i="156"/>
  <c r="N62" i="153"/>
  <c r="M64" i="156"/>
  <c r="L55" i="153"/>
  <c r="L59" i="156"/>
  <c r="K55" i="156"/>
  <c r="K60" i="153"/>
  <c r="K58" i="153"/>
  <c r="J59" i="153"/>
  <c r="O55" i="152"/>
  <c r="N55" i="152"/>
  <c r="M61" i="152"/>
  <c r="M55" i="152"/>
  <c r="L58" i="152"/>
  <c r="K64" i="152"/>
  <c r="J60" i="152"/>
  <c r="O55" i="156"/>
  <c r="O61" i="156"/>
  <c r="O64" i="156"/>
  <c r="N61" i="153"/>
  <c r="N63" i="153"/>
  <c r="M63" i="156"/>
  <c r="M57" i="156"/>
  <c r="M62" i="153"/>
  <c r="L58" i="153"/>
  <c r="L57" i="156"/>
  <c r="L64" i="153"/>
  <c r="K59" i="156"/>
  <c r="J55" i="156"/>
  <c r="J61" i="153"/>
  <c r="J57" i="156"/>
  <c r="O60" i="152"/>
  <c r="N59" i="152"/>
  <c r="M59" i="152"/>
  <c r="L64" i="152"/>
  <c r="L57" i="152"/>
  <c r="K59" i="152"/>
  <c r="J57" i="152"/>
  <c r="O56" i="156"/>
  <c r="N58" i="153"/>
  <c r="N57" i="153"/>
  <c r="M60" i="156"/>
  <c r="M60" i="153"/>
  <c r="M59" i="156"/>
  <c r="M58" i="156"/>
  <c r="M56" i="156"/>
  <c r="L62" i="153"/>
  <c r="L60" i="156"/>
  <c r="L63" i="156"/>
  <c r="K57" i="153"/>
  <c r="K61" i="153"/>
  <c r="K64" i="153"/>
  <c r="J64" i="153"/>
  <c r="J62" i="153"/>
  <c r="J58" i="156"/>
  <c r="O59" i="152"/>
  <c r="N57" i="152"/>
  <c r="M62" i="152"/>
  <c r="L62" i="152"/>
  <c r="L61" i="152"/>
  <c r="K62" i="152"/>
  <c r="J64" i="152"/>
  <c r="O57" i="156"/>
  <c r="O62" i="153"/>
  <c r="N63" i="156"/>
  <c r="N60" i="156"/>
  <c r="N62" i="156"/>
  <c r="M55" i="156"/>
  <c r="M63" i="153"/>
  <c r="M61" i="153"/>
  <c r="M61" i="156"/>
  <c r="M64" i="153"/>
  <c r="L58" i="156"/>
  <c r="L63" i="153"/>
  <c r="L64" i="156"/>
  <c r="L60" i="153"/>
  <c r="K57" i="156"/>
  <c r="L56" i="156"/>
  <c r="K63" i="156"/>
  <c r="K56" i="153"/>
  <c r="J58" i="153"/>
  <c r="J56" i="156"/>
  <c r="O61" i="152"/>
  <c r="O64" i="152"/>
  <c r="N58" i="152"/>
  <c r="M63" i="152"/>
  <c r="L60" i="152"/>
  <c r="K55" i="152"/>
  <c r="K57" i="152"/>
  <c r="J61" i="152"/>
  <c r="O58" i="156"/>
  <c r="O59" i="156"/>
  <c r="N59" i="153"/>
  <c r="N56" i="153"/>
  <c r="M55" i="153"/>
  <c r="M57" i="153"/>
  <c r="M59" i="153"/>
  <c r="L61" i="156"/>
  <c r="K62" i="153"/>
  <c r="K56" i="156"/>
  <c r="J63" i="153"/>
  <c r="J59" i="156"/>
  <c r="O56" i="152"/>
  <c r="O62" i="152"/>
  <c r="N61" i="152"/>
  <c r="M56" i="152"/>
  <c r="L56" i="152"/>
  <c r="K61" i="152"/>
  <c r="K63" i="152"/>
  <c r="J58" i="152"/>
  <c r="O56" i="153"/>
  <c r="O60" i="153"/>
  <c r="O63" i="156"/>
  <c r="O57" i="153"/>
  <c r="O61" i="153"/>
  <c r="N60" i="153"/>
  <c r="N64" i="156"/>
  <c r="M56" i="153"/>
  <c r="L59" i="153"/>
  <c r="L62" i="156"/>
  <c r="K61" i="156"/>
  <c r="K64" i="156"/>
  <c r="J56" i="153"/>
  <c r="J63" i="156"/>
  <c r="J61" i="156"/>
  <c r="J62" i="156"/>
  <c r="O58" i="152"/>
  <c r="N63" i="152"/>
  <c r="N64" i="152"/>
  <c r="M64" i="152"/>
  <c r="L63" i="152"/>
  <c r="K58" i="152"/>
  <c r="J63" i="152"/>
  <c r="J56" i="152"/>
  <c r="O63" i="153"/>
  <c r="O60" i="156"/>
  <c r="O62" i="156"/>
  <c r="N55" i="153"/>
  <c r="N57" i="156"/>
  <c r="N56" i="156"/>
  <c r="N64" i="153"/>
  <c r="M62" i="156"/>
  <c r="K60" i="156"/>
  <c r="K59" i="153"/>
  <c r="L56" i="153"/>
  <c r="K63" i="153"/>
  <c r="J57" i="153"/>
  <c r="J60" i="156"/>
  <c r="J64" i="156"/>
  <c r="O63" i="152"/>
  <c r="N62" i="152"/>
  <c r="N56" i="152"/>
  <c r="M57" i="152"/>
  <c r="L55" i="152"/>
  <c r="K60" i="152"/>
  <c r="J62" i="152"/>
  <c r="J59" i="152"/>
  <c r="O52" i="153"/>
  <c r="N25" i="151"/>
  <c r="N77" i="151" s="1"/>
  <c r="O52" i="155"/>
  <c r="M24" i="151"/>
  <c r="M76" i="151" s="1"/>
  <c r="L19" i="151"/>
  <c r="L71" i="151" s="1"/>
  <c r="K17" i="151"/>
  <c r="K69" i="151" s="1"/>
  <c r="J25" i="151"/>
  <c r="J77" i="151" s="1"/>
  <c r="J19" i="151"/>
  <c r="J71" i="151" s="1"/>
  <c r="K16" i="151"/>
  <c r="K68" i="151" s="1"/>
  <c r="M52" i="155"/>
  <c r="M52" i="156"/>
  <c r="J52" i="151"/>
  <c r="O25" i="152"/>
  <c r="O77" i="152" s="1"/>
  <c r="M52" i="152"/>
  <c r="K52" i="154"/>
  <c r="L52" i="154"/>
  <c r="N52" i="151"/>
  <c r="N52" i="154"/>
  <c r="N52" i="155"/>
  <c r="L52" i="151"/>
  <c r="J52" i="153"/>
  <c r="M52" i="154"/>
  <c r="O52" i="151"/>
  <c r="L52" i="155"/>
  <c r="K52" i="156"/>
  <c r="O52" i="156"/>
  <c r="L52" i="153"/>
  <c r="J52" i="156"/>
  <c r="K52" i="152"/>
  <c r="J52" i="155"/>
  <c r="J18" i="152"/>
  <c r="J70" i="152" s="1"/>
  <c r="N52" i="153"/>
  <c r="L52" i="156"/>
  <c r="J52" i="152"/>
  <c r="O52" i="152"/>
  <c r="N52" i="152"/>
  <c r="N52" i="156"/>
  <c r="O52" i="154"/>
  <c r="M52" i="151"/>
  <c r="K52" i="155"/>
  <c r="K52" i="151"/>
  <c r="M52" i="153"/>
  <c r="N16" i="152"/>
  <c r="N68" i="152" s="1"/>
  <c r="K52" i="153"/>
  <c r="L52" i="152"/>
  <c r="L18" i="152"/>
  <c r="L70" i="152" s="1"/>
  <c r="O16" i="152"/>
  <c r="O68" i="152" s="1"/>
  <c r="N39" i="156"/>
  <c r="M19" i="152"/>
  <c r="M71" i="152" s="1"/>
  <c r="J39" i="156"/>
  <c r="N23" i="152"/>
  <c r="N75" i="152" s="1"/>
  <c r="K18" i="152"/>
  <c r="K70" i="152" s="1"/>
  <c r="M25" i="151"/>
  <c r="M77" i="151" s="1"/>
  <c r="K39" i="156"/>
  <c r="O39" i="152"/>
  <c r="M39" i="153"/>
  <c r="N39" i="152"/>
  <c r="J39" i="155"/>
  <c r="M39" i="154"/>
  <c r="L39" i="153"/>
  <c r="M39" i="152"/>
  <c r="L39" i="151"/>
  <c r="N24" i="151"/>
  <c r="N76" i="151" s="1"/>
  <c r="O39" i="153"/>
  <c r="L39" i="156"/>
  <c r="K39" i="153"/>
  <c r="J39" i="153"/>
  <c r="J39" i="152"/>
  <c r="K39" i="154"/>
  <c r="O39" i="154"/>
  <c r="J39" i="154"/>
  <c r="O39" i="156"/>
  <c r="L39" i="155"/>
  <c r="M39" i="155"/>
  <c r="K39" i="155"/>
  <c r="N39" i="155"/>
  <c r="M17" i="151"/>
  <c r="M69" i="151" s="1"/>
  <c r="L39" i="154"/>
  <c r="M39" i="156"/>
  <c r="K39" i="152"/>
  <c r="N39" i="151"/>
  <c r="O39" i="151"/>
  <c r="N39" i="154"/>
  <c r="O39" i="155"/>
  <c r="K39" i="151"/>
  <c r="K19" i="151"/>
  <c r="K71" i="151" s="1"/>
  <c r="M39" i="151"/>
  <c r="J39" i="151"/>
  <c r="N39" i="153"/>
  <c r="L39" i="152"/>
  <c r="K16" i="152"/>
  <c r="K68" i="152" s="1"/>
  <c r="L25" i="152"/>
  <c r="L77" i="152" s="1"/>
  <c r="K19" i="152"/>
  <c r="K71" i="152" s="1"/>
  <c r="J21" i="152"/>
  <c r="J73" i="152" s="1"/>
  <c r="M20" i="152"/>
  <c r="M72" i="152" s="1"/>
  <c r="J25" i="152"/>
  <c r="J77" i="152" s="1"/>
  <c r="N19" i="152"/>
  <c r="N71" i="152" s="1"/>
  <c r="M23" i="151"/>
  <c r="M75" i="151" s="1"/>
  <c r="O18" i="151"/>
  <c r="O70" i="151" s="1"/>
  <c r="J18" i="151"/>
  <c r="J70" i="151" s="1"/>
  <c r="O23" i="152"/>
  <c r="O75" i="152" s="1"/>
  <c r="L24" i="151"/>
  <c r="L76" i="151" s="1"/>
  <c r="M16" i="152"/>
  <c r="M68" i="152" s="1"/>
  <c r="K25" i="152"/>
  <c r="K77" i="152" s="1"/>
  <c r="M132" i="144"/>
  <c r="K20" i="151"/>
  <c r="K72" i="151" s="1"/>
  <c r="L17" i="151"/>
  <c r="L69" i="151" s="1"/>
  <c r="M22" i="152"/>
  <c r="M74" i="152" s="1"/>
  <c r="K22" i="152"/>
  <c r="K74" i="152" s="1"/>
  <c r="K22" i="151"/>
  <c r="K74" i="151" s="1"/>
  <c r="M20" i="151"/>
  <c r="M72" i="151" s="1"/>
  <c r="M18" i="151"/>
  <c r="M70" i="151" s="1"/>
  <c r="N17" i="151"/>
  <c r="N69" i="151" s="1"/>
  <c r="N16" i="151"/>
  <c r="N68" i="151" s="1"/>
  <c r="J16" i="152"/>
  <c r="J68" i="152" s="1"/>
  <c r="O20" i="152"/>
  <c r="O72" i="152" s="1"/>
  <c r="J24" i="151"/>
  <c r="J76" i="151" s="1"/>
  <c r="M23" i="152"/>
  <c r="M75" i="152" s="1"/>
  <c r="L21" i="151"/>
  <c r="L73" i="151" s="1"/>
  <c r="M19" i="151"/>
  <c r="M71" i="151" s="1"/>
  <c r="O22" i="155"/>
  <c r="O74" i="155" s="1"/>
  <c r="O19" i="155"/>
  <c r="O71" i="155" s="1"/>
  <c r="N24" i="155"/>
  <c r="N76" i="155" s="1"/>
  <c r="N25" i="155"/>
  <c r="N77" i="155" s="1"/>
  <c r="M16" i="155"/>
  <c r="M68" i="155" s="1"/>
  <c r="L16" i="155"/>
  <c r="L68" i="155" s="1"/>
  <c r="L20" i="155"/>
  <c r="L72" i="155" s="1"/>
  <c r="K18" i="155"/>
  <c r="K70" i="155" s="1"/>
  <c r="K24" i="155"/>
  <c r="K76" i="155" s="1"/>
  <c r="J21" i="155"/>
  <c r="J73" i="155" s="1"/>
  <c r="J25" i="155"/>
  <c r="J77" i="155" s="1"/>
  <c r="O24" i="153"/>
  <c r="O76" i="153" s="1"/>
  <c r="O17" i="153"/>
  <c r="O69" i="153" s="1"/>
  <c r="O17" i="154"/>
  <c r="O69" i="154" s="1"/>
  <c r="O22" i="153"/>
  <c r="O74" i="153" s="1"/>
  <c r="N16" i="156"/>
  <c r="N68" i="156" s="1"/>
  <c r="N21" i="156"/>
  <c r="N73" i="156" s="1"/>
  <c r="N23" i="153"/>
  <c r="N75" i="153" s="1"/>
  <c r="M19" i="154"/>
  <c r="M71" i="154" s="1"/>
  <c r="M22" i="154"/>
  <c r="M74" i="154" s="1"/>
  <c r="M21" i="156"/>
  <c r="M73" i="156" s="1"/>
  <c r="M20" i="153"/>
  <c r="M72" i="153" s="1"/>
  <c r="M25" i="156"/>
  <c r="M77" i="156" s="1"/>
  <c r="L20" i="154"/>
  <c r="L72" i="154" s="1"/>
  <c r="J16" i="156"/>
  <c r="J68" i="156" s="1"/>
  <c r="L25" i="153"/>
  <c r="L77" i="153" s="1"/>
  <c r="J18" i="156"/>
  <c r="J70" i="156" s="1"/>
  <c r="L21" i="156"/>
  <c r="L73" i="156" s="1"/>
  <c r="K18" i="153"/>
  <c r="K70" i="153" s="1"/>
  <c r="L17" i="153"/>
  <c r="L69" i="153" s="1"/>
  <c r="K23" i="154"/>
  <c r="K75" i="154" s="1"/>
  <c r="J22" i="153"/>
  <c r="J74" i="153" s="1"/>
  <c r="J20" i="153"/>
  <c r="J72" i="153" s="1"/>
  <c r="J25" i="154"/>
  <c r="J77" i="154" s="1"/>
  <c r="N21" i="152"/>
  <c r="N73" i="152" s="1"/>
  <c r="K24" i="152"/>
  <c r="K76" i="152" s="1"/>
  <c r="N24" i="152"/>
  <c r="N76" i="152" s="1"/>
  <c r="K21" i="151"/>
  <c r="K73" i="151" s="1"/>
  <c r="J22" i="151"/>
  <c r="J74" i="151" s="1"/>
  <c r="O24" i="151"/>
  <c r="O76" i="151" s="1"/>
  <c r="O23" i="155"/>
  <c r="O75" i="155" s="1"/>
  <c r="N20" i="155"/>
  <c r="N72" i="155" s="1"/>
  <c r="K16" i="155"/>
  <c r="K68" i="155" s="1"/>
  <c r="K19" i="155"/>
  <c r="K71" i="155" s="1"/>
  <c r="K25" i="155"/>
  <c r="K77" i="155" s="1"/>
  <c r="J23" i="155"/>
  <c r="J75" i="155" s="1"/>
  <c r="O16" i="156"/>
  <c r="O68" i="156" s="1"/>
  <c r="O22" i="154"/>
  <c r="O74" i="154" s="1"/>
  <c r="O18" i="156"/>
  <c r="O70" i="156" s="1"/>
  <c r="O25" i="154"/>
  <c r="O77" i="154" s="1"/>
  <c r="O25" i="156"/>
  <c r="O77" i="156" s="1"/>
  <c r="N24" i="153"/>
  <c r="N76" i="153" s="1"/>
  <c r="N22" i="153"/>
  <c r="N74" i="153" s="1"/>
  <c r="N17" i="153"/>
  <c r="N69" i="153" s="1"/>
  <c r="N20" i="153"/>
  <c r="N72" i="153" s="1"/>
  <c r="M16" i="154"/>
  <c r="M68" i="154" s="1"/>
  <c r="M17" i="154"/>
  <c r="M69" i="154" s="1"/>
  <c r="M24" i="156"/>
  <c r="M76" i="156" s="1"/>
  <c r="M24" i="154"/>
  <c r="M76" i="154" s="1"/>
  <c r="M17" i="153"/>
  <c r="M69" i="153" s="1"/>
  <c r="M25" i="154"/>
  <c r="M77" i="154" s="1"/>
  <c r="L18" i="153"/>
  <c r="L70" i="153" s="1"/>
  <c r="L22" i="156"/>
  <c r="L74" i="156" s="1"/>
  <c r="K18" i="156"/>
  <c r="K70" i="156" s="1"/>
  <c r="K16" i="156"/>
  <c r="K68" i="156" s="1"/>
  <c r="L21" i="153"/>
  <c r="L73" i="153" s="1"/>
  <c r="J21" i="156"/>
  <c r="J73" i="156" s="1"/>
  <c r="K22" i="153"/>
  <c r="K74" i="153" s="1"/>
  <c r="K23" i="153"/>
  <c r="K75" i="153" s="1"/>
  <c r="K17" i="154"/>
  <c r="K69" i="154" s="1"/>
  <c r="J16" i="154"/>
  <c r="J68" i="154" s="1"/>
  <c r="J19" i="153"/>
  <c r="J71" i="153" s="1"/>
  <c r="J24" i="153"/>
  <c r="J76" i="153" s="1"/>
  <c r="J21" i="153"/>
  <c r="J73" i="153" s="1"/>
  <c r="J23" i="154"/>
  <c r="J75" i="154" s="1"/>
  <c r="L24" i="152"/>
  <c r="L76" i="152" s="1"/>
  <c r="M21" i="152"/>
  <c r="M73" i="152" s="1"/>
  <c r="L22" i="152"/>
  <c r="L74" i="152" s="1"/>
  <c r="O17" i="152"/>
  <c r="O69" i="152" s="1"/>
  <c r="O21" i="152"/>
  <c r="O73" i="152" s="1"/>
  <c r="O21" i="151"/>
  <c r="O73" i="151" s="1"/>
  <c r="N19" i="151"/>
  <c r="N71" i="151" s="1"/>
  <c r="L23" i="151"/>
  <c r="L75" i="151" s="1"/>
  <c r="O21" i="155"/>
  <c r="O73" i="155" s="1"/>
  <c r="N23" i="155"/>
  <c r="N75" i="155" s="1"/>
  <c r="M18" i="155"/>
  <c r="M70" i="155" s="1"/>
  <c r="M24" i="155"/>
  <c r="M76" i="155" s="1"/>
  <c r="M23" i="155"/>
  <c r="M75" i="155" s="1"/>
  <c r="L18" i="155"/>
  <c r="L70" i="155" s="1"/>
  <c r="K21" i="155"/>
  <c r="K73" i="155" s="1"/>
  <c r="K23" i="155"/>
  <c r="K75" i="155" s="1"/>
  <c r="J22" i="155"/>
  <c r="J74" i="155" s="1"/>
  <c r="J19" i="155"/>
  <c r="J71" i="155" s="1"/>
  <c r="O19" i="153"/>
  <c r="O71" i="153" s="1"/>
  <c r="O18" i="153"/>
  <c r="O70" i="153" s="1"/>
  <c r="N20" i="154"/>
  <c r="N72" i="154" s="1"/>
  <c r="N22" i="156"/>
  <c r="N74" i="156" s="1"/>
  <c r="N18" i="156"/>
  <c r="N70" i="156" s="1"/>
  <c r="N23" i="156"/>
  <c r="N75" i="156" s="1"/>
  <c r="M16" i="156"/>
  <c r="M68" i="156" s="1"/>
  <c r="M19" i="153"/>
  <c r="M71" i="153" s="1"/>
  <c r="L19" i="156"/>
  <c r="L71" i="156" s="1"/>
  <c r="L24" i="153"/>
  <c r="L76" i="153" s="1"/>
  <c r="J19" i="156"/>
  <c r="J71" i="156" s="1"/>
  <c r="K21" i="156"/>
  <c r="K73" i="156" s="1"/>
  <c r="K19" i="156"/>
  <c r="K71" i="156" s="1"/>
  <c r="L24" i="154"/>
  <c r="L76" i="154" s="1"/>
  <c r="K25" i="153"/>
  <c r="K77" i="153" s="1"/>
  <c r="J21" i="154"/>
  <c r="J73" i="154" s="1"/>
  <c r="J20" i="154"/>
  <c r="J72" i="154" s="1"/>
  <c r="L21" i="152"/>
  <c r="L73" i="152" s="1"/>
  <c r="M24" i="152"/>
  <c r="M76" i="152" s="1"/>
  <c r="K23" i="152"/>
  <c r="K75" i="152" s="1"/>
  <c r="N17" i="152"/>
  <c r="N69" i="152" s="1"/>
  <c r="N21" i="151"/>
  <c r="N73" i="151" s="1"/>
  <c r="K18" i="151"/>
  <c r="K70" i="151" s="1"/>
  <c r="K23" i="151"/>
  <c r="K75" i="151" s="1"/>
  <c r="O20" i="155"/>
  <c r="O72" i="155" s="1"/>
  <c r="N17" i="155"/>
  <c r="N69" i="155" s="1"/>
  <c r="M19" i="155"/>
  <c r="M71" i="155" s="1"/>
  <c r="L23" i="155"/>
  <c r="L75" i="155" s="1"/>
  <c r="K22" i="155"/>
  <c r="K74" i="155" s="1"/>
  <c r="L17" i="155"/>
  <c r="L69" i="155" s="1"/>
  <c r="K17" i="155"/>
  <c r="K69" i="155" s="1"/>
  <c r="J24" i="155"/>
  <c r="J76" i="155" s="1"/>
  <c r="O16" i="153"/>
  <c r="O68" i="153" s="1"/>
  <c r="O21" i="154"/>
  <c r="O73" i="154" s="1"/>
  <c r="O20" i="153"/>
  <c r="O72" i="153" s="1"/>
  <c r="O19" i="154"/>
  <c r="O71" i="154" s="1"/>
  <c r="O23" i="154"/>
  <c r="O75" i="154" s="1"/>
  <c r="O23" i="153"/>
  <c r="O75" i="153" s="1"/>
  <c r="N17" i="156"/>
  <c r="N69" i="156" s="1"/>
  <c r="N20" i="156"/>
  <c r="N72" i="156" s="1"/>
  <c r="N25" i="153"/>
  <c r="N77" i="153" s="1"/>
  <c r="M16" i="153"/>
  <c r="M68" i="153" s="1"/>
  <c r="M23" i="154"/>
  <c r="M75" i="154" s="1"/>
  <c r="M25" i="153"/>
  <c r="M77" i="153" s="1"/>
  <c r="L20" i="153"/>
  <c r="L72" i="153" s="1"/>
  <c r="L18" i="154"/>
  <c r="L70" i="154" s="1"/>
  <c r="J22" i="156"/>
  <c r="J74" i="156" s="1"/>
  <c r="J24" i="156"/>
  <c r="J76" i="156" s="1"/>
  <c r="K16" i="154"/>
  <c r="K68" i="154" s="1"/>
  <c r="K24" i="154"/>
  <c r="K76" i="154" s="1"/>
  <c r="K17" i="153"/>
  <c r="K69" i="153" s="1"/>
  <c r="J17" i="153"/>
  <c r="J69" i="153" s="1"/>
  <c r="J18" i="153"/>
  <c r="J70" i="153" s="1"/>
  <c r="K21" i="152"/>
  <c r="K73" i="152" s="1"/>
  <c r="L20" i="152"/>
  <c r="L72" i="152" s="1"/>
  <c r="J19" i="152"/>
  <c r="J71" i="152" s="1"/>
  <c r="M17" i="152"/>
  <c r="M69" i="152" s="1"/>
  <c r="M21" i="151"/>
  <c r="M73" i="151" s="1"/>
  <c r="J23" i="151"/>
  <c r="J75" i="151" s="1"/>
  <c r="O16" i="155"/>
  <c r="O68" i="155" s="1"/>
  <c r="N21" i="155"/>
  <c r="N73" i="155" s="1"/>
  <c r="M20" i="155"/>
  <c r="M72" i="155" s="1"/>
  <c r="M25" i="155"/>
  <c r="M77" i="155" s="1"/>
  <c r="L22" i="155"/>
  <c r="L74" i="155" s="1"/>
  <c r="L21" i="155"/>
  <c r="L73" i="155" s="1"/>
  <c r="K20" i="155"/>
  <c r="K72" i="155" s="1"/>
  <c r="J16" i="155"/>
  <c r="J68" i="155" s="1"/>
  <c r="J18" i="155"/>
  <c r="J70" i="155" s="1"/>
  <c r="J20" i="155"/>
  <c r="J72" i="155" s="1"/>
  <c r="O21" i="153"/>
  <c r="O73" i="153" s="1"/>
  <c r="O18" i="154"/>
  <c r="O70" i="154" s="1"/>
  <c r="O21" i="156"/>
  <c r="O73" i="156" s="1"/>
  <c r="N16" i="154"/>
  <c r="N68" i="154" s="1"/>
  <c r="N24" i="154"/>
  <c r="N76" i="154" s="1"/>
  <c r="N22" i="154"/>
  <c r="N74" i="154" s="1"/>
  <c r="N18" i="153"/>
  <c r="N70" i="153" s="1"/>
  <c r="N25" i="154"/>
  <c r="N77" i="154" s="1"/>
  <c r="M20" i="154"/>
  <c r="M72" i="154" s="1"/>
  <c r="M18" i="156"/>
  <c r="M70" i="156" s="1"/>
  <c r="L16" i="154"/>
  <c r="L68" i="154" s="1"/>
  <c r="L19" i="154"/>
  <c r="L71" i="154" s="1"/>
  <c r="L17" i="156"/>
  <c r="L69" i="156" s="1"/>
  <c r="J25" i="156"/>
  <c r="J77" i="156" s="1"/>
  <c r="L21" i="154"/>
  <c r="L73" i="154" s="1"/>
  <c r="K22" i="154"/>
  <c r="K74" i="154" s="1"/>
  <c r="K19" i="153"/>
  <c r="K71" i="153" s="1"/>
  <c r="K20" i="153"/>
  <c r="K72" i="153" s="1"/>
  <c r="J19" i="154"/>
  <c r="J71" i="154" s="1"/>
  <c r="J24" i="154"/>
  <c r="J76" i="154" s="1"/>
  <c r="J17" i="154"/>
  <c r="J69" i="154" s="1"/>
  <c r="J23" i="153"/>
  <c r="J75" i="153" s="1"/>
  <c r="J23" i="152"/>
  <c r="J75" i="152" s="1"/>
  <c r="K20" i="152"/>
  <c r="K72" i="152" s="1"/>
  <c r="O18" i="152"/>
  <c r="O70" i="152" s="1"/>
  <c r="L17" i="152"/>
  <c r="L69" i="152" s="1"/>
  <c r="L18" i="151"/>
  <c r="L70" i="151" s="1"/>
  <c r="O22" i="151"/>
  <c r="O74" i="151" s="1"/>
  <c r="N19" i="155"/>
  <c r="N71" i="155" s="1"/>
  <c r="M21" i="155"/>
  <c r="M73" i="155" s="1"/>
  <c r="M17" i="155"/>
  <c r="M69" i="155" s="1"/>
  <c r="J17" i="155"/>
  <c r="J69" i="155" s="1"/>
  <c r="O16" i="154"/>
  <c r="O68" i="154" s="1"/>
  <c r="O20" i="154"/>
  <c r="O72" i="154" s="1"/>
  <c r="O19" i="156"/>
  <c r="O71" i="156" s="1"/>
  <c r="O22" i="156"/>
  <c r="O74" i="156" s="1"/>
  <c r="O23" i="156"/>
  <c r="O75" i="156" s="1"/>
  <c r="N18" i="154"/>
  <c r="N70" i="154" s="1"/>
  <c r="N17" i="154"/>
  <c r="N69" i="154" s="1"/>
  <c r="N19" i="153"/>
  <c r="N71" i="153" s="1"/>
  <c r="N25" i="156"/>
  <c r="N77" i="156" s="1"/>
  <c r="M19" i="156"/>
  <c r="M71" i="156" s="1"/>
  <c r="M23" i="156"/>
  <c r="M75" i="156" s="1"/>
  <c r="L18" i="156"/>
  <c r="L70" i="156" s="1"/>
  <c r="L20" i="156"/>
  <c r="L72" i="156" s="1"/>
  <c r="K22" i="156"/>
  <c r="K74" i="156" s="1"/>
  <c r="K20" i="156"/>
  <c r="K72" i="156" s="1"/>
  <c r="L23" i="154"/>
  <c r="L75" i="154" s="1"/>
  <c r="K23" i="156"/>
  <c r="K75" i="156" s="1"/>
  <c r="J20" i="156"/>
  <c r="J72" i="156" s="1"/>
  <c r="L25" i="154"/>
  <c r="L77" i="154" s="1"/>
  <c r="K21" i="153"/>
  <c r="K73" i="153" s="1"/>
  <c r="K18" i="154"/>
  <c r="K70" i="154" s="1"/>
  <c r="K19" i="154"/>
  <c r="K71" i="154" s="1"/>
  <c r="L17" i="154"/>
  <c r="L69" i="154" s="1"/>
  <c r="K24" i="153"/>
  <c r="K76" i="153" s="1"/>
  <c r="J22" i="154"/>
  <c r="J74" i="154" s="1"/>
  <c r="J25" i="153"/>
  <c r="J77" i="153" s="1"/>
  <c r="O22" i="152"/>
  <c r="O74" i="152" s="1"/>
  <c r="J24" i="152"/>
  <c r="J76" i="152" s="1"/>
  <c r="J20" i="152"/>
  <c r="J72" i="152" s="1"/>
  <c r="N18" i="152"/>
  <c r="N70" i="152" s="1"/>
  <c r="K17" i="152"/>
  <c r="K69" i="152" s="1"/>
  <c r="L16" i="151"/>
  <c r="L68" i="151" s="1"/>
  <c r="O16" i="151"/>
  <c r="O68" i="151" s="1"/>
  <c r="O24" i="155"/>
  <c r="O76" i="155" s="1"/>
  <c r="O17" i="155"/>
  <c r="O69" i="155" s="1"/>
  <c r="N16" i="155"/>
  <c r="N68" i="155" s="1"/>
  <c r="N22" i="155"/>
  <c r="N74" i="155" s="1"/>
  <c r="L19" i="155"/>
  <c r="L71" i="155" s="1"/>
  <c r="L25" i="155"/>
  <c r="L77" i="155" s="1"/>
  <c r="O24" i="154"/>
  <c r="O76" i="154" s="1"/>
  <c r="O25" i="153"/>
  <c r="O77" i="153" s="1"/>
  <c r="N16" i="153"/>
  <c r="N68" i="153" s="1"/>
  <c r="N24" i="156"/>
  <c r="N76" i="156" s="1"/>
  <c r="N21" i="153"/>
  <c r="N73" i="153" s="1"/>
  <c r="N23" i="154"/>
  <c r="N75" i="154" s="1"/>
  <c r="M21" i="154"/>
  <c r="M73" i="154" s="1"/>
  <c r="M22" i="153"/>
  <c r="M74" i="153" s="1"/>
  <c r="M17" i="156"/>
  <c r="M69" i="156" s="1"/>
  <c r="M23" i="153"/>
  <c r="M75" i="153" s="1"/>
  <c r="L16" i="156"/>
  <c r="L68" i="156" s="1"/>
  <c r="L22" i="153"/>
  <c r="L74" i="153" s="1"/>
  <c r="J23" i="156"/>
  <c r="J75" i="156" s="1"/>
  <c r="K25" i="156"/>
  <c r="K77" i="156" s="1"/>
  <c r="L25" i="156"/>
  <c r="L77" i="156" s="1"/>
  <c r="J17" i="156"/>
  <c r="J69" i="156" s="1"/>
  <c r="K20" i="154"/>
  <c r="K72" i="154" s="1"/>
  <c r="K21" i="154"/>
  <c r="K73" i="154" s="1"/>
  <c r="N22" i="152"/>
  <c r="N74" i="152" s="1"/>
  <c r="O19" i="152"/>
  <c r="O71" i="152" s="1"/>
  <c r="M18" i="152"/>
  <c r="M70" i="152" s="1"/>
  <c r="O24" i="152"/>
  <c r="O76" i="152" s="1"/>
  <c r="J21" i="151"/>
  <c r="J73" i="151" s="1"/>
  <c r="O25" i="151"/>
  <c r="O77" i="151" s="1"/>
  <c r="J17" i="151"/>
  <c r="J69" i="151" s="1"/>
  <c r="O18" i="155"/>
  <c r="O70" i="155" s="1"/>
  <c r="O25" i="155"/>
  <c r="O77" i="155" s="1"/>
  <c r="N18" i="155"/>
  <c r="N70" i="155" s="1"/>
  <c r="M22" i="155"/>
  <c r="M74" i="155" s="1"/>
  <c r="L24" i="155"/>
  <c r="L76" i="155" s="1"/>
  <c r="O17" i="156"/>
  <c r="O69" i="156" s="1"/>
  <c r="O24" i="156"/>
  <c r="O76" i="156" s="1"/>
  <c r="O20" i="156"/>
  <c r="O72" i="156" s="1"/>
  <c r="N19" i="154"/>
  <c r="N71" i="154" s="1"/>
  <c r="N21" i="154"/>
  <c r="N73" i="154" s="1"/>
  <c r="N19" i="156"/>
  <c r="N71" i="156" s="1"/>
  <c r="M24" i="153"/>
  <c r="M76" i="153" s="1"/>
  <c r="M21" i="153"/>
  <c r="M73" i="153" s="1"/>
  <c r="M18" i="154"/>
  <c r="M70" i="154" s="1"/>
  <c r="M18" i="153"/>
  <c r="M70" i="153" s="1"/>
  <c r="M22" i="156"/>
  <c r="M74" i="156" s="1"/>
  <c r="M20" i="156"/>
  <c r="M72" i="156" s="1"/>
  <c r="L16" i="153"/>
  <c r="L68" i="153" s="1"/>
  <c r="L22" i="154"/>
  <c r="L74" i="154" s="1"/>
  <c r="L19" i="153"/>
  <c r="L71" i="153" s="1"/>
  <c r="K24" i="156"/>
  <c r="K76" i="156" s="1"/>
  <c r="L23" i="156"/>
  <c r="L75" i="156" s="1"/>
  <c r="K17" i="156"/>
  <c r="K69" i="156" s="1"/>
  <c r="L23" i="153"/>
  <c r="L75" i="153" s="1"/>
  <c r="L24" i="156"/>
  <c r="L76" i="156" s="1"/>
  <c r="K16" i="153"/>
  <c r="K68" i="153" s="1"/>
  <c r="K25" i="154"/>
  <c r="K77" i="154" s="1"/>
  <c r="J16" i="153"/>
  <c r="J68" i="153" s="1"/>
  <c r="J18" i="154"/>
  <c r="J70" i="154" s="1"/>
  <c r="N20" i="152"/>
  <c r="N72" i="152" s="1"/>
  <c r="J17" i="152"/>
  <c r="J69" i="152" s="1"/>
  <c r="L23" i="152"/>
  <c r="L75" i="152" s="1"/>
  <c r="K132" i="144"/>
  <c r="N24" i="144"/>
  <c r="N76" i="144" s="1"/>
  <c r="O25" i="144"/>
  <c r="O77" i="144" s="1"/>
  <c r="O16" i="144"/>
  <c r="O68" i="144" s="1"/>
  <c r="M23" i="144"/>
  <c r="M75" i="144" s="1"/>
  <c r="N132" i="144"/>
  <c r="J132" i="144"/>
  <c r="K119" i="144"/>
  <c r="O119" i="144"/>
  <c r="L119" i="144"/>
  <c r="M119" i="144"/>
  <c r="J119" i="144"/>
  <c r="L132" i="144"/>
  <c r="O132" i="144"/>
  <c r="J69" i="144"/>
  <c r="O106" i="144"/>
  <c r="N106" i="144"/>
  <c r="K106" i="144"/>
  <c r="M106" i="144"/>
  <c r="L106" i="144"/>
  <c r="J106" i="144"/>
  <c r="O83" i="144"/>
  <c r="O93" i="144" s="1"/>
  <c r="L83" i="144"/>
  <c r="L93" i="144" s="1"/>
  <c r="O73" i="144"/>
  <c r="K23" i="144"/>
  <c r="K75" i="144" s="1"/>
  <c r="J93" i="144"/>
  <c r="N93" i="144"/>
  <c r="K93" i="144"/>
  <c r="M93" i="144"/>
  <c r="O24" i="144"/>
  <c r="O76" i="144" s="1"/>
  <c r="O23" i="144"/>
  <c r="O75" i="144" s="1"/>
  <c r="L18" i="144"/>
  <c r="L70" i="144" s="1"/>
  <c r="O55" i="144"/>
  <c r="N55" i="144"/>
  <c r="K63" i="144"/>
  <c r="J61" i="144"/>
  <c r="J56" i="144"/>
  <c r="O64" i="144"/>
  <c r="N60" i="144"/>
  <c r="L56" i="144"/>
  <c r="K56" i="144"/>
  <c r="K62" i="144"/>
  <c r="O59" i="144"/>
  <c r="N61" i="144"/>
  <c r="M57" i="144"/>
  <c r="J64" i="144"/>
  <c r="K21" i="144"/>
  <c r="K73" i="144" s="1"/>
  <c r="K24" i="144"/>
  <c r="K76" i="144" s="1"/>
  <c r="O60" i="144"/>
  <c r="M62" i="144"/>
  <c r="K64" i="144"/>
  <c r="J62" i="144"/>
  <c r="J59" i="144"/>
  <c r="N62" i="144"/>
  <c r="N64" i="144"/>
  <c r="M56" i="144"/>
  <c r="M64" i="144"/>
  <c r="L61" i="144"/>
  <c r="L64" i="144"/>
  <c r="L62" i="144"/>
  <c r="K55" i="144"/>
  <c r="O62" i="144"/>
  <c r="N58" i="144"/>
  <c r="N63" i="144"/>
  <c r="M61" i="144"/>
  <c r="L55" i="144"/>
  <c r="L63" i="144"/>
  <c r="K61" i="144"/>
  <c r="K57" i="144"/>
  <c r="J55" i="144"/>
  <c r="M55" i="144"/>
  <c r="O57" i="144"/>
  <c r="O58" i="144"/>
  <c r="N59" i="144"/>
  <c r="M59" i="144"/>
  <c r="L57" i="144"/>
  <c r="L58" i="144"/>
  <c r="K58" i="144"/>
  <c r="J57" i="144"/>
  <c r="O63" i="144"/>
  <c r="O61" i="144"/>
  <c r="N57" i="144"/>
  <c r="M63" i="144"/>
  <c r="M58" i="144"/>
  <c r="K60" i="144"/>
  <c r="J60" i="144"/>
  <c r="O56" i="144"/>
  <c r="N56" i="144"/>
  <c r="M60" i="144"/>
  <c r="L59" i="144"/>
  <c r="L60" i="144"/>
  <c r="K59" i="144"/>
  <c r="J58" i="144"/>
  <c r="J63" i="144"/>
  <c r="J22" i="144"/>
  <c r="J74" i="144" s="1"/>
  <c r="K39" i="144"/>
  <c r="L52" i="144"/>
  <c r="M52" i="144"/>
  <c r="K52" i="144"/>
  <c r="N52" i="144"/>
  <c r="O52" i="144"/>
  <c r="J52" i="144"/>
  <c r="O39" i="144"/>
  <c r="N39" i="144"/>
  <c r="M39" i="144"/>
  <c r="L39" i="144"/>
  <c r="J39" i="144"/>
  <c r="J25" i="144"/>
  <c r="J77" i="144" s="1"/>
  <c r="L23" i="144"/>
  <c r="L75" i="144" s="1"/>
  <c r="M20" i="144"/>
  <c r="M72" i="144" s="1"/>
  <c r="L19" i="144"/>
  <c r="L71" i="144" s="1"/>
  <c r="M24" i="144"/>
  <c r="M76" i="144" s="1"/>
  <c r="O19" i="144"/>
  <c r="O71" i="144" s="1"/>
  <c r="N18" i="144"/>
  <c r="N70" i="144" s="1"/>
  <c r="M17" i="144"/>
  <c r="M69" i="144" s="1"/>
  <c r="M16" i="144"/>
  <c r="M68" i="144" s="1"/>
  <c r="N23" i="144"/>
  <c r="N75" i="144" s="1"/>
  <c r="L24" i="144"/>
  <c r="L76" i="144" s="1"/>
  <c r="M18" i="144"/>
  <c r="M70" i="144" s="1"/>
  <c r="L17" i="144"/>
  <c r="L69" i="144" s="1"/>
  <c r="L16" i="144"/>
  <c r="L68" i="144" s="1"/>
  <c r="K22" i="144"/>
  <c r="K74" i="144" s="1"/>
  <c r="L22" i="144"/>
  <c r="L74" i="144" s="1"/>
  <c r="J24" i="144"/>
  <c r="J76" i="144" s="1"/>
  <c r="K17" i="144"/>
  <c r="K69" i="144" s="1"/>
  <c r="K16" i="144"/>
  <c r="K68" i="144" s="1"/>
  <c r="N25" i="144"/>
  <c r="N77" i="144" s="1"/>
  <c r="N20" i="144"/>
  <c r="N72" i="144" s="1"/>
  <c r="O20" i="144"/>
  <c r="O72" i="144" s="1"/>
  <c r="J21" i="144"/>
  <c r="J73" i="144" s="1"/>
  <c r="M22" i="144"/>
  <c r="M74" i="144" s="1"/>
  <c r="J16" i="144"/>
  <c r="J68" i="144" s="1"/>
  <c r="M25" i="144"/>
  <c r="M77" i="144" s="1"/>
  <c r="J23" i="144"/>
  <c r="J75" i="144" s="1"/>
  <c r="N21" i="144"/>
  <c r="N73" i="144" s="1"/>
  <c r="M19" i="144"/>
  <c r="M71" i="144" s="1"/>
  <c r="K25" i="144"/>
  <c r="K77" i="144" s="1"/>
  <c r="L25" i="144"/>
  <c r="L77" i="144" s="1"/>
  <c r="O22" i="144"/>
  <c r="O74" i="144" s="1"/>
  <c r="M21" i="144"/>
  <c r="M73" i="144" s="1"/>
  <c r="L20" i="144"/>
  <c r="L72" i="144" s="1"/>
  <c r="K19" i="144"/>
  <c r="K71" i="144" s="1"/>
  <c r="J18" i="144"/>
  <c r="J70" i="144" s="1"/>
  <c r="N19" i="144"/>
  <c r="N71" i="144" s="1"/>
  <c r="N22" i="144"/>
  <c r="N74" i="144" s="1"/>
  <c r="L21" i="144"/>
  <c r="L73" i="144" s="1"/>
  <c r="K20" i="144"/>
  <c r="K72" i="144" s="1"/>
  <c r="J19" i="144"/>
  <c r="J71" i="144" s="1"/>
  <c r="O17" i="144"/>
  <c r="O69" i="144" s="1"/>
  <c r="K18" i="144"/>
  <c r="K70" i="144" s="1"/>
  <c r="J20" i="144"/>
  <c r="J72" i="144" s="1"/>
  <c r="O18" i="144"/>
  <c r="O70" i="144" s="1"/>
  <c r="N17" i="144"/>
  <c r="N69" i="144" s="1"/>
  <c r="N16" i="144"/>
  <c r="N68" i="144" s="1"/>
  <c r="I231" i="37"/>
  <c r="I254" i="37"/>
  <c r="I235" i="37" s="1"/>
  <c r="N104" i="142"/>
  <c r="K117" i="142"/>
  <c r="O117" i="142"/>
  <c r="L117" i="142"/>
  <c r="J117" i="142"/>
  <c r="M117" i="142"/>
  <c r="N117" i="142"/>
  <c r="J104" i="142"/>
  <c r="K104" i="142"/>
  <c r="O104" i="142"/>
  <c r="M104" i="142"/>
  <c r="L104" i="142"/>
  <c r="L91" i="142"/>
  <c r="J91" i="142"/>
  <c r="O91" i="142"/>
  <c r="M91" i="142"/>
  <c r="K91" i="142"/>
  <c r="N91" i="142"/>
  <c r="O78" i="142"/>
  <c r="J78" i="142"/>
  <c r="M78" i="142"/>
  <c r="K78" i="142"/>
  <c r="L78" i="142"/>
  <c r="N78" i="142"/>
  <c r="J51" i="142"/>
  <c r="O22" i="142"/>
  <c r="O16" i="142"/>
  <c r="M15" i="142"/>
  <c r="O15" i="142"/>
  <c r="N17" i="142"/>
  <c r="N16" i="142"/>
  <c r="J21" i="142"/>
  <c r="J60" i="142" s="1"/>
  <c r="N24" i="142"/>
  <c r="L21" i="142"/>
  <c r="J22" i="142"/>
  <c r="J61" i="142" s="1"/>
  <c r="N20" i="142"/>
  <c r="O24" i="142"/>
  <c r="M17" i="142"/>
  <c r="M16" i="142"/>
  <c r="O20" i="142"/>
  <c r="K24" i="142"/>
  <c r="O19" i="142"/>
  <c r="O21" i="142"/>
  <c r="M20" i="142"/>
  <c r="J16" i="142"/>
  <c r="J55" i="142" s="1"/>
  <c r="L16" i="142"/>
  <c r="N19" i="142"/>
  <c r="L18" i="142"/>
  <c r="N21" i="142"/>
  <c r="M24" i="142"/>
  <c r="L20" i="142"/>
  <c r="L19" i="142"/>
  <c r="N23" i="142"/>
  <c r="K16" i="142"/>
  <c r="L15" i="142"/>
  <c r="K18" i="142"/>
  <c r="M21" i="142"/>
  <c r="N22" i="142"/>
  <c r="K20" i="142"/>
  <c r="K19" i="142"/>
  <c r="M23" i="142"/>
  <c r="O23" i="142"/>
  <c r="K15" i="142"/>
  <c r="L23" i="142"/>
  <c r="J20" i="142"/>
  <c r="J59" i="142" s="1"/>
  <c r="K21" i="142"/>
  <c r="N18" i="142"/>
  <c r="J19" i="142"/>
  <c r="J58" i="142" s="1"/>
  <c r="L24" i="142"/>
  <c r="L22" i="142"/>
  <c r="J15" i="142"/>
  <c r="J54" i="142" s="1"/>
  <c r="K23" i="142"/>
  <c r="M18" i="142"/>
  <c r="M19" i="142"/>
  <c r="K17" i="142"/>
  <c r="O18" i="142"/>
  <c r="J18" i="142"/>
  <c r="J57" i="142" s="1"/>
  <c r="K22" i="142"/>
  <c r="J24" i="142"/>
  <c r="J63" i="142" s="1"/>
  <c r="J23" i="142"/>
  <c r="J62" i="142" s="1"/>
  <c r="J17" i="142"/>
  <c r="J56" i="142" s="1"/>
  <c r="N15" i="142"/>
  <c r="L17" i="142"/>
  <c r="O17" i="142"/>
  <c r="M22" i="142"/>
  <c r="O32" i="142"/>
  <c r="O45" i="142" s="1"/>
  <c r="O29" i="142"/>
  <c r="O42" i="142" s="1"/>
  <c r="N31" i="142"/>
  <c r="N44" i="142" s="1"/>
  <c r="M29" i="142"/>
  <c r="M42" i="142" s="1"/>
  <c r="L35" i="142"/>
  <c r="L48" i="142" s="1"/>
  <c r="K34" i="142"/>
  <c r="K47" i="142" s="1"/>
  <c r="O30" i="142"/>
  <c r="O43" i="142" s="1"/>
  <c r="O35" i="142"/>
  <c r="O48" i="142" s="1"/>
  <c r="N33" i="142"/>
  <c r="N46" i="142" s="1"/>
  <c r="M30" i="142"/>
  <c r="M43" i="142" s="1"/>
  <c r="L31" i="142"/>
  <c r="L44" i="142" s="1"/>
  <c r="L32" i="142"/>
  <c r="L45" i="142" s="1"/>
  <c r="K32" i="142"/>
  <c r="K45" i="142" s="1"/>
  <c r="K36" i="142"/>
  <c r="K49" i="142" s="1"/>
  <c r="O33" i="142"/>
  <c r="O46" i="142" s="1"/>
  <c r="N28" i="142"/>
  <c r="N41" i="142" s="1"/>
  <c r="N30" i="142"/>
  <c r="N43" i="142" s="1"/>
  <c r="M28" i="142"/>
  <c r="M41" i="142" s="1"/>
  <c r="L37" i="142"/>
  <c r="L50" i="142" s="1"/>
  <c r="K29" i="142"/>
  <c r="K42" i="142" s="1"/>
  <c r="K31" i="142"/>
  <c r="K44" i="142" s="1"/>
  <c r="O36" i="142"/>
  <c r="O49" i="142" s="1"/>
  <c r="N36" i="142"/>
  <c r="N49" i="142" s="1"/>
  <c r="N35" i="142"/>
  <c r="N48" i="142" s="1"/>
  <c r="M32" i="142"/>
  <c r="M45" i="142" s="1"/>
  <c r="L29" i="142"/>
  <c r="L42" i="142" s="1"/>
  <c r="K35" i="142"/>
  <c r="K48" i="142" s="1"/>
  <c r="K30" i="142"/>
  <c r="K43" i="142" s="1"/>
  <c r="J38" i="142"/>
  <c r="O37" i="142"/>
  <c r="O50" i="142" s="1"/>
  <c r="N34" i="142"/>
  <c r="N47" i="142" s="1"/>
  <c r="M31" i="142"/>
  <c r="M44" i="142" s="1"/>
  <c r="M37" i="142"/>
  <c r="M50" i="142" s="1"/>
  <c r="L33" i="142"/>
  <c r="L46" i="142" s="1"/>
  <c r="L30" i="142"/>
  <c r="L43" i="142" s="1"/>
  <c r="K37" i="142"/>
  <c r="K50" i="142" s="1"/>
  <c r="O28" i="142"/>
  <c r="O41" i="142" s="1"/>
  <c r="N29" i="142"/>
  <c r="N42" i="142" s="1"/>
  <c r="M34" i="142"/>
  <c r="M47" i="142" s="1"/>
  <c r="M35" i="142"/>
  <c r="M48" i="142" s="1"/>
  <c r="L28" i="142"/>
  <c r="L41" i="142" s="1"/>
  <c r="K28" i="142"/>
  <c r="K41" i="142" s="1"/>
  <c r="O34" i="142"/>
  <c r="O47" i="142" s="1"/>
  <c r="N32" i="142"/>
  <c r="N45" i="142" s="1"/>
  <c r="M33" i="142"/>
  <c r="M46" i="142" s="1"/>
  <c r="L36" i="142"/>
  <c r="L49" i="142" s="1"/>
  <c r="K33" i="142"/>
  <c r="K46" i="142" s="1"/>
  <c r="O31" i="142"/>
  <c r="O44" i="142" s="1"/>
  <c r="N37" i="142"/>
  <c r="N50" i="142" s="1"/>
  <c r="M36" i="142"/>
  <c r="M49" i="142" s="1"/>
  <c r="L34" i="142"/>
  <c r="L47" i="142" s="1"/>
  <c r="M398" i="31"/>
  <c r="M373" i="31"/>
  <c r="M745" i="35"/>
  <c r="K719" i="35"/>
  <c r="K745" i="35"/>
  <c r="J799" i="35"/>
  <c r="N378" i="19"/>
  <c r="L745" i="35"/>
  <c r="L758" i="35"/>
  <c r="N811" i="35"/>
  <c r="K774" i="35"/>
  <c r="N774" i="35"/>
  <c r="O799" i="35"/>
  <c r="O732" i="35"/>
  <c r="K811" i="35"/>
  <c r="J719" i="35"/>
  <c r="L799" i="35"/>
  <c r="J745" i="35"/>
  <c r="M758" i="35"/>
  <c r="K758" i="35"/>
  <c r="L719" i="35"/>
  <c r="O774" i="35"/>
  <c r="M799" i="35"/>
  <c r="L732" i="35"/>
  <c r="J811" i="35"/>
  <c r="N719" i="35"/>
  <c r="M774" i="35"/>
  <c r="K732" i="35"/>
  <c r="M732" i="35"/>
  <c r="J758" i="35"/>
  <c r="O758" i="35"/>
  <c r="N758" i="35"/>
  <c r="L811" i="35"/>
  <c r="L786" i="35"/>
  <c r="N786" i="35"/>
  <c r="O719" i="35"/>
  <c r="M719" i="35"/>
  <c r="K799" i="35"/>
  <c r="N732" i="35"/>
  <c r="M811" i="35"/>
  <c r="J732" i="35"/>
  <c r="O745" i="35"/>
  <c r="J786" i="35"/>
  <c r="M786" i="35"/>
  <c r="J774" i="35"/>
  <c r="N799" i="35"/>
  <c r="L774" i="35"/>
  <c r="N745" i="35"/>
  <c r="O786" i="35"/>
  <c r="O811" i="35"/>
  <c r="K786" i="35"/>
  <c r="J1218" i="35"/>
  <c r="L2439" i="35"/>
  <c r="K1995" i="35"/>
  <c r="L2427" i="35"/>
  <c r="M2402" i="35"/>
  <c r="O1546" i="35"/>
  <c r="N1533" i="35"/>
  <c r="L1546" i="35"/>
  <c r="M1979" i="35"/>
  <c r="M1546" i="35"/>
  <c r="L2402" i="35"/>
  <c r="K1953" i="35"/>
  <c r="J2402" i="35"/>
  <c r="O2427" i="35"/>
  <c r="K1546" i="35"/>
  <c r="J2032" i="35"/>
  <c r="J1546" i="35"/>
  <c r="O373" i="31"/>
  <c r="K378" i="19"/>
  <c r="O1572" i="35"/>
  <c r="M2386" i="35"/>
  <c r="J1572" i="35"/>
  <c r="N2373" i="35"/>
  <c r="M1559" i="35"/>
  <c r="O1625" i="35"/>
  <c r="N2007" i="35"/>
  <c r="M2414" i="35"/>
  <c r="J2007" i="35"/>
  <c r="L2032" i="35"/>
  <c r="J2439" i="35"/>
  <c r="N1600" i="35"/>
  <c r="K1613" i="35"/>
  <c r="L1600" i="35"/>
  <c r="K2020" i="35"/>
  <c r="O1533" i="35"/>
  <c r="N2360" i="35"/>
  <c r="L2347" i="35"/>
  <c r="J2360" i="35"/>
  <c r="K1533" i="35"/>
  <c r="J1533" i="35"/>
  <c r="M1940" i="35"/>
  <c r="K2386" i="35"/>
  <c r="O2386" i="35"/>
  <c r="M2373" i="35"/>
  <c r="L1572" i="35"/>
  <c r="J2386" i="35"/>
  <c r="L1559" i="35"/>
  <c r="L2414" i="35"/>
  <c r="N2439" i="35"/>
  <c r="K1600" i="35"/>
  <c r="J2020" i="35"/>
  <c r="N2427" i="35"/>
  <c r="J1600" i="35"/>
  <c r="L1995" i="35"/>
  <c r="L1613" i="35"/>
  <c r="O2360" i="35"/>
  <c r="N2347" i="35"/>
  <c r="M1953" i="35"/>
  <c r="L1533" i="35"/>
  <c r="K2360" i="35"/>
  <c r="K2347" i="35"/>
  <c r="J1953" i="35"/>
  <c r="N1559" i="35"/>
  <c r="M1966" i="35"/>
  <c r="K1940" i="35"/>
  <c r="O1940" i="35"/>
  <c r="L2373" i="35"/>
  <c r="J1940" i="35"/>
  <c r="O2439" i="35"/>
  <c r="K2007" i="35"/>
  <c r="L1588" i="35"/>
  <c r="J1613" i="35"/>
  <c r="N1995" i="35"/>
  <c r="O2347" i="35"/>
  <c r="M2360" i="35"/>
  <c r="K1979" i="35"/>
  <c r="J2347" i="35"/>
  <c r="N1572" i="35"/>
  <c r="L2386" i="35"/>
  <c r="K2373" i="35"/>
  <c r="K1625" i="35"/>
  <c r="M2032" i="35"/>
  <c r="K2414" i="35"/>
  <c r="K2427" i="35"/>
  <c r="M1995" i="35"/>
  <c r="L2020" i="35"/>
  <c r="K1966" i="35"/>
  <c r="L1940" i="35"/>
  <c r="J1966" i="35"/>
  <c r="J1559" i="35"/>
  <c r="J2373" i="35"/>
  <c r="O2373" i="35"/>
  <c r="N2386" i="35"/>
  <c r="L2007" i="35"/>
  <c r="M2007" i="35"/>
  <c r="O1600" i="35"/>
  <c r="N1588" i="35"/>
  <c r="O2020" i="35"/>
  <c r="O2402" i="35"/>
  <c r="M1588" i="35"/>
  <c r="O1979" i="35"/>
  <c r="N1953" i="35"/>
  <c r="M2347" i="35"/>
  <c r="L1953" i="35"/>
  <c r="N1966" i="35"/>
  <c r="L1966" i="35"/>
  <c r="N1940" i="35"/>
  <c r="K2032" i="35"/>
  <c r="O2414" i="35"/>
  <c r="N2032" i="35"/>
  <c r="J1625" i="35"/>
  <c r="O2007" i="35"/>
  <c r="L1625" i="35"/>
  <c r="J2427" i="35"/>
  <c r="J1588" i="35"/>
  <c r="O1613" i="35"/>
  <c r="O1953" i="35"/>
  <c r="N1979" i="35"/>
  <c r="M1533" i="35"/>
  <c r="L1979" i="35"/>
  <c r="O1559" i="35"/>
  <c r="M1572" i="35"/>
  <c r="O1966" i="35"/>
  <c r="N2414" i="35"/>
  <c r="O2032" i="35"/>
  <c r="K2439" i="35"/>
  <c r="M2439" i="35"/>
  <c r="M1613" i="35"/>
  <c r="M1600" i="35"/>
  <c r="K1588" i="35"/>
  <c r="K2402" i="35"/>
  <c r="N1613" i="35"/>
  <c r="O1995" i="35"/>
  <c r="N1546" i="35"/>
  <c r="L2360" i="35"/>
  <c r="J1979" i="35"/>
  <c r="K1559" i="35"/>
  <c r="K1572" i="35"/>
  <c r="N1625" i="35"/>
  <c r="M1625" i="35"/>
  <c r="J2414" i="35"/>
  <c r="N2020" i="35"/>
  <c r="J1995" i="35"/>
  <c r="M2020" i="35"/>
  <c r="M2427" i="35"/>
  <c r="O1588" i="35"/>
  <c r="N2402" i="35"/>
  <c r="K392" i="35"/>
  <c r="K367" i="35"/>
  <c r="L1193" i="35"/>
  <c r="M1165" i="35"/>
  <c r="O1165" i="35"/>
  <c r="L1126" i="35"/>
  <c r="O1139" i="35"/>
  <c r="K1139" i="35"/>
  <c r="N345" i="31"/>
  <c r="L1165" i="35"/>
  <c r="O306" i="31"/>
  <c r="M312" i="35"/>
  <c r="K323" i="19"/>
  <c r="N1165" i="35"/>
  <c r="M1139" i="35"/>
  <c r="K336" i="19"/>
  <c r="J336" i="19"/>
  <c r="M332" i="31"/>
  <c r="J332" i="31"/>
  <c r="M319" i="31"/>
  <c r="K404" i="35"/>
  <c r="L373" i="31"/>
  <c r="K373" i="31"/>
  <c r="O365" i="19"/>
  <c r="K1193" i="35"/>
  <c r="M391" i="19"/>
  <c r="L391" i="19"/>
  <c r="N365" i="19"/>
  <c r="O352" i="19"/>
  <c r="N323" i="19"/>
  <c r="J310" i="19"/>
  <c r="J351" i="35"/>
  <c r="J367" i="35"/>
  <c r="O319" i="31"/>
  <c r="L319" i="31"/>
  <c r="O312" i="35"/>
  <c r="K312" i="35"/>
  <c r="M1126" i="35"/>
  <c r="L365" i="19"/>
  <c r="J379" i="35"/>
  <c r="J398" i="31"/>
  <c r="K365" i="19"/>
  <c r="L1181" i="35"/>
  <c r="M378" i="19"/>
  <c r="M352" i="19"/>
  <c r="J1206" i="35"/>
  <c r="K345" i="31"/>
  <c r="M323" i="19"/>
  <c r="M351" i="35"/>
  <c r="L306" i="31"/>
  <c r="J1165" i="35"/>
  <c r="K319" i="31"/>
  <c r="K1126" i="35"/>
  <c r="L312" i="35"/>
  <c r="N1152" i="35"/>
  <c r="L404" i="35"/>
  <c r="J373" i="31"/>
  <c r="O1193" i="35"/>
  <c r="J386" i="31"/>
  <c r="J1193" i="35"/>
  <c r="O379" i="35"/>
  <c r="N391" i="19"/>
  <c r="L1218" i="35"/>
  <c r="O1206" i="35"/>
  <c r="L1206" i="35"/>
  <c r="K1206" i="35"/>
  <c r="N338" i="35"/>
  <c r="L323" i="19"/>
  <c r="O336" i="19"/>
  <c r="N1139" i="35"/>
  <c r="L351" i="35"/>
  <c r="K306" i="31"/>
  <c r="N367" i="35"/>
  <c r="L392" i="35"/>
  <c r="M367" i="35"/>
  <c r="J361" i="31"/>
  <c r="J319" i="31"/>
  <c r="O1126" i="35"/>
  <c r="J1126" i="35"/>
  <c r="M1152" i="35"/>
  <c r="M386" i="31"/>
  <c r="M1218" i="35"/>
  <c r="J365" i="19"/>
  <c r="M379" i="35"/>
  <c r="J378" i="19"/>
  <c r="M338" i="35"/>
  <c r="L378" i="19"/>
  <c r="O345" i="31"/>
  <c r="O351" i="35"/>
  <c r="L336" i="19"/>
  <c r="O392" i="35"/>
  <c r="J392" i="35"/>
  <c r="M392" i="35"/>
  <c r="N361" i="31"/>
  <c r="J312" i="35"/>
  <c r="L1152" i="35"/>
  <c r="O404" i="35"/>
  <c r="M1193" i="35"/>
  <c r="O386" i="31"/>
  <c r="N398" i="31"/>
  <c r="K379" i="35"/>
  <c r="N1218" i="35"/>
  <c r="K391" i="19"/>
  <c r="N1206" i="35"/>
  <c r="O378" i="19"/>
  <c r="K1181" i="35"/>
  <c r="J1181" i="35"/>
  <c r="N325" i="35"/>
  <c r="L338" i="35"/>
  <c r="J345" i="31"/>
  <c r="J323" i="19"/>
  <c r="N310" i="19"/>
  <c r="N306" i="31"/>
  <c r="K1165" i="35"/>
  <c r="K361" i="31"/>
  <c r="N312" i="35"/>
  <c r="K1152" i="35"/>
  <c r="J404" i="35"/>
  <c r="N386" i="31"/>
  <c r="N1193" i="35"/>
  <c r="K386" i="31"/>
  <c r="L386" i="31"/>
  <c r="J391" i="19"/>
  <c r="O1218" i="35"/>
  <c r="L379" i="35"/>
  <c r="L398" i="31"/>
  <c r="J325" i="35"/>
  <c r="M1206" i="35"/>
  <c r="O338" i="35"/>
  <c r="L352" i="19"/>
  <c r="M325" i="35"/>
  <c r="K338" i="35"/>
  <c r="N352" i="19"/>
  <c r="M310" i="19"/>
  <c r="N351" i="35"/>
  <c r="M336" i="19"/>
  <c r="J1139" i="35"/>
  <c r="J306" i="31"/>
  <c r="L367" i="35"/>
  <c r="O367" i="35"/>
  <c r="M361" i="31"/>
  <c r="L332" i="31"/>
  <c r="O1152" i="35"/>
  <c r="N1126" i="35"/>
  <c r="J1152" i="35"/>
  <c r="N404" i="35"/>
  <c r="K398" i="31"/>
  <c r="N379" i="35"/>
  <c r="K1218" i="35"/>
  <c r="M365" i="19"/>
  <c r="L325" i="35"/>
  <c r="J338" i="35"/>
  <c r="J352" i="19"/>
  <c r="O323" i="19"/>
  <c r="O310" i="19"/>
  <c r="L310" i="19"/>
  <c r="N336" i="19"/>
  <c r="N338" i="19" s="1"/>
  <c r="N411" i="37" s="1"/>
  <c r="M306" i="31"/>
  <c r="K351" i="35"/>
  <c r="N392" i="35"/>
  <c r="O361" i="31"/>
  <c r="N332" i="31"/>
  <c r="O332" i="31"/>
  <c r="K332" i="31"/>
  <c r="N319" i="31"/>
  <c r="M404" i="35"/>
  <c r="N373" i="31"/>
  <c r="O391" i="19"/>
  <c r="O398" i="31"/>
  <c r="K352" i="19"/>
  <c r="N1181" i="35"/>
  <c r="O1181" i="35"/>
  <c r="K325" i="35"/>
  <c r="O325" i="35"/>
  <c r="M1181" i="35"/>
  <c r="L345" i="31"/>
  <c r="M345" i="31"/>
  <c r="K310" i="19"/>
  <c r="L1139" i="35"/>
  <c r="L361" i="31"/>
  <c r="K5" i="35"/>
  <c r="N5" i="35"/>
  <c r="M5" i="35"/>
  <c r="L5" i="35"/>
  <c r="J5" i="35"/>
  <c r="O5" i="35"/>
  <c r="L5" i="37"/>
  <c r="K5" i="37"/>
  <c r="M5" i="37"/>
  <c r="O5" i="37"/>
  <c r="J5" i="37"/>
  <c r="N5" i="37"/>
  <c r="M350" i="111"/>
  <c r="M169" i="111" s="1"/>
  <c r="M457" i="37" s="1"/>
  <c r="L369" i="111"/>
  <c r="L164" i="111" s="1"/>
  <c r="O292" i="111"/>
  <c r="O150" i="111" s="1"/>
  <c r="O451" i="37" s="1"/>
  <c r="M369" i="111"/>
  <c r="M164" i="111" s="1"/>
  <c r="L305" i="111"/>
  <c r="L144" i="111" s="1"/>
  <c r="L423" i="37" s="1"/>
  <c r="L311" i="111"/>
  <c r="L151" i="111" s="1"/>
  <c r="L452" i="37" s="1"/>
  <c r="J378" i="111"/>
  <c r="J170" i="111" s="1"/>
  <c r="K369" i="111"/>
  <c r="K164" i="111" s="1"/>
  <c r="M283" i="111"/>
  <c r="M143" i="111" s="1"/>
  <c r="M422" i="37" s="1"/>
  <c r="N67" i="111"/>
  <c r="N175" i="37" s="1"/>
  <c r="N349" i="37"/>
  <c r="K29" i="111"/>
  <c r="K174" i="37" s="1"/>
  <c r="K339" i="37"/>
  <c r="O29" i="111"/>
  <c r="O174" i="37" s="1"/>
  <c r="O339" i="37"/>
  <c r="L38" i="111"/>
  <c r="L184" i="37" s="1"/>
  <c r="L367" i="37"/>
  <c r="M38" i="111"/>
  <c r="M184" i="37" s="1"/>
  <c r="M367" i="37"/>
  <c r="N38" i="111"/>
  <c r="N184" i="37" s="1"/>
  <c r="N367" i="37"/>
  <c r="M341" i="111"/>
  <c r="M163" i="111" s="1"/>
  <c r="M428" i="37" s="1"/>
  <c r="J305" i="111"/>
  <c r="J144" i="111" s="1"/>
  <c r="J423" i="37" s="1"/>
  <c r="D15" i="16"/>
  <c r="N305" i="111"/>
  <c r="N144" i="111" s="1"/>
  <c r="N423" i="37" s="1"/>
  <c r="M378" i="111"/>
  <c r="M170" i="111" s="1"/>
  <c r="N369" i="111"/>
  <c r="N164" i="111" s="1"/>
  <c r="K283" i="111"/>
  <c r="K143" i="111" s="1"/>
  <c r="K422" i="37" s="1"/>
  <c r="O38" i="111"/>
  <c r="O184" i="37" s="1"/>
  <c r="O367" i="37"/>
  <c r="M29" i="111"/>
  <c r="M174" i="37" s="1"/>
  <c r="M339" i="37"/>
  <c r="O283" i="111"/>
  <c r="O143" i="111" s="1"/>
  <c r="O422" i="37" s="1"/>
  <c r="L350" i="111"/>
  <c r="L169" i="111" s="1"/>
  <c r="L457" i="37" s="1"/>
  <c r="L341" i="111"/>
  <c r="L163" i="111" s="1"/>
  <c r="L428" i="37" s="1"/>
  <c r="D16" i="16"/>
  <c r="N311" i="111"/>
  <c r="N151" i="111" s="1"/>
  <c r="N452" i="37" s="1"/>
  <c r="J283" i="111"/>
  <c r="J143" i="111" s="1"/>
  <c r="J422" i="37" s="1"/>
  <c r="J29" i="111"/>
  <c r="J174" i="37" s="1"/>
  <c r="J339" i="37"/>
  <c r="J245" i="111"/>
  <c r="J407" i="37" s="1"/>
  <c r="N292" i="111"/>
  <c r="N150" i="111" s="1"/>
  <c r="N451" i="37" s="1"/>
  <c r="K350" i="111"/>
  <c r="K169" i="111" s="1"/>
  <c r="K457" i="37" s="1"/>
  <c r="K341" i="111"/>
  <c r="K163" i="111" s="1"/>
  <c r="K428" i="37" s="1"/>
  <c r="K378" i="111"/>
  <c r="K170" i="111" s="1"/>
  <c r="O369" i="111"/>
  <c r="O164" i="111" s="1"/>
  <c r="L292" i="111"/>
  <c r="L150" i="111" s="1"/>
  <c r="L451" i="37" s="1"/>
  <c r="O67" i="111"/>
  <c r="O175" i="37" s="1"/>
  <c r="O349" i="37"/>
  <c r="K38" i="111"/>
  <c r="K184" i="37" s="1"/>
  <c r="K367" i="37"/>
  <c r="J341" i="111"/>
  <c r="J163" i="111" s="1"/>
  <c r="J428" i="37" s="1"/>
  <c r="J350" i="111"/>
  <c r="J169" i="111" s="1"/>
  <c r="J457" i="37" s="1"/>
  <c r="K311" i="111"/>
  <c r="K151" i="111" s="1"/>
  <c r="K452" i="37" s="1"/>
  <c r="D13" i="16"/>
  <c r="L283" i="111"/>
  <c r="L143" i="111" s="1"/>
  <c r="L422" i="37" s="1"/>
  <c r="N79" i="111"/>
  <c r="N185" i="37" s="1"/>
  <c r="N377" i="37"/>
  <c r="K305" i="111"/>
  <c r="K144" i="111" s="1"/>
  <c r="K423" i="37" s="1"/>
  <c r="M305" i="111"/>
  <c r="M144" i="111" s="1"/>
  <c r="M423" i="37" s="1"/>
  <c r="J369" i="111"/>
  <c r="J164" i="111" s="1"/>
  <c r="N378" i="111"/>
  <c r="N170" i="111" s="1"/>
  <c r="J292" i="111"/>
  <c r="J150" i="111" s="1"/>
  <c r="J451" i="37" s="1"/>
  <c r="O79" i="111"/>
  <c r="O185" i="37" s="1"/>
  <c r="O377" i="37"/>
  <c r="O305" i="111"/>
  <c r="O144" i="111" s="1"/>
  <c r="O423" i="37" s="1"/>
  <c r="O341" i="111"/>
  <c r="O163" i="111" s="1"/>
  <c r="O428" i="37" s="1"/>
  <c r="D17" i="16"/>
  <c r="M311" i="111"/>
  <c r="M151" i="111" s="1"/>
  <c r="M452" i="37" s="1"/>
  <c r="L378" i="111"/>
  <c r="L170" i="111" s="1"/>
  <c r="M292" i="111"/>
  <c r="M150" i="111" s="1"/>
  <c r="M451" i="37" s="1"/>
  <c r="J38" i="111"/>
  <c r="J184" i="37" s="1"/>
  <c r="J367" i="37"/>
  <c r="O311" i="111"/>
  <c r="O151" i="111" s="1"/>
  <c r="O452" i="37" s="1"/>
  <c r="J252" i="111"/>
  <c r="J436" i="37" s="1"/>
  <c r="N341" i="111"/>
  <c r="N163" i="111" s="1"/>
  <c r="N428" i="37" s="1"/>
  <c r="O350" i="111"/>
  <c r="O169" i="111" s="1"/>
  <c r="O457" i="37" s="1"/>
  <c r="O378" i="111"/>
  <c r="O170" i="111" s="1"/>
  <c r="K292" i="111"/>
  <c r="K150" i="111" s="1"/>
  <c r="K451" i="37" s="1"/>
  <c r="L29" i="111"/>
  <c r="L174" i="37" s="1"/>
  <c r="L339" i="37"/>
  <c r="N29" i="111"/>
  <c r="N174" i="37" s="1"/>
  <c r="N339" i="37"/>
  <c r="N283" i="111"/>
  <c r="N143" i="111" s="1"/>
  <c r="N422" i="37" s="1"/>
  <c r="N350" i="111"/>
  <c r="N169" i="111" s="1"/>
  <c r="N457" i="37" s="1"/>
  <c r="J311" i="111"/>
  <c r="J151" i="111" s="1"/>
  <c r="J452" i="37" s="1"/>
  <c r="D14" i="16"/>
  <c r="D12" i="16"/>
  <c r="J65" i="154" l="1"/>
  <c r="J136" i="154" s="1"/>
  <c r="L65" i="154"/>
  <c r="L136" i="154" s="1"/>
  <c r="O65" i="154"/>
  <c r="O136" i="154" s="1"/>
  <c r="K65" i="154"/>
  <c r="K136" i="154" s="1"/>
  <c r="N65" i="154"/>
  <c r="N136" i="154" s="1"/>
  <c r="M65" i="154"/>
  <c r="M136" i="154" s="1"/>
  <c r="J65" i="151"/>
  <c r="J136" i="151" s="1"/>
  <c r="N78" i="153"/>
  <c r="N138" i="153" s="1"/>
  <c r="K65" i="155"/>
  <c r="K136" i="155" s="1"/>
  <c r="N65" i="155"/>
  <c r="N136" i="155" s="1"/>
  <c r="L65" i="155"/>
  <c r="L136" i="155" s="1"/>
  <c r="J78" i="153"/>
  <c r="J138" i="153" s="1"/>
  <c r="K78" i="153"/>
  <c r="K138" i="153" s="1"/>
  <c r="M65" i="151"/>
  <c r="M136" i="151" s="1"/>
  <c r="K65" i="151"/>
  <c r="K136" i="151" s="1"/>
  <c r="O65" i="151"/>
  <c r="O136" i="151" s="1"/>
  <c r="L78" i="153"/>
  <c r="L138" i="153" s="1"/>
  <c r="L78" i="151"/>
  <c r="L138" i="151" s="1"/>
  <c r="M65" i="155"/>
  <c r="M136" i="155" s="1"/>
  <c r="L78" i="152"/>
  <c r="L138" i="152" s="1"/>
  <c r="J78" i="155"/>
  <c r="J138" i="155" s="1"/>
  <c r="O78" i="151"/>
  <c r="O138" i="151" s="1"/>
  <c r="O78" i="154"/>
  <c r="O138" i="154" s="1"/>
  <c r="K78" i="155"/>
  <c r="K138" i="155" s="1"/>
  <c r="J78" i="152"/>
  <c r="J138" i="152" s="1"/>
  <c r="K78" i="152"/>
  <c r="K138" i="152" s="1"/>
  <c r="N78" i="152"/>
  <c r="N138" i="152" s="1"/>
  <c r="J65" i="155"/>
  <c r="J136" i="155" s="1"/>
  <c r="N78" i="151"/>
  <c r="N138" i="151" s="1"/>
  <c r="O78" i="155"/>
  <c r="O138" i="155" s="1"/>
  <c r="K78" i="156"/>
  <c r="K138" i="156" s="1"/>
  <c r="J78" i="156"/>
  <c r="J138" i="156" s="1"/>
  <c r="K78" i="151"/>
  <c r="K138" i="151" s="1"/>
  <c r="J78" i="151"/>
  <c r="J138" i="151" s="1"/>
  <c r="M78" i="154"/>
  <c r="M138" i="154" s="1"/>
  <c r="N78" i="156"/>
  <c r="N138" i="156" s="1"/>
  <c r="M78" i="153"/>
  <c r="M138" i="153" s="1"/>
  <c r="J78" i="154"/>
  <c r="J138" i="154" s="1"/>
  <c r="O78" i="156"/>
  <c r="O138" i="156" s="1"/>
  <c r="M78" i="152"/>
  <c r="M138" i="152" s="1"/>
  <c r="O78" i="152"/>
  <c r="O138" i="152" s="1"/>
  <c r="N78" i="155"/>
  <c r="N138" i="155" s="1"/>
  <c r="N78" i="154"/>
  <c r="N138" i="154" s="1"/>
  <c r="K78" i="154"/>
  <c r="K138" i="154" s="1"/>
  <c r="O78" i="153"/>
  <c r="O138" i="153" s="1"/>
  <c r="L78" i="155"/>
  <c r="L138" i="155" s="1"/>
  <c r="L78" i="154"/>
  <c r="L138" i="154" s="1"/>
  <c r="M78" i="155"/>
  <c r="M138" i="155" s="1"/>
  <c r="L78" i="156"/>
  <c r="L138" i="156" s="1"/>
  <c r="M78" i="156"/>
  <c r="M138" i="156" s="1"/>
  <c r="M78" i="151"/>
  <c r="M138" i="151" s="1"/>
  <c r="L65" i="151"/>
  <c r="L136" i="151" s="1"/>
  <c r="N65" i="151"/>
  <c r="N136" i="151" s="1"/>
  <c r="M65" i="156"/>
  <c r="M136" i="156" s="1"/>
  <c r="O65" i="155"/>
  <c r="O136" i="155" s="1"/>
  <c r="K65" i="156"/>
  <c r="K136" i="156" s="1"/>
  <c r="M65" i="152"/>
  <c r="M136" i="152" s="1"/>
  <c r="L65" i="156"/>
  <c r="L136" i="156" s="1"/>
  <c r="O65" i="156"/>
  <c r="O136" i="156" s="1"/>
  <c r="L65" i="153"/>
  <c r="L136" i="153" s="1"/>
  <c r="N65" i="152"/>
  <c r="N136" i="152" s="1"/>
  <c r="J65" i="152"/>
  <c r="J136" i="152" s="1"/>
  <c r="J65" i="153"/>
  <c r="J136" i="153" s="1"/>
  <c r="O65" i="152"/>
  <c r="O136" i="152" s="1"/>
  <c r="M65" i="153"/>
  <c r="M136" i="153" s="1"/>
  <c r="L65" i="152"/>
  <c r="L136" i="152" s="1"/>
  <c r="N65" i="153"/>
  <c r="N136" i="153" s="1"/>
  <c r="J65" i="156"/>
  <c r="J136" i="156" s="1"/>
  <c r="N65" i="156"/>
  <c r="N136" i="156" s="1"/>
  <c r="K65" i="153"/>
  <c r="K136" i="153" s="1"/>
  <c r="O65" i="153"/>
  <c r="O136" i="153" s="1"/>
  <c r="K65" i="152"/>
  <c r="K136" i="152" s="1"/>
  <c r="K26" i="151"/>
  <c r="K26" i="152"/>
  <c r="M26" i="151"/>
  <c r="K26" i="153"/>
  <c r="L26" i="151"/>
  <c r="N26" i="151"/>
  <c r="J26" i="151"/>
  <c r="J26" i="152"/>
  <c r="N26" i="152"/>
  <c r="J26" i="153"/>
  <c r="L26" i="152"/>
  <c r="N26" i="155"/>
  <c r="O26" i="152"/>
  <c r="M26" i="152"/>
  <c r="L26" i="153"/>
  <c r="O26" i="155"/>
  <c r="L26" i="155"/>
  <c r="J26" i="155"/>
  <c r="M26" i="156"/>
  <c r="M26" i="155"/>
  <c r="L26" i="156"/>
  <c r="N26" i="153"/>
  <c r="K26" i="155"/>
  <c r="O26" i="151"/>
  <c r="O26" i="154"/>
  <c r="N26" i="154"/>
  <c r="L26" i="154"/>
  <c r="K26" i="156"/>
  <c r="M26" i="153"/>
  <c r="M26" i="154"/>
  <c r="J26" i="156"/>
  <c r="K26" i="154"/>
  <c r="O26" i="153"/>
  <c r="J26" i="154"/>
  <c r="O26" i="156"/>
  <c r="N26" i="156"/>
  <c r="O78" i="144"/>
  <c r="O138" i="144" s="1"/>
  <c r="K78" i="144"/>
  <c r="K138" i="144" s="1"/>
  <c r="J78" i="144"/>
  <c r="J138" i="144" s="1"/>
  <c r="M78" i="144"/>
  <c r="M138" i="144" s="1"/>
  <c r="N78" i="144"/>
  <c r="N138" i="144" s="1"/>
  <c r="L78" i="144"/>
  <c r="L138" i="144" s="1"/>
  <c r="O65" i="144"/>
  <c r="O136" i="144" s="1"/>
  <c r="M65" i="144"/>
  <c r="M136" i="144" s="1"/>
  <c r="N65" i="144"/>
  <c r="N136" i="144" s="1"/>
  <c r="K65" i="144"/>
  <c r="K136" i="144" s="1"/>
  <c r="L65" i="144"/>
  <c r="L136" i="144" s="1"/>
  <c r="J65" i="144"/>
  <c r="J136" i="144" s="1"/>
  <c r="O26" i="144"/>
  <c r="K26" i="144"/>
  <c r="J26" i="144"/>
  <c r="M26" i="144"/>
  <c r="N26" i="144"/>
  <c r="L26" i="144"/>
  <c r="J120" i="142"/>
  <c r="L61" i="142"/>
  <c r="N54" i="142"/>
  <c r="K60" i="142"/>
  <c r="K62" i="142"/>
  <c r="L62" i="142"/>
  <c r="K57" i="142"/>
  <c r="L57" i="142"/>
  <c r="O59" i="142"/>
  <c r="J64" i="142"/>
  <c r="J122" i="142" s="1"/>
  <c r="K54" i="142"/>
  <c r="L54" i="142"/>
  <c r="N58" i="142"/>
  <c r="M55" i="142"/>
  <c r="N55" i="142"/>
  <c r="K61" i="142"/>
  <c r="O62" i="142"/>
  <c r="K55" i="142"/>
  <c r="L55" i="142"/>
  <c r="M56" i="142"/>
  <c r="N56" i="142"/>
  <c r="M61" i="142"/>
  <c r="L63" i="142"/>
  <c r="M62" i="142"/>
  <c r="N62" i="142"/>
  <c r="O63" i="142"/>
  <c r="O54" i="142"/>
  <c r="O56" i="142"/>
  <c r="O57" i="142"/>
  <c r="K58" i="142"/>
  <c r="L58" i="142"/>
  <c r="M59" i="142"/>
  <c r="N59" i="142"/>
  <c r="M54" i="142"/>
  <c r="L56" i="142"/>
  <c r="K56" i="142"/>
  <c r="N57" i="142"/>
  <c r="K59" i="142"/>
  <c r="L59" i="142"/>
  <c r="O60" i="142"/>
  <c r="O55" i="142"/>
  <c r="M58" i="142"/>
  <c r="N61" i="142"/>
  <c r="M63" i="142"/>
  <c r="O58" i="142"/>
  <c r="L60" i="142"/>
  <c r="O61" i="142"/>
  <c r="M57" i="142"/>
  <c r="M60" i="142"/>
  <c r="N60" i="142"/>
  <c r="K63" i="142"/>
  <c r="N63" i="142"/>
  <c r="K51" i="142"/>
  <c r="K120" i="142" s="1"/>
  <c r="L51" i="142"/>
  <c r="L120" i="142" s="1"/>
  <c r="O51" i="142"/>
  <c r="O120" i="142" s="1"/>
  <c r="N51" i="142"/>
  <c r="N120" i="142" s="1"/>
  <c r="M51" i="142"/>
  <c r="M120" i="142" s="1"/>
  <c r="J25" i="142"/>
  <c r="N38" i="142"/>
  <c r="M38" i="142"/>
  <c r="K38" i="142"/>
  <c r="L38" i="142"/>
  <c r="O38" i="142"/>
  <c r="N25" i="142"/>
  <c r="O25" i="142"/>
  <c r="K25" i="142"/>
  <c r="L25" i="142"/>
  <c r="M25" i="142"/>
  <c r="N19" i="37"/>
  <c r="N272" i="37"/>
  <c r="N38" i="37"/>
  <c r="N293" i="37"/>
  <c r="O37" i="37"/>
  <c r="O292" i="37"/>
  <c r="O19" i="37"/>
  <c r="O272" i="37"/>
  <c r="L19" i="37"/>
  <c r="L272" i="37"/>
  <c r="K37" i="37"/>
  <c r="K292" i="37"/>
  <c r="J37" i="37"/>
  <c r="J292" i="37"/>
  <c r="N37" i="37"/>
  <c r="N292" i="37"/>
  <c r="K19" i="37"/>
  <c r="K272" i="37"/>
  <c r="O20" i="37"/>
  <c r="O273" i="37"/>
  <c r="M37" i="37"/>
  <c r="M292" i="37"/>
  <c r="N20" i="37"/>
  <c r="N273" i="37"/>
  <c r="O38" i="37"/>
  <c r="O293" i="37"/>
  <c r="J19" i="37"/>
  <c r="J272" i="37"/>
  <c r="M19" i="37"/>
  <c r="M272" i="37"/>
  <c r="L37" i="37"/>
  <c r="L292" i="37"/>
  <c r="J437" i="37"/>
  <c r="J43" i="37" s="1"/>
  <c r="M458" i="37"/>
  <c r="M46" i="37" s="1"/>
  <c r="J408" i="37"/>
  <c r="J25" i="37" s="1"/>
  <c r="J90" i="37"/>
  <c r="M171" i="111"/>
  <c r="M188" i="37" s="1"/>
  <c r="K90" i="37"/>
  <c r="M90" i="37"/>
  <c r="N90" i="37"/>
  <c r="O90" i="37"/>
  <c r="L90" i="37"/>
  <c r="L760" i="35"/>
  <c r="L414" i="37" s="1"/>
  <c r="J1167" i="35"/>
  <c r="J417" i="37" s="1"/>
  <c r="N1574" i="35"/>
  <c r="N415" i="37" s="1"/>
  <c r="L1574" i="35"/>
  <c r="L415" i="37" s="1"/>
  <c r="M353" i="35"/>
  <c r="M413" i="37" s="1"/>
  <c r="N1575" i="35"/>
  <c r="N444" i="37" s="1"/>
  <c r="J1168" i="35"/>
  <c r="J446" i="37" s="1"/>
  <c r="K339" i="19"/>
  <c r="K440" i="37" s="1"/>
  <c r="K338" i="19"/>
  <c r="K411" i="37" s="1"/>
  <c r="J2388" i="35"/>
  <c r="J418" i="37" s="1"/>
  <c r="M1167" i="35"/>
  <c r="M417" i="37" s="1"/>
  <c r="M1168" i="35"/>
  <c r="M446" i="37" s="1"/>
  <c r="L1575" i="35"/>
  <c r="L444" i="37" s="1"/>
  <c r="K1168" i="35"/>
  <c r="K446" i="37" s="1"/>
  <c r="N339" i="19"/>
  <c r="N440" i="37" s="1"/>
  <c r="M354" i="35"/>
  <c r="M442" i="37" s="1"/>
  <c r="L761" i="35"/>
  <c r="L443" i="37" s="1"/>
  <c r="M2389" i="35"/>
  <c r="M447" i="37" s="1"/>
  <c r="J2389" i="35"/>
  <c r="J447" i="37" s="1"/>
  <c r="K1574" i="35"/>
  <c r="K415" i="37" s="1"/>
  <c r="K1575" i="35"/>
  <c r="K444" i="37" s="1"/>
  <c r="O171" i="111"/>
  <c r="O188" i="37" s="1"/>
  <c r="O458" i="37"/>
  <c r="O46" i="37" s="1"/>
  <c r="K353" i="35"/>
  <c r="K413" i="37" s="1"/>
  <c r="K354" i="35"/>
  <c r="K442" i="37" s="1"/>
  <c r="K171" i="111"/>
  <c r="K188" i="37" s="1"/>
  <c r="K458" i="37"/>
  <c r="K46" i="37" s="1"/>
  <c r="O1574" i="35"/>
  <c r="O415" i="37" s="1"/>
  <c r="O1575" i="35"/>
  <c r="O444" i="37" s="1"/>
  <c r="L1981" i="35"/>
  <c r="L416" i="37" s="1"/>
  <c r="L1982" i="35"/>
  <c r="L445" i="37" s="1"/>
  <c r="J354" i="35"/>
  <c r="J442" i="37" s="1"/>
  <c r="J353" i="35"/>
  <c r="J413" i="37" s="1"/>
  <c r="K2388" i="35"/>
  <c r="K418" i="37" s="1"/>
  <c r="K2389" i="35"/>
  <c r="K447" i="37" s="1"/>
  <c r="N348" i="31"/>
  <c r="N441" i="37" s="1"/>
  <c r="N347" i="31"/>
  <c r="N412" i="37" s="1"/>
  <c r="N165" i="111"/>
  <c r="N178" i="37" s="1"/>
  <c r="N429" i="37"/>
  <c r="N28" i="37" s="1"/>
  <c r="L2388" i="35"/>
  <c r="L418" i="37" s="1"/>
  <c r="L2389" i="35"/>
  <c r="L447" i="37" s="1"/>
  <c r="L353" i="35"/>
  <c r="L413" i="37" s="1"/>
  <c r="L354" i="35"/>
  <c r="L442" i="37" s="1"/>
  <c r="M347" i="31"/>
  <c r="M412" i="37" s="1"/>
  <c r="M348" i="31"/>
  <c r="M441" i="37" s="1"/>
  <c r="N454" i="37"/>
  <c r="N45" i="37" s="1"/>
  <c r="N153" i="111"/>
  <c r="N187" i="37" s="1"/>
  <c r="J761" i="35"/>
  <c r="J443" i="37" s="1"/>
  <c r="J760" i="35"/>
  <c r="J414" i="37" s="1"/>
  <c r="M338" i="19"/>
  <c r="M411" i="37" s="1"/>
  <c r="M339" i="19"/>
  <c r="M440" i="37" s="1"/>
  <c r="M146" i="111"/>
  <c r="M177" i="37" s="1"/>
  <c r="M425" i="37"/>
  <c r="M27" i="37" s="1"/>
  <c r="J1574" i="35"/>
  <c r="J415" i="37" s="1"/>
  <c r="J1575" i="35"/>
  <c r="J444" i="37" s="1"/>
  <c r="O339" i="19"/>
  <c r="O440" i="37" s="1"/>
  <c r="O338" i="19"/>
  <c r="O411" i="37" s="1"/>
  <c r="J153" i="111"/>
  <c r="J187" i="37" s="1"/>
  <c r="J454" i="37"/>
  <c r="J45" i="37" s="1"/>
  <c r="O760" i="35"/>
  <c r="O414" i="37" s="1"/>
  <c r="O761" i="35"/>
  <c r="O443" i="37" s="1"/>
  <c r="M429" i="37"/>
  <c r="M28" i="37" s="1"/>
  <c r="M165" i="111"/>
  <c r="M178" i="37" s="1"/>
  <c r="K760" i="35"/>
  <c r="K414" i="37" s="1"/>
  <c r="K761" i="35"/>
  <c r="K443" i="37" s="1"/>
  <c r="K153" i="111"/>
  <c r="K187" i="37" s="1"/>
  <c r="K454" i="37"/>
  <c r="K45" i="37" s="1"/>
  <c r="N1982" i="35"/>
  <c r="N445" i="37" s="1"/>
  <c r="N1981" i="35"/>
  <c r="N416" i="37" s="1"/>
  <c r="O1982" i="35"/>
  <c r="O445" i="37" s="1"/>
  <c r="O1981" i="35"/>
  <c r="O416" i="37" s="1"/>
  <c r="M2388" i="35"/>
  <c r="M418" i="37" s="1"/>
  <c r="N760" i="35"/>
  <c r="N414" i="37" s="1"/>
  <c r="N761" i="35"/>
  <c r="N443" i="37" s="1"/>
  <c r="K1167" i="35"/>
  <c r="K417" i="37" s="1"/>
  <c r="O153" i="111"/>
  <c r="O187" i="37" s="1"/>
  <c r="J1981" i="35"/>
  <c r="J416" i="37" s="1"/>
  <c r="J1982" i="35"/>
  <c r="J445" i="37" s="1"/>
  <c r="N353" i="35"/>
  <c r="N413" i="37" s="1"/>
  <c r="N354" i="35"/>
  <c r="N442" i="37" s="1"/>
  <c r="N393" i="19"/>
  <c r="N92" i="37" s="1"/>
  <c r="O454" i="37"/>
  <c r="O45" i="37" s="1"/>
  <c r="L1168" i="35"/>
  <c r="L446" i="37" s="1"/>
  <c r="L1167" i="35"/>
  <c r="L417" i="37" s="1"/>
  <c r="L153" i="111"/>
  <c r="L187" i="37" s="1"/>
  <c r="L454" i="37"/>
  <c r="L45" i="37" s="1"/>
  <c r="I174" i="37"/>
  <c r="K1981" i="35"/>
  <c r="K416" i="37" s="1"/>
  <c r="K1982" i="35"/>
  <c r="K445" i="37" s="1"/>
  <c r="K146" i="111"/>
  <c r="K177" i="37" s="1"/>
  <c r="K425" i="37"/>
  <c r="K27" i="37" s="1"/>
  <c r="O353" i="35"/>
  <c r="O413" i="37" s="1"/>
  <c r="O354" i="35"/>
  <c r="O442" i="37" s="1"/>
  <c r="N1167" i="35"/>
  <c r="N417" i="37" s="1"/>
  <c r="N1168" i="35"/>
  <c r="N446" i="37" s="1"/>
  <c r="N171" i="111"/>
  <c r="N188" i="37" s="1"/>
  <c r="N458" i="37"/>
  <c r="N46" i="37" s="1"/>
  <c r="O1167" i="35"/>
  <c r="O417" i="37" s="1"/>
  <c r="O1168" i="35"/>
  <c r="O446" i="37" s="1"/>
  <c r="I184" i="37"/>
  <c r="M760" i="35"/>
  <c r="M414" i="37" s="1"/>
  <c r="M761" i="35"/>
  <c r="M443" i="37" s="1"/>
  <c r="O348" i="31"/>
  <c r="O441" i="37" s="1"/>
  <c r="O347" i="31"/>
  <c r="O412" i="37" s="1"/>
  <c r="L339" i="19"/>
  <c r="L440" i="37" s="1"/>
  <c r="L338" i="19"/>
  <c r="L411" i="37" s="1"/>
  <c r="J146" i="111"/>
  <c r="J177" i="37" s="1"/>
  <c r="J425" i="37"/>
  <c r="J27" i="37" s="1"/>
  <c r="J348" i="31"/>
  <c r="J441" i="37" s="1"/>
  <c r="J347" i="31"/>
  <c r="J412" i="37" s="1"/>
  <c r="L429" i="37"/>
  <c r="L28" i="37" s="1"/>
  <c r="L165" i="111"/>
  <c r="L178" i="37" s="1"/>
  <c r="N146" i="111"/>
  <c r="N177" i="37" s="1"/>
  <c r="N425" i="37"/>
  <c r="N27" i="37" s="1"/>
  <c r="M153" i="111"/>
  <c r="M187" i="37" s="1"/>
  <c r="M454" i="37"/>
  <c r="M45" i="37" s="1"/>
  <c r="O165" i="111"/>
  <c r="O178" i="37" s="1"/>
  <c r="O429" i="37"/>
  <c r="O28" i="37" s="1"/>
  <c r="M1575" i="35"/>
  <c r="M444" i="37" s="1"/>
  <c r="M1574" i="35"/>
  <c r="M415" i="37" s="1"/>
  <c r="J171" i="111"/>
  <c r="J188" i="37" s="1"/>
  <c r="J458" i="37"/>
  <c r="J46" i="37" s="1"/>
  <c r="K347" i="31"/>
  <c r="K412" i="37" s="1"/>
  <c r="K348" i="31"/>
  <c r="K441" i="37" s="1"/>
  <c r="L171" i="111"/>
  <c r="L188" i="37" s="1"/>
  <c r="L458" i="37"/>
  <c r="L46" i="37" s="1"/>
  <c r="K32" i="20"/>
  <c r="L32" i="20"/>
  <c r="M32" i="20"/>
  <c r="N32" i="20"/>
  <c r="O32" i="20"/>
  <c r="J338" i="19"/>
  <c r="J411" i="37" s="1"/>
  <c r="J339" i="19"/>
  <c r="J440" i="37" s="1"/>
  <c r="L146" i="111"/>
  <c r="L177" i="37" s="1"/>
  <c r="L425" i="37"/>
  <c r="L27" i="37" s="1"/>
  <c r="N2388" i="35"/>
  <c r="N418" i="37" s="1"/>
  <c r="N2389" i="35"/>
  <c r="N447" i="37" s="1"/>
  <c r="O2388" i="35"/>
  <c r="O418" i="37" s="1"/>
  <c r="O2389" i="35"/>
  <c r="O447" i="37" s="1"/>
  <c r="J429" i="37"/>
  <c r="J28" i="37" s="1"/>
  <c r="J165" i="111"/>
  <c r="J178" i="37" s="1"/>
  <c r="K429" i="37"/>
  <c r="K28" i="37" s="1"/>
  <c r="K165" i="111"/>
  <c r="K178" i="37" s="1"/>
  <c r="L347" i="31"/>
  <c r="L412" i="37" s="1"/>
  <c r="L348" i="31"/>
  <c r="L441" i="37" s="1"/>
  <c r="O146" i="111"/>
  <c r="O177" i="37" s="1"/>
  <c r="O425" i="37"/>
  <c r="O27" i="37" s="1"/>
  <c r="M1981" i="35"/>
  <c r="M416" i="37" s="1"/>
  <c r="M1982" i="35"/>
  <c r="M445" i="37" s="1"/>
  <c r="H211" i="37"/>
  <c r="V17" i="107"/>
  <c r="V16" i="107"/>
  <c r="N278" i="37" l="1"/>
  <c r="N64" i="142"/>
  <c r="N122" i="142" s="1"/>
  <c r="L64" i="142"/>
  <c r="L122" i="142" s="1"/>
  <c r="O64" i="142"/>
  <c r="O122" i="142" s="1"/>
  <c r="K64" i="142"/>
  <c r="K122" i="142" s="1"/>
  <c r="M64" i="142"/>
  <c r="M122" i="142" s="1"/>
  <c r="N93" i="37"/>
  <c r="J448" i="37"/>
  <c r="J44" i="37" s="1"/>
  <c r="N419" i="37"/>
  <c r="N26" i="37" s="1"/>
  <c r="J419" i="37"/>
  <c r="J26" i="37" s="1"/>
  <c r="N448" i="37"/>
  <c r="N44" i="37" s="1"/>
  <c r="L419" i="37"/>
  <c r="L26" i="37" s="1"/>
  <c r="L448" i="37"/>
  <c r="L44" i="37" s="1"/>
  <c r="O419" i="37"/>
  <c r="O26" i="37" s="1"/>
  <c r="M448" i="37"/>
  <c r="M44" i="37" s="1"/>
  <c r="K419" i="37"/>
  <c r="K26" i="37" s="1"/>
  <c r="O448" i="37"/>
  <c r="O44" i="37" s="1"/>
  <c r="M419" i="37"/>
  <c r="M26" i="37" s="1"/>
  <c r="K448" i="37"/>
  <c r="K44" i="37" s="1"/>
  <c r="M1226" i="35"/>
  <c r="M132" i="37" s="1"/>
  <c r="J2442" i="35"/>
  <c r="J108" i="37" s="1"/>
  <c r="M1222" i="35"/>
  <c r="M301" i="37" s="1"/>
  <c r="K393" i="19"/>
  <c r="K92" i="37" s="1"/>
  <c r="L1629" i="35"/>
  <c r="L302" i="37" s="1"/>
  <c r="K394" i="19"/>
  <c r="K297" i="37" s="1"/>
  <c r="N1629" i="35"/>
  <c r="N302" i="37" s="1"/>
  <c r="K1226" i="35"/>
  <c r="K132" i="37" s="1"/>
  <c r="J1221" i="35"/>
  <c r="J107" i="37" s="1"/>
  <c r="M2446" i="35"/>
  <c r="L819" i="35"/>
  <c r="L126" i="37" s="1"/>
  <c r="L1632" i="35"/>
  <c r="N1633" i="35"/>
  <c r="N130" i="37" s="1"/>
  <c r="M412" i="35"/>
  <c r="L815" i="35"/>
  <c r="L300" i="37" s="1"/>
  <c r="L814" i="35"/>
  <c r="L101" i="37" s="1"/>
  <c r="N1628" i="35"/>
  <c r="J1222" i="35"/>
  <c r="J301" i="37" s="1"/>
  <c r="L1628" i="35"/>
  <c r="L105" i="37" s="1"/>
  <c r="M408" i="35"/>
  <c r="M299" i="37" s="1"/>
  <c r="M407" i="35"/>
  <c r="M100" i="37" s="1"/>
  <c r="J1225" i="35"/>
  <c r="J1226" i="35"/>
  <c r="J132" i="37" s="1"/>
  <c r="N1632" i="35"/>
  <c r="J2443" i="35"/>
  <c r="J304" i="37" s="1"/>
  <c r="L818" i="35"/>
  <c r="I46" i="37"/>
  <c r="I28" i="37"/>
  <c r="K1225" i="35"/>
  <c r="N394" i="19"/>
  <c r="N297" i="37" s="1"/>
  <c r="M411" i="35"/>
  <c r="M1221" i="35"/>
  <c r="M107" i="37" s="1"/>
  <c r="M1225" i="35"/>
  <c r="L1633" i="35"/>
  <c r="L130" i="37" s="1"/>
  <c r="M2447" i="35"/>
  <c r="J2446" i="35"/>
  <c r="J2447" i="35"/>
  <c r="K400" i="31"/>
  <c r="K96" i="37" s="1"/>
  <c r="L393" i="19"/>
  <c r="L92" i="37" s="1"/>
  <c r="O1225" i="35"/>
  <c r="O1226" i="35"/>
  <c r="O132" i="37" s="1"/>
  <c r="N1222" i="35"/>
  <c r="N301" i="37" s="1"/>
  <c r="N1221" i="35"/>
  <c r="I37" i="37"/>
  <c r="I19" i="37"/>
  <c r="J2039" i="35"/>
  <c r="J2040" i="35"/>
  <c r="J131" i="37" s="1"/>
  <c r="O2039" i="35"/>
  <c r="O2040" i="35"/>
  <c r="O131" i="37" s="1"/>
  <c r="N2035" i="35"/>
  <c r="N2036" i="35"/>
  <c r="N303" i="37" s="1"/>
  <c r="K814" i="35"/>
  <c r="K101" i="37" s="1"/>
  <c r="K815" i="35"/>
  <c r="K300" i="37" s="1"/>
  <c r="O394" i="19"/>
  <c r="O297" i="37" s="1"/>
  <c r="J407" i="35"/>
  <c r="J100" i="37" s="1"/>
  <c r="J408" i="35"/>
  <c r="J299" i="37" s="1"/>
  <c r="I178" i="37"/>
  <c r="J394" i="19"/>
  <c r="J297" i="37" s="1"/>
  <c r="L394" i="19"/>
  <c r="L297" i="37" s="1"/>
  <c r="O1221" i="35"/>
  <c r="O1222" i="35"/>
  <c r="O301" i="37" s="1"/>
  <c r="O412" i="35"/>
  <c r="O411" i="35"/>
  <c r="H239" i="37"/>
  <c r="J2035" i="35"/>
  <c r="J106" i="37" s="1"/>
  <c r="J2036" i="35"/>
  <c r="J303" i="37" s="1"/>
  <c r="N2039" i="35"/>
  <c r="N2040" i="35"/>
  <c r="N131" i="37" s="1"/>
  <c r="M394" i="19"/>
  <c r="M297" i="37" s="1"/>
  <c r="N400" i="31"/>
  <c r="N96" i="37" s="1"/>
  <c r="J411" i="35"/>
  <c r="J412" i="35"/>
  <c r="L401" i="31"/>
  <c r="L298" i="37" s="1"/>
  <c r="J393" i="19"/>
  <c r="J92" i="37" s="1"/>
  <c r="J400" i="31"/>
  <c r="J96" i="37" s="1"/>
  <c r="O400" i="31"/>
  <c r="O96" i="37" s="1"/>
  <c r="O408" i="35"/>
  <c r="O299" i="37" s="1"/>
  <c r="O407" i="35"/>
  <c r="O818" i="35"/>
  <c r="O819" i="35"/>
  <c r="O126" i="37" s="1"/>
  <c r="J1632" i="35"/>
  <c r="J1633" i="35"/>
  <c r="J130" i="37" s="1"/>
  <c r="M393" i="19"/>
  <c r="M92" i="37" s="1"/>
  <c r="N401" i="31"/>
  <c r="N298" i="37" s="1"/>
  <c r="L400" i="31"/>
  <c r="L96" i="37" s="1"/>
  <c r="O2447" i="35"/>
  <c r="O2446" i="35"/>
  <c r="J401" i="31"/>
  <c r="J298" i="37" s="1"/>
  <c r="O401" i="31"/>
  <c r="O298" i="37" s="1"/>
  <c r="N411" i="35"/>
  <c r="N412" i="35"/>
  <c r="K1221" i="35"/>
  <c r="K107" i="37" s="1"/>
  <c r="K1222" i="35"/>
  <c r="K301" i="37" s="1"/>
  <c r="O815" i="35"/>
  <c r="O300" i="37" s="1"/>
  <c r="O814" i="35"/>
  <c r="I45" i="37"/>
  <c r="J1629" i="35"/>
  <c r="J302" i="37" s="1"/>
  <c r="J1628" i="35"/>
  <c r="J105" i="37" s="1"/>
  <c r="J814" i="35"/>
  <c r="J101" i="37" s="1"/>
  <c r="J815" i="35"/>
  <c r="J300" i="37" s="1"/>
  <c r="L2446" i="35"/>
  <c r="L2447" i="35"/>
  <c r="M2039" i="35"/>
  <c r="M2040" i="35"/>
  <c r="M131" i="37" s="1"/>
  <c r="O2443" i="35"/>
  <c r="O304" i="37" s="1"/>
  <c r="O2442" i="35"/>
  <c r="M818" i="35"/>
  <c r="M819" i="35"/>
  <c r="M126" i="37" s="1"/>
  <c r="N407" i="35"/>
  <c r="N408" i="35"/>
  <c r="N299" i="37" s="1"/>
  <c r="N818" i="35"/>
  <c r="N819" i="35"/>
  <c r="N126" i="37" s="1"/>
  <c r="I187" i="37"/>
  <c r="J818" i="35"/>
  <c r="J819" i="35"/>
  <c r="J126" i="37" s="1"/>
  <c r="L412" i="35"/>
  <c r="L411" i="35"/>
  <c r="L2442" i="35"/>
  <c r="L108" i="37" s="1"/>
  <c r="L2443" i="35"/>
  <c r="L304" i="37" s="1"/>
  <c r="M2036" i="35"/>
  <c r="M303" i="37" s="1"/>
  <c r="M2035" i="35"/>
  <c r="M106" i="37" s="1"/>
  <c r="N2446" i="35"/>
  <c r="N2447" i="35"/>
  <c r="I188" i="37"/>
  <c r="M814" i="35"/>
  <c r="M101" i="37" s="1"/>
  <c r="M815" i="35"/>
  <c r="M300" i="37" s="1"/>
  <c r="K2039" i="35"/>
  <c r="K2040" i="35"/>
  <c r="K131" i="37" s="1"/>
  <c r="L1221" i="35"/>
  <c r="L107" i="37" s="1"/>
  <c r="L1222" i="35"/>
  <c r="L301" i="37" s="1"/>
  <c r="N814" i="35"/>
  <c r="N815" i="35"/>
  <c r="N300" i="37" s="1"/>
  <c r="L408" i="35"/>
  <c r="L299" i="37" s="1"/>
  <c r="L407" i="35"/>
  <c r="L100" i="37" s="1"/>
  <c r="O1633" i="35"/>
  <c r="O130" i="37" s="1"/>
  <c r="O1632" i="35"/>
  <c r="K1632" i="35"/>
  <c r="K1633" i="35"/>
  <c r="K130" i="37" s="1"/>
  <c r="N2442" i="35"/>
  <c r="N2443" i="35"/>
  <c r="N304" i="37" s="1"/>
  <c r="M1628" i="35"/>
  <c r="M105" i="37" s="1"/>
  <c r="M1629" i="35"/>
  <c r="M302" i="37" s="1"/>
  <c r="I27" i="37"/>
  <c r="K2035" i="35"/>
  <c r="K106" i="37" s="1"/>
  <c r="K2036" i="35"/>
  <c r="K303" i="37" s="1"/>
  <c r="L1225" i="35"/>
  <c r="L1226" i="35"/>
  <c r="L132" i="37" s="1"/>
  <c r="I272" i="37"/>
  <c r="H216" i="37"/>
  <c r="M2442" i="35"/>
  <c r="M108" i="37" s="1"/>
  <c r="M2443" i="35"/>
  <c r="M304" i="37" s="1"/>
  <c r="M401" i="31"/>
  <c r="M298" i="37" s="1"/>
  <c r="K2447" i="35"/>
  <c r="K2446" i="35"/>
  <c r="L2039" i="35"/>
  <c r="L2040" i="35"/>
  <c r="L131" i="37" s="1"/>
  <c r="O1628" i="35"/>
  <c r="O1629" i="35"/>
  <c r="O302" i="37" s="1"/>
  <c r="K412" i="35"/>
  <c r="K411" i="35"/>
  <c r="K1629" i="35"/>
  <c r="K302" i="37" s="1"/>
  <c r="K1628" i="35"/>
  <c r="K105" i="37" s="1"/>
  <c r="K401" i="31"/>
  <c r="K298" i="37" s="1"/>
  <c r="M1632" i="35"/>
  <c r="M1633" i="35"/>
  <c r="M130" i="37" s="1"/>
  <c r="I177" i="37"/>
  <c r="N1226" i="35"/>
  <c r="N132" i="37" s="1"/>
  <c r="N1225" i="35"/>
  <c r="O2035" i="35"/>
  <c r="O2036" i="35"/>
  <c r="O303" i="37" s="1"/>
  <c r="K819" i="35"/>
  <c r="K126" i="37" s="1"/>
  <c r="K818" i="35"/>
  <c r="O393" i="19"/>
  <c r="O92" i="37" s="1"/>
  <c r="M400" i="31"/>
  <c r="M96" i="37" s="1"/>
  <c r="K2443" i="35"/>
  <c r="K304" i="37" s="1"/>
  <c r="K2442" i="35"/>
  <c r="K108" i="37" s="1"/>
  <c r="L2036" i="35"/>
  <c r="L303" i="37" s="1"/>
  <c r="L2035" i="35"/>
  <c r="L106" i="37" s="1"/>
  <c r="K408" i="35"/>
  <c r="K299" i="37" s="1"/>
  <c r="K407" i="35"/>
  <c r="K100" i="37" s="1"/>
  <c r="V18" i="107"/>
  <c r="N285" i="37" l="1"/>
  <c r="N108" i="37"/>
  <c r="I96" i="37"/>
  <c r="N281" i="37"/>
  <c r="N101" i="37"/>
  <c r="N280" i="37"/>
  <c r="N100" i="37"/>
  <c r="O281" i="37"/>
  <c r="O101" i="37"/>
  <c r="O283" i="37"/>
  <c r="O105" i="37"/>
  <c r="O284" i="37"/>
  <c r="O106" i="37"/>
  <c r="N282" i="37"/>
  <c r="N107" i="37"/>
  <c r="O280" i="37"/>
  <c r="O100" i="37"/>
  <c r="N284" i="37"/>
  <c r="N106" i="37"/>
  <c r="N283" i="37"/>
  <c r="N105" i="37"/>
  <c r="O285" i="37"/>
  <c r="O108" i="37"/>
  <c r="O282" i="37"/>
  <c r="O107" i="37"/>
  <c r="L285" i="37"/>
  <c r="J278" i="37"/>
  <c r="K279" i="37"/>
  <c r="M285" i="37"/>
  <c r="J284" i="37"/>
  <c r="M280" i="37"/>
  <c r="K285" i="37"/>
  <c r="K283" i="37"/>
  <c r="K281" i="37"/>
  <c r="K278" i="37"/>
  <c r="O278" i="37"/>
  <c r="L284" i="37"/>
  <c r="M283" i="37"/>
  <c r="L282" i="37"/>
  <c r="L283" i="37"/>
  <c r="M279" i="37"/>
  <c r="M97" i="37"/>
  <c r="L280" i="37"/>
  <c r="K282" i="37"/>
  <c r="N279" i="37"/>
  <c r="J285" i="37"/>
  <c r="M284" i="37"/>
  <c r="J281" i="37"/>
  <c r="L279" i="37"/>
  <c r="J282" i="37"/>
  <c r="K280" i="37"/>
  <c r="K284" i="37"/>
  <c r="J283" i="37"/>
  <c r="O279" i="37"/>
  <c r="M282" i="37"/>
  <c r="L281" i="37"/>
  <c r="M281" i="37"/>
  <c r="M278" i="37"/>
  <c r="J279" i="37"/>
  <c r="L278" i="37"/>
  <c r="J280" i="37"/>
  <c r="K121" i="37"/>
  <c r="K122" i="37" s="1"/>
  <c r="L121" i="37"/>
  <c r="L122" i="37" s="1"/>
  <c r="J133" i="37"/>
  <c r="L125" i="37"/>
  <c r="L133" i="37"/>
  <c r="J125" i="37"/>
  <c r="J117" i="37"/>
  <c r="K93" i="37"/>
  <c r="K133" i="37"/>
  <c r="N133" i="37"/>
  <c r="M133" i="37"/>
  <c r="M121" i="37"/>
  <c r="M122" i="37" s="1"/>
  <c r="O133" i="37"/>
  <c r="N97" i="37"/>
  <c r="O125" i="37"/>
  <c r="K125" i="37"/>
  <c r="N125" i="37"/>
  <c r="L97" i="37"/>
  <c r="M117" i="37"/>
  <c r="M118" i="37" s="1"/>
  <c r="N121" i="37"/>
  <c r="N122" i="37" s="1"/>
  <c r="O121" i="37"/>
  <c r="M93" i="37"/>
  <c r="L117" i="37"/>
  <c r="L118" i="37" s="1"/>
  <c r="L93" i="37"/>
  <c r="J121" i="37"/>
  <c r="O117" i="37"/>
  <c r="K97" i="37"/>
  <c r="N117" i="37"/>
  <c r="N118" i="37" s="1"/>
  <c r="M125" i="37"/>
  <c r="K117" i="37"/>
  <c r="K118" i="37" s="1"/>
  <c r="O208" i="111"/>
  <c r="O380" i="37" s="1"/>
  <c r="O198" i="111"/>
  <c r="O352" i="37" s="1"/>
  <c r="J208" i="111"/>
  <c r="J380" i="37" s="1"/>
  <c r="J198" i="111"/>
  <c r="J352" i="37" s="1"/>
  <c r="L72" i="111"/>
  <c r="L370" i="37" s="1"/>
  <c r="L60" i="111"/>
  <c r="L342" i="37" s="1"/>
  <c r="O230" i="111"/>
  <c r="O381" i="37" s="1"/>
  <c r="O223" i="111"/>
  <c r="O353" i="37" s="1"/>
  <c r="M61" i="111"/>
  <c r="M343" i="37" s="1"/>
  <c r="M73" i="111"/>
  <c r="M371" i="37" s="1"/>
  <c r="J230" i="111"/>
  <c r="J381" i="37" s="1"/>
  <c r="J223" i="111"/>
  <c r="J353" i="37" s="1"/>
  <c r="K235" i="111"/>
  <c r="L235" i="111"/>
  <c r="M235" i="111"/>
  <c r="N235" i="111"/>
  <c r="O235" i="111"/>
  <c r="J73" i="111"/>
  <c r="J371" i="37" s="1"/>
  <c r="J61" i="111"/>
  <c r="J343" i="37" s="1"/>
  <c r="L208" i="111"/>
  <c r="L380" i="37" s="1"/>
  <c r="L198" i="111"/>
  <c r="L352" i="37" s="1"/>
  <c r="N198" i="111"/>
  <c r="N352" i="37" s="1"/>
  <c r="N208" i="111"/>
  <c r="N380" i="37" s="1"/>
  <c r="K208" i="111"/>
  <c r="K380" i="37" s="1"/>
  <c r="K198" i="111"/>
  <c r="K352" i="37" s="1"/>
  <c r="M72" i="111"/>
  <c r="M370" i="37" s="1"/>
  <c r="M60" i="111"/>
  <c r="M342" i="37" s="1"/>
  <c r="J60" i="111"/>
  <c r="J342" i="37" s="1"/>
  <c r="J72" i="111"/>
  <c r="J370" i="37" s="1"/>
  <c r="L230" i="111"/>
  <c r="L381" i="37" s="1"/>
  <c r="L223" i="111"/>
  <c r="L353" i="37" s="1"/>
  <c r="N230" i="111"/>
  <c r="N381" i="37" s="1"/>
  <c r="N223" i="111"/>
  <c r="N353" i="37" s="1"/>
  <c r="K230" i="111"/>
  <c r="K381" i="37" s="1"/>
  <c r="K223" i="111"/>
  <c r="K353" i="37" s="1"/>
  <c r="M208" i="111"/>
  <c r="M380" i="37" s="1"/>
  <c r="M198" i="111"/>
  <c r="M352" i="37" s="1"/>
  <c r="K73" i="111"/>
  <c r="K371" i="37" s="1"/>
  <c r="K61" i="111"/>
  <c r="K343" i="37" s="1"/>
  <c r="M230" i="111"/>
  <c r="M381" i="37" s="1"/>
  <c r="M223" i="111"/>
  <c r="M353" i="37" s="1"/>
  <c r="K60" i="111"/>
  <c r="K342" i="37" s="1"/>
  <c r="K72" i="111"/>
  <c r="K370" i="37" s="1"/>
  <c r="L61" i="111"/>
  <c r="L343" i="37" s="1"/>
  <c r="L73" i="111"/>
  <c r="L371" i="37" s="1"/>
  <c r="K248" i="111" l="1"/>
  <c r="K241" i="111"/>
  <c r="O248" i="111"/>
  <c r="O241" i="111"/>
  <c r="O245" i="111" s="1"/>
  <c r="O407" i="37" s="1"/>
  <c r="N248" i="111"/>
  <c r="N241" i="111"/>
  <c r="N245" i="111" s="1"/>
  <c r="N407" i="37" s="1"/>
  <c r="M248" i="111"/>
  <c r="M241" i="111"/>
  <c r="M245" i="111" s="1"/>
  <c r="M407" i="37" s="1"/>
  <c r="L248" i="111"/>
  <c r="L241" i="111"/>
  <c r="L245" i="111" s="1"/>
  <c r="L407" i="37" s="1"/>
  <c r="N286" i="37"/>
  <c r="K286" i="37"/>
  <c r="L286" i="37"/>
  <c r="M286" i="37"/>
  <c r="J286" i="37"/>
  <c r="O286" i="37"/>
  <c r="M102" i="37"/>
  <c r="L102" i="37"/>
  <c r="I133" i="37"/>
  <c r="J102" i="37"/>
  <c r="K102" i="37"/>
  <c r="N102" i="37"/>
  <c r="O118" i="37"/>
  <c r="O122" i="37"/>
  <c r="O93" i="37"/>
  <c r="O97" i="37"/>
  <c r="O102" i="37"/>
  <c r="O109" i="37"/>
  <c r="K127" i="37"/>
  <c r="L109" i="37"/>
  <c r="K109" i="37"/>
  <c r="J109" i="37"/>
  <c r="M109" i="37"/>
  <c r="N109" i="37"/>
  <c r="O127" i="37"/>
  <c r="M127" i="37"/>
  <c r="I132" i="37"/>
  <c r="K134" i="37"/>
  <c r="L127" i="37"/>
  <c r="I130" i="37"/>
  <c r="J134" i="37"/>
  <c r="L134" i="37"/>
  <c r="I121" i="37"/>
  <c r="J122" i="37"/>
  <c r="J97" i="37"/>
  <c r="M134" i="37"/>
  <c r="I126" i="37"/>
  <c r="N127" i="37"/>
  <c r="I117" i="37"/>
  <c r="J118" i="37"/>
  <c r="O134" i="37"/>
  <c r="J127" i="37"/>
  <c r="I125" i="37"/>
  <c r="I131" i="37"/>
  <c r="N134" i="37"/>
  <c r="J93" i="37"/>
  <c r="O354" i="37"/>
  <c r="L67" i="111"/>
  <c r="L175" i="37" s="1"/>
  <c r="L349" i="37"/>
  <c r="O382" i="37"/>
  <c r="M354" i="37"/>
  <c r="K354" i="37"/>
  <c r="O252" i="111"/>
  <c r="O436" i="37" s="1"/>
  <c r="L79" i="111"/>
  <c r="L185" i="37" s="1"/>
  <c r="L377" i="37"/>
  <c r="K79" i="111"/>
  <c r="K185" i="37" s="1"/>
  <c r="K377" i="37"/>
  <c r="J431" i="37"/>
  <c r="M382" i="37"/>
  <c r="N252" i="111"/>
  <c r="N436" i="37" s="1"/>
  <c r="K67" i="111"/>
  <c r="K175" i="37" s="1"/>
  <c r="K349" i="37"/>
  <c r="J460" i="37"/>
  <c r="K382" i="37"/>
  <c r="L354" i="37"/>
  <c r="M252" i="111"/>
  <c r="M436" i="37" s="1"/>
  <c r="J79" i="111"/>
  <c r="J185" i="37" s="1"/>
  <c r="J377" i="37"/>
  <c r="N382" i="37"/>
  <c r="L382" i="37"/>
  <c r="L252" i="111"/>
  <c r="L436" i="37" s="1"/>
  <c r="J67" i="111"/>
  <c r="J175" i="37" s="1"/>
  <c r="J349" i="37"/>
  <c r="M67" i="111"/>
  <c r="M175" i="37" s="1"/>
  <c r="M349" i="37"/>
  <c r="K252" i="111"/>
  <c r="K436" i="37" s="1"/>
  <c r="K245" i="111"/>
  <c r="K407" i="37" s="1"/>
  <c r="J126" i="111"/>
  <c r="J176" i="37" s="1"/>
  <c r="J354" i="37"/>
  <c r="M79" i="111"/>
  <c r="M185" i="37" s="1"/>
  <c r="M377" i="37"/>
  <c r="N354" i="37"/>
  <c r="J133" i="111"/>
  <c r="J186" i="37" s="1"/>
  <c r="J382" i="37"/>
  <c r="K111" i="37" l="1"/>
  <c r="M111" i="37"/>
  <c r="M39" i="37"/>
  <c r="M294" i="37"/>
  <c r="J21" i="37"/>
  <c r="J274" i="37"/>
  <c r="L21" i="37"/>
  <c r="L274" i="37"/>
  <c r="K21" i="37"/>
  <c r="K274" i="37"/>
  <c r="K39" i="37"/>
  <c r="K294" i="37"/>
  <c r="M21" i="37"/>
  <c r="M274" i="37"/>
  <c r="M38" i="37"/>
  <c r="M293" i="37"/>
  <c r="L39" i="37"/>
  <c r="L294" i="37"/>
  <c r="K38" i="37"/>
  <c r="K293" i="37"/>
  <c r="O39" i="37"/>
  <c r="O40" i="37" s="1"/>
  <c r="O294" i="37"/>
  <c r="N21" i="37"/>
  <c r="N22" i="37" s="1"/>
  <c r="N274" i="37"/>
  <c r="N275" i="37" s="1"/>
  <c r="J20" i="37"/>
  <c r="J273" i="37"/>
  <c r="J39" i="37"/>
  <c r="J294" i="37"/>
  <c r="L20" i="37"/>
  <c r="L273" i="37"/>
  <c r="N39" i="37"/>
  <c r="N40" i="37" s="1"/>
  <c r="N294" i="37"/>
  <c r="K20" i="37"/>
  <c r="K273" i="37"/>
  <c r="M20" i="37"/>
  <c r="M273" i="37"/>
  <c r="J38" i="37"/>
  <c r="J293" i="37"/>
  <c r="L38" i="37"/>
  <c r="L293" i="37"/>
  <c r="O21" i="37"/>
  <c r="O22" i="37" s="1"/>
  <c r="O274" i="37"/>
  <c r="O275" i="37" s="1"/>
  <c r="K408" i="37"/>
  <c r="K25" i="37" s="1"/>
  <c r="K437" i="37"/>
  <c r="K43" i="37" s="1"/>
  <c r="N408" i="37"/>
  <c r="N25" i="37" s="1"/>
  <c r="O408" i="37"/>
  <c r="O25" i="37" s="1"/>
  <c r="O29" i="37" s="1"/>
  <c r="M408" i="37"/>
  <c r="N437" i="37"/>
  <c r="N43" i="37" s="1"/>
  <c r="M437" i="37"/>
  <c r="M43" i="37" s="1"/>
  <c r="O437" i="37"/>
  <c r="L408" i="37"/>
  <c r="L25" i="37" s="1"/>
  <c r="L437" i="37"/>
  <c r="I185" i="37"/>
  <c r="L111" i="37"/>
  <c r="N111" i="37"/>
  <c r="I102" i="37"/>
  <c r="O111" i="37"/>
  <c r="I122" i="37"/>
  <c r="I97" i="37"/>
  <c r="K136" i="37"/>
  <c r="M136" i="37"/>
  <c r="O136" i="37"/>
  <c r="J111" i="37"/>
  <c r="L136" i="37"/>
  <c r="N136" i="37"/>
  <c r="J136" i="37"/>
  <c r="I109" i="37"/>
  <c r="N126" i="111"/>
  <c r="N176" i="37" s="1"/>
  <c r="I134" i="37"/>
  <c r="M356" i="37"/>
  <c r="M358" i="37" s="1"/>
  <c r="M126" i="111"/>
  <c r="M176" i="37" s="1"/>
  <c r="O126" i="111"/>
  <c r="O176" i="37" s="1"/>
  <c r="I26" i="37"/>
  <c r="J29" i="37"/>
  <c r="O384" i="37"/>
  <c r="O386" i="37" s="1"/>
  <c r="J356" i="37"/>
  <c r="J358" i="37" s="1"/>
  <c r="I44" i="37"/>
  <c r="J47" i="37"/>
  <c r="K384" i="37"/>
  <c r="K386" i="37" s="1"/>
  <c r="K126" i="111"/>
  <c r="K176" i="37" s="1"/>
  <c r="O133" i="111"/>
  <c r="O186" i="37" s="1"/>
  <c r="I127" i="37"/>
  <c r="L133" i="111"/>
  <c r="L186" i="37" s="1"/>
  <c r="K356" i="37"/>
  <c r="K358" i="37" s="1"/>
  <c r="N384" i="37"/>
  <c r="N386" i="37" s="1"/>
  <c r="L126" i="111"/>
  <c r="L176" i="37" s="1"/>
  <c r="N356" i="37"/>
  <c r="N358" i="37" s="1"/>
  <c r="M384" i="37"/>
  <c r="M386" i="37" s="1"/>
  <c r="I118" i="37"/>
  <c r="N133" i="111"/>
  <c r="N186" i="37" s="1"/>
  <c r="L384" i="37"/>
  <c r="L386" i="37" s="1"/>
  <c r="I93" i="37"/>
  <c r="J384" i="37"/>
  <c r="J386" i="37" s="1"/>
  <c r="K133" i="111"/>
  <c r="K186" i="37" s="1"/>
  <c r="L356" i="37"/>
  <c r="L358" i="37" s="1"/>
  <c r="M133" i="111"/>
  <c r="M186" i="37" s="1"/>
  <c r="O356" i="37"/>
  <c r="O358" i="37" s="1"/>
  <c r="O431" i="37" l="1"/>
  <c r="K431" i="37"/>
  <c r="M25" i="37"/>
  <c r="M29" i="37" s="1"/>
  <c r="L43" i="37"/>
  <c r="L47" i="37" s="1"/>
  <c r="O43" i="37"/>
  <c r="O47" i="37" s="1"/>
  <c r="O49" i="37" s="1"/>
  <c r="I175" i="37"/>
  <c r="J189" i="37"/>
  <c r="J179" i="37"/>
  <c r="N29" i="37"/>
  <c r="N32" i="37" s="1"/>
  <c r="N431" i="37"/>
  <c r="M47" i="37"/>
  <c r="M460" i="37"/>
  <c r="L29" i="37"/>
  <c r="L431" i="37"/>
  <c r="N47" i="37"/>
  <c r="N49" i="37" s="1"/>
  <c r="N460" i="37"/>
  <c r="K47" i="37"/>
  <c r="K460" i="37"/>
  <c r="K179" i="37"/>
  <c r="I176" i="37"/>
  <c r="I186" i="37"/>
  <c r="O460" i="37"/>
  <c r="K189" i="37"/>
  <c r="M189" i="37"/>
  <c r="L179" i="37"/>
  <c r="L460" i="37"/>
  <c r="M431" i="37"/>
  <c r="N189" i="37"/>
  <c r="N179" i="37"/>
  <c r="O189" i="37"/>
  <c r="O179" i="37"/>
  <c r="I111" i="37"/>
  <c r="H240" i="37"/>
  <c r="L22" i="37"/>
  <c r="K22" i="37"/>
  <c r="K275" i="37"/>
  <c r="L40" i="37"/>
  <c r="L275" i="37"/>
  <c r="O32" i="37"/>
  <c r="I39" i="37"/>
  <c r="K29" i="37"/>
  <c r="H241" i="37"/>
  <c r="I136" i="37"/>
  <c r="I21" i="37"/>
  <c r="M40" i="37"/>
  <c r="I274" i="37"/>
  <c r="H218" i="37"/>
  <c r="K40" i="37"/>
  <c r="I20" i="37"/>
  <c r="J22" i="37"/>
  <c r="J32" i="37" s="1"/>
  <c r="M22" i="37"/>
  <c r="I38" i="37"/>
  <c r="J40" i="37"/>
  <c r="J49" i="37" s="1"/>
  <c r="I273" i="37"/>
  <c r="H217" i="37"/>
  <c r="J275" i="37"/>
  <c r="M275" i="37"/>
  <c r="I43" i="37" l="1"/>
  <c r="L49" i="37"/>
  <c r="I25" i="37"/>
  <c r="M32" i="37"/>
  <c r="M49" i="37"/>
  <c r="L189" i="37"/>
  <c r="M179" i="37"/>
  <c r="L32" i="37"/>
  <c r="K32" i="37"/>
  <c r="K49" i="37"/>
  <c r="I275" i="37"/>
  <c r="I40" i="37"/>
  <c r="H219" i="37"/>
  <c r="H210" i="37" s="1"/>
  <c r="H212" i="37" s="1"/>
  <c r="I22" i="37"/>
  <c r="I32" i="37" l="1"/>
  <c r="I49" i="37"/>
  <c r="H242" i="37"/>
  <c r="I234" i="37" s="1"/>
  <c r="I236" i="37" s="1"/>
  <c r="V7" i="107" l="1"/>
  <c r="V10" i="107" l="1"/>
  <c r="V13" i="107" l="1"/>
  <c r="V19" i="107" s="1"/>
  <c r="K8" i="91" l="1"/>
  <c r="L6" i="4"/>
  <c r="I179" i="37" l="1"/>
  <c r="I189" i="37"/>
  <c r="L8" i="91" l="1"/>
  <c r="M8" i="91" l="1"/>
  <c r="N8" i="91"/>
  <c r="L8" i="4"/>
  <c r="L7" i="4"/>
  <c r="I29" i="37" l="1"/>
  <c r="I47" i="37"/>
  <c r="L6" i="91" l="1"/>
  <c r="N6" i="91"/>
  <c r="O7" i="4"/>
  <c r="O6" i="4"/>
  <c r="M63" i="10"/>
  <c r="I45" i="10" s="1"/>
  <c r="I46" i="10" l="1"/>
  <c r="C3" i="4" s="1"/>
  <c r="B2" i="153" l="1"/>
  <c r="B2" i="147"/>
  <c r="B2" i="144"/>
  <c r="B2" i="152"/>
  <c r="B2" i="146"/>
  <c r="B2" i="151"/>
  <c r="B2" i="145"/>
  <c r="B2" i="156"/>
  <c r="B2" i="150"/>
  <c r="B2" i="155"/>
  <c r="B2" i="149"/>
  <c r="B2" i="143"/>
  <c r="B2" i="154"/>
  <c r="B2" i="148"/>
  <c r="C11" i="141"/>
  <c r="B2" i="142"/>
  <c r="B2" i="140"/>
  <c r="C11" i="135"/>
  <c r="C11" i="126"/>
  <c r="B2" i="120"/>
  <c r="B2" i="119"/>
  <c r="B2" i="121"/>
  <c r="B2" i="123"/>
  <c r="B2" i="122"/>
  <c r="B2" i="118"/>
  <c r="B2" i="116"/>
  <c r="B2" i="117"/>
  <c r="B2" i="114"/>
  <c r="B2" i="115"/>
  <c r="B2" i="110"/>
  <c r="B2" i="112"/>
  <c r="B2" i="111"/>
  <c r="C11" i="106"/>
  <c r="B2" i="107"/>
  <c r="B2" i="104"/>
  <c r="B2" i="105"/>
  <c r="B2" i="101"/>
  <c r="C11" i="100"/>
  <c r="C11" i="99"/>
  <c r="C11" i="102"/>
  <c r="C8" i="6"/>
  <c r="C11" i="91" l="1"/>
  <c r="C11" i="90"/>
  <c r="C11" i="89"/>
  <c r="B2" i="84"/>
  <c r="B2" i="42"/>
  <c r="B2" i="20"/>
  <c r="B2" i="30"/>
  <c r="B2" i="13"/>
  <c r="B2" i="19"/>
  <c r="B2" i="5"/>
  <c r="B2" i="17"/>
  <c r="B2" i="14"/>
  <c r="B2" i="32"/>
  <c r="B2" i="34"/>
  <c r="B2" i="65"/>
  <c r="B2" i="18"/>
  <c r="B2" i="10"/>
  <c r="B2" i="51"/>
  <c r="C11" i="9"/>
  <c r="B2" i="29"/>
  <c r="B2" i="11"/>
  <c r="C11" i="12"/>
  <c r="B2" i="35"/>
  <c r="B2" i="38"/>
  <c r="B2" i="31"/>
  <c r="B2" i="33"/>
  <c r="C11" i="41"/>
  <c r="C11" i="8"/>
  <c r="B2" i="21"/>
  <c r="B2" i="37"/>
  <c r="B2" i="52"/>
  <c r="B2" i="15"/>
  <c r="B2" i="36"/>
  <c r="B2" i="16"/>
  <c r="B2" i="82"/>
</calcChain>
</file>

<file path=xl/comments1.xml><?xml version="1.0" encoding="utf-8"?>
<comments xmlns="http://schemas.openxmlformats.org/spreadsheetml/2006/main">
  <authors>
    <author>Winthrop Morgan, MPH</author>
    <author>Andrew Ringenbergs</author>
  </authors>
  <commentList>
    <comment ref="D16" authorId="0">
      <text>
        <r>
          <rPr>
            <b/>
            <sz val="9"/>
            <color indexed="81"/>
            <rFont val="Tahoma"/>
            <family val="2"/>
          </rPr>
          <t xml:space="preserve">Winthrop Morgan, MPH:
</t>
        </r>
        <r>
          <rPr>
            <sz val="9"/>
            <color indexed="81"/>
            <rFont val="Tahoma"/>
            <family val="2"/>
          </rPr>
          <t>Currently, model assumes 100%.  This section included for further model expansion.</t>
        </r>
      </text>
    </comment>
    <comment ref="H213" authorId="1">
      <text>
        <r>
          <rPr>
            <b/>
            <sz val="9"/>
            <color indexed="81"/>
            <rFont val="Tahoma"/>
            <family val="2"/>
          </rPr>
          <t xml:space="preserve">Alert Check
</t>
        </r>
        <r>
          <rPr>
            <sz val="9"/>
            <color indexed="81"/>
            <rFont val="Tahoma"/>
            <family val="2"/>
          </rPr>
          <t>Flags the occurrence of designated events.</t>
        </r>
      </text>
    </comment>
  </commentList>
</comments>
</file>

<file path=xl/comments2.xml><?xml version="1.0" encoding="utf-8"?>
<comments xmlns="http://schemas.openxmlformats.org/spreadsheetml/2006/main">
  <authors>
    <author>Win</author>
    <author>Win Morgan</author>
    <author>Andrew Ringenbergs</author>
  </authors>
  <commentList>
    <comment ref="H10" authorId="0">
      <text>
        <r>
          <rPr>
            <b/>
            <sz val="9"/>
            <color indexed="81"/>
            <rFont val="Tahoma"/>
            <family val="2"/>
          </rPr>
          <t xml:space="preserve">Help on Price - Applied Currency
</t>
        </r>
        <r>
          <rPr>
            <sz val="9"/>
            <color indexed="81"/>
            <rFont val="Tahoma"/>
            <family val="2"/>
          </rPr>
          <t>Applied currency is the currency which you will use to enter all price assumptions.  You can choose either US Dollars or your local currency, but not both.</t>
        </r>
      </text>
    </comment>
    <comment ref="H13" authorId="1">
      <text>
        <r>
          <rPr>
            <b/>
            <sz val="9"/>
            <color indexed="81"/>
            <rFont val="Tahoma"/>
            <family val="2"/>
          </rPr>
          <t xml:space="preserve">Tip
</t>
        </r>
        <r>
          <rPr>
            <sz val="9"/>
            <color indexed="81"/>
            <rFont val="Tahoma"/>
            <family val="2"/>
          </rPr>
          <t>In this case, the stock keeping unit refers to the amount of time for which the person is being paid, as indicated in the SKU Indicative Price.  This is often Month, but it can be year, day, or hour.</t>
        </r>
      </text>
    </comment>
    <comment ref="K13" authorId="1">
      <text>
        <r>
          <rPr>
            <b/>
            <sz val="9"/>
            <color indexed="81"/>
            <rFont val="Tahoma"/>
            <family val="2"/>
          </rPr>
          <t xml:space="preserve">Tip:
</t>
        </r>
        <r>
          <rPr>
            <sz val="9"/>
            <color indexed="81"/>
            <rFont val="Tahoma"/>
            <family val="2"/>
          </rPr>
          <t>This will be used to divide into the SKU indicative price.  Standards are customarily 20 days per month, 240 days per year, 8 hours per day, 60 minutes per hour. _x000D_
Therefore, one month equals 20*8*60=9,600 minutes.</t>
        </r>
      </text>
    </comment>
    <comment ref="H46" authorId="0">
      <text>
        <r>
          <rPr>
            <b/>
            <sz val="9"/>
            <color indexed="81"/>
            <rFont val="Tahoma"/>
            <family val="2"/>
          </rPr>
          <t xml:space="preserve">Tip
</t>
        </r>
        <r>
          <rPr>
            <sz val="9"/>
            <color indexed="81"/>
            <rFont val="Tahoma"/>
            <family val="2"/>
          </rPr>
          <t>In this case, the stock keeping unit refers to the amount of time for which the person is being paid, as indicated in the SKU Indicative Price.  This is often Month, but it can be year, day, or hour.</t>
        </r>
      </text>
    </comment>
    <comment ref="G417" authorId="2">
      <text>
        <r>
          <rPr>
            <b/>
            <sz val="9"/>
            <color indexed="81"/>
            <rFont val="Tahoma"/>
            <family val="2"/>
          </rPr>
          <t xml:space="preserve">Alert Check
</t>
        </r>
        <r>
          <rPr>
            <sz val="9"/>
            <color indexed="81"/>
            <rFont val="Tahoma"/>
            <family val="2"/>
          </rPr>
          <t>Flags the occurrence of designated events.</t>
        </r>
      </text>
    </comment>
  </commentList>
</comments>
</file>

<file path=xl/comments3.xml><?xml version="1.0" encoding="utf-8"?>
<comments xmlns="http://schemas.openxmlformats.org/spreadsheetml/2006/main">
  <authors>
    <author>Andrew Ringenbergs</author>
  </authors>
  <commentList>
    <comment ref="I523" authorId="0">
      <text>
        <r>
          <rPr>
            <b/>
            <sz val="9"/>
            <color indexed="81"/>
            <rFont val="Tahoma"/>
            <family val="2"/>
          </rPr>
          <t xml:space="preserve">Alert Check
</t>
        </r>
        <r>
          <rPr>
            <sz val="9"/>
            <color indexed="81"/>
            <rFont val="Tahoma"/>
            <family val="2"/>
          </rPr>
          <t>Flags the occurrence of designated events.</t>
        </r>
      </text>
    </comment>
  </commentList>
</comments>
</file>

<file path=xl/comments4.xml><?xml version="1.0" encoding="utf-8"?>
<comments xmlns="http://schemas.openxmlformats.org/spreadsheetml/2006/main">
  <authors>
    <author>Winthrop Morgan, MPH</author>
    <author>Andrew Ringenbergs</author>
  </authors>
  <commentList>
    <comment ref="H26" authorId="0">
      <text>
        <r>
          <rPr>
            <b/>
            <sz val="9"/>
            <color indexed="81"/>
            <rFont val="Tahoma"/>
            <family val="2"/>
          </rPr>
          <t xml:space="preserve">Winthrop Morgan, MPH:
</t>
        </r>
        <r>
          <rPr>
            <sz val="9"/>
            <color indexed="81"/>
            <rFont val="Tahoma"/>
            <family val="2"/>
          </rPr>
          <t>Enter a whole number value between 0 and 365</t>
        </r>
      </text>
    </comment>
    <comment ref="I26" authorId="0">
      <text>
        <r>
          <rPr>
            <b/>
            <sz val="9"/>
            <color indexed="81"/>
            <rFont val="Tahoma"/>
            <family val="2"/>
          </rPr>
          <t xml:space="preserve">Winthrop Morgan, MPH:
</t>
        </r>
        <r>
          <rPr>
            <sz val="9"/>
            <color indexed="81"/>
            <rFont val="Tahoma"/>
            <family val="2"/>
          </rPr>
          <t>Enter a whole number value between 0 and 24.</t>
        </r>
      </text>
    </comment>
    <comment ref="J26" authorId="0">
      <text>
        <r>
          <rPr>
            <b/>
            <sz val="9"/>
            <color indexed="81"/>
            <rFont val="Tahoma"/>
            <family val="2"/>
          </rPr>
          <t xml:space="preserve">Winthrop Morgan, MPH:
</t>
        </r>
        <r>
          <rPr>
            <sz val="9"/>
            <color indexed="81"/>
            <rFont val="Tahoma"/>
            <family val="2"/>
          </rPr>
          <t>Enter a whol number value between 0 and 60.</t>
        </r>
      </text>
    </comment>
    <comment ref="I541" authorId="1">
      <text>
        <r>
          <rPr>
            <b/>
            <sz val="9"/>
            <color indexed="81"/>
            <rFont val="Tahoma"/>
            <family val="2"/>
          </rPr>
          <t xml:space="preserve">Alert Check
</t>
        </r>
        <r>
          <rPr>
            <sz val="9"/>
            <color indexed="81"/>
            <rFont val="Tahoma"/>
            <family val="2"/>
          </rPr>
          <t>Flags the occurrence of designated events.</t>
        </r>
      </text>
    </comment>
  </commentList>
</comments>
</file>

<file path=xl/comments5.xml><?xml version="1.0" encoding="utf-8"?>
<comments xmlns="http://schemas.openxmlformats.org/spreadsheetml/2006/main">
  <authors>
    <author>Andrew Ringenbergs</author>
  </authors>
  <commentList>
    <comment ref="I579" authorId="0">
      <text>
        <r>
          <rPr>
            <b/>
            <sz val="9"/>
            <color indexed="81"/>
            <rFont val="Tahoma"/>
            <family val="2"/>
          </rPr>
          <t xml:space="preserve">Alert Check
</t>
        </r>
        <r>
          <rPr>
            <sz val="9"/>
            <color indexed="81"/>
            <rFont val="Tahoma"/>
            <family val="2"/>
          </rPr>
          <t>Flags the occurrence of designated events.</t>
        </r>
      </text>
    </comment>
    <comment ref="I1172" authorId="0">
      <text>
        <r>
          <rPr>
            <b/>
            <sz val="9"/>
            <color indexed="81"/>
            <rFont val="Tahoma"/>
            <family val="2"/>
          </rPr>
          <t xml:space="preserve">Alert Check
</t>
        </r>
        <r>
          <rPr>
            <sz val="9"/>
            <color indexed="81"/>
            <rFont val="Tahoma"/>
            <family val="2"/>
          </rPr>
          <t>Flags the occurrence of designated events.</t>
        </r>
      </text>
    </comment>
    <comment ref="I1759" authorId="0">
      <text>
        <r>
          <rPr>
            <b/>
            <sz val="9"/>
            <color indexed="81"/>
            <rFont val="Tahoma"/>
            <family val="2"/>
          </rPr>
          <t xml:space="preserve">Alert Check
</t>
        </r>
        <r>
          <rPr>
            <sz val="9"/>
            <color indexed="81"/>
            <rFont val="Tahoma"/>
            <family val="2"/>
          </rPr>
          <t>Flags the occurrence of designated events.</t>
        </r>
      </text>
    </comment>
    <comment ref="I2351" authorId="0">
      <text>
        <r>
          <rPr>
            <b/>
            <sz val="9"/>
            <color indexed="81"/>
            <rFont val="Tahoma"/>
            <family val="2"/>
          </rPr>
          <t xml:space="preserve">Alert Check
</t>
        </r>
        <r>
          <rPr>
            <sz val="9"/>
            <color indexed="81"/>
            <rFont val="Tahoma"/>
            <family val="2"/>
          </rPr>
          <t>Flags the occurrence of designated events.</t>
        </r>
      </text>
    </comment>
    <comment ref="I2943" authorId="0">
      <text>
        <r>
          <rPr>
            <b/>
            <sz val="9"/>
            <color indexed="81"/>
            <rFont val="Tahoma"/>
            <family val="2"/>
          </rPr>
          <t xml:space="preserve">Alert Check
</t>
        </r>
        <r>
          <rPr>
            <sz val="9"/>
            <color indexed="81"/>
            <rFont val="Tahoma"/>
            <family val="2"/>
          </rPr>
          <t>Flags the occurrence of designated events.</t>
        </r>
      </text>
    </comment>
    <comment ref="I3528" authorId="0">
      <text>
        <r>
          <rPr>
            <b/>
            <sz val="9"/>
            <color indexed="81"/>
            <rFont val="Tahoma"/>
            <family val="2"/>
          </rPr>
          <t xml:space="preserve">Alert Check
</t>
        </r>
        <r>
          <rPr>
            <sz val="9"/>
            <color indexed="81"/>
            <rFont val="Tahoma"/>
            <family val="2"/>
          </rPr>
          <t>Flags the occurrence of designated events.</t>
        </r>
      </text>
    </comment>
  </commentList>
</comments>
</file>

<file path=xl/comments6.xml><?xml version="1.0" encoding="utf-8"?>
<comments xmlns="http://schemas.openxmlformats.org/spreadsheetml/2006/main">
  <authors>
    <author>Win</author>
  </authors>
  <commentList>
    <comment ref="H388" authorId="0">
      <text>
        <r>
          <rPr>
            <b/>
            <sz val="9"/>
            <color indexed="81"/>
            <rFont val="Tahoma"/>
            <family val="2"/>
          </rPr>
          <t xml:space="preserve">Alert Check
</t>
        </r>
        <r>
          <rPr>
            <sz val="9"/>
            <color indexed="81"/>
            <rFont val="Tahoma"/>
            <family val="2"/>
          </rPr>
          <t>Flags the occurrence of designated events.</t>
        </r>
      </text>
    </comment>
  </commentList>
</comments>
</file>

<file path=xl/sharedStrings.xml><?xml version="1.0" encoding="utf-8"?>
<sst xmlns="http://schemas.openxmlformats.org/spreadsheetml/2006/main" count="9723" uniqueCount="2033">
  <si>
    <t>Section &amp; Sheet Titles</t>
  </si>
  <si>
    <t>Cover Notes:</t>
  </si>
  <si>
    <t>Go to Table of Contents</t>
  </si>
  <si>
    <t>Go to Cover Sheet</t>
  </si>
  <si>
    <t>é</t>
  </si>
  <si>
    <t>Section Cover Notes:</t>
  </si>
  <si>
    <t>ç</t>
  </si>
  <si>
    <t>è</t>
  </si>
  <si>
    <t>Outputs</t>
  </si>
  <si>
    <t>Appendices</t>
  </si>
  <si>
    <t>Sub-Section Cover Notes:</t>
  </si>
  <si>
    <t>Checks</t>
  </si>
  <si>
    <t>Error Checks</t>
  </si>
  <si>
    <t>Errors Detected - Summary</t>
  </si>
  <si>
    <t>Check</t>
  </si>
  <si>
    <t>Include?</t>
  </si>
  <si>
    <t>Flag</t>
  </si>
  <si>
    <t>Total Errors:</t>
  </si>
  <si>
    <t>Error Message (Empty if None):</t>
  </si>
  <si>
    <t>Sensitivity Checks</t>
  </si>
  <si>
    <t>Sensitivities Detected - Summary</t>
  </si>
  <si>
    <t>Total Sensitivities:</t>
  </si>
  <si>
    <t>Sensitivity Message (Empty if None):</t>
  </si>
  <si>
    <t>Alert Checks</t>
  </si>
  <si>
    <t>Alerts Detected - Summary</t>
  </si>
  <si>
    <t>Total Alerts:</t>
  </si>
  <si>
    <t>Alert Message (Empty if None):</t>
  </si>
  <si>
    <t>x</t>
  </si>
  <si>
    <t>h</t>
  </si>
  <si>
    <t>O</t>
  </si>
  <si>
    <t>Time Series - Assumptions</t>
  </si>
  <si>
    <t>Lookup Tables</t>
  </si>
  <si>
    <t>Names</t>
  </si>
  <si>
    <t>Time Series - Lookups</t>
  </si>
  <si>
    <t>Annual</t>
  </si>
  <si>
    <t>Model Start Date</t>
  </si>
  <si>
    <t>Model End Date</t>
  </si>
  <si>
    <t>Denomination</t>
  </si>
  <si>
    <t>Denomination Conversion Factor</t>
  </si>
  <si>
    <t>Month Days</t>
  </si>
  <si>
    <t>Month Day</t>
  </si>
  <si>
    <t>LU_TS_Mth_Days</t>
  </si>
  <si>
    <t>Month Names</t>
  </si>
  <si>
    <t>Month Name</t>
  </si>
  <si>
    <t>LU_TS_Mth_Names</t>
  </si>
  <si>
    <t>Periods In Periods</t>
  </si>
  <si>
    <t>Periods In Period</t>
  </si>
  <si>
    <t xml:space="preserve"> </t>
  </si>
  <si>
    <t>Denominations</t>
  </si>
  <si>
    <t>LU_TS_Denom</t>
  </si>
  <si>
    <t>Denomination Conversions</t>
  </si>
  <si>
    <t>Denomination Conversion</t>
  </si>
  <si>
    <t>LU_TS_Denom_Conv</t>
  </si>
  <si>
    <t>TS_Secs_In_Min</t>
  </si>
  <si>
    <t>TS_Mins_In_Hr</t>
  </si>
  <si>
    <t>TS_Hrs_In_Day</t>
  </si>
  <si>
    <t>TS_Days_In_Wk</t>
  </si>
  <si>
    <t>TS_Mths_In_Qtr</t>
  </si>
  <si>
    <t>TS_Mths_In_Half</t>
  </si>
  <si>
    <t>TS_Mths_In_Yr</t>
  </si>
  <si>
    <t>TS_Qtrs_In_Half</t>
  </si>
  <si>
    <t>TS_Qtrs_In_Yr</t>
  </si>
  <si>
    <t>TS_Halves_In_Yr</t>
  </si>
  <si>
    <t>TS_Thousand</t>
  </si>
  <si>
    <t>TS_Million</t>
  </si>
  <si>
    <t>TS_Billion</t>
  </si>
  <si>
    <t>Section 1.</t>
  </si>
  <si>
    <t>a.</t>
  </si>
  <si>
    <t>Section 2.</t>
  </si>
  <si>
    <t>-</t>
  </si>
  <si>
    <t>Period Start Date</t>
  </si>
  <si>
    <t>Period End Date</t>
  </si>
  <si>
    <t>Counter</t>
  </si>
  <si>
    <t>Financial Year</t>
  </si>
  <si>
    <t>Notes</t>
  </si>
  <si>
    <t>Region</t>
  </si>
  <si>
    <t>LU_Reg_Pop_Start_Year</t>
  </si>
  <si>
    <t>Name</t>
  </si>
  <si>
    <t>Visual Inspection with Acetic Acid</t>
  </si>
  <si>
    <t>Short Code</t>
  </si>
  <si>
    <t>VIA</t>
  </si>
  <si>
    <t>Start Year</t>
  </si>
  <si>
    <t>Facility Ref.</t>
  </si>
  <si>
    <t>Microplanning - Assumptions</t>
  </si>
  <si>
    <t>Activities</t>
  </si>
  <si>
    <t>Number of Activities</t>
  </si>
  <si>
    <t>Microplanning - Outputs</t>
  </si>
  <si>
    <t>Training - Assumptions</t>
  </si>
  <si>
    <t>Training - Outputs</t>
  </si>
  <si>
    <t>Activity</t>
  </si>
  <si>
    <t>Amount</t>
  </si>
  <si>
    <t>Training - Lookups</t>
  </si>
  <si>
    <t>LU_Train_Num_Act</t>
  </si>
  <si>
    <t>Activity Numbers</t>
  </si>
  <si>
    <t>Microplanning - Lookups</t>
  </si>
  <si>
    <t>LU_Micro_Num_Act</t>
  </si>
  <si>
    <t>Communication - Outputs</t>
  </si>
  <si>
    <t>Communication - Lookups</t>
  </si>
  <si>
    <t>District</t>
  </si>
  <si>
    <t>Population - Outputs</t>
  </si>
  <si>
    <t>VIA - Lookups</t>
  </si>
  <si>
    <t>Annual Capacity</t>
  </si>
  <si>
    <t>Procedures</t>
  </si>
  <si>
    <t>Maximum Procedures</t>
  </si>
  <si>
    <t>Number of Procedures Performed</t>
  </si>
  <si>
    <t>Supply Costs</t>
  </si>
  <si>
    <t>Item</t>
  </si>
  <si>
    <t>Units per Procedure</t>
  </si>
  <si>
    <t>Cost per Procedure</t>
  </si>
  <si>
    <t>Pre-Procedure Activities</t>
  </si>
  <si>
    <t xml:space="preserve">Procedure </t>
  </si>
  <si>
    <t>Post Procedure Care</t>
  </si>
  <si>
    <t>Minutes</t>
  </si>
  <si>
    <t>Total Hospital Personnel</t>
  </si>
  <si>
    <t>Proportion of Active Hospitals to Active Regions</t>
  </si>
  <si>
    <t>Personnel Costs (Other)</t>
  </si>
  <si>
    <t>Units per Site</t>
  </si>
  <si>
    <t>Facility</t>
  </si>
  <si>
    <t>Financial</t>
  </si>
  <si>
    <t>Economic</t>
  </si>
  <si>
    <t>Equipment Maintenance Add-On</t>
  </si>
  <si>
    <t>Total</t>
  </si>
  <si>
    <t>Total Active Facilities</t>
  </si>
  <si>
    <t>Region Summaries</t>
  </si>
  <si>
    <t>Supervision, Monitoring, and Evaluation - Assumptions</t>
  </si>
  <si>
    <t>Supervision, Monitoring, and Evaluation - Outputs</t>
  </si>
  <si>
    <t>Supervision, Monitoring, and Evaluation - Lookups</t>
  </si>
  <si>
    <t>Number of Visits</t>
  </si>
  <si>
    <t>Monitoring</t>
  </si>
  <si>
    <t>Number of Monitoring Supplies</t>
  </si>
  <si>
    <t>Evaluation</t>
  </si>
  <si>
    <t>Alert Check</t>
  </si>
  <si>
    <t>Yes</t>
  </si>
  <si>
    <t>Regions</t>
  </si>
  <si>
    <t>Annualized Capital Expenditure (Financial)</t>
  </si>
  <si>
    <t>Annualized Capital Expenditure (Economic)</t>
  </si>
  <si>
    <t>Supervision Visits</t>
  </si>
  <si>
    <t>BIOP-H - Outputs</t>
  </si>
  <si>
    <t>BIOP-H - Lookups</t>
  </si>
  <si>
    <t>BIOP-H</t>
  </si>
  <si>
    <t>Biopsy and Histopathology</t>
  </si>
  <si>
    <t>Screened Population</t>
  </si>
  <si>
    <t>Referral Attrition Rate</t>
  </si>
  <si>
    <t>Other Direct Costs (Lab Tests)</t>
  </si>
  <si>
    <t>Service</t>
  </si>
  <si>
    <t>Microplanning</t>
  </si>
  <si>
    <t>Training</t>
  </si>
  <si>
    <t>Communication - Summary</t>
  </si>
  <si>
    <t>Supervision, Monitoring, and Evaluation - Summary</t>
  </si>
  <si>
    <t>Other Costs - Outputs</t>
  </si>
  <si>
    <t>Other Costs</t>
  </si>
  <si>
    <t>Recurrent Cost Category 1</t>
  </si>
  <si>
    <t>Recurrent Cost Category 2</t>
  </si>
  <si>
    <t>Recurrent Cost Category 3</t>
  </si>
  <si>
    <t>Recurrent Cost Category 4</t>
  </si>
  <si>
    <t>Recurrent Cost Category 5</t>
  </si>
  <si>
    <t>Recurrent Cost Category 6</t>
  </si>
  <si>
    <t>Additional Capital Goods</t>
  </si>
  <si>
    <t>Volumes</t>
  </si>
  <si>
    <t>Capital Goods Category 1</t>
  </si>
  <si>
    <t>Capital Goods Category 2</t>
  </si>
  <si>
    <t>Capital Goods Category 3</t>
  </si>
  <si>
    <t>Capital Goods Category 4</t>
  </si>
  <si>
    <t>Capital Goods Category 5</t>
  </si>
  <si>
    <t>Capital Goods Category 6</t>
  </si>
  <si>
    <t>Number</t>
  </si>
  <si>
    <t>Useful Life (Years)</t>
  </si>
  <si>
    <t>Categories</t>
  </si>
  <si>
    <t>Other Costs - Summary</t>
  </si>
  <si>
    <t>Adjustment Factor for Depreciation</t>
  </si>
  <si>
    <t>Recurrent Cost Items</t>
  </si>
  <si>
    <t>Recurrent Costs - Outputs</t>
  </si>
  <si>
    <t>Introduction Costs</t>
  </si>
  <si>
    <t>Social Mobilization &amp; IEC</t>
  </si>
  <si>
    <t>Supervision, Monitoring and Evaluation</t>
  </si>
  <si>
    <t>Social Mobilization &amp; IEC (Continuing)</t>
  </si>
  <si>
    <t>Number of Facilities</t>
  </si>
  <si>
    <t>Facility Volumes</t>
  </si>
  <si>
    <t>Intervention Methods</t>
  </si>
  <si>
    <t>LEEP - Lookups</t>
  </si>
  <si>
    <t>Chemotherapy - Lookups</t>
  </si>
  <si>
    <t>Chemotherapy</t>
  </si>
  <si>
    <t>Chemo</t>
  </si>
  <si>
    <t>Procedures Per Course</t>
  </si>
  <si>
    <t>Distribute Excess Capacity</t>
  </si>
  <si>
    <t>Excess Capacity</t>
  </si>
  <si>
    <t>Lab Tests &amp; Other Direct Costs</t>
  </si>
  <si>
    <t>Radiotherapy - Lookups</t>
  </si>
  <si>
    <t>Radiotherapy</t>
  </si>
  <si>
    <t>Surgery - Lookups</t>
  </si>
  <si>
    <t>Surgery (Radical Hysterectomy plus Stump Removal)</t>
  </si>
  <si>
    <t>Base Cost</t>
  </si>
  <si>
    <t>Percentage of Screened Population Applicable</t>
  </si>
  <si>
    <t>LU_Screen_Start_Year</t>
  </si>
  <si>
    <t>LU_Screen_Region</t>
  </si>
  <si>
    <t>LU_Diag_Start_Year</t>
  </si>
  <si>
    <t>LU_Diag_Region</t>
  </si>
  <si>
    <t>LU_Intv_Start_Year</t>
  </si>
  <si>
    <t>LU_Intv_Region</t>
  </si>
  <si>
    <t>LU_Intv_2_Start_Year</t>
  </si>
  <si>
    <t>LU_Intv_2_Region</t>
  </si>
  <si>
    <t>LU_Intv_3_Start_Year</t>
  </si>
  <si>
    <t>LU_Intv_3_Region</t>
  </si>
  <si>
    <t>LU_Intv_4_Start_Year</t>
  </si>
  <si>
    <t>LU_Intv_4_Region</t>
  </si>
  <si>
    <t>LU_Intv_5_Start_Year</t>
  </si>
  <si>
    <t>LU_Intv_5_Region</t>
  </si>
  <si>
    <t>LU_Intv_6_Start_Year</t>
  </si>
  <si>
    <t>LU_Intv_6_Region</t>
  </si>
  <si>
    <t>LU_Comm_Num_Act</t>
  </si>
  <si>
    <t>LU_SME_Num_Act</t>
  </si>
  <si>
    <t>USD</t>
  </si>
  <si>
    <t>Currencies</t>
  </si>
  <si>
    <t>Currency</t>
  </si>
  <si>
    <t>LU_Screen_Curr</t>
  </si>
  <si>
    <t>Applicable Currency</t>
  </si>
  <si>
    <t>LU_Screen_Denom</t>
  </si>
  <si>
    <t>LU_Diag_Curr</t>
  </si>
  <si>
    <t>LU_Diag_Denom</t>
  </si>
  <si>
    <t>LU_Intv_Curr</t>
  </si>
  <si>
    <t>LU_Intv_2_Curr</t>
  </si>
  <si>
    <t>LU_Intv_3_Curr</t>
  </si>
  <si>
    <t>LU_Intv_4_Curr</t>
  </si>
  <si>
    <t>LU_Intv_5_Curr</t>
  </si>
  <si>
    <t>LU_Intv_6_Curr</t>
  </si>
  <si>
    <t>LU_Intv_Denom</t>
  </si>
  <si>
    <t>LU_Intv_2_Denom</t>
  </si>
  <si>
    <t>LU_Intv_3_Denom</t>
  </si>
  <si>
    <t>LU_Intv_4_Denom</t>
  </si>
  <si>
    <t>LU_Intv_5_Denom</t>
  </si>
  <si>
    <t>LU_Intv_6_Denom</t>
  </si>
  <si>
    <t>Summary Tables - Lookups</t>
  </si>
  <si>
    <t>LU_Sum_Tbls_Curr</t>
  </si>
  <si>
    <t>LU_Sum_Tbls_Denom</t>
  </si>
  <si>
    <t>Currency Ref.</t>
  </si>
  <si>
    <t>LU_Micro_Curr</t>
  </si>
  <si>
    <t>LU_Micro_Denom</t>
  </si>
  <si>
    <t>LU_Train_Curr</t>
  </si>
  <si>
    <t>LU_Comm_Curr</t>
  </si>
  <si>
    <t>LU_SME_Curr</t>
  </si>
  <si>
    <t>LU_Train_Denom</t>
  </si>
  <si>
    <t>LU_Comm_Denom</t>
  </si>
  <si>
    <t>LU_SME_Denom</t>
  </si>
  <si>
    <t>Other Costs - Lookups</t>
  </si>
  <si>
    <t>LU_Oth_Curr</t>
  </si>
  <si>
    <t>LU_Oth_Denom</t>
  </si>
  <si>
    <t>Service Delivery Outputs - Lookups</t>
  </si>
  <si>
    <t>LU_Serv_Curr</t>
  </si>
  <si>
    <t>LU_Serv_Denom</t>
  </si>
  <si>
    <t>Introduction Costs - Lookups</t>
  </si>
  <si>
    <t>Currencie</t>
  </si>
  <si>
    <t>LU_Intro_Costs_Curr</t>
  </si>
  <si>
    <t>LU_Intro_Costs_Denom</t>
  </si>
  <si>
    <t>Initial Investment Costs - Lookups</t>
  </si>
  <si>
    <t>LU_Init_Inv_Curr</t>
  </si>
  <si>
    <t>LU_Init_Inv_Denom</t>
  </si>
  <si>
    <t>Recurrent Costs - Lookups</t>
  </si>
  <si>
    <t>LU_Recur_Cost_Curr</t>
  </si>
  <si>
    <t>LU_Recur_Cost_Denom</t>
  </si>
  <si>
    <t>Type</t>
  </si>
  <si>
    <t>Total Costs - Lookups</t>
  </si>
  <si>
    <t>LU_Total_Costs_Curr</t>
  </si>
  <si>
    <t>LU_Total_Costs_Denom</t>
  </si>
  <si>
    <t>b.</t>
  </si>
  <si>
    <t>c.</t>
  </si>
  <si>
    <t>d.</t>
  </si>
  <si>
    <t>e.</t>
  </si>
  <si>
    <t>f.</t>
  </si>
  <si>
    <t>General Assumptions</t>
  </si>
  <si>
    <t>Section 3.</t>
  </si>
  <si>
    <t>Referral Proportions</t>
  </si>
  <si>
    <t>Program Start Year</t>
  </si>
  <si>
    <t>Negative Normal Cervix Population</t>
  </si>
  <si>
    <t>Cryo - Lookups</t>
  </si>
  <si>
    <t>Screening Method Distributions</t>
  </si>
  <si>
    <t>Economic Rates</t>
  </si>
  <si>
    <t>Annual Discount Rate</t>
  </si>
  <si>
    <t>% Allocated to Screening &amp; Treatment</t>
  </si>
  <si>
    <t>Places and Facilities</t>
  </si>
  <si>
    <t>Places and Facilities - Lookups</t>
  </si>
  <si>
    <t>Facility 1</t>
  </si>
  <si>
    <t>Facility 2</t>
  </si>
  <si>
    <t>Facility 3</t>
  </si>
  <si>
    <t>Facility 4</t>
  </si>
  <si>
    <t>Facility 5</t>
  </si>
  <si>
    <t>Facility 6</t>
  </si>
  <si>
    <t>Hospital Facilities</t>
  </si>
  <si>
    <t>Total Other Personnel</t>
  </si>
  <si>
    <t>Personnel Costs (Hospital)</t>
  </si>
  <si>
    <t>Name References</t>
  </si>
  <si>
    <t>Expected Unmet Demand for Screening Based on Available Service Capacity and Demand for Screening</t>
  </si>
  <si>
    <t>Predicted Demand for Screening</t>
  </si>
  <si>
    <t>Rate</t>
  </si>
  <si>
    <t>Proportion</t>
  </si>
  <si>
    <t xml:space="preserve">Information Sources and </t>
  </si>
  <si>
    <t>This is an internal draft.  Do not use for a real analysis.</t>
  </si>
  <si>
    <t xml:space="preserve">Current Model Version: </t>
  </si>
  <si>
    <t>Last Opened:</t>
  </si>
  <si>
    <t>Small Precancerous Lesions</t>
  </si>
  <si>
    <t>Initial Screening Method Distributions</t>
  </si>
  <si>
    <t>SURG</t>
  </si>
  <si>
    <t>Prices - Assumptions</t>
  </si>
  <si>
    <t>Applied Currency</t>
  </si>
  <si>
    <t>Prices</t>
  </si>
  <si>
    <t>Prices - Lookups</t>
  </si>
  <si>
    <t>LU_Price_Curr</t>
  </si>
  <si>
    <t>Minute</t>
  </si>
  <si>
    <t>Month</t>
  </si>
  <si>
    <t>Personnel - Hospital</t>
  </si>
  <si>
    <t>LU_Screen_Pers_Hosp</t>
  </si>
  <si>
    <t>Personnel - Other</t>
  </si>
  <si>
    <t>LU_Screen_Pers_Oth</t>
  </si>
  <si>
    <t>Unknown Selection</t>
  </si>
  <si>
    <t>Equipment</t>
  </si>
  <si>
    <t>each</t>
  </si>
  <si>
    <t>LU_Screen_Equip</t>
  </si>
  <si>
    <t>Supplies</t>
  </si>
  <si>
    <t>centilitre</t>
  </si>
  <si>
    <t>1 use</t>
  </si>
  <si>
    <t>1 catheter set</t>
  </si>
  <si>
    <t>50 mg vial</t>
  </si>
  <si>
    <t>1 gram</t>
  </si>
  <si>
    <t>tablet</t>
  </si>
  <si>
    <t>1/15th of a cylinder</t>
  </si>
  <si>
    <t>1/100 of roll</t>
  </si>
  <si>
    <t>set</t>
  </si>
  <si>
    <t>1/100 of tube</t>
  </si>
  <si>
    <t>label</t>
  </si>
  <si>
    <t>10mg</t>
  </si>
  <si>
    <t>one piece</t>
  </si>
  <si>
    <t>one tablet</t>
  </si>
  <si>
    <t>card</t>
  </si>
  <si>
    <t>100ml vial</t>
  </si>
  <si>
    <t>one strip</t>
  </si>
  <si>
    <t>mililiter</t>
  </si>
  <si>
    <t>1/25th</t>
  </si>
  <si>
    <t>cup with lid</t>
  </si>
  <si>
    <t>1 syringe with needle</t>
  </si>
  <si>
    <t>one bag</t>
  </si>
  <si>
    <t>package of 100</t>
  </si>
  <si>
    <t>one stick</t>
  </si>
  <si>
    <t>LU_Screen_Supplies</t>
  </si>
  <si>
    <t>LU_Intv_Pers_Hosp</t>
  </si>
  <si>
    <t>LU_Intv_2_Pers_Hosp</t>
  </si>
  <si>
    <t>LU_Intv_3_Pers_Hosp</t>
  </si>
  <si>
    <t>LU_Intv_4_Pers_Hosp</t>
  </si>
  <si>
    <t>LU_Intv_5_Pers_Hosp</t>
  </si>
  <si>
    <t>LU_Intv_6_Pers_Hosp</t>
  </si>
  <si>
    <t>LU_Intv_Pers_Oth</t>
  </si>
  <si>
    <t>LU_Intv_2_Pers_Oth</t>
  </si>
  <si>
    <t>LU_Intv_3_Pers_Oth</t>
  </si>
  <si>
    <t>LU_Intv_4_Pers_Oth</t>
  </si>
  <si>
    <t>LU_Intv_5_Pers_Oth</t>
  </si>
  <si>
    <t>LU_Intv_6_Pers_Oth</t>
  </si>
  <si>
    <t>LU_Intv_Supplies</t>
  </si>
  <si>
    <t>LU_Intv_2_Supplies</t>
  </si>
  <si>
    <t>LU_Intv_3_Supplies</t>
  </si>
  <si>
    <t>LU_Intv_4_Supplies</t>
  </si>
  <si>
    <t>LU_Intv_5_Supplies</t>
  </si>
  <si>
    <t>LU_Intv_6_Supplies</t>
  </si>
  <si>
    <t>LU_Intv_Equip</t>
  </si>
  <si>
    <t>LU_Intv_2_Equip</t>
  </si>
  <si>
    <t>LU_Intv_3_Equip</t>
  </si>
  <si>
    <t>LU_Intv_4_Equip</t>
  </si>
  <si>
    <t>LU_Intv_5_Equip</t>
  </si>
  <si>
    <t>LU_Intv_6_Equip</t>
  </si>
  <si>
    <t>1 test</t>
  </si>
  <si>
    <t>1 ultrasound</t>
  </si>
  <si>
    <t>1 x-ray</t>
  </si>
  <si>
    <t>1 blood slide</t>
  </si>
  <si>
    <t>Cost associated with keeping a woman in a hospital for one day</t>
  </si>
  <si>
    <t>Cost associated with providing medical care for a woman in a home for one day</t>
  </si>
  <si>
    <t>LU_Intv_Lab_Oth</t>
  </si>
  <si>
    <t>LU_Intv_2_Lab_Oth</t>
  </si>
  <si>
    <t>LU_Intv_3_Lab_Oth</t>
  </si>
  <si>
    <t>LU_Intv_4_Lab_Oth</t>
  </si>
  <si>
    <t>LU_Intv_5_Lab_Oth</t>
  </si>
  <si>
    <t>LU_Intv_6_Lab_Oth</t>
  </si>
  <si>
    <t>LU_Diag_Pers_Hosp</t>
  </si>
  <si>
    <t>LU_Diag_Pers_Oth</t>
  </si>
  <si>
    <t>LU_Diag_Supplies</t>
  </si>
  <si>
    <t>LU_Diag_Equip</t>
  </si>
  <si>
    <t>LU_Diag_Lab_Oth</t>
  </si>
  <si>
    <t>Population Seeking Service (New)</t>
  </si>
  <si>
    <t>Procedures Performed (According to Home Region)</t>
  </si>
  <si>
    <t>Procedure</t>
  </si>
  <si>
    <t>Screening Method Distribution &lt;&gt; 100%</t>
  </si>
  <si>
    <t>Population Seeking Re-Screening</t>
  </si>
  <si>
    <t>Total Population Seeking Screening</t>
  </si>
  <si>
    <t>Years Until Re-Screening</t>
  </si>
  <si>
    <t>Population Seeking Service (Cumulative)</t>
  </si>
  <si>
    <t>Currency Code</t>
  </si>
  <si>
    <t>transport of biopsy to lab, histopathology service, and report</t>
  </si>
  <si>
    <t>Third Administrative Level Reference</t>
  </si>
  <si>
    <t>Personnel Statistical Units Per SKU</t>
  </si>
  <si>
    <t>Other Health Facilities</t>
  </si>
  <si>
    <t>Equipment Type</t>
  </si>
  <si>
    <t>Equipment Useful Life (Years)</t>
  </si>
  <si>
    <t>Supply Type</t>
  </si>
  <si>
    <t>ODC Item</t>
  </si>
  <si>
    <t>1A</t>
  </si>
  <si>
    <t>1B</t>
  </si>
  <si>
    <t>2A</t>
  </si>
  <si>
    <t>2B</t>
  </si>
  <si>
    <t>RADIO</t>
  </si>
  <si>
    <t>Expected Referral Proportions</t>
  </si>
  <si>
    <t>Activity Unit Name</t>
  </si>
  <si>
    <t xml:space="preserve">Supervision Team Activity Type </t>
  </si>
  <si>
    <t>Item Unit</t>
  </si>
  <si>
    <t>Item Allocation</t>
  </si>
  <si>
    <t>Where to Allocate</t>
  </si>
  <si>
    <t xml:space="preserve">Activity </t>
  </si>
  <si>
    <t>Unit Name</t>
  </si>
  <si>
    <t>Other Costs Recurrent and Capital Goods - Assumptions</t>
  </si>
  <si>
    <t>Personnel</t>
  </si>
  <si>
    <t>TOTAL</t>
  </si>
  <si>
    <t>Section 4.</t>
  </si>
  <si>
    <t>Section 5.</t>
  </si>
  <si>
    <t>%</t>
  </si>
  <si>
    <t>Year:</t>
  </si>
  <si>
    <t>Region:</t>
  </si>
  <si>
    <t>ADJUST % of Population Seeking Screening (Re-Screening)</t>
  </si>
  <si>
    <t>Population Segment</t>
  </si>
  <si>
    <t>Note:(first currency is always 1.00)</t>
  </si>
  <si>
    <t>Notes:</t>
  </si>
  <si>
    <t>Formats &amp; Styles Key</t>
  </si>
  <si>
    <t>Color Name</t>
  </si>
  <si>
    <t>Color Description / Purpose</t>
  </si>
  <si>
    <t>Example</t>
  </si>
  <si>
    <t>Font Colors</t>
  </si>
  <si>
    <t>Constant</t>
  </si>
  <si>
    <t>Indicates ranges contain 100% constant (e.g. text/numbers).</t>
  </si>
  <si>
    <t>Formula</t>
  </si>
  <si>
    <t>Indicates ranges contain pure formulas / output calculations.</t>
  </si>
  <si>
    <t>Mixed</t>
  </si>
  <si>
    <t>Indicates ranges contain a mixture of formulas and constants (e.g. formulas that contain embedded text or numbers).</t>
  </si>
  <si>
    <t>Indicates operative checks - normally used as a conditional format.</t>
  </si>
  <si>
    <t>Hyperlink</t>
  </si>
  <si>
    <t>Indicates ranges contain hyperlinks to other ranges within the workbook or to other linked models.</t>
  </si>
  <si>
    <t>Fill Colors</t>
  </si>
  <si>
    <t>Color A</t>
  </si>
  <si>
    <t>Used to distinguish assumption sheets and/or cells.</t>
  </si>
  <si>
    <t>Work In Progress</t>
  </si>
  <si>
    <t>Indicates ranges contain data or formulas that remain uncertain or are subject to change.</t>
  </si>
  <si>
    <t>Color B</t>
  </si>
  <si>
    <t>Used to distinguish assumption sheets and/or cells. May also be used for a custom purpose.</t>
  </si>
  <si>
    <t>Hyperlink Type</t>
  </si>
  <si>
    <t>Hyperlink Description / Purpose</t>
  </si>
  <si>
    <t>Cover Hyperlink</t>
  </si>
  <si>
    <t>Links Contents Sheet to Cover Sheet.</t>
  </si>
  <si>
    <t>Go To Cover Sheet</t>
  </si>
  <si>
    <t>Home Hyperlink</t>
  </si>
  <si>
    <t>Links worksheets to Contents Sheet.</t>
  </si>
  <si>
    <t>Go To Table of Contents</t>
  </si>
  <si>
    <t>Custom Hyperlink</t>
  </si>
  <si>
    <t>Links worksheet ranges to other worksheet ranges in the model.</t>
  </si>
  <si>
    <t>Linked Cell Text</t>
  </si>
  <si>
    <t>Sheet Top Hyperlink</t>
  </si>
  <si>
    <t>Scrolls worksheet to the upper-most viewable section.</t>
  </si>
  <si>
    <t>Sheet Left Hyperlink</t>
  </si>
  <si>
    <t>Links active worksheet to the previous visible worksheet.</t>
  </si>
  <si>
    <t>Sheet Right Hyperlink</t>
  </si>
  <si>
    <t>Links active worksheet to the next visible worksheet.</t>
  </si>
  <si>
    <t>Keys</t>
  </si>
  <si>
    <t>Sheet Naming Key</t>
  </si>
  <si>
    <t>Base Sheet Type</t>
  </si>
  <si>
    <t>Sheet Description / Purpose</t>
  </si>
  <si>
    <t>Suffix</t>
  </si>
  <si>
    <t>Cover*</t>
  </si>
  <si>
    <t>Indicates the start of a workbook.</t>
  </si>
  <si>
    <t>Cover</t>
  </si>
  <si>
    <t>Contents*</t>
  </si>
  <si>
    <t>Contains the workbook Table of Contents.</t>
  </si>
  <si>
    <t>Contents</t>
  </si>
  <si>
    <t>Section Cover</t>
  </si>
  <si>
    <t>Indicates the start of a workbook section.</t>
  </si>
  <si>
    <t>SC</t>
  </si>
  <si>
    <t>Sub-Section Cover</t>
  </si>
  <si>
    <t>Indicates the start of a workbook sub-section.</t>
  </si>
  <si>
    <t>SSC</t>
  </si>
  <si>
    <t>Blank Assumptions</t>
  </si>
  <si>
    <t>Residual category (contains assumptions).</t>
  </si>
  <si>
    <t>BA</t>
  </si>
  <si>
    <t>Time Series Assumptions</t>
  </si>
  <si>
    <t>Contains time series titles for entering assumptions over a set time frame.</t>
  </si>
  <si>
    <t>TA</t>
  </si>
  <si>
    <t>Blank Outputs</t>
  </si>
  <si>
    <t>Residual category (contains outputs).</t>
  </si>
  <si>
    <t>BO</t>
  </si>
  <si>
    <t>Time Series Outputs</t>
  </si>
  <si>
    <t>Contains time series titles for calculating outputs over a set time frame.</t>
  </si>
  <si>
    <t>TO</t>
  </si>
  <si>
    <t>Lookups</t>
  </si>
  <si>
    <t>Contains lookup data for use in forms / controls and in worksheet formulas.</t>
  </si>
  <si>
    <t>LU</t>
  </si>
  <si>
    <t>Schematics</t>
  </si>
  <si>
    <t>Contains model diagrams and flow charts.</t>
  </si>
  <si>
    <t>MS</t>
  </si>
  <si>
    <t>Chart</t>
  </si>
  <si>
    <t>Contains a chart.</t>
  </si>
  <si>
    <t>Cht</t>
  </si>
  <si>
    <t>Model Import**</t>
  </si>
  <si>
    <t>Contains formulas that reference worksheet ranges in another workbook.</t>
  </si>
  <si>
    <t>MI</t>
  </si>
  <si>
    <t>Model Export**</t>
  </si>
  <si>
    <t>Contains worksheet ranges that are referenced by formulas in another workbook.</t>
  </si>
  <si>
    <t>ME</t>
  </si>
  <si>
    <t>Presentation**</t>
  </si>
  <si>
    <t>Contains presentation outputs that are exempt from the requirements of the best practice modelling standards and conventions.</t>
  </si>
  <si>
    <t>P</t>
  </si>
  <si>
    <t>* The names of the Cover and Contents sheets are always "Cover" and "Contents" respectively.</t>
  </si>
  <si>
    <t>** Model Import, Model Export and Presentation Sheet suffixes are used in addition to the other sheet naming suffixes.</t>
  </si>
  <si>
    <t>Range Naming Key</t>
  </si>
  <si>
    <t>Range Type / Purpose</t>
  </si>
  <si>
    <t>Range Description / Purpose</t>
  </si>
  <si>
    <t>Prefix</t>
  </si>
  <si>
    <t>Row Array</t>
  </si>
  <si>
    <t>Single row, multiple column, single area array.</t>
  </si>
  <si>
    <t>RA_</t>
  </si>
  <si>
    <t>Column Array</t>
  </si>
  <si>
    <t>Single column, multiple row, single area array.</t>
  </si>
  <si>
    <t>CA_</t>
  </si>
  <si>
    <t>Block Array</t>
  </si>
  <si>
    <t>Single area, multiple cell, non-row, non-column array.</t>
  </si>
  <si>
    <t>BA_</t>
  </si>
  <si>
    <t>Multiple Area Array</t>
  </si>
  <si>
    <t>Multiple area (includes areas of any type).</t>
  </si>
  <si>
    <t>MAA_</t>
  </si>
  <si>
    <t>Base Cell</t>
  </si>
  <si>
    <t>Single cell base cell (for OFFSET function reference, etc).</t>
  </si>
  <si>
    <t>BC_</t>
  </si>
  <si>
    <t>Lookup</t>
  </si>
  <si>
    <t>Names a Lookup Table Array on a Lookups Sheet.</t>
  </si>
  <si>
    <t>LU_</t>
  </si>
  <si>
    <t>Hyperlink cell reference.</t>
  </si>
  <si>
    <t>HL_</t>
  </si>
  <si>
    <t>Check Box</t>
  </si>
  <si>
    <t>Check box cell link.</t>
  </si>
  <si>
    <t>CB_</t>
  </si>
  <si>
    <t>Drop Down Box</t>
  </si>
  <si>
    <t>Drop down box cell link.</t>
  </si>
  <si>
    <t>DD_</t>
  </si>
  <si>
    <t>List Box</t>
  </si>
  <si>
    <t>List box cell link.</t>
  </si>
  <si>
    <t>LB_</t>
  </si>
  <si>
    <t>Option Button</t>
  </si>
  <si>
    <t>Option button cell link.</t>
  </si>
  <si>
    <t>OB_</t>
  </si>
  <si>
    <t>Spin Button</t>
  </si>
  <si>
    <t>Spin button cell link.</t>
  </si>
  <si>
    <t>S_</t>
  </si>
  <si>
    <t>Scroll Bar</t>
  </si>
  <si>
    <t>Scroll bar cell link.</t>
  </si>
  <si>
    <t>SB_</t>
  </si>
  <si>
    <t>Residual</t>
  </si>
  <si>
    <t>Residual category (i.e. single cell non-base cells, etc).</t>
  </si>
  <si>
    <t>No Prefix</t>
  </si>
  <si>
    <t>Organization</t>
  </si>
  <si>
    <t>Developed wth Support from:</t>
  </si>
  <si>
    <t>HIV-</t>
  </si>
  <si>
    <t>HIV+</t>
  </si>
  <si>
    <t>Normal</t>
  </si>
  <si>
    <t>Country Name Label</t>
  </si>
  <si>
    <t>Economic Assumptions</t>
  </si>
  <si>
    <t>Total Proportion Referred</t>
  </si>
  <si>
    <t>C4P Tool User</t>
  </si>
  <si>
    <t>Address</t>
  </si>
  <si>
    <t>City/Town</t>
  </si>
  <si>
    <t>Country</t>
  </si>
  <si>
    <t>Mobile</t>
  </si>
  <si>
    <t>Land Line</t>
  </si>
  <si>
    <t>E-mail</t>
  </si>
  <si>
    <t>Title</t>
  </si>
  <si>
    <t>Team - Contact Information</t>
  </si>
  <si>
    <t>C4P Planning &amp; Costing Team</t>
  </si>
  <si>
    <t>Team Member1</t>
  </si>
  <si>
    <t>Team Member2</t>
  </si>
  <si>
    <t>Team Member3</t>
  </si>
  <si>
    <t>Team Member4</t>
  </si>
  <si>
    <t>Team Member5</t>
  </si>
  <si>
    <t>Team Member6</t>
  </si>
  <si>
    <t>Team Member7</t>
  </si>
  <si>
    <t>Team Member8</t>
  </si>
  <si>
    <t>Team Member9</t>
  </si>
  <si>
    <t>Team Member10</t>
  </si>
  <si>
    <t>Pricing Assumptions</t>
  </si>
  <si>
    <t>PrimaryTool User:</t>
  </si>
  <si>
    <t>Custom Labels</t>
  </si>
  <si>
    <t>- Team Information</t>
  </si>
  <si>
    <t>- Programme-specific labeling</t>
  </si>
  <si>
    <t>- Programme-specific timing</t>
  </si>
  <si>
    <t>Section Contents:</t>
  </si>
  <si>
    <t>Western</t>
  </si>
  <si>
    <t>Unknown Service Area</t>
  </si>
  <si>
    <t>Service Area</t>
  </si>
  <si>
    <t># Years Post-Procedure</t>
  </si>
  <si>
    <t>Reg/Prov</t>
  </si>
  <si>
    <t>Intervention Annual Outputs</t>
  </si>
  <si>
    <t>Diagnostics Annual Outputs</t>
  </si>
  <si>
    <t>Screening Annual Outputs</t>
  </si>
  <si>
    <t>Regional Population Annual Outputs</t>
  </si>
  <si>
    <t>Service Assumptions</t>
  </si>
  <si>
    <t>Planning Period</t>
  </si>
  <si>
    <t>Basic Assumptions and Counts</t>
  </si>
  <si>
    <t>Planning &amp; Costing Team Information</t>
  </si>
  <si>
    <t>Address 2</t>
  </si>
  <si>
    <t>Basic Initial Screening Method Distribution Assumptions</t>
  </si>
  <si>
    <t>Basic Demand Assumptions - Annual</t>
  </si>
  <si>
    <t xml:space="preserve">Basic Referral Assumptions </t>
  </si>
  <si>
    <t>Basic Re-Screening Timing Assumptions</t>
  </si>
  <si>
    <t>Large Precancerous Lesions</t>
  </si>
  <si>
    <t>First Level</t>
  </si>
  <si>
    <t>Second Level</t>
  </si>
  <si>
    <t>Third Level</t>
  </si>
  <si>
    <t>Financial Year End (usually December)</t>
  </si>
  <si>
    <t>Program Term (Years)</t>
  </si>
  <si>
    <t>Local Currency Denomination</t>
  </si>
  <si>
    <t>&lt;-- (units to display)</t>
  </si>
  <si>
    <t>Output display period:</t>
  </si>
  <si>
    <t>Program Rollout Plan</t>
  </si>
  <si>
    <t>Assumptions</t>
  </si>
  <si>
    <t>Screening Services- Annual Assumptions</t>
  </si>
  <si>
    <t>Screening Services - Assumptions</t>
  </si>
  <si>
    <t>Diagnostic Services - Assumptions</t>
  </si>
  <si>
    <t>Diagnostic Services - Annual Assumptions</t>
  </si>
  <si>
    <t>Intervention Services - Assumptions</t>
  </si>
  <si>
    <t>Intervention Services- Annual Assumptions</t>
  </si>
  <si>
    <t>Cost Per Service Unit</t>
  </si>
  <si>
    <t>30 min.</t>
  </si>
  <si>
    <t>24 hrs</t>
  </si>
  <si>
    <t>5 min</t>
  </si>
  <si>
    <t>% Demand</t>
  </si>
  <si>
    <t>Annualized Financial</t>
  </si>
  <si>
    <t>Annualized Economic</t>
  </si>
  <si>
    <t>Organization 2</t>
  </si>
  <si>
    <t>Programme Costs - Introduction Costs</t>
  </si>
  <si>
    <t>Services Delivered - Numbers</t>
  </si>
  <si>
    <t>Programme Cost Summaries</t>
  </si>
  <si>
    <t>Service Delivery Costs (Recurrent) - excludes CapEx</t>
  </si>
  <si>
    <t>Service Delivery Costs (Recurrent) - Excludes CapEx</t>
  </si>
  <si>
    <t>Service Delivery Costs</t>
  </si>
  <si>
    <t>Training Activity Name</t>
  </si>
  <si>
    <t>Max # Participants per Training</t>
  </si>
  <si>
    <t>Training Participants</t>
  </si>
  <si>
    <t>Training Participant</t>
  </si>
  <si>
    <t>LU_Train_Participants</t>
  </si>
  <si>
    <t>SME</t>
  </si>
  <si>
    <t>#</t>
  </si>
  <si>
    <t>Notes / Source of Information</t>
  </si>
  <si>
    <t>Epidemiology Assumptions</t>
  </si>
  <si>
    <t>Invasive Cancer - Early Stage</t>
  </si>
  <si>
    <t>Invasive Cancer - Mid Stage</t>
  </si>
  <si>
    <t>Invasive Cancer - Late Stage</t>
  </si>
  <si>
    <t>Source of Information/ Notes</t>
  </si>
  <si>
    <t>*Comprehensive Cervical Cancer Prevention and Control</t>
  </si>
  <si>
    <t>CURRENT SCENARIO IN TOOL:</t>
  </si>
  <si>
    <t>Programme Activity</t>
  </si>
  <si>
    <t>TOTAL #</t>
  </si>
  <si>
    <t>Screening</t>
  </si>
  <si>
    <t>Diagnostic</t>
  </si>
  <si>
    <t>Overview</t>
  </si>
  <si>
    <t>Area:</t>
  </si>
  <si>
    <t>General</t>
  </si>
  <si>
    <t>This model has been developed for those who:</t>
  </si>
  <si>
    <t>Simplification</t>
  </si>
  <si>
    <t>Standards</t>
  </si>
  <si>
    <t>This model has been built in accordance with the Best Practice Spreadsheet Modelling Standards.</t>
  </si>
  <si>
    <t>Applied Theme</t>
  </si>
  <si>
    <t>Annotations</t>
  </si>
  <si>
    <t>Brief notes have been included throughout the Section Cover Sheets and Assumption Sheets within this workbook. These notes have been included in accordance with Best Practice and are not designed to provide detailed insight into how this model was developed or how it could be improved or enhanced.</t>
  </si>
  <si>
    <t>Email:</t>
  </si>
  <si>
    <t>Website:</t>
  </si>
  <si>
    <t>Downloads:</t>
  </si>
  <si>
    <t>www.bestpracticemodelling.com/downloads/standards</t>
  </si>
  <si>
    <t>This model has been designed to  be used within Microsoft Excel to efficiently build a Cervical Cancer screening and treatment planning model in strict accordance with the Best Practice Spreadsheet Modelling Standards &amp; Conventions.</t>
  </si>
  <si>
    <t xml:space="preserve">    - Have an official, approved government strategy and plan for cervical cancer screening and treatment in the public sector.</t>
  </si>
  <si>
    <t xml:space="preserve">    - Are currently costing a screening and treatment programme; or</t>
  </si>
  <si>
    <t xml:space="preserve">    - Are interested in understanding the benefits of using this model for costing a cervical cancer screening and treatment programme.</t>
  </si>
  <si>
    <t>This workbook has been built using a customised theme - i.e. Styles, Colors, Page Setups, etc. These settings may differ from your personal or organisational theme settings.</t>
  </si>
  <si>
    <t>Contact</t>
  </si>
  <si>
    <t xml:space="preserve">Some components of this decision exercise model may have been greatly simplified to prevent confusion.  </t>
  </si>
  <si>
    <t>Contains general notes about the purpose and use of this tool.</t>
  </si>
  <si>
    <t>Also contains contact details for the tool developer.</t>
  </si>
  <si>
    <t>Contains Formats &amp; Styles, Sheet Naming and Range Naming Keys explaining the approaches adopted throughout this tool.</t>
  </si>
  <si>
    <t>Total # Service Procedures Provided (All Types)</t>
  </si>
  <si>
    <t>Glossary</t>
  </si>
  <si>
    <t>persons</t>
  </si>
  <si>
    <t xml:space="preserve">1 hr </t>
  </si>
  <si>
    <t>Initial Investment Costs</t>
  </si>
  <si>
    <t>NonAnnualized Capital Expenditure (Financial)</t>
  </si>
  <si>
    <t>NonAnnualized Capital Expenditure (Economic)</t>
  </si>
  <si>
    <t>Inital Investment</t>
  </si>
  <si>
    <t>This section contains general notes about the purpose and use of this tool.</t>
  </si>
  <si>
    <t>It also contains the contact details for the tool developer.</t>
  </si>
  <si>
    <t>To order the Best Practice Spreadsheet Modelling Standards, go to:</t>
  </si>
  <si>
    <t>Annualization</t>
  </si>
  <si>
    <t>Cost-effectiveness analysis</t>
  </si>
  <si>
    <t xml:space="preserve"> Comparison of the costs and effectiveness of alternative ways of achieving the same objective.</t>
  </si>
  <si>
    <t>Depreciation</t>
  </si>
  <si>
    <t>Discounting</t>
  </si>
  <si>
    <t>Economic costs</t>
  </si>
  <si>
    <t>Financial costs</t>
  </si>
  <si>
    <t>Investment Costs</t>
  </si>
  <si>
    <t>Opportunity costs</t>
  </si>
  <si>
    <t>Present Value</t>
  </si>
  <si>
    <t>Straight-line Depreciation</t>
  </si>
  <si>
    <t>Time Preference</t>
  </si>
  <si>
    <t>Goods that last for longer than one year such as equipment</t>
  </si>
  <si>
    <t>Goods or items used in the delivery of a service or intervention that last less than a year, e.g. personnel salaries</t>
  </si>
  <si>
    <t>Capital items</t>
  </si>
  <si>
    <t>Recurrent Items</t>
  </si>
  <si>
    <t>Division of total costs by life expectancy of the good, used to WORK the cost of a capital good over its lifetime.</t>
  </si>
  <si>
    <t>Amount of capital used during one year</t>
  </si>
  <si>
    <t>Accounts for time preference through calculating the present value using the discount rate.</t>
  </si>
  <si>
    <t>Estimates all costs of an intervention, regardless of the source of funding, so that the opportunity cost of all resources is accounted for in the analysis, includes in-kind and donor contributions.  Takes into account resources are tied up for one activity and are not available for other purposes (opportunity cost).  Also allows for the fact that people prefer receiving goods and services now rather than later in the future (time preference) and includes discounting for capital items.</t>
  </si>
  <si>
    <t>Estimates the actual monetary flows of the buyer such as the Ministry of Health.  Does not include the value of resources already paid for such as personnel time.</t>
  </si>
  <si>
    <t>Introduction costs are initial one-time programmatic activities and include micro-planning, initial training activities, and initial sensitization/IEC.  These are treated as   capital costs in economic costing.</t>
  </si>
  <si>
    <t>Initial expenditures used in preparation for an intervention.  These include introduction costs plus purchase of capital goods such as cold chain equipment and transport purchases.</t>
  </si>
  <si>
    <t>The cost of an alternative that must be forgone in order to pursue a certain action.</t>
  </si>
  <si>
    <t xml:space="preserve">The current value of goods or services, usually applied to costs or outcomes expected in the future. </t>
  </si>
  <si>
    <t>This type of depreciation assumes that all of the benefit from the capital good is WORK evenly throughout its lifetime; it involves annualizing the total costs but does not discounting.</t>
  </si>
  <si>
    <t>Preference for receiving goods and services at one time over another, usually expressed as wanting goods and services now rather than later in the future.</t>
  </si>
  <si>
    <t>Currencies /Exchange Rates Applied</t>
  </si>
  <si>
    <t>Introduction and Recurrent Costs ( Excludes Service Delivery Capital Expenditures)</t>
  </si>
  <si>
    <t>Select Currency for Output Report</t>
  </si>
  <si>
    <t>Programme (Non-Service Delivery) Costs - By Activity Category</t>
  </si>
  <si>
    <t>Type of Service Unit</t>
  </si>
  <si>
    <t>Programme Introduction Activities - Financial</t>
  </si>
  <si>
    <t>Equipt Investment for Service Delivery - Financial</t>
  </si>
  <si>
    <t>By Region &amp; Procedure</t>
  </si>
  <si>
    <t>By Region (All Procedures)</t>
  </si>
  <si>
    <t>Economic Capex (NonAnnualized)</t>
  </si>
  <si>
    <t>Total Financial Costs</t>
  </si>
  <si>
    <t>Total Economic Costs</t>
  </si>
  <si>
    <t>Currencies Used and Exchange Rates</t>
  </si>
  <si>
    <t>SD Equip Costs (NonAnnualized) (Econ)</t>
  </si>
  <si>
    <t>Sub-National Level Name Labels</t>
  </si>
  <si>
    <t>Facility Type Name Labels</t>
  </si>
  <si>
    <t>Population Segment and Category (Sub-Segment) Name Labels</t>
  </si>
  <si>
    <t>In this section, the user adds and/or changes the assumptions which determine the cost of the programme.</t>
  </si>
  <si>
    <t>There are:</t>
  </si>
  <si>
    <t xml:space="preserve">Includes </t>
  </si>
  <si>
    <t>Plug-Ins</t>
  </si>
  <si>
    <t>ASSUMED SCREENING DEMAND</t>
  </si>
  <si>
    <t>30 days</t>
  </si>
  <si>
    <t>1 day</t>
  </si>
  <si>
    <t>Go to Time Estimated for VIA</t>
  </si>
  <si>
    <t>Go to Time Estimated for HPV-DNA</t>
  </si>
  <si>
    <t>Eligible for Re-Screening - Women Who Have Undergone a Diagnostic or Treatment Procedure</t>
  </si>
  <si>
    <t>Total Eligible for Re-Screening Post Diag. or Treatment)</t>
  </si>
  <si>
    <t>Eligible for Re-Screening (Post Diag. or Treatment)</t>
  </si>
  <si>
    <t>Eligible for Re-Screening (All)</t>
  </si>
  <si>
    <t>Pop Seeking Initial Screening + Pop Eligible for Re-Screening</t>
  </si>
  <si>
    <t xml:space="preserve">Estimated # Population Eligible for Screening </t>
  </si>
  <si>
    <t>Estimated # Total Persons Seeking Screening this Year</t>
  </si>
  <si>
    <t xml:space="preserve">UNMET </t>
  </si>
  <si>
    <t>Red - Unmet Demand</t>
  </si>
  <si>
    <t>Green - Met Demand</t>
  </si>
  <si>
    <t>SCREENING CAPACITY (BASED ON USER ASSUMED RESOURCE ALLOCATIONS)</t>
  </si>
  <si>
    <t>Plug-in #2: Effect of Demand on Current Assumed Capacity</t>
  </si>
  <si>
    <t>Go to General Assumptions</t>
  </si>
  <si>
    <t>Go to Service Assumptions</t>
  </si>
  <si>
    <t>Go to Other Cost Assumptions</t>
  </si>
  <si>
    <t>Go to Names of Key Programme Areas and Numbers of Sub-Areas Within Each</t>
  </si>
  <si>
    <t>Go to Programme Rollout Schedule, by Key Programme Area and Year</t>
  </si>
  <si>
    <t>Go to Counts of Each Facility Type by Key Programme Area</t>
  </si>
  <si>
    <t>AVERAGE</t>
  </si>
  <si>
    <t>Screening Referral Proportions</t>
  </si>
  <si>
    <t>Personnel Costs (Non-Hospital)</t>
  </si>
  <si>
    <t>Population Seeking Procedure</t>
  </si>
  <si>
    <t>A serviceunit = 1 set of personnel, supplies, and equipment capable of conducting service within a facility.  A facility may be able to have more than one service unit.</t>
  </si>
  <si>
    <r>
      <rPr>
        <b/>
        <sz val="12"/>
        <color theme="5"/>
        <rFont val="Calibri"/>
        <family val="2"/>
        <scheme val="minor"/>
      </rPr>
      <t>ADJUST</t>
    </r>
    <r>
      <rPr>
        <sz val="12"/>
        <rFont val="Calibri"/>
        <family val="2"/>
        <scheme val="minor"/>
      </rPr>
      <t xml:space="preserve"> total # minutes required to perform one service in a service unit.  </t>
    </r>
  </si>
  <si>
    <t>Estimated # of Service Services Each Service Unit is Able to Perform This Year Based on Assumptions</t>
  </si>
  <si>
    <t>Notes:  Use this tool to estimate the service capacity of one service unit* per year.</t>
  </si>
  <si>
    <t>minutes per service</t>
  </si>
  <si>
    <t>hours per service day</t>
  </si>
  <si>
    <t>service days per month per unit</t>
  </si>
  <si>
    <t>Go to Annual Capacity per service Unit - BIOP-H</t>
  </si>
  <si>
    <t>No Referral Necessary (NORMAL)</t>
  </si>
  <si>
    <t>From Screening</t>
  </si>
  <si>
    <t>From Diagnostic</t>
  </si>
  <si>
    <t>Total Referrals</t>
  </si>
  <si>
    <t>Total Diagnostic Referrals</t>
  </si>
  <si>
    <t>PreCxCa</t>
  </si>
  <si>
    <t>CxCa</t>
  </si>
  <si>
    <t>Estimated Service Capacity of Each Service Unit Based on Above Assumptions</t>
  </si>
  <si>
    <r>
      <rPr>
        <b/>
        <sz val="12"/>
        <color theme="5"/>
        <rFont val="Calibri"/>
        <family val="2"/>
        <scheme val="minor"/>
      </rPr>
      <t>ASSUME</t>
    </r>
    <r>
      <rPr>
        <sz val="12"/>
        <rFont val="Calibri"/>
        <family val="2"/>
        <scheme val="minor"/>
      </rPr>
      <t xml:space="preserve"> # Hours Service Unit is Open per Service Day</t>
    </r>
  </si>
  <si>
    <r>
      <rPr>
        <b/>
        <sz val="12"/>
        <color theme="5"/>
        <rFont val="Calibri"/>
        <family val="2"/>
        <scheme val="minor"/>
      </rPr>
      <t>ASSUME</t>
    </r>
    <r>
      <rPr>
        <sz val="12"/>
        <rFont val="Calibri"/>
        <family val="2"/>
        <scheme val="minor"/>
      </rPr>
      <t xml:space="preserve"> # Service Days Service Unit is Open per Month</t>
    </r>
  </si>
  <si>
    <t>Service Unit</t>
  </si>
  <si>
    <t>Service Unit Staffing</t>
  </si>
  <si>
    <t xml:space="preserve"> Services per Day</t>
  </si>
  <si>
    <t xml:space="preserve"> Services per Month</t>
  </si>
  <si>
    <t xml:space="preserve"> Services per Year</t>
  </si>
  <si>
    <r>
      <rPr>
        <b/>
        <sz val="12"/>
        <color theme="5"/>
        <rFont val="Calibri"/>
        <family val="2"/>
        <scheme val="minor"/>
      </rPr>
      <t>ASSUME</t>
    </r>
    <r>
      <rPr>
        <sz val="12"/>
        <rFont val="Calibri"/>
        <family val="2"/>
        <scheme val="minor"/>
      </rPr>
      <t xml:space="preserve"> # Hours Service Provider is Working per Working Day</t>
    </r>
  </si>
  <si>
    <r>
      <rPr>
        <b/>
        <sz val="12"/>
        <color theme="5"/>
        <rFont val="Calibri"/>
        <family val="2"/>
        <scheme val="minor"/>
      </rPr>
      <t>ASSUME</t>
    </r>
    <r>
      <rPr>
        <sz val="12"/>
        <rFont val="Calibri"/>
        <family val="2"/>
        <scheme val="minor"/>
      </rPr>
      <t xml:space="preserve"> # Days Service Provider is Working per Month</t>
    </r>
  </si>
  <si>
    <r>
      <rPr>
        <b/>
        <sz val="12"/>
        <color theme="5"/>
        <rFont val="Calibri"/>
        <family val="2"/>
        <scheme val="minor"/>
      </rPr>
      <t>ASSUMED</t>
    </r>
    <r>
      <rPr>
        <sz val="12"/>
        <rFont val="Calibri"/>
        <family val="2"/>
        <scheme val="minor"/>
      </rPr>
      <t xml:space="preserve"> # minutes per service hour</t>
    </r>
  </si>
  <si>
    <t>Minutes per Service</t>
  </si>
  <si>
    <t>Maximum Services per Month per Service Unit</t>
  </si>
  <si>
    <t>Services Equipment- Fin (Annualized)</t>
  </si>
  <si>
    <t>g.</t>
  </si>
  <si>
    <t>Total Service Provider Minutes Required to Operate at Full Service Unit Capacity</t>
  </si>
  <si>
    <t>Full Time Equivalency Minutes per Month</t>
  </si>
  <si>
    <t>FROM ABOVE</t>
  </si>
  <si>
    <r>
      <rPr>
        <b/>
        <sz val="12"/>
        <color theme="5"/>
        <rFont val="Calibri"/>
        <family val="2"/>
        <scheme val="minor"/>
      </rPr>
      <t>ASSUME</t>
    </r>
    <r>
      <rPr>
        <sz val="12"/>
        <rFont val="Calibri"/>
        <family val="2"/>
        <scheme val="minor"/>
      </rPr>
      <t xml:space="preserve"> # minutes per FTE  hour</t>
    </r>
  </si>
  <si>
    <t>Calculation of one Full Time Equivalency (FTE) (# Minutes a Salaried Service Provider Works per Month)</t>
  </si>
  <si>
    <t>Full Time Equivalencies Needed to Run Service Unit at Full Capacity</t>
  </si>
  <si>
    <t>Calculation of  # Trained Staff Needed to Fully Staff Service Unit (Based on Allocation to Service)</t>
  </si>
  <si>
    <r>
      <rPr>
        <b/>
        <sz val="12"/>
        <color theme="5"/>
        <rFont val="Calibri"/>
        <family val="2"/>
        <scheme val="minor"/>
      </rPr>
      <t>ASSUME</t>
    </r>
    <r>
      <rPr>
        <sz val="12"/>
        <rFont val="Calibri"/>
        <family val="2"/>
        <scheme val="minor"/>
      </rPr>
      <t xml:space="preserve"> % of time a trained staff person is allocated to provide service.</t>
    </r>
  </si>
  <si>
    <t>Trained Staff Needed per Service Unit</t>
  </si>
  <si>
    <t>Plug-in #1: Service UNIT Capacity and Staffing Requirements Estimator</t>
  </si>
  <si>
    <t>Go to Annual Capacity per Service Unit - Cryo</t>
  </si>
  <si>
    <t>Go to Annual Capacity per Service Unit - LEEP</t>
  </si>
  <si>
    <t>Lookup Table Heading</t>
  </si>
  <si>
    <t>1 bed day</t>
  </si>
  <si>
    <t>1 homecare day</t>
  </si>
  <si>
    <t>Percentage of Screened Population Applicable [includes Refs from Diag F/U]</t>
  </si>
  <si>
    <t>HIV+ Rate (optional)</t>
  </si>
  <si>
    <t>HIV - Rate (Optional)</t>
  </si>
  <si>
    <t># of Indiv. Pieces per Package/Group</t>
  </si>
  <si>
    <t>cauterizer</t>
  </si>
  <si>
    <t>kit</t>
  </si>
  <si>
    <t>colposcope</t>
  </si>
  <si>
    <t>unit</t>
  </si>
  <si>
    <t>tray</t>
  </si>
  <si>
    <t>light</t>
  </si>
  <si>
    <t>forceps</t>
  </si>
  <si>
    <t>adapter</t>
  </si>
  <si>
    <t>bed</t>
  </si>
  <si>
    <t>LEEP unit</t>
  </si>
  <si>
    <t>probe</t>
  </si>
  <si>
    <t>dilator</t>
  </si>
  <si>
    <t>rack</t>
  </si>
  <si>
    <t>speculum</t>
  </si>
  <si>
    <t>book</t>
  </si>
  <si>
    <t>couch</t>
  </si>
  <si>
    <t>machine</t>
  </si>
  <si>
    <t>screen</t>
  </si>
  <si>
    <t>apron</t>
  </si>
  <si>
    <t>Personnel Salary and Benefits Package Period (e.g. Week, Month, Year) - referred to as Stock-Keeping Unit, or SKU</t>
  </si>
  <si>
    <t>Name of Package/Group that Equipment is Sold by - (Example: 1 pallette or single unit) - Referred to as Stock-Keeping Unit (SKU)</t>
  </si>
  <si>
    <t>Name of Package/Group that Supplies are Sold by - (Example: Pack of 500 or single) - Referred to as Stock-Keeping Unit (SKU)</t>
  </si>
  <si>
    <t>Facility Names (from Labels sheet - used for reference only)</t>
  </si>
  <si>
    <t>Name of Package/Group that Lab Tests or Other Direct Cost items are Sold by - (Example:single test or bed day or set of 20 - Referred to as Stock-Keeping Unit (SKU)</t>
  </si>
  <si>
    <t>Screening Methods to be Used and Assumed Costs and Counts</t>
  </si>
  <si>
    <t>Diagnostic Methods to be Used and Assumed Costs and Counts</t>
  </si>
  <si>
    <t>Intervention (Treatment and Management)  Methods to be Used and Assumed Costs and Counts</t>
  </si>
  <si>
    <t>Prerequisite Infrastructure Requirement</t>
  </si>
  <si>
    <t>Source/Information on Prerequisite</t>
  </si>
  <si>
    <t>Source of Requirement/ Notes</t>
  </si>
  <si>
    <t>NOTE: Use above Basis numbers for estimating number of activities per year below:</t>
  </si>
  <si>
    <t>Notes/ info on microplanning event numbers:</t>
  </si>
  <si>
    <t>Assumed number of activities to occur each year.</t>
  </si>
  <si>
    <t>Planned Number of Training Activities, by Type and Year</t>
  </si>
  <si>
    <t>Notes/ Information on Training Assumptions</t>
  </si>
  <si>
    <t>Notes/ Information on Social Mobilization/Sensitization Assumptions</t>
  </si>
  <si>
    <t>Number of Continuing Support Packages</t>
  </si>
  <si>
    <t>Aluminum pail with lid (TZ)</t>
  </si>
  <si>
    <t>Cauterizer  (TZ)</t>
  </si>
  <si>
    <t>CareHPV Machine (kit)  (TZ)</t>
  </si>
  <si>
    <t>Colposcopy equipment (TZ)</t>
  </si>
  <si>
    <t>Cryotherapy Unit with cryotips (TZ)</t>
  </si>
  <si>
    <t>Dissecting forceps – 12.5 cm  (TZ)</t>
  </si>
  <si>
    <t>Examination light source  (TZ)</t>
  </si>
  <si>
    <t>Forceps tissue - babcocks  (TZ)</t>
  </si>
  <si>
    <t>Forceps tissue- litlewoods 19 cm  (TZ)</t>
  </si>
  <si>
    <t>Forceps tissue - long  (TZ)</t>
  </si>
  <si>
    <t>Forceps, ovum  (TZ)</t>
  </si>
  <si>
    <t>Forceps, punch biopsy (TZ)</t>
  </si>
  <si>
    <t>Gas cylinder adaptor  (TZ)</t>
  </si>
  <si>
    <t>Gynecological examination bed  (TZ)</t>
  </si>
  <si>
    <t>LEEP Equipment  (TZ)</t>
  </si>
  <si>
    <t>Plastic apron  (TZ)</t>
  </si>
  <si>
    <t>Radiotherapy Machine - teletherapy (external) Cobalt-60  (TZ)</t>
  </si>
  <si>
    <t>Uterine Cervical Dilator  (TZ)</t>
  </si>
  <si>
    <t>Uterine Probe  (TZ)</t>
  </si>
  <si>
    <t>Specimen Tube rack  (TZ)</t>
  </si>
  <si>
    <t>Registration book, patient  (TZ)</t>
  </si>
  <si>
    <t>Radiotherapy Treatment Couch  (TZ)</t>
  </si>
  <si>
    <t>Radiotherapy Machine - intra-cavity ( internal)  (TZ)</t>
  </si>
  <si>
    <t>Acetic acid, 3–5% dilution (TZ)</t>
  </si>
  <si>
    <t>Bed linen sheet (TZ)</t>
  </si>
  <si>
    <t>Gas Cylinder (TZ)</t>
  </si>
  <si>
    <t>Gloves, Sterile (TZ)</t>
  </si>
  <si>
    <t>Alcohol, 60-90% isopropyl or ethyl (TZ)</t>
  </si>
  <si>
    <t>Amitriptyline hydrochloride( 25mg) (TZ)</t>
  </si>
  <si>
    <t>Gauze hospital quality 10x4 cm (TZ)</t>
  </si>
  <si>
    <t>Catheter -Urine (TZ)</t>
  </si>
  <si>
    <t>Chlorine 0.5% (Jik-diluted)  (TZ)</t>
  </si>
  <si>
    <t>Cidex (2-4% glutaraldehyde) (TZ)</t>
  </si>
  <si>
    <t>Cisplatin (50 mg) (TZ)</t>
  </si>
  <si>
    <t>Colostomy Bag (TZ)</t>
  </si>
  <si>
    <t>Condom  (TZ)</t>
  </si>
  <si>
    <t>Cotton swab (TZ)</t>
  </si>
  <si>
    <t>Cotton Wool, roll, non-sterile (TZ)</t>
  </si>
  <si>
    <t>Diclofenac (50mg) (TZ)</t>
  </si>
  <si>
    <t>Dulcolax (10mg) (TZ)</t>
  </si>
  <si>
    <t>Formalin AR 40% (TZ)</t>
  </si>
  <si>
    <t>Gauze, Non-Sterile (TZ)</t>
  </si>
  <si>
    <t>Gauze, Sterile (TZ)</t>
  </si>
  <si>
    <t>Gloves, Non-Sterile, Examination, latex, medium, disp. (TZ)</t>
  </si>
  <si>
    <t>IV canula 22G (each) (TZ)</t>
  </si>
  <si>
    <t>IV giving set (each) (TZ)</t>
  </si>
  <si>
    <t>IV line (set) (TZ)</t>
  </si>
  <si>
    <t>K-Y jelly  (TZ)</t>
  </si>
  <si>
    <t>Lidocaine: 2% with adrenalin 1:80000 (TZ)</t>
  </si>
  <si>
    <t>Mictomycin  C (10mg) (TZ)</t>
  </si>
  <si>
    <t>Wood stick (TZ)</t>
  </si>
  <si>
    <t>Urine Bag (TZ)</t>
  </si>
  <si>
    <t>Tramadol (50mg) (TZ)</t>
  </si>
  <si>
    <t>Syringes, 5 cc with needle (TZ)</t>
  </si>
  <si>
    <t>Syringes, 10 cc with needle (TZ)</t>
  </si>
  <si>
    <t>Specimen cup with lid and label - 100 cc (TZ)</t>
  </si>
  <si>
    <t>Soap (or hand sanitizer) (TZ)</t>
  </si>
  <si>
    <t>Saline solution, normal (TZ)</t>
  </si>
  <si>
    <t>Repeater Tips (TZ)</t>
  </si>
  <si>
    <t>Pregnancy tests – urine test strips (TZ)</t>
  </si>
  <si>
    <t>Pipette, Repeater (TZ)</t>
  </si>
  <si>
    <t>Pipette, Fixed, 50 microlitre (TZ)</t>
  </si>
  <si>
    <t>Pipette Tips (TZ)</t>
  </si>
  <si>
    <t>Perthodine (TZ)</t>
  </si>
  <si>
    <t>Pencil (TZ)</t>
  </si>
  <si>
    <t>Paracetamol (500mg) (TZ)</t>
  </si>
  <si>
    <t>Needle - Spinal 22G (disposable) (TZ)</t>
  </si>
  <si>
    <t>Needle – 18 or 20 gauge (TZ)</t>
  </si>
  <si>
    <t>Morphine (10mg) (TZ)</t>
  </si>
  <si>
    <t>Forceps, sponge holder  (TZ)</t>
  </si>
  <si>
    <t>Instrument tray  (TZ)</t>
  </si>
  <si>
    <t>Mackintosh</t>
  </si>
  <si>
    <t>Medical Rubber Mackintosh Sheet   (TZ)</t>
  </si>
  <si>
    <t>Privacy screen (portable) (TZ)</t>
  </si>
  <si>
    <t>Speculum  (TZ)</t>
  </si>
  <si>
    <t>Histopathology (TZ)</t>
  </si>
  <si>
    <t>Blood chemistry (TZ)</t>
  </si>
  <si>
    <t>Full blood picture (TZ)</t>
  </si>
  <si>
    <t>ultrasound (abdominal &amp; pelvic) (TZ)</t>
  </si>
  <si>
    <t>Chest x-ray (TZ)</t>
  </si>
  <si>
    <t>Planning x-ray (TZ)</t>
  </si>
  <si>
    <t>Grouping, X matching (TZ)</t>
  </si>
  <si>
    <t>Haemoglobin (TZ)</t>
  </si>
  <si>
    <t>Blood slide for malaria (TZ)</t>
  </si>
  <si>
    <t>Urine/stool test (TZ)</t>
  </si>
  <si>
    <t>CareHPV test (TZ)</t>
  </si>
  <si>
    <t>Hospital Stay (Bed Day) (TZ)</t>
  </si>
  <si>
    <t>Home Care (Day) (TZ)</t>
  </si>
  <si>
    <t>test</t>
  </si>
  <si>
    <t>ultrasound procedure</t>
  </si>
  <si>
    <t>x-ray</t>
  </si>
  <si>
    <t>blood test</t>
  </si>
  <si>
    <t>Home Care Portion</t>
  </si>
  <si>
    <t>Notes/Information on Personnel Selection</t>
  </si>
  <si>
    <t>Notes/Information on Calculation of Length of Procedure/ Procedures per Course</t>
  </si>
  <si>
    <t>Unit</t>
  </si>
  <si>
    <t>Notes/Information on Supply Selection</t>
  </si>
  <si>
    <t>Notes/Information on Calculation of Amount of Supplies Needed</t>
  </si>
  <si>
    <t>Notes/Information on Equipment Selection</t>
  </si>
  <si>
    <t>Notes/Information on Calculation of Amount of Equipment Needed</t>
  </si>
  <si>
    <t>No standards available.</t>
  </si>
  <si>
    <t>Estimated by Expert Staff at Ocean Road Cancer Institute - TZ</t>
  </si>
  <si>
    <t>Notes/Information on Calculation of Quantity of Each Supply Required</t>
  </si>
  <si>
    <t>Notes/Information on Calculation of Quantity of Each Equipment Required</t>
  </si>
  <si>
    <t>Notes/Information on Calculation of Quantity of Each Lab Test or Other Direct Cost Item Required</t>
  </si>
  <si>
    <t>Notes/Information on Specifications for Lab Test or Other Direct Costs</t>
  </si>
  <si>
    <t>Notes/Information on Supply Specifications</t>
  </si>
  <si>
    <t>Notes/Information on Calculation of Quantities per Procedure/ Number of Courses</t>
  </si>
  <si>
    <t>Notes/Information on Equipment Specifications</t>
  </si>
  <si>
    <t>Notes/Information on Calculation of Quantities per Service Unit/Site</t>
  </si>
  <si>
    <t>Notes/Information on Lab Test/ ODC Items Specifications</t>
  </si>
  <si>
    <t>Notes/Information on Calculation of Quantities per Procedure/ Site</t>
  </si>
  <si>
    <t>Specified by Ocean Road Cancer Institute - TZ</t>
  </si>
  <si>
    <t xml:space="preserve">No standard prerequisites available at this time. </t>
  </si>
  <si>
    <t>Unit Used for Specifying Quantity</t>
  </si>
  <si>
    <t>Price per Package/ Group</t>
  </si>
  <si>
    <t>Unit Used for Specifying Quantity Needed for Procedure</t>
  </si>
  <si>
    <t>Price per Package</t>
  </si>
  <si>
    <t>No prerequisites available at the time of planning.</t>
  </si>
  <si>
    <t xml:space="preserve">No standard prerequisites available at time of planning. </t>
  </si>
  <si>
    <t>Not authorized.</t>
  </si>
  <si>
    <t>Outpatient Care Portion</t>
  </si>
  <si>
    <t>Notes/ Information on selection of Target Populations</t>
  </si>
  <si>
    <t>Notes/ Information on Population Segment/ Category</t>
  </si>
  <si>
    <t>Notes on Levels of Health Care System</t>
  </si>
  <si>
    <t>Community Level - Health Care System</t>
  </si>
  <si>
    <t>This level includes individuals and organizations; community-based,
faith-based and other nongovernmental organizations; and
community and home-based palliative care services. Also included
are health posts, which are usually staffed by an auxiliary nurse or
community health worker.</t>
  </si>
  <si>
    <t>A primary care facility is a health centre is  with trained staff and
regular working hours. Maternity and minimal laboratory services
may be available.
Providers at this level include nurses, auxiliary nurses or nursing
assistants, counsellors, health educators, medical assistants, clinical
officers and, sometimes, physicians.</t>
  </si>
  <si>
    <t>Primary Care Level (Health Centre) - Health Care System</t>
  </si>
  <si>
    <t>Secondary Care Level - (District Hospital) - Health Care System</t>
  </si>
  <si>
    <t>Typically, a hospital at this level provides general medical, paediatric
and maternity services, general surgery, inpatient and outpatient
care, and specialized care in some specific areas. Patients may be
referred to this level from health centres and private practitioners in
the district. Laboratory services may include cytology and histopathology.
Providers include generalist physicians or clinical officers, nurses,
pharmacy technicians or dispensing clerks, medical assistants,
nurse assistants and laboratory technology assistants, and possibly
a gynaecologist and a cytotechnologist. Private and mission hospitals
are often present at this level.</t>
  </si>
  <si>
    <t>Tertiary Care Level - (Central or Referral Hospital) - Health Care System</t>
  </si>
  <si>
    <t>Tertiary care hospitals provide specialized care for complex cases and acutely ill patients, including surgery, radiotherapy and multiple outpatient and inpatient services. General medical, acute and chronic care clinics are offered. The most complete public-sector diagnostic and reference laboratory services are available with pathologists and cytotechnologists, radiology and diagnostic imaging.
Providers may include gynaecologists, oncologists and radiotherapists, as well as those present at lower levels of care.</t>
  </si>
  <si>
    <t>Cervical Cancer</t>
  </si>
  <si>
    <t>Cervical Pre-cancer</t>
  </si>
  <si>
    <t>Cervical pre-cancer is a distinct change in the epithelial cells of the transformation zone of the cervix; the cells begin developing in an abnormal fashion in the presence of persistent or long-term HPV infection. . Cervical cancer is one of the very few cancers where a precursor stage (pre-cancer) lasts many years before becoming
invasive cancer, providing ample opportunity for detection and treatment.</t>
  </si>
  <si>
    <t xml:space="preserve">Ninety per cent of cervical cancers are squamous cell cancers and initiate in the transformation zone of the ectocervix; the other 10% are adenocarcinomas, which arise in the glandular columnar layer of the endocervix. Persistent infection with cancer-causing HPV types is the cause of most cervical cancer. 
</t>
  </si>
  <si>
    <t>Other Costs - Annual Assumptions</t>
  </si>
  <si>
    <t># Persons</t>
  </si>
  <si>
    <t># Days</t>
  </si>
  <si>
    <t>Travel and Allowances</t>
  </si>
  <si>
    <t>Lodging</t>
  </si>
  <si>
    <t>Description</t>
  </si>
  <si>
    <t># Rooms</t>
  </si>
  <si>
    <t>Training Rooms</t>
  </si>
  <si>
    <t>Equipment Category 1</t>
  </si>
  <si>
    <t>Equipment Category 2</t>
  </si>
  <si>
    <t>Equipment Category 3</t>
  </si>
  <si>
    <t>Equipment Category 4</t>
  </si>
  <si>
    <t>Equipment Category 5</t>
  </si>
  <si>
    <t>Total Equipment</t>
  </si>
  <si>
    <t>Other Direct Costs</t>
  </si>
  <si>
    <t>Plug-in Training</t>
  </si>
  <si>
    <t>PLUG_TRAIN - Lookups</t>
  </si>
  <si>
    <t>Facilitators/Instructors</t>
  </si>
  <si>
    <t>Training Personnel</t>
  </si>
  <si>
    <t xml:space="preserve">Support Personnel </t>
  </si>
  <si>
    <t>Training Personnel Category 1</t>
  </si>
  <si>
    <t>Training Personnel Category 2</t>
  </si>
  <si>
    <t>Training Personnel Category 3</t>
  </si>
  <si>
    <t>Training Personnel Category 4</t>
  </si>
  <si>
    <t>Training Personnel Category 5</t>
  </si>
  <si>
    <t># Personnel</t>
  </si>
  <si>
    <t>Cost per Person per Day Financial</t>
  </si>
  <si>
    <t>Cost per Person per Day Economic</t>
  </si>
  <si>
    <t>Total Travel &amp; Allowances</t>
  </si>
  <si>
    <t>Training Personnel Sub-Total 1</t>
  </si>
  <si>
    <t>Training Personnel Sub-Total 2</t>
  </si>
  <si>
    <t>Training Personnel Category 6</t>
  </si>
  <si>
    <t>Training Personnel Category 7</t>
  </si>
  <si>
    <t>Training Personnel Category 8</t>
  </si>
  <si>
    <t>Training Personnel Category 9</t>
  </si>
  <si>
    <t>Training Personnel Category 10</t>
  </si>
  <si>
    <t>Training Personnel Category 11</t>
  </si>
  <si>
    <t>Training Personnel Sub-Total 3</t>
  </si>
  <si>
    <t>Participants</t>
  </si>
  <si>
    <t>Training Personnel Category 12</t>
  </si>
  <si>
    <t>Training Personnel Category 13</t>
  </si>
  <si>
    <t>Training Personnel Category 14</t>
  </si>
  <si>
    <t>Training Personnel Category 15</t>
  </si>
  <si>
    <t>Training Personnel Category 16</t>
  </si>
  <si>
    <t>#Allowances per Person</t>
  </si>
  <si>
    <t>Unit Cost - Financial</t>
  </si>
  <si>
    <t>Unit Cost-Economic</t>
  </si>
  <si>
    <t>Rooms Category 1</t>
  </si>
  <si>
    <t>Rooms Category 2</t>
  </si>
  <si>
    <t>Rooms Category 3</t>
  </si>
  <si>
    <t>Rooms Category 4</t>
  </si>
  <si>
    <t>Rooms Category 5</t>
  </si>
  <si>
    <t>Rooms Category 6</t>
  </si>
  <si>
    <t>Rooms Category 7</t>
  </si>
  <si>
    <t>Rooms Category 8</t>
  </si>
  <si>
    <t>Rooms Category 9</t>
  </si>
  <si>
    <t>Rooms Category 10</t>
  </si>
  <si>
    <t>Unit Cost - Economic</t>
  </si>
  <si>
    <t># Days (Nights)</t>
  </si>
  <si>
    <t>Total Personnel</t>
  </si>
  <si>
    <t>Meals &amp; Refreshments Category 1</t>
  </si>
  <si>
    <t>Meals &amp; Refreshments Category 2</t>
  </si>
  <si>
    <t>Meals &amp; Refreshments Category 3</t>
  </si>
  <si>
    <t>Meals &amp; Refreshments Category 4</t>
  </si>
  <si>
    <t>Meals &amp; Refreshments Category 5</t>
  </si>
  <si>
    <t>Meals &amp; Refreshments Category 6</t>
  </si>
  <si>
    <t>Meals &amp; Refreshments Sub-Total 1</t>
  </si>
  <si>
    <t>Meals &amp; Refreshments Sub-Total 2</t>
  </si>
  <si>
    <t>Total Meals &amp; Refreshments</t>
  </si>
  <si>
    <t>Unit Cost - Econmic</t>
  </si>
  <si>
    <t>Meals (M)</t>
  </si>
  <si>
    <t>Meals &amp; Refreshments (M/R)</t>
  </si>
  <si>
    <t>Total Lodging &amp; Rooms</t>
  </si>
  <si>
    <t>Lodging &amp; Rooms</t>
  </si>
  <si>
    <t>Materials &amp; Supplies</t>
  </si>
  <si>
    <t>Materials &amp; Supplies Category 1</t>
  </si>
  <si>
    <t>Materials &amp; Supplies Category 2</t>
  </si>
  <si>
    <t>Materials &amp; Supplies Category 3</t>
  </si>
  <si>
    <t>Materials &amp; Supplies Category 4</t>
  </si>
  <si>
    <t>Materials &amp; Supplies Category 5</t>
  </si>
  <si>
    <t>Materials &amp; Supplies Category 6</t>
  </si>
  <si>
    <t>Materials &amp; Supplies Category 7</t>
  </si>
  <si>
    <t>Materials &amp; Supplies Category 8</t>
  </si>
  <si>
    <t>Materials &amp; Supplies Sub-Total 1</t>
  </si>
  <si>
    <t>Materials &amp; Supplies Sub-Total 2</t>
  </si>
  <si>
    <t>Total Materials &amp; Supplies</t>
  </si>
  <si>
    <t>Training Materials</t>
  </si>
  <si>
    <t>Training Supplies</t>
  </si>
  <si>
    <t># Each</t>
  </si>
  <si>
    <t>Equipment (Rental Only, Not Purchased)</t>
  </si>
  <si>
    <t>Refreshments ('R)</t>
  </si>
  <si>
    <t># Units</t>
  </si>
  <si>
    <t>#Days Rental</t>
  </si>
  <si>
    <t>Other Direct Cost Category 1</t>
  </si>
  <si>
    <t>Other Direct Cost Category 2</t>
  </si>
  <si>
    <t>Other Direct Cost Category 3</t>
  </si>
  <si>
    <t>Other Direct Cost Category 4</t>
  </si>
  <si>
    <t>Other Direct Cost Category 5</t>
  </si>
  <si>
    <t>Total Other Direct Cost</t>
  </si>
  <si>
    <t># Persons per M/R per Day</t>
  </si>
  <si>
    <t>Total Estimated Costs</t>
  </si>
  <si>
    <t>National Trainer</t>
  </si>
  <si>
    <t>Secretary</t>
  </si>
  <si>
    <t>Service Provider</t>
  </si>
  <si>
    <t>Regional Trainer</t>
  </si>
  <si>
    <t>National Trainer Travel Allowance</t>
  </si>
  <si>
    <t>Regional Trainer Travel Allowance</t>
  </si>
  <si>
    <t>Service Provider Travel</t>
  </si>
  <si>
    <t>Service Provider Per Diem</t>
  </si>
  <si>
    <t>National Trainer Per Diem</t>
  </si>
  <si>
    <t>Regional Trainer Per Diem</t>
  </si>
  <si>
    <t>Secretary -National - Travel</t>
  </si>
  <si>
    <t>Secretary -National - Per Diem</t>
  </si>
  <si>
    <t>Double Occupancy</t>
  </si>
  <si>
    <t>Single Occupancy</t>
  </si>
  <si>
    <t>Main Hall</t>
  </si>
  <si>
    <t>Break out Rooms (Small(</t>
  </si>
  <si>
    <t>Breakfast</t>
  </si>
  <si>
    <t>Lunch</t>
  </si>
  <si>
    <t>Morning Tea Break</t>
  </si>
  <si>
    <t>Afternoon Tea Break</t>
  </si>
  <si>
    <t>Participant Manual</t>
  </si>
  <si>
    <t>Participant Supply Package</t>
  </si>
  <si>
    <t>Trainer Supply Package</t>
  </si>
  <si>
    <t>Projector</t>
  </si>
  <si>
    <t>Emolluments</t>
  </si>
  <si>
    <t>Annual Inflation Rate</t>
  </si>
  <si>
    <t>Applied Currency:</t>
  </si>
  <si>
    <t>Lookup Table Title</t>
  </si>
  <si>
    <t>LU_PLUG_Train_Curr</t>
  </si>
  <si>
    <t>PLUG_TRAIN (2)</t>
  </si>
  <si>
    <t>Rooms Sub-Total 1</t>
  </si>
  <si>
    <t>Rooms Sub-Total 2</t>
  </si>
  <si>
    <t>PLUG_TRAIN (2) - Lookups</t>
  </si>
  <si>
    <t>LU_PLUG_2_Train_Curr</t>
  </si>
  <si>
    <t>PLUG_TRAIN (3)</t>
  </si>
  <si>
    <t>PLUG_TRAIN (3) - Lookups</t>
  </si>
  <si>
    <t>LU_PLUG_3_Train_Curr</t>
  </si>
  <si>
    <t>PLUG_TRAIN (4)</t>
  </si>
  <si>
    <t>PLUG_TRAIN (4) - Lookups</t>
  </si>
  <si>
    <t>LU_PLUG_4_Train_Curr</t>
  </si>
  <si>
    <t>Plug-in #3: Training Programme Cost Estimator</t>
  </si>
  <si>
    <t>Training Programme Name:</t>
  </si>
  <si>
    <t>PLUG_MEET (5)</t>
  </si>
  <si>
    <t>Meeting Personnel Category 1</t>
  </si>
  <si>
    <t>Meeting Personnel Category 2</t>
  </si>
  <si>
    <t>Meeting Personnel Category 3</t>
  </si>
  <si>
    <t>Meeting Personnel Category 4</t>
  </si>
  <si>
    <t>Meeting Personnel Category 5</t>
  </si>
  <si>
    <t>Meeting Personnel Category 6</t>
  </si>
  <si>
    <t>Meeting Personnel Category 7</t>
  </si>
  <si>
    <t>Meeting Personnel Category 8</t>
  </si>
  <si>
    <t>Meeting Personnel Category 9</t>
  </si>
  <si>
    <t>Meeting Personnel Category 10</t>
  </si>
  <si>
    <t>Meeting Personnel Category 11</t>
  </si>
  <si>
    <t>Meeting Personnel Category 12</t>
  </si>
  <si>
    <t>Meeting Personnel Category 13</t>
  </si>
  <si>
    <t>Meeting Personnel Category 14</t>
  </si>
  <si>
    <t>Meeting Personnel Category 15</t>
  </si>
  <si>
    <t>Meeting Personnel Category 16</t>
  </si>
  <si>
    <t>Meeting Name:</t>
  </si>
  <si>
    <t>Meeting Personnel</t>
  </si>
  <si>
    <t>Meeting Personnel Sub-Total 1</t>
  </si>
  <si>
    <t>Meeting Personnel Sub-Total 2</t>
  </si>
  <si>
    <t>Meeting Personnel Sub-Total 3</t>
  </si>
  <si>
    <t>Currencies and Exchange Rates</t>
  </si>
  <si>
    <t>Meeting Cost - Outputs</t>
  </si>
  <si>
    <t>PLUG_MEET (5) - Lookups</t>
  </si>
  <si>
    <t>LU_PLUG_5_Meet_Curr</t>
  </si>
  <si>
    <t>Sensitization Meeting</t>
  </si>
  <si>
    <t>PLUG_MEET</t>
  </si>
  <si>
    <t>PLUG_MEET - Lookups</t>
  </si>
  <si>
    <t>LU_PLUG_6_Meet_Curr</t>
  </si>
  <si>
    <t>Community Mobilization Meeting</t>
  </si>
  <si>
    <t>PLUG_MEET (7)</t>
  </si>
  <si>
    <t>PLUG_MEET (7) - Lookups</t>
  </si>
  <si>
    <t>LU_PLUG_7_Meet_Curr</t>
  </si>
  <si>
    <t>Microplanning Meeting</t>
  </si>
  <si>
    <t>Plug-in #4: Meeting Cost Estimator - Assumptions</t>
  </si>
  <si>
    <t>Plug-in #4: Meeting Cost Estimator - Outputs</t>
  </si>
  <si>
    <t>Ann Levin</t>
  </si>
  <si>
    <t>ann@levinmorgan.com</t>
  </si>
  <si>
    <t>Levin and Morgan</t>
  </si>
  <si>
    <t>Win Morgan</t>
  </si>
  <si>
    <t>Raymond Hutubessy</t>
  </si>
  <si>
    <t>hutubessyr@who.int</t>
  </si>
  <si>
    <t>World Health Organization</t>
  </si>
  <si>
    <t>ERROR CHECK&gt;&gt;</t>
  </si>
  <si>
    <t>SKU</t>
  </si>
  <si>
    <t>minute</t>
  </si>
  <si>
    <t>SU</t>
  </si>
  <si>
    <t>National Supervision Team Visits</t>
  </si>
  <si>
    <t>District Supervision Team Visits</t>
  </si>
  <si>
    <t>Not Applicable</t>
  </si>
  <si>
    <t>Curriculum Development Workshop - National</t>
  </si>
  <si>
    <t>Training of Trainers Workshop - National Level</t>
  </si>
  <si>
    <t>Training of Service Providers - VIA and CRYO</t>
  </si>
  <si>
    <t>Training of Service Providers - VIA Only</t>
  </si>
  <si>
    <t>Notes/ Source Ref. for Cost Estimates</t>
  </si>
  <si>
    <t>Community-Based Mobilization and Communication</t>
  </si>
  <si>
    <t>Introductory Support Package (Year of Programme Introduction in Area)</t>
  </si>
  <si>
    <t>Continuing Support Package (Each Year Following Introductory Year)</t>
  </si>
  <si>
    <t>Sensit/Mob&amp;Comm</t>
  </si>
  <si>
    <t>Active Areas Requiring Supervision Visits</t>
  </si>
  <si>
    <t>National</t>
  </si>
  <si>
    <t>Supervisory Visit Allocation</t>
  </si>
  <si>
    <t>SupVisitAllocation Category 4</t>
  </si>
  <si>
    <t>SupVisitAllocation Category 5</t>
  </si>
  <si>
    <t>SupVisitAllocation Category 6</t>
  </si>
  <si>
    <t>All Active Screening Facilities</t>
  </si>
  <si>
    <t>National Programme</t>
  </si>
  <si>
    <t>Wikipedia</t>
  </si>
  <si>
    <t>Southern</t>
  </si>
  <si>
    <t>Eastern</t>
  </si>
  <si>
    <t>Central</t>
  </si>
  <si>
    <t>Second Administrative Level Reference</t>
  </si>
  <si>
    <t>Other Primary Level Personnel (Specify)</t>
  </si>
  <si>
    <t>Other Supply (Specify)</t>
  </si>
  <si>
    <t>Click for help.</t>
  </si>
  <si>
    <t>Critical Assumptions</t>
  </si>
  <si>
    <t>for Re-Screening this Year (Assume 100% Demand)</t>
  </si>
  <si>
    <t xml:space="preserve">Estimated # Eligible Persons Eligible </t>
  </si>
  <si>
    <t>Cryotherapy - Same Visit</t>
  </si>
  <si>
    <t>Cryo -SV</t>
  </si>
  <si>
    <t>Total Population Eligible for Initial Screening or Re-Screening</t>
  </si>
  <si>
    <t>Target Population</t>
  </si>
  <si>
    <t>Total Target Population</t>
  </si>
  <si>
    <t>Never Screened</t>
  </si>
  <si>
    <t>Never Screened Population</t>
  </si>
  <si>
    <t>Active Area Demand</t>
  </si>
  <si>
    <t>Inactive Area Demand</t>
  </si>
  <si>
    <t>Never Screened - Seeking</t>
  </si>
  <si>
    <t>Screened - Annual</t>
  </si>
  <si>
    <t>Zambia</t>
  </si>
  <si>
    <t>Republic</t>
  </si>
  <si>
    <t>Province</t>
  </si>
  <si>
    <t>Central Referral Hospital</t>
  </si>
  <si>
    <t>Provincial Hospital</t>
  </si>
  <si>
    <t>District Hospital</t>
  </si>
  <si>
    <t>Fixed Health Clinic</t>
  </si>
  <si>
    <t>HIV + WOMEN 25-59 YRS</t>
  </si>
  <si>
    <t>HIV + WOMEN 15-24 YRS</t>
  </si>
  <si>
    <t>HIV - WOMEN 15-24 YRS</t>
  </si>
  <si>
    <t>HIV - WOMEN 25-59 YRS</t>
  </si>
  <si>
    <t>ZMW</t>
  </si>
  <si>
    <t>Copperbelt</t>
  </si>
  <si>
    <t>Luapula</t>
  </si>
  <si>
    <t>Lusaka</t>
  </si>
  <si>
    <t>Muchinga</t>
  </si>
  <si>
    <t>Northern</t>
  </si>
  <si>
    <t>North-Western</t>
  </si>
  <si>
    <t>Henry Kansembe</t>
  </si>
  <si>
    <t>Number of districts per province from https://en.wikipedia.org/wiki/Districts_of_Zambia</t>
  </si>
  <si>
    <t xml:space="preserve"> https://en.wikipedia.org/wiki/Districts_of_Zambia</t>
  </si>
  <si>
    <t>[Source; the 2012 List of Health Facilities in Zambia - Preliminary Report (Draft No 15) - Ministry of Health Zambia</t>
  </si>
  <si>
    <t>Eric Bing</t>
  </si>
  <si>
    <t>ebing@mail.smu.edu</t>
  </si>
  <si>
    <t>win@levinmorgan.com</t>
  </si>
  <si>
    <t xml:space="preserve">Source of Female Population Projections: Population and Demographic Projections 2011-2035, </t>
  </si>
  <si>
    <t>Zambia Central Statistical Office, July 2013</t>
  </si>
  <si>
    <t>Personnel - Hospital Cadre - Other 27</t>
  </si>
  <si>
    <t>Personnel - Hospital Cadre - Other 28</t>
  </si>
  <si>
    <t>Personnel - Hospital Cadre - Other 29</t>
  </si>
  <si>
    <t>Personnel - Hospital Cadre - Other 30</t>
  </si>
  <si>
    <t>_Not Applicable</t>
  </si>
  <si>
    <t>Biomedical scientist (ZM)</t>
  </si>
  <si>
    <t>Clinical officer  (ZM)</t>
  </si>
  <si>
    <t>Consultant  (ZM)</t>
  </si>
  <si>
    <t>Junior Resident Medical officer  (ZM)</t>
  </si>
  <si>
    <t>Lab Scientist (ZM)</t>
  </si>
  <si>
    <t>Lab Technician (ZM)</t>
  </si>
  <si>
    <t>Lab Technologist (ZM)</t>
  </si>
  <si>
    <t>Medical Physicist (ZM)</t>
  </si>
  <si>
    <t>Nursing Officer (ZM)</t>
  </si>
  <si>
    <t>Pathologist (ZM)</t>
  </si>
  <si>
    <t>Pharmacy Technologist (ZM)</t>
  </si>
  <si>
    <t>Principal Nursing Officer (ZM)</t>
  </si>
  <si>
    <t>Principal Pharmacist (ZM)</t>
  </si>
  <si>
    <t>Principal Radiographer (ZM)</t>
  </si>
  <si>
    <t>Principal Therapist - Radiation (ZM)</t>
  </si>
  <si>
    <t>Radiation Lab Scientist (ZM)</t>
  </si>
  <si>
    <t>Radiation Protection Officer (ZM)</t>
  </si>
  <si>
    <t>Radiographer (ZM)</t>
  </si>
  <si>
    <t>Registered Nurse (ZM)</t>
  </si>
  <si>
    <t>Senior Enrolled Nurse (ZM)</t>
  </si>
  <si>
    <t>Senior Nursing Officer (ZM)</t>
  </si>
  <si>
    <t>Senior Radiation protection Officer (ZM)</t>
  </si>
  <si>
    <t>Senior Radiographer (ZM)</t>
  </si>
  <si>
    <t>Zambia Enrolled Nurse (ZEN) (ZM)</t>
  </si>
  <si>
    <t>Personnel - Other Category 27</t>
  </si>
  <si>
    <t>Personnel - Other Category 28</t>
  </si>
  <si>
    <t>Personnel - Other Category 29</t>
  </si>
  <si>
    <t>Autoclaving Machine (ZM)</t>
  </si>
  <si>
    <t>Basin (for examination couch) (ZM)</t>
  </si>
  <si>
    <t>Battery Charger (ZM)</t>
  </si>
  <si>
    <t>Bucket (UG)</t>
  </si>
  <si>
    <t>Bucket 20Lt plastic with lid (ZM)</t>
  </si>
  <si>
    <t>Camera Rechargeable batteries ( set of 6) (ZM)</t>
  </si>
  <si>
    <t>Card Reader (ZM)</t>
  </si>
  <si>
    <t>CareHPV Machine (kit set) (ZM)</t>
  </si>
  <si>
    <t>Cauterizer (ZM)</t>
  </si>
  <si>
    <t>Chair (ZM)</t>
  </si>
  <si>
    <t>Cheetal forceps (UG)</t>
  </si>
  <si>
    <t>Colposcope (set) (ZM)</t>
  </si>
  <si>
    <t>Colposcope (UG)</t>
  </si>
  <si>
    <t>Cryotherapy unit (UG)</t>
  </si>
  <si>
    <t>Cryotherapy Unit with cryotips (set) (ZM)</t>
  </si>
  <si>
    <t>Digital Camera (ZM)</t>
  </si>
  <si>
    <t>Doctor's Stool (ZM)</t>
  </si>
  <si>
    <t>Endocervical speculum  (UG)</t>
  </si>
  <si>
    <t>Examination bed (UG)</t>
  </si>
  <si>
    <t>Examination couch (with Stirrups) (ZM)</t>
  </si>
  <si>
    <t>Examination light (Halogen, no bulb) (ZM)</t>
  </si>
  <si>
    <t>Examination light source (Halogen) with bulb (set) (ZM)</t>
  </si>
  <si>
    <t>Examination table (UG)</t>
  </si>
  <si>
    <t>Filing Cabinet (ZM)</t>
  </si>
  <si>
    <t>Forceps (UG)</t>
  </si>
  <si>
    <t>Forceps Babcocks  (ZM)</t>
  </si>
  <si>
    <t>Forceps, Cheetal (ZM)</t>
  </si>
  <si>
    <t>Forceps, Dissecting - 12.5 cm (ZM)</t>
  </si>
  <si>
    <t>Forceps, Littlewoods 19 cm (ZM)</t>
  </si>
  <si>
    <t>Forceps, Long  (ZM)</t>
  </si>
  <si>
    <t>Forceps, ovum (ZM)</t>
  </si>
  <si>
    <t>Forceps, Punch biopsy (ZM)</t>
  </si>
  <si>
    <t>Forceps, Sponge holder (ZM)</t>
  </si>
  <si>
    <t>Gallipot (ZM)</t>
  </si>
  <si>
    <t>Gallipot (UG)</t>
  </si>
  <si>
    <t>Gas cylinder adaptor (ZM)</t>
  </si>
  <si>
    <t>Halogen Bulbs (ZM)</t>
  </si>
  <si>
    <t>Hysterectomy Set (ZM)</t>
  </si>
  <si>
    <t>Instrument tray (ZM)</t>
  </si>
  <si>
    <t>Kidney Dish (ZM)</t>
  </si>
  <si>
    <t>Kidney Dish (UG)</t>
  </si>
  <si>
    <t>Lamp (UG)</t>
  </si>
  <si>
    <t>Laptop / Desktop Computer (ZM)</t>
  </si>
  <si>
    <t>LEEP machine  with coated speculums (UG)</t>
  </si>
  <si>
    <t>Lensmate SX 40 Filter Adapter 58mm (ZM)</t>
  </si>
  <si>
    <t>Mackintosh (Plastic sheet for exam couch) (ZM)</t>
  </si>
  <si>
    <t>Magnification Lens (ZM)</t>
  </si>
  <si>
    <t>Medical Rubber Mackintosh Sheet (ZM)</t>
  </si>
  <si>
    <t>Memory Card (ZM)</t>
  </si>
  <si>
    <t>Multi-Tip Cryo-Probe System with British adapter for NO2 includes gun, regulator, hose(2/3Tips included) (set) (ZM)</t>
  </si>
  <si>
    <t>Non-conducting speculum  Pederson  (ZM)</t>
  </si>
  <si>
    <t>Non-conducting speculum (UG)</t>
  </si>
  <si>
    <t>Nurses Table (ZM)</t>
  </si>
  <si>
    <t>Pillow (ZM)</t>
  </si>
  <si>
    <t>Plastic apron (ZM)</t>
  </si>
  <si>
    <t>Privacy screen (portable) (ZM)</t>
  </si>
  <si>
    <t>Punch Biopsy Forceps  Titanium 10" (ZM)</t>
  </si>
  <si>
    <t>Punch Biopsy Forceps (UG)</t>
  </si>
  <si>
    <t>Retractor 3.5" Coated Lateral Wall (ZM)</t>
  </si>
  <si>
    <t>Smoke evacuator (UG)</t>
  </si>
  <si>
    <t>Speculum (reusable) (UG)</t>
  </si>
  <si>
    <t>Speculum (UG)</t>
  </si>
  <si>
    <t>Speculum Graves' large  (ZM)</t>
  </si>
  <si>
    <t>Speculum Graves' Medium (ZM)</t>
  </si>
  <si>
    <t>Speculum  Graves'  Small (ZM)</t>
  </si>
  <si>
    <t>Speculum, endocervical (ZM)</t>
  </si>
  <si>
    <t>Sponge holding forceps (UG)</t>
  </si>
  <si>
    <t>Steel trolley (Two/three shelves) (ZM)</t>
  </si>
  <si>
    <t>Step-on stool (ZM)</t>
  </si>
  <si>
    <t>Sterilising Drum (ZM)</t>
  </si>
  <si>
    <t>Sterilizer (UG)</t>
  </si>
  <si>
    <t>Television set (ZM)</t>
  </si>
  <si>
    <t>Timer / wall clock (UG)</t>
  </si>
  <si>
    <t>Torch (UG)</t>
  </si>
  <si>
    <t>Uterine Cervical Dilator (ZM)</t>
  </si>
  <si>
    <t>Uterine Probe (ZM)</t>
  </si>
  <si>
    <t>Equipment Category 113</t>
  </si>
  <si>
    <t>Equipment Category 114</t>
  </si>
  <si>
    <t>Equipment Category 115</t>
  </si>
  <si>
    <t>Equipment Category 116</t>
  </si>
  <si>
    <t>Equipment Category 117</t>
  </si>
  <si>
    <t>Levin-Equipment-Nov32015.xlsx</t>
  </si>
  <si>
    <t>Kansembe_Health_Worker_Salaries_Oct14_2015.xlsx</t>
  </si>
  <si>
    <t>10 ml syringes with long 27-gauge needle (UG)</t>
  </si>
  <si>
    <t>100% alcohol (UG)</t>
  </si>
  <si>
    <t>100% Ethanol (UG)</t>
  </si>
  <si>
    <t>5% acetic acid (UG)</t>
  </si>
  <si>
    <t>Acetic acid (UG)</t>
  </si>
  <si>
    <t>Acetic acid, 3–5% dilution (ZM)</t>
  </si>
  <si>
    <t>Alcohol, 60-90% isopropyl or ethyl 95% (ZM)</t>
  </si>
  <si>
    <t>Amitriptyline hydrochloride( 25mg) (ZM)</t>
  </si>
  <si>
    <t>Anticeptic solution (UG)</t>
  </si>
  <si>
    <t>Arithromycin (250g) (ZM)</t>
  </si>
  <si>
    <t>Arithromycin (250g) (UG)</t>
  </si>
  <si>
    <t>Arithromycin (5g) (UG)</t>
  </si>
  <si>
    <t>Ball electrode (UG)</t>
  </si>
  <si>
    <t>Ball electrode  5mm/Ellman (ZM)</t>
  </si>
  <si>
    <t>Bed linen sheet (100 uses) (ZM)</t>
  </si>
  <si>
    <t>Bin Liner (ZM)</t>
  </si>
  <si>
    <t>Bleach (JIK)</t>
  </si>
  <si>
    <t>Bleach (UG)</t>
  </si>
  <si>
    <t>careHPV DCM tube (UG)</t>
  </si>
  <si>
    <t>Cervical brush (UG)</t>
  </si>
  <si>
    <t>Chlorine 0.5% (Jik-diluted) (ZM)</t>
  </si>
  <si>
    <t>Cidex (2-4% glutaraldehyde) (ZM)</t>
  </si>
  <si>
    <t>Ciprofloxacin (500mg) (UG)</t>
  </si>
  <si>
    <t>Ciprofloxacin (500mg) 250MG (ZM)</t>
  </si>
  <si>
    <t>Cisplatin (50 mg) (ZM)</t>
  </si>
  <si>
    <t>Citokit (UG)</t>
  </si>
  <si>
    <t>Condom MALE (ZM)</t>
  </si>
  <si>
    <t>Cotton swab (ZM)</t>
  </si>
  <si>
    <t>Cotton swabs (UG)</t>
  </si>
  <si>
    <t>Cotton Wool, roll, non-sterile (ZM)</t>
  </si>
  <si>
    <t>Diclofenac (50mg) (ZM)</t>
  </si>
  <si>
    <t>Distilled water (ZM)</t>
  </si>
  <si>
    <t>Distilled water (UG)</t>
  </si>
  <si>
    <t>Dulcolax (10mg) (ZM)</t>
  </si>
  <si>
    <t>Formalin (UG)</t>
  </si>
  <si>
    <t>Formalin AR 40% (ZM)</t>
  </si>
  <si>
    <t>Gas - N2O (UG)</t>
  </si>
  <si>
    <t>Gas Cylinder (Nitrous Oxide) 72 kg. (ZM)</t>
  </si>
  <si>
    <t>Gauze (UG)</t>
  </si>
  <si>
    <t>Gauze, Non-Sterile (ZM)</t>
  </si>
  <si>
    <t>Gauze, Sterile (ZM)</t>
  </si>
  <si>
    <t>Gloves (UG)</t>
  </si>
  <si>
    <t>Gloves, Non-Sterile, Examination, latex, assorted sizes, disp. (ZM)</t>
  </si>
  <si>
    <t>Gloves, Sterile 7.5 (ZM)</t>
  </si>
  <si>
    <t>IV canula 22G  (ZM)</t>
  </si>
  <si>
    <t>IV line (set) (ZM)</t>
  </si>
  <si>
    <t>Ketamine (ZM)</t>
  </si>
  <si>
    <t>Kitchen Towel (ZM)</t>
  </si>
  <si>
    <t>K-Y jelly Tube w/ 100 applcations ea) (ZM)</t>
  </si>
  <si>
    <t>Label (TZ)</t>
  </si>
  <si>
    <t>Lidocaine 1% or 2% without epinephrine (UG)</t>
  </si>
  <si>
    <t>Liquid soap (UG)</t>
  </si>
  <si>
    <t>Lugol's iodine (UG)</t>
  </si>
  <si>
    <t>Metronizadol (200mg) (ZM)</t>
  </si>
  <si>
    <t>Metronizadol (200mg) (UG)</t>
  </si>
  <si>
    <t>Metronizadol (400mg) (UG)</t>
  </si>
  <si>
    <t>Mitomycin  C (10mg) (ZM)</t>
  </si>
  <si>
    <t>Monsel's solution (UG)</t>
  </si>
  <si>
    <t>Morphine (10mg) (ZM)</t>
  </si>
  <si>
    <t>Mutton Cloth (ZM)</t>
  </si>
  <si>
    <t>Needle - Spinal 22G (disposable) (ZM)</t>
  </si>
  <si>
    <t>Needles - Dental 27G Long (ZM)</t>
  </si>
  <si>
    <t>Neostymine (ZM)</t>
  </si>
  <si>
    <t>Normal saline (UG)</t>
  </si>
  <si>
    <t>Nystain (200mg) (UG)</t>
  </si>
  <si>
    <t>Opiods - Pethidine (ZM)</t>
  </si>
  <si>
    <t>Oralpharyngeal airway (ZM)</t>
  </si>
  <si>
    <t>Oxygen Mask (ZM)</t>
  </si>
  <si>
    <t>Pancuronuien (ZM)</t>
  </si>
  <si>
    <t>Paracetamol (1g) (UG)</t>
  </si>
  <si>
    <t>Paracetamol (500mg) (UG)</t>
  </si>
  <si>
    <t>Pathology form (TZ)</t>
  </si>
  <si>
    <t>Patient card (TZ)</t>
  </si>
  <si>
    <t>Pregnancy test– urine test strip (ZM)</t>
  </si>
  <si>
    <t>Profol, 2%, 20 mg/l, 50ml (ZM)</t>
  </si>
  <si>
    <t>Return electrode (UG)</t>
  </si>
  <si>
    <t>Saline solution, normal (ZM)</t>
  </si>
  <si>
    <t>Sanitary pad (ZM)</t>
  </si>
  <si>
    <t>Sanitary pad (UG)</t>
  </si>
  <si>
    <t>Scouring Powder (Ajax)</t>
  </si>
  <si>
    <t>Soap (or hand sanitizer) (ZM)</t>
  </si>
  <si>
    <t>Specimen bottle / recyled syringe bottles (UG)</t>
  </si>
  <si>
    <t>Surgical Apron (ZM)</t>
  </si>
  <si>
    <t>Suxamethonium (ZM)</t>
  </si>
  <si>
    <t>Syringe - 2cc (ZM)</t>
  </si>
  <si>
    <t>Syringe - 2ml (UG)</t>
  </si>
  <si>
    <t>Syringe, 10 cc with needle (ZM)</t>
  </si>
  <si>
    <t>Syringe, 5 cc with needle (ZM)</t>
  </si>
  <si>
    <t>Thiopentone,500mg vial (ZM)</t>
  </si>
  <si>
    <t>Toilet Tissues (roll) – 500 sheets (ZM)</t>
  </si>
  <si>
    <t>Tramadol (50mg)  (ZM)</t>
  </si>
  <si>
    <t>Tubes - Endotrach (ZM)</t>
  </si>
  <si>
    <t>Urine Bag (ZM)</t>
  </si>
  <si>
    <t>Washing powder (ZM)</t>
  </si>
  <si>
    <t>Wire electrode (UG)</t>
  </si>
  <si>
    <t>Wood stick (ZM)</t>
  </si>
  <si>
    <t>500case</t>
  </si>
  <si>
    <t>1000ml</t>
  </si>
  <si>
    <t>1 litr</t>
  </si>
  <si>
    <t>2.5 litre bottle</t>
  </si>
  <si>
    <t>10 ltrs</t>
  </si>
  <si>
    <t>Pack of 500</t>
  </si>
  <si>
    <t>11352ml</t>
  </si>
  <si>
    <t>bottle of 500 tablets</t>
  </si>
  <si>
    <t>bottle of 100</t>
  </si>
  <si>
    <t>single tablet</t>
  </si>
  <si>
    <t>1.2 mg</t>
  </si>
  <si>
    <t>1 bedsheet cotton</t>
  </si>
  <si>
    <t>750 ml</t>
  </si>
  <si>
    <t>750ml</t>
  </si>
  <si>
    <t>5 pieces</t>
  </si>
  <si>
    <t>100packet</t>
  </si>
  <si>
    <t>10 litres</t>
  </si>
  <si>
    <t>5 litre bottle</t>
  </si>
  <si>
    <t>5 LITRES</t>
  </si>
  <si>
    <t>1 litre bottle</t>
  </si>
  <si>
    <t>vial</t>
  </si>
  <si>
    <t xml:space="preserve">single 50 mg vial </t>
  </si>
  <si>
    <t>package of 20</t>
  </si>
  <si>
    <t>100 swabs</t>
  </si>
  <si>
    <t>swab</t>
  </si>
  <si>
    <t>5 metres</t>
  </si>
  <si>
    <t>500 g.</t>
  </si>
  <si>
    <t>2.5 litres</t>
  </si>
  <si>
    <t>20000ml</t>
  </si>
  <si>
    <t>25 LITRES</t>
  </si>
  <si>
    <t>16560000ml</t>
  </si>
  <si>
    <t>72 kg</t>
  </si>
  <si>
    <t>one cylinder</t>
  </si>
  <si>
    <t>1000pieces</t>
  </si>
  <si>
    <t>package of 12</t>
  </si>
  <si>
    <t xml:space="preserve">roll </t>
  </si>
  <si>
    <t>roll</t>
  </si>
  <si>
    <t>50pairs</t>
  </si>
  <si>
    <t>100 pieces</t>
  </si>
  <si>
    <t xml:space="preserve">box of 100 </t>
  </si>
  <si>
    <t>package of 50</t>
  </si>
  <si>
    <t>250ml</t>
  </si>
  <si>
    <t>pack of 50</t>
  </si>
  <si>
    <t>pack of 25</t>
  </si>
  <si>
    <t>set of 1</t>
  </si>
  <si>
    <t>10 ml, 100mg/ml</t>
  </si>
  <si>
    <t xml:space="preserve">1 tube </t>
  </si>
  <si>
    <t>tube</t>
  </si>
  <si>
    <t>single vial</t>
  </si>
  <si>
    <t>litre</t>
  </si>
  <si>
    <t>5000ml</t>
  </si>
  <si>
    <t>bottle of 1000</t>
  </si>
  <si>
    <t>450ml</t>
  </si>
  <si>
    <t>60 tablets</t>
  </si>
  <si>
    <t>40 metres</t>
  </si>
  <si>
    <t>pack of 12</t>
  </si>
  <si>
    <t>500mg/ml, 1ml</t>
  </si>
  <si>
    <t>500ml</t>
  </si>
  <si>
    <t>2mg/ml, 2ml</t>
  </si>
  <si>
    <t>form</t>
  </si>
  <si>
    <t>1 dozen</t>
  </si>
  <si>
    <t>package of 1000</t>
  </si>
  <si>
    <t>one with 100 uses</t>
  </si>
  <si>
    <t>package of 25</t>
  </si>
  <si>
    <t>2%, 20 mg/l, 50ml</t>
  </si>
  <si>
    <t>one litre</t>
  </si>
  <si>
    <t>90pieces</t>
  </si>
  <si>
    <t>500 grams</t>
  </si>
  <si>
    <t>one bar or bottle</t>
  </si>
  <si>
    <t>500 pieces</t>
  </si>
  <si>
    <t>one cup w/ lid and lable</t>
  </si>
  <si>
    <t>50mg/ml, 2ml</t>
  </si>
  <si>
    <t>500mg vial</t>
  </si>
  <si>
    <t>100 Tablets</t>
  </si>
  <si>
    <t>pack of 10</t>
  </si>
  <si>
    <t>1 kg</t>
  </si>
  <si>
    <t>25 mg</t>
  </si>
  <si>
    <t>sheet use</t>
  </si>
  <si>
    <t>liner</t>
  </si>
  <si>
    <t>brush</t>
  </si>
  <si>
    <t>1/100 roll</t>
  </si>
  <si>
    <t>application</t>
  </si>
  <si>
    <t>piece</t>
  </si>
  <si>
    <t>1/2 roll</t>
  </si>
  <si>
    <t>pair</t>
  </si>
  <si>
    <t>canula</t>
  </si>
  <si>
    <t>1 application</t>
  </si>
  <si>
    <t>mililitre</t>
  </si>
  <si>
    <t>metre</t>
  </si>
  <si>
    <t>needle</t>
  </si>
  <si>
    <t>bag</t>
  </si>
  <si>
    <t>pad</t>
  </si>
  <si>
    <t>uses</t>
  </si>
  <si>
    <t>syringe</t>
  </si>
  <si>
    <t>syringe w/needle</t>
  </si>
  <si>
    <t>10 sheets</t>
  </si>
  <si>
    <t>gram</t>
  </si>
  <si>
    <t>electrode</t>
  </si>
  <si>
    <t>stick</t>
  </si>
  <si>
    <t>Kansembe_Supply_Costs_Oct28_2015.xlsx</t>
  </si>
  <si>
    <t>Biopsy Pathology (ZM)</t>
  </si>
  <si>
    <t>Chest X-ray (ZM)</t>
  </si>
  <si>
    <t>Full Blood Count (ZM)</t>
  </si>
  <si>
    <t>Hysterectomy Pathology (ZM)</t>
  </si>
  <si>
    <t>LEEP Pathology (ZM)</t>
  </si>
  <si>
    <t>Liver Function (ZM)</t>
  </si>
  <si>
    <t>Renal Function (ZM)</t>
  </si>
  <si>
    <t>Ultrasound (ZM)</t>
  </si>
  <si>
    <t>test and report</t>
  </si>
  <si>
    <t>laboratory analysis and report</t>
  </si>
  <si>
    <t>Time and Motion Results_Levin_Dec21_2015.docx</t>
  </si>
  <si>
    <t>Reviewed and appoved by Planning and Costing Team - Zambia - 2015</t>
  </si>
  <si>
    <t>Autoclaving Machine</t>
  </si>
  <si>
    <t>Basin (for examination couch)</t>
  </si>
  <si>
    <t>Card reader</t>
  </si>
  <si>
    <t>Chair</t>
  </si>
  <si>
    <t>Computer with monitor</t>
  </si>
  <si>
    <t>Digital Camera</t>
  </si>
  <si>
    <t>Examination couch (with Stirrups)</t>
  </si>
  <si>
    <t>Full Height Standing Cabinet</t>
  </si>
  <si>
    <t>Lensmate SX 40 Filter Adapter 58mm</t>
  </si>
  <si>
    <t>Magnification Lens</t>
  </si>
  <si>
    <t>Nurses Table</t>
  </si>
  <si>
    <t>Pillows</t>
  </si>
  <si>
    <t>Steel trolley (Two/three shelves)</t>
  </si>
  <si>
    <t>Step on stool</t>
  </si>
  <si>
    <t>Sterilising Drum</t>
  </si>
  <si>
    <t>Zambia_Costing_Assumptions_Day 2 Advanced Clinical, Mobilizatin, Training and Supervision2.pptx</t>
  </si>
  <si>
    <t>Ondansetron IV 16 mg * 3 procedures (need price)</t>
  </si>
  <si>
    <t>Ondansetronoral 8 mg * 2 doses (BID)*3d*3cycles (need price)</t>
  </si>
  <si>
    <t>Dexamethasone IV 16 mg 3 (1 q chemo cycle) need price</t>
  </si>
  <si>
    <t>Mannitol 20 mg 3 (1 q chemo cycle)</t>
  </si>
  <si>
    <t>Emend 100 mg 3 (1 q chemo cycle)</t>
  </si>
  <si>
    <t>Hospital Personnel Category 7</t>
  </si>
  <si>
    <t>Surgeon</t>
  </si>
  <si>
    <t>Assistant Surgeon</t>
  </si>
  <si>
    <t>2nd Assistant Surgeon</t>
  </si>
  <si>
    <t>Anaestheliogist</t>
  </si>
  <si>
    <t>Scrub Nurse</t>
  </si>
  <si>
    <t>Circulating Nurse</t>
  </si>
  <si>
    <t>Zambia_Costing_Assumptions_Day 2 Advanced Clinical, Mobilization, Training and Supervision2.pptx</t>
  </si>
  <si>
    <t>Facility 7</t>
  </si>
  <si>
    <t>Facility 8</t>
  </si>
  <si>
    <t>Facility 9</t>
  </si>
  <si>
    <t>Facility 10</t>
  </si>
  <si>
    <t>Reserved for Future Model Expansion</t>
  </si>
  <si>
    <t>Service Area Names</t>
  </si>
  <si>
    <t>Facility Ref# (Model Dev Use Only)</t>
  </si>
  <si>
    <t xml:space="preserve">TOTAL FACILITIES </t>
  </si>
  <si>
    <t>TOTAL FACILITIES</t>
  </si>
  <si>
    <t>Last ODC Row</t>
  </si>
  <si>
    <t>1 test &amp; report</t>
  </si>
  <si>
    <t>Lab Tests &amp; Other Direct Costs Category 23</t>
  </si>
  <si>
    <t>Lab Tests &amp; Other Direct Costs Category 24</t>
  </si>
  <si>
    <t>Lab Tests &amp; Other Direct Costs Category 25</t>
  </si>
  <si>
    <t>Lab Tests &amp; Other Direct Costs Category 26</t>
  </si>
  <si>
    <t>Lab Tests &amp; Other Direct Costs Category 27</t>
  </si>
  <si>
    <t>Lab Tests &amp; Other Direct Costs Category 28</t>
  </si>
  <si>
    <t>Lab Tests &amp; Other Direct Costs Category 29</t>
  </si>
  <si>
    <t>Lab Tests &amp; Other Direct Costs Category 30</t>
  </si>
  <si>
    <t>Lab Tests &amp; Other Direct Costs Category 31</t>
  </si>
  <si>
    <t>Lab Tests &amp; Other Direct Costs Category 32</t>
  </si>
  <si>
    <t>Facility Type 10</t>
  </si>
  <si>
    <t>Intervention Services - Annual Assumptions</t>
  </si>
  <si>
    <t>Notes/ Source Ref. for Economic Cost Estimates</t>
  </si>
  <si>
    <t>Notes/ Source Ref. for Financial Cost Estimates</t>
  </si>
  <si>
    <t>Startup National Level</t>
  </si>
  <si>
    <t>Continuing National Level</t>
  </si>
  <si>
    <t>kansembe@gmail.com</t>
  </si>
  <si>
    <t>Ministry of Health - Zambia</t>
  </si>
  <si>
    <t>Sharon Kapambwe</t>
  </si>
  <si>
    <t>skapambwe@yahoo.com</t>
  </si>
  <si>
    <t>Angel Mwiche</t>
  </si>
  <si>
    <t>Team Member11</t>
  </si>
  <si>
    <t>amwiche@yahoo.com</t>
  </si>
  <si>
    <t>PRECa</t>
  </si>
  <si>
    <t>Ca</t>
  </si>
  <si>
    <t>Loop Electrosurgical Excision Procedure  with BIOP-H</t>
  </si>
  <si>
    <t>LEEP with BIOP-H</t>
  </si>
  <si>
    <t>BIOP-H  (with or without LEEP) Referral Proportions</t>
  </si>
  <si>
    <t>Source of HIV Prevalence Rates: DHS 2013-2014 Women 15-49, by Province</t>
  </si>
  <si>
    <t>Source of HIV Prevalence Rates: DHS 2013-2014 Women 15-19, and 20-24,  by Province</t>
  </si>
  <si>
    <t>http://treasury.un.org/operationalrates/</t>
  </si>
  <si>
    <t>last checked January 1, 2016</t>
  </si>
  <si>
    <t>Personnel - Hospital Cadre - Other 31</t>
  </si>
  <si>
    <t>General Medical Doctor</t>
  </si>
  <si>
    <t>Listed in August 2015 Salaries, but not included by Kansembe in October</t>
  </si>
  <si>
    <t>Kansembe_Health_Worker_Salaries_Oct14_2015.xlsx (Senior may be same)</t>
  </si>
  <si>
    <t>Personnel - Other Category 30</t>
  </si>
  <si>
    <t>Loop Electrodes - 10 mm x 10mm (Ellman) (ZM)</t>
  </si>
  <si>
    <t>Loop Electrodes - 5 mm x 5mm (Ellman) (ZM)</t>
  </si>
  <si>
    <t>Equipment Category 118</t>
  </si>
  <si>
    <t>Syringes, Dental, 25 gauge (ZM)</t>
  </si>
  <si>
    <t>one syringe</t>
  </si>
  <si>
    <t>Monsel's solution (ZM)</t>
  </si>
  <si>
    <t>box of 12, single dose 8 gm</t>
  </si>
  <si>
    <t>Cervical Cold Coagulator with Instrument Cable and Therapy Probe (ZM)</t>
  </si>
  <si>
    <t>per Sharon K. Dec 2015 (need to check ULYs)</t>
  </si>
  <si>
    <t>Atropine (ZM)</t>
  </si>
  <si>
    <t>Halothane (ZM)</t>
  </si>
  <si>
    <t>millilitre</t>
  </si>
  <si>
    <t>Notes / Sources of Information</t>
  </si>
  <si>
    <t>Model is currently using a constant proportion for all years</t>
  </si>
  <si>
    <t>Small PreCa Source: Sharon K. baed on review of Parham article</t>
  </si>
  <si>
    <t>Large PreCa Source: Sharon K. baed on review of Parham article</t>
  </si>
  <si>
    <t>We assume the Invasive Cancer proportion (2.1%) based on 100% minus</t>
  </si>
  <si>
    <t xml:space="preserve">80% normal (from Parham article) minus 17.9% from  review of Parham </t>
  </si>
  <si>
    <t>article.</t>
  </si>
  <si>
    <t>Note: Epidemiology Assumptions are currently constant for all years.</t>
  </si>
  <si>
    <t>Note: Basic Referral  Assumptions are currently constant for all years.</t>
  </si>
  <si>
    <t>Note: BIOP-H Referral  Assumptions are currently constant for all years.</t>
  </si>
  <si>
    <t>No Referral Made</t>
  </si>
  <si>
    <t xml:space="preserve">Note: No Referral Made includes bothe conclusive results which are normal </t>
  </si>
  <si>
    <t xml:space="preserve">and 1.1% nonconclusive results, which are not referred. (based on  </t>
  </si>
  <si>
    <t>Parham article)</t>
  </si>
  <si>
    <t>Note: the  distribution of those referred for invasive cancer treatment and</t>
  </si>
  <si>
    <t>management is not based on evidence.  It needs to be reviewed by Zambia</t>
  </si>
  <si>
    <t>expert team and, if possible, review board.</t>
  </si>
  <si>
    <t>Last Result Normal</t>
  </si>
  <si>
    <t>Prior Referral</t>
  </si>
  <si>
    <t>Per Sharon K.</t>
  </si>
  <si>
    <t>Note: These numbers are currently constant for all years.</t>
  </si>
  <si>
    <t>These demand assumptions have no supporting evidence.</t>
  </si>
  <si>
    <t>Note: Assumptions are currently constant for all years.</t>
  </si>
  <si>
    <t>Palliative Outpatient - Lookups</t>
  </si>
  <si>
    <t>Currencies Calculation Details</t>
  </si>
  <si>
    <t>Financial Capital Expenditures (Capex) (NonAnnualized)</t>
  </si>
  <si>
    <t>Financial Capital Expenditures (Capex) (Annualized)</t>
  </si>
  <si>
    <t>Economic Capital Expenditures (Capex) (Annualized)</t>
  </si>
  <si>
    <t>Additional Screening Method Options can be added by Developer, as needed.</t>
  </si>
  <si>
    <t>Price Reference Lists (from Price_List Module)</t>
  </si>
  <si>
    <t>Service Area Reference List (from Labels Module)</t>
  </si>
  <si>
    <t>Assumed Prerequisite Equipment in Place (Note: To include in costing, please remove from here and add under "Equipment Required to Outfit a Site..." Below)</t>
  </si>
  <si>
    <t>Note: If equipment is assumed to be already present at site, do not include here.  Instead, add to, "Assumed Rerequisite in Place...", Above.</t>
  </si>
  <si>
    <t>Estimated Demand for Screening (Imported from Reg Population Module)</t>
  </si>
  <si>
    <t xml:space="preserve">Note: Check (Tick) the white box above if you assume that </t>
  </si>
  <si>
    <t>people seeking screening in underserved areas will</t>
  </si>
  <si>
    <t>travel outside their area to get screened.</t>
  </si>
  <si>
    <t xml:space="preserve">Distribute Excess Capacity Selected? </t>
  </si>
  <si>
    <t>Go to Distribute Excess Capacity</t>
  </si>
  <si>
    <t>Not included: Cleaning swabs, Mutton Cloth, Autoclaving Tape, Autoclaving Material, Bin Liners,</t>
  </si>
  <si>
    <t>Sharon K. personal correspondence with Ann Levin Dec 2015</t>
  </si>
  <si>
    <t>Sharon K. via personal correspondence with Ann Levin Dec 2015</t>
  </si>
  <si>
    <t>Filing Cabinet</t>
  </si>
  <si>
    <t>Gallipot</t>
  </si>
  <si>
    <t>Television Set</t>
  </si>
  <si>
    <t>Sharon K. per personal correspondence with Ann Levin Dec 2015</t>
  </si>
  <si>
    <t>Sharon K. via personal correspondence with Ann Levin</t>
  </si>
  <si>
    <t>Notes /Sources of Information</t>
  </si>
  <si>
    <t>per Ann Levin</t>
  </si>
  <si>
    <t>Lidocaine 2% with epinephrine 1:80000 (ZM)</t>
  </si>
  <si>
    <t>BOX of 50 unknown quantity</t>
  </si>
  <si>
    <t>unknown</t>
  </si>
  <si>
    <t>LEEP machine plus smoke evacuator system plus accessories (ZM)</t>
  </si>
  <si>
    <t>Sharon K. personal correspondence w/Ann Levin</t>
  </si>
  <si>
    <t>[Note 15]</t>
  </si>
  <si>
    <t>[Note 16]</t>
  </si>
  <si>
    <t>[Note 17]</t>
  </si>
  <si>
    <t>[Note 18]</t>
  </si>
  <si>
    <t>Loop Electrodes - 20 mm x 8mm (Ellman) (ZM)</t>
  </si>
  <si>
    <t>Loop Electrodes - 20 mm x 15mm (Ellman) (ZM)</t>
  </si>
  <si>
    <t>Equipment Category 119</t>
  </si>
  <si>
    <t>Equipment Category 120</t>
  </si>
  <si>
    <t>Equipment Category 121</t>
  </si>
  <si>
    <t>Equipment Category 122</t>
  </si>
  <si>
    <t>Equipment Category 123</t>
  </si>
  <si>
    <t>per Sharon K. personal correspondence Ann Levin Dec 2015</t>
  </si>
  <si>
    <t>[Insert sub-section cover note 1]</t>
  </si>
  <si>
    <t>[Insert sub-section cover note 2]</t>
  </si>
  <si>
    <t>[Insert sub-section cover note 3]</t>
  </si>
  <si>
    <t>Raw Outputs</t>
  </si>
  <si>
    <t>Predicted Demand for Initial Screening (Active Areas)</t>
  </si>
  <si>
    <t>Predicted Demand for Initial Screening (Inactive Areas)</t>
  </si>
  <si>
    <t>Predicted Demand for Re-Screening (Active Areas)</t>
  </si>
  <si>
    <t>Predicted Demand for Re-Screening (Inactive Areas)</t>
  </si>
  <si>
    <t>Re-screening demand is currently set at 100% in model, without ability to adjust.</t>
  </si>
  <si>
    <t>Developer can revise model to vary by year, if requested by reviewers.</t>
  </si>
  <si>
    <t>Facility Personnel Price List</t>
  </si>
  <si>
    <t>Equipment Price List</t>
  </si>
  <si>
    <t>Supply Price List</t>
  </si>
  <si>
    <t>Lab Tests &amp; Other Direct Costs (ODC) Price List</t>
  </si>
  <si>
    <t>Screening Procedures Performed (Initial and Re-Screens)</t>
  </si>
  <si>
    <t>AVG # Service Days per Year</t>
  </si>
  <si>
    <t>AVG # Service Hours per Service Day</t>
  </si>
  <si>
    <t>AVG # Minutes per Service</t>
  </si>
  <si>
    <t>AVG # Minutes per Service Hour</t>
  </si>
  <si>
    <t>Annual Capacity (Automatically Calculated)</t>
  </si>
  <si>
    <t>Other Facility Types</t>
  </si>
  <si>
    <t>Fixed Hospital Sites</t>
  </si>
  <si>
    <t>Preexisting Sites</t>
  </si>
  <si>
    <t>Notes/ Information Sources for Annual Capacity Assumptions</t>
  </si>
  <si>
    <t>[Note 1]</t>
  </si>
  <si>
    <t>[Note 2]</t>
  </si>
  <si>
    <t>[Note 3]</t>
  </si>
  <si>
    <t>[Note 4]</t>
  </si>
  <si>
    <t>Notes/ Information Sources</t>
  </si>
  <si>
    <t>www.levinmorgan.com</t>
  </si>
  <si>
    <t>Intended Users</t>
  </si>
  <si>
    <t>Currency Options List (from Prices Module)</t>
  </si>
  <si>
    <t>(Please note: Below this row are grouped/hidden rows which are used by developers to maintain this tool. They require the Exceladd-in BPM to use. As part of this project, BPM is available to WHO developers without charge via bpmglobal.com)</t>
  </si>
  <si>
    <t>Designated by MOH - Zambia</t>
  </si>
  <si>
    <t>Not to be included, per MOH - Zambia</t>
  </si>
  <si>
    <t>All provinces already have active cervical cancer</t>
  </si>
  <si>
    <t xml:space="preserve">screening and precancerous treatment (Cryotherapy) </t>
  </si>
  <si>
    <t>going on as of 2015, per Zambia MOH. (S. Kambambwe)</t>
  </si>
  <si>
    <t>Currency Codes and Exchange Rates</t>
  </si>
  <si>
    <t>Note: This curent version of the tool does not include inflation rate adjustments.</t>
  </si>
  <si>
    <t>costs of capital goods such as equipment.</t>
  </si>
  <si>
    <t>The annual discount rate is used to calculate the annualised economic</t>
  </si>
  <si>
    <t>The annual inflation rate is not used in the current version of the tool</t>
  </si>
  <si>
    <t>It is scheduled for inclusion in future versions of the tool, if requested.</t>
  </si>
  <si>
    <t>Per…</t>
  </si>
  <si>
    <t>Palliative Care</t>
  </si>
  <si>
    <t>PALL</t>
  </si>
  <si>
    <t>Facility Type 8</t>
  </si>
  <si>
    <t>Facility Type 9</t>
  </si>
  <si>
    <t>Fixed Hospital Facilities</t>
  </si>
  <si>
    <t>ADJUSTED</t>
  </si>
  <si>
    <t>RAW</t>
  </si>
  <si>
    <t>entering cervical cancer data, and cleaning the clinic. (per Sharon K. Jan 2016)</t>
  </si>
  <si>
    <t>Patients come from 8AM to noon (4 hrs.). Another 2.5 hrs are spent cleaning instruments,</t>
  </si>
  <si>
    <t>Administration hours (2.5) are done 2 out of 5 days per week. (per Sharon K.)</t>
  </si>
  <si>
    <t>Computers are used specifically for cervical cancer.</t>
  </si>
  <si>
    <t>Bandwidth subscription for computer is exclusively for cervical cancer screening (Sharon K)</t>
  </si>
  <si>
    <t>100 speculums to start.  Replace 50% each year.</t>
  </si>
  <si>
    <t>Mobile screening clinics do not yet have speculums.  Need to budget for them. (250 per clinic)</t>
  </si>
  <si>
    <t xml:space="preserve">CIDRZ mobile team goes out once a month. Only some clinics are affected.  </t>
  </si>
  <si>
    <t>some 1x week,  lusaka 3x week</t>
  </si>
  <si>
    <t>as needed</t>
  </si>
  <si>
    <t>CIDRZ nurses are trained to do on their own, but not policy for leep.</t>
  </si>
  <si>
    <t>per Sharon K</t>
  </si>
  <si>
    <t>Specimen bottle for Zambia -  10 cents per Sharon K</t>
  </si>
  <si>
    <t>This is the govt rate.  Note that some use private labs at $20 each (per Sharon k)</t>
  </si>
  <si>
    <t xml:space="preserve">per Sharon K. Dec 2015, (says 2 boxes is enough for 60 women) 50% of the 1 percent needing biop-h will bleed. </t>
  </si>
  <si>
    <t>Gov't Mobile Health Team (Hospital)</t>
  </si>
  <si>
    <t>PCI Mobile Health Team</t>
  </si>
  <si>
    <t>CIDRZ Mobile Health Team</t>
  </si>
  <si>
    <t>Post Procedure Activities</t>
  </si>
  <si>
    <t>10 minutes post procedure is based on 6 hours admin per week/ avg 50 cases = 7 min per case on top of 3 min from time-motion study</t>
  </si>
  <si>
    <t>use canula costs from TZ for now.</t>
  </si>
  <si>
    <t>BU and Creatiny</t>
  </si>
  <si>
    <t>Consider Calcium Magnesium Phosphate Test</t>
  </si>
  <si>
    <t>CD4 Count for HIV positive patients at 40 kwacha</t>
  </si>
  <si>
    <t>3 patients at a time per procedure</t>
  </si>
  <si>
    <t xml:space="preserve">8,000 chemo visits in 2014 *33% </t>
  </si>
  <si>
    <t>EBT Procedure</t>
  </si>
  <si>
    <t>EBT Planning</t>
  </si>
  <si>
    <t>EBT PRocedure</t>
  </si>
  <si>
    <t>Radiologist just checking patient images 10 minutes</t>
  </si>
  <si>
    <t>ICB Procedure</t>
  </si>
  <si>
    <t>Simple blocks (they are lead)  (ZM) est price 80 kwacha per patient</t>
  </si>
  <si>
    <t>Need cost for ZM planning x-ray</t>
  </si>
  <si>
    <t>Simulation</t>
  </si>
  <si>
    <t xml:space="preserve">EBT </t>
  </si>
  <si>
    <t xml:space="preserve">ICB </t>
  </si>
  <si>
    <t>Incontinence sheets 15 kwacha (ZM) 1 per procedure all procedures</t>
  </si>
  <si>
    <t>EBT Radiotherapy machine (ZM)  33% for cervical cancer</t>
  </si>
  <si>
    <t>ICB Radiotherapy machine (ZM)  33% for cervical cancer</t>
  </si>
  <si>
    <t>1 each per facility</t>
  </si>
  <si>
    <t xml:space="preserve">1 per million people </t>
  </si>
  <si>
    <t>ideally 13 machines</t>
  </si>
  <si>
    <t>Need costs for machines seems like TZ is similar</t>
  </si>
  <si>
    <t>5 year ULYs</t>
  </si>
  <si>
    <t>Will expand to provincial hospitals and above</t>
  </si>
  <si>
    <t>social worker</t>
  </si>
  <si>
    <t>examine, check Rx</t>
  </si>
  <si>
    <t>palliative care nursing</t>
  </si>
  <si>
    <t>dispensing, pain mgmnt.</t>
  </si>
  <si>
    <t>general care</t>
  </si>
  <si>
    <t>Outpatient Care Portion - change to syrup</t>
  </si>
  <si>
    <t>Laculose 15 mls a bedtime daily need cost 15ml at bedtime</t>
  </si>
  <si>
    <t>Codeine Phosphate  30mg every 6 hours in lieu of morphine</t>
  </si>
  <si>
    <t>ask Parham</t>
  </si>
  <si>
    <t xml:space="preserve">Dexamethasone (ZM) </t>
  </si>
  <si>
    <t>4mg</t>
  </si>
  <si>
    <t>Emend (ZM)</t>
  </si>
  <si>
    <t>Frusamide (ZM)</t>
  </si>
  <si>
    <t>20mg</t>
  </si>
  <si>
    <t>Supplies Category 158</t>
  </si>
  <si>
    <t>IV giving set (closed system) (ZM)</t>
  </si>
  <si>
    <t>Supplies Category 159</t>
  </si>
  <si>
    <t>Mannitol (ZM)</t>
  </si>
  <si>
    <t>mg</t>
  </si>
  <si>
    <t>Supplies Category 160</t>
  </si>
  <si>
    <t>Supplies Category 109</t>
  </si>
  <si>
    <t>Supplies Category 161</t>
  </si>
  <si>
    <t>Supplies Category 162</t>
  </si>
  <si>
    <t>Normal saline (ZM)</t>
  </si>
  <si>
    <t>Ondansetron (IV) 4mg vials</t>
  </si>
  <si>
    <t>1 litre</t>
  </si>
  <si>
    <t>Supplies Category 163</t>
  </si>
  <si>
    <t>Ondasetron (oral) (4mg tablets)</t>
  </si>
  <si>
    <t>Paracetamol (500mg) (ZM)</t>
  </si>
  <si>
    <t>Oncologist first visit</t>
  </si>
  <si>
    <t>Oncologist follow up visit</t>
  </si>
  <si>
    <t>Executes plan</t>
  </si>
  <si>
    <t>First patient visit</t>
  </si>
  <si>
    <t>Supervises 30 nurses</t>
  </si>
  <si>
    <t>5 patients  in 180 minutes</t>
  </si>
  <si>
    <t>Running speciments</t>
  </si>
  <si>
    <t>Prepare drugs for patient</t>
  </si>
  <si>
    <t>80 % get 2 procedures.  Another 20% get a third procedure</t>
  </si>
  <si>
    <t>Note: Livingstone General is now Central Referral Hospital</t>
  </si>
  <si>
    <t>Carboplatin (15% receive) alternative to cisplatin</t>
  </si>
  <si>
    <t>Nsaline (2lq chemo cycle)</t>
  </si>
  <si>
    <t>Susan Citonje Msadabwe-Chikuni</t>
  </si>
  <si>
    <t>Service Area Names (From Programme Rollout Plan Worksheet- Change or Add there.)</t>
  </si>
  <si>
    <t>Sub-Section 4.1.</t>
  </si>
  <si>
    <t>4.1.</t>
  </si>
  <si>
    <t>Interview with [1/8/2016 7:06:06 AM] *** SUSAN CITONJE MSADABWE-CHIKUNI ***</t>
  </si>
  <si>
    <t>Verification X-rays two field</t>
  </si>
  <si>
    <t>ESTIMATED SERVICES PROVIDED:</t>
  </si>
  <si>
    <t>ESTIMATED COSTS:</t>
  </si>
  <si>
    <t>QUICK OVERVIEW</t>
  </si>
  <si>
    <t>Sub-Section 3.1.</t>
  </si>
  <si>
    <t>3.1.</t>
  </si>
  <si>
    <t>Sub-Section 3.2.</t>
  </si>
  <si>
    <t>3.2.</t>
  </si>
  <si>
    <t>Country Setup</t>
  </si>
  <si>
    <t>Source: Sharon K.</t>
  </si>
  <si>
    <t>Source: Screening Facilities.docx from Sharon K</t>
  </si>
  <si>
    <t>Proportion of Active Hospitals to Active Facilities</t>
  </si>
  <si>
    <t>Supplies Cost per Procedure</t>
  </si>
  <si>
    <t>Annual Maintenance Add-on</t>
  </si>
  <si>
    <t>Annual Equip Cost per Site</t>
  </si>
  <si>
    <t>Initial Equip. Cost per Site</t>
  </si>
  <si>
    <t>Personnel Cost per Procedure (Other Facility Types)</t>
  </si>
  <si>
    <t>Personnel Cost per Procedure (Fixed Hospital Types)</t>
  </si>
  <si>
    <t>Summary of Total Active Facilities</t>
  </si>
  <si>
    <t>Unmet Demand</t>
  </si>
  <si>
    <t>Facilities</t>
  </si>
  <si>
    <t>Demand</t>
  </si>
  <si>
    <t>Need Re-Screening</t>
  </si>
  <si>
    <t>Need Initial Screening</t>
  </si>
  <si>
    <t>Need</t>
  </si>
  <si>
    <t>Is excess capacity in a province applied to unmet demand elsewhere?</t>
  </si>
  <si>
    <t>Capacity</t>
  </si>
  <si>
    <t>Total Procedures Provided (by Patient's Home Province)</t>
  </si>
  <si>
    <t>Total Procedures Supplied (by Province Providing)</t>
  </si>
  <si>
    <t>Need Screening Procedure (Initial or Re-Screening)</t>
  </si>
  <si>
    <t>Outcomes</t>
  </si>
  <si>
    <t>Precancerous Lesion Rate (from Epidemiology)</t>
  </si>
  <si>
    <t>Early Invasive Cancer Rate (from Epidemiology)</t>
  </si>
  <si>
    <t>Mid-Stage  Invasive Cancer Rate (from Epidemiology)</t>
  </si>
  <si>
    <t>Late Stage Invasive Cancer Rate (from Epidemiology)</t>
  </si>
  <si>
    <t>Normal Cervix Rate (from Epidemiology)</t>
  </si>
  <si>
    <t xml:space="preserve">Women Referred for Treatment of Pre-Cancer </t>
  </si>
  <si>
    <t xml:space="preserve">Women Referred for Treatment of Early Invasive Cancer </t>
  </si>
  <si>
    <t xml:space="preserve">Women Referred for Treatment of Mid-Stage Invasive Cancer </t>
  </si>
  <si>
    <t>Women Referred for Palliative Treatment of Late-Stage Invasive Cancer</t>
  </si>
  <si>
    <t>Basis for Outcome Calculations (from Reg_Pop_Ann_TA sheet)</t>
  </si>
  <si>
    <t>Review/Change Number of Active Facilities</t>
  </si>
  <si>
    <t>Review/Change Capacity Assumptions of Facilities</t>
  </si>
  <si>
    <t>Review/Change this Option to Distribute Excess Capacity</t>
  </si>
  <si>
    <t>Sub-Section 3.3.</t>
  </si>
  <si>
    <t>3.3.</t>
  </si>
  <si>
    <t>Current Scenario Summary Sheets</t>
  </si>
  <si>
    <t>Demand Rates Applied</t>
  </si>
  <si>
    <t xml:space="preserve"> PCI, CIDRZ, and JHPIEGO go out independent of govt teams. </t>
  </si>
  <si>
    <t>1 mobile team per quarter (avg 5 days each) (per Sharon K.)mobile team comes from the provincial hospital staff.</t>
  </si>
  <si>
    <t>Average is 3 days per week for 3 hours per day</t>
  </si>
  <si>
    <t>Average 3 days per week of service</t>
  </si>
  <si>
    <t>VIA - Cost Summary</t>
  </si>
  <si>
    <t>VIA - Outputs Summary</t>
  </si>
  <si>
    <t>Personnel Costs</t>
  </si>
  <si>
    <t>Screening Summary - Results</t>
  </si>
  <si>
    <t>Screening Summary - Costs</t>
  </si>
  <si>
    <t>Recurrent Costs (excludes Capital Expenditures)</t>
  </si>
  <si>
    <t>Capital Expenditures (CapEx)</t>
  </si>
  <si>
    <t>Capex (Equip) NonAnnualized (Fin)</t>
  </si>
  <si>
    <t>Capex (Equip) Annualized (Fin)</t>
  </si>
  <si>
    <t>Capex (Equip) NonAnnualized (Econ)</t>
  </si>
  <si>
    <t>Capex (Equip) Annualized (Econ)</t>
  </si>
  <si>
    <t>Total Costs Annualized (includes Capital Expenditures)</t>
  </si>
  <si>
    <t>Women Receiving VIA-Negative Result</t>
  </si>
  <si>
    <t>Recurrent Financial Costs</t>
  </si>
  <si>
    <t>Recurrent Economic Costs</t>
  </si>
  <si>
    <t>Total Financial Costs Annualized</t>
  </si>
  <si>
    <t>Total Economic Costs Annualized</t>
  </si>
  <si>
    <t>BIOP-H - Summary</t>
  </si>
  <si>
    <t>h.</t>
  </si>
  <si>
    <t>i.</t>
  </si>
  <si>
    <t>j.</t>
  </si>
  <si>
    <t>k.</t>
  </si>
  <si>
    <t>l.</t>
  </si>
  <si>
    <t>m.</t>
  </si>
  <si>
    <t>n.</t>
  </si>
  <si>
    <t>o.</t>
  </si>
  <si>
    <t>Cryo - Ouputs Summary</t>
  </si>
  <si>
    <t>Cryo - Cost Summary</t>
  </si>
  <si>
    <t>LEEP - Ouptputs Summary</t>
  </si>
  <si>
    <t>LEEP - Cost Summary</t>
  </si>
  <si>
    <t>Surgery - Outputs Summary</t>
  </si>
  <si>
    <t>Surgery - Cost Summary</t>
  </si>
  <si>
    <t>Chemotherapy - Outputs Summary</t>
  </si>
  <si>
    <t>Chemotherapy - Cost Summary</t>
  </si>
  <si>
    <t>Radiotherapy - Outputs Summary</t>
  </si>
  <si>
    <t>Radiotherapy - Cost Summary</t>
  </si>
  <si>
    <t>Palliative Outpatient - Outputs Summary</t>
  </si>
  <si>
    <t>Palliative Outpatient - Cost Summary</t>
  </si>
  <si>
    <t>Screened Patients Referred for BIOP-H</t>
  </si>
  <si>
    <t>Referred Patients Seeking BIOP-H</t>
  </si>
  <si>
    <t>Women Requiring no Referral</t>
  </si>
  <si>
    <t>Diagnostic - Outputs Summary</t>
  </si>
  <si>
    <t>Diagnostics- Cost Summary</t>
  </si>
  <si>
    <t>Lab Tests and Other Direct Costs (ODC)</t>
  </si>
  <si>
    <t>Screened Patients Referred for Procedure</t>
  </si>
  <si>
    <t>Diagnostics</t>
  </si>
  <si>
    <t>Interventions</t>
  </si>
  <si>
    <t>Biopsy-Histopathology Summary - Results</t>
  </si>
  <si>
    <t>Biopsy-Histopathology Summary - Costs</t>
  </si>
  <si>
    <t>p.</t>
  </si>
  <si>
    <t>q.</t>
  </si>
  <si>
    <t>Cryotherapy-Same Visit  Summary - Results</t>
  </si>
  <si>
    <t>Cryotherapy-Same Visit  Summary - Costs</t>
  </si>
  <si>
    <t>LEEP Summary - Results</t>
  </si>
  <si>
    <t>LEEP Summary - Costs</t>
  </si>
  <si>
    <t>Surgery Summary - Results</t>
  </si>
  <si>
    <t>Surgery Summary - Costs</t>
  </si>
  <si>
    <t>Chemotherapy Summary - Results</t>
  </si>
  <si>
    <t>Chemotherapy Summary - Costs</t>
  </si>
  <si>
    <t>Radiotherapy Summary - Results</t>
  </si>
  <si>
    <t>Radiotherapy Summary - Costs</t>
  </si>
  <si>
    <t>Palliative Summary - Results</t>
  </si>
  <si>
    <t>Palliative Summary - Costs</t>
  </si>
  <si>
    <t>Total Costs Summary</t>
  </si>
  <si>
    <t>Section 6.</t>
  </si>
  <si>
    <t>Section 7.</t>
  </si>
  <si>
    <t>Sub-Section 7.1.</t>
  </si>
  <si>
    <t>7.1.</t>
  </si>
  <si>
    <t>Sub-Section 7.2.</t>
  </si>
  <si>
    <t>7.2.</t>
  </si>
  <si>
    <t>Sub-Section 6.1.</t>
  </si>
  <si>
    <t>6.1.</t>
  </si>
  <si>
    <t>Other Assumptions</t>
  </si>
  <si>
    <t>This sub-section contains error checks and alert checks.</t>
  </si>
  <si>
    <t>source of names: Zambia Expert Team - October 2015</t>
  </si>
  <si>
    <t>Zambia Expert Team (October 2015 reviewed and approved)</t>
  </si>
  <si>
    <t>Go to Annual Capacity per service Unit - VIA</t>
  </si>
  <si>
    <t>Plug-in #4: Meeting Cost Estimator</t>
  </si>
  <si>
    <t>National Programme Microplanning</t>
  </si>
  <si>
    <t>Provincial Programme Microplanning</t>
  </si>
  <si>
    <t>These are dummy cost estimates pending data from the field.</t>
  </si>
  <si>
    <t>This is dummy data pending receipt of data from the field.</t>
  </si>
  <si>
    <t>VIA and Cryotherapy Training</t>
  </si>
  <si>
    <t>LEEP Training</t>
  </si>
  <si>
    <t>Social Mobilization</t>
  </si>
  <si>
    <t>Communication Support</t>
  </si>
  <si>
    <t>Social Mobilization and Communication</t>
  </si>
  <si>
    <t>Mobile Team Referral Follow-up</t>
  </si>
  <si>
    <t>Social Mobilization Activity Name</t>
  </si>
  <si>
    <t>Activities per Year</t>
  </si>
  <si>
    <t>Fixed Facility Patient Recruitment</t>
  </si>
  <si>
    <t>Mobile Team Patient Recruitment</t>
  </si>
  <si>
    <t>Fixed Facility Referral Follow-up</t>
  </si>
  <si>
    <t>Notes/ Information on Soccial Mobilization Activity Cost Assumptions</t>
  </si>
  <si>
    <t>Total Active Fixed Site Facilities</t>
  </si>
  <si>
    <t>Total Active Mobile Teams</t>
  </si>
  <si>
    <t>National Pink Ribbon Red Ribbon Launch</t>
  </si>
  <si>
    <t>Provincial Pink Ribbon Red Ribbon Launch</t>
  </si>
  <si>
    <t>Number of Introductory Support Packages</t>
  </si>
  <si>
    <t>Initial Screening Campaign</t>
  </si>
  <si>
    <t>Re-screening Campaign</t>
  </si>
  <si>
    <t xml:space="preserve"> Dropout Reduction Campaign</t>
  </si>
  <si>
    <t>Notes/ Information on Communication Support Assumptions</t>
  </si>
  <si>
    <t>Provincial Supervision Team Visits</t>
  </si>
  <si>
    <t>Province - Outputs</t>
  </si>
  <si>
    <t>National Programme Evaluation</t>
  </si>
  <si>
    <t>Other Costs - Annual 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</si>
</sst>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44" formatCode="_(&quot;$&quot;* #,##0.00_);_(&quot;$&quot;* \(#,##0.00\);_(&quot;$&quot;* &quot;-&quot;??_);_(@_)"/>
    <numFmt numFmtId="43" formatCode="_(* #,##0.00_);_(* \(#,##0.00\);_(* &quot;-&quot;??_);_(@_)"/>
    <numFmt numFmtId="164" formatCode="_(###0_);\(###0\);_(&quot;-&quot;_);_)@_)"/>
    <numFmt numFmtId="165" formatCode="_)d\-mmm\-yy_);_)d\-mmm\-yy_);_)&quot;-&quot;_);_)@_)"/>
    <numFmt numFmtId="166" formatCode="_(#,##0.0_);\(#,##0.0\);_(&quot;-&quot;_);_)@_)"/>
    <numFmt numFmtId="167" formatCode="_(#,##0.0%_);\(#,##0.0%\);_(&quot;-&quot;_);_)@_)"/>
    <numFmt numFmtId="168" formatCode="_(#,##0.0\x_);\(#,##0.0\x\);_(&quot;-&quot;_);_)@_)"/>
    <numFmt numFmtId="169" formatCode="_(#,##0_);\(#,##0\);_(#,##0_);_)@_)"/>
    <numFmt numFmtId="170" formatCode="_(#,##0_);\(#,##0\);_(&quot;-&quot;_);_)@_)"/>
    <numFmt numFmtId="171" formatCode="#,##0."/>
    <numFmt numFmtId="172" formatCode="_(#,##0%_);\(#,##0%\);_(&quot;-&quot;_);_)@_)"/>
    <numFmt numFmtId="173" formatCode="_(#,##0.00_);\(#,##0.00\);_(&quot;-&quot;_);_)@_)"/>
    <numFmt numFmtId="174" formatCode="_(#,##0.00%_);\(#,##0.00%\);_(&quot;-&quot;_);_)@_)"/>
    <numFmt numFmtId="175" formatCode="_(* #,##0_);_(* \(#,##0\);_(* &quot;-&quot;??_);_(@_)"/>
    <numFmt numFmtId="176" formatCode="_(#,##0.000_);\(#,##0.000\);_(&quot;-&quot;_);_)@_)"/>
    <numFmt numFmtId="177" formatCode="_(&quot;$&quot;#,##0_);\(&quot;$&quot;#,##0\);_(&quot;-&quot;_);_)@_)"/>
    <numFmt numFmtId="178" formatCode="_(&quot;$&quot;#,##0.0_);\(&quot;$&quot;#,##0.0\);_(&quot;-&quot;_);_)@_)"/>
    <numFmt numFmtId="179" formatCode="_(&quot;$&quot;* #,##0_);_(&quot;$&quot;* \(#,##0\);_(&quot;$&quot;* &quot;-&quot;??_);_(@_)"/>
  </numFmts>
  <fonts count="71" x14ac:knownFonts="1">
    <font>
      <sz val="10"/>
      <name val="Calibri"/>
      <family val="2"/>
      <scheme val="minor"/>
    </font>
    <font>
      <sz val="10"/>
      <color theme="1"/>
      <name val="Tahoma"/>
      <family val="2"/>
    </font>
    <font>
      <sz val="8"/>
      <name val="Tahoma"/>
      <family val="2"/>
    </font>
    <font>
      <b/>
      <sz val="14"/>
      <name val="Calibri"/>
      <family val="2"/>
      <scheme val="major"/>
    </font>
    <font>
      <b/>
      <sz val="12"/>
      <name val="Calibri"/>
      <family val="2"/>
      <scheme val="major"/>
    </font>
    <font>
      <b/>
      <sz val="10"/>
      <name val="Calibri"/>
      <family val="2"/>
      <scheme val="major"/>
    </font>
    <font>
      <b/>
      <sz val="8"/>
      <name val="Calibri"/>
      <family val="2"/>
      <scheme val="major"/>
    </font>
    <font>
      <b/>
      <sz val="8"/>
      <name val="Calibri"/>
      <family val="2"/>
      <scheme val="minor"/>
    </font>
    <font>
      <b/>
      <sz val="10"/>
      <color indexed="56"/>
      <name val="Wingdings"/>
      <charset val="2"/>
    </font>
    <font>
      <b/>
      <u/>
      <sz val="10"/>
      <color indexed="56"/>
      <name val="Calibri"/>
      <family val="2"/>
      <scheme val="minor"/>
    </font>
    <font>
      <b/>
      <sz val="10"/>
      <color indexed="60"/>
      <name val="Calibri"/>
      <family val="2"/>
      <scheme val="major"/>
    </font>
    <font>
      <b/>
      <sz val="14"/>
      <color indexed="60"/>
      <name val="Calibri"/>
      <family val="2"/>
      <scheme val="major"/>
    </font>
    <font>
      <b/>
      <sz val="8"/>
      <color indexed="60"/>
      <name val="Calibri"/>
      <family val="2"/>
      <scheme val="major"/>
    </font>
    <font>
      <sz val="8"/>
      <color rgb="FFFFFFFF"/>
      <name val="Calibri"/>
      <family val="2"/>
      <scheme val="minor"/>
    </font>
    <font>
      <b/>
      <sz val="9"/>
      <color indexed="60"/>
      <name val="Calibri"/>
      <family val="2"/>
      <scheme val="major"/>
    </font>
    <font>
      <b/>
      <sz val="8"/>
      <color indexed="59"/>
      <name val="Calibri"/>
      <family val="2"/>
      <scheme val="minor"/>
    </font>
    <font>
      <b/>
      <sz val="8"/>
      <color indexed="59"/>
      <name val="Calibri"/>
      <family val="2"/>
      <scheme val="major"/>
    </font>
    <font>
      <b/>
      <sz val="12"/>
      <color indexed="59"/>
      <name val="Calibri"/>
      <family val="2"/>
      <scheme val="major"/>
    </font>
    <font>
      <sz val="9"/>
      <color indexed="81"/>
      <name val="Tahoma"/>
      <family val="2"/>
    </font>
    <font>
      <b/>
      <sz val="9"/>
      <color indexed="81"/>
      <name val="Tahoma"/>
      <family val="2"/>
    </font>
    <font>
      <u/>
      <sz val="8"/>
      <color theme="10"/>
      <name val="Calibri"/>
      <family val="2"/>
      <scheme val="minor"/>
    </font>
    <font>
      <sz val="10"/>
      <name val="Calibri"/>
      <family val="2"/>
      <scheme val="minor"/>
    </font>
    <font>
      <b/>
      <sz val="18"/>
      <name val="Calibri"/>
      <family val="2"/>
      <scheme val="major"/>
    </font>
    <font>
      <b/>
      <sz val="16"/>
      <name val="Calibri"/>
      <family val="2"/>
      <scheme val="major"/>
    </font>
    <font>
      <b/>
      <sz val="11"/>
      <name val="Calibri"/>
      <family val="2"/>
      <scheme val="major"/>
    </font>
    <font>
      <sz val="10"/>
      <name val="Calibri"/>
      <family val="2"/>
      <scheme val="major"/>
    </font>
    <font>
      <b/>
      <sz val="10"/>
      <name val="Calibri"/>
      <family val="2"/>
      <scheme val="minor"/>
    </font>
    <font>
      <b/>
      <u/>
      <sz val="11"/>
      <color indexed="56"/>
      <name val="Calibri"/>
      <family val="2"/>
      <scheme val="minor"/>
    </font>
    <font>
      <sz val="10"/>
      <color indexed="56"/>
      <name val="Calibri"/>
      <family val="2"/>
      <scheme val="minor"/>
    </font>
    <font>
      <sz val="10"/>
      <color indexed="60"/>
      <name val="Calibri"/>
      <family val="2"/>
      <scheme val="minor"/>
    </font>
    <font>
      <sz val="10"/>
      <color rgb="FFF0F0F0"/>
      <name val="Calibri"/>
      <family val="2"/>
      <scheme val="minor"/>
    </font>
    <font>
      <b/>
      <sz val="12"/>
      <color indexed="60"/>
      <name val="Calibri"/>
      <family val="2"/>
      <scheme val="major"/>
    </font>
    <font>
      <b/>
      <sz val="10"/>
      <color indexed="60"/>
      <name val="Calibri"/>
      <family val="2"/>
      <scheme val="minor"/>
    </font>
    <font>
      <sz val="10"/>
      <color indexed="59"/>
      <name val="Calibri"/>
      <family val="2"/>
      <scheme val="minor"/>
    </font>
    <font>
      <b/>
      <sz val="10"/>
      <color indexed="59"/>
      <name val="Calibri"/>
      <family val="2"/>
      <scheme val="minor"/>
    </font>
    <font>
      <b/>
      <sz val="11"/>
      <color indexed="60"/>
      <name val="Calibri"/>
      <family val="2"/>
      <scheme val="major"/>
    </font>
    <font>
      <b/>
      <sz val="11"/>
      <color indexed="59"/>
      <name val="Calibri"/>
      <family val="2"/>
      <scheme val="major"/>
    </font>
    <font>
      <b/>
      <sz val="10"/>
      <color indexed="59"/>
      <name val="Calibri"/>
      <family val="2"/>
      <scheme val="major"/>
    </font>
    <font>
      <sz val="11"/>
      <color indexed="60"/>
      <name val="Calibri"/>
      <family val="2"/>
      <scheme val="major"/>
    </font>
    <font>
      <sz val="10"/>
      <color rgb="FFFFFFFF"/>
      <name val="Calibri"/>
      <family val="2"/>
      <scheme val="minor"/>
    </font>
    <font>
      <b/>
      <sz val="18"/>
      <color indexed="60"/>
      <name val="Calibri"/>
      <family val="2"/>
      <scheme val="major"/>
    </font>
    <font>
      <b/>
      <sz val="14"/>
      <color indexed="59"/>
      <name val="Calibri"/>
      <family val="2"/>
      <scheme val="major"/>
    </font>
    <font>
      <b/>
      <sz val="16"/>
      <color indexed="60"/>
      <name val="Calibri"/>
      <family val="2"/>
      <scheme val="major"/>
    </font>
    <font>
      <sz val="10"/>
      <color theme="0"/>
      <name val="Tahoma"/>
      <family val="2"/>
    </font>
    <font>
      <sz val="12"/>
      <name val="Calibri"/>
      <family val="2"/>
      <scheme val="minor"/>
    </font>
    <font>
      <sz val="16"/>
      <name val="Calibri"/>
      <family val="2"/>
      <scheme val="minor"/>
    </font>
    <font>
      <sz val="18"/>
      <name val="Calibri"/>
      <family val="2"/>
      <scheme val="minor"/>
    </font>
    <font>
      <b/>
      <sz val="18"/>
      <color theme="5"/>
      <name val="Calibri"/>
      <family val="2"/>
      <scheme val="minor"/>
    </font>
    <font>
      <b/>
      <sz val="12"/>
      <color theme="5"/>
      <name val="Calibri"/>
      <family val="2"/>
      <scheme val="minor"/>
    </font>
    <font>
      <b/>
      <sz val="11"/>
      <color indexed="58"/>
      <name val="Calibri"/>
      <family val="2"/>
      <scheme val="major"/>
    </font>
    <font>
      <b/>
      <sz val="12"/>
      <name val="Calibri"/>
      <family val="2"/>
      <scheme val="minor"/>
    </font>
    <font>
      <sz val="11"/>
      <name val="Calibri"/>
      <family val="2"/>
      <scheme val="minor"/>
    </font>
    <font>
      <b/>
      <sz val="14"/>
      <name val="Calibri"/>
      <family val="2"/>
      <scheme val="minor"/>
    </font>
    <font>
      <b/>
      <sz val="18"/>
      <name val="Calibri"/>
      <family val="2"/>
      <scheme val="minor"/>
    </font>
    <font>
      <b/>
      <sz val="10"/>
      <color theme="0"/>
      <name val="Calibri"/>
      <family val="2"/>
      <scheme val="minor"/>
    </font>
    <font>
      <sz val="14"/>
      <name val="Calibri"/>
      <family val="2"/>
      <scheme val="minor"/>
    </font>
    <font>
      <sz val="10"/>
      <name val="Arial"/>
      <family val="2"/>
    </font>
    <font>
      <b/>
      <sz val="11"/>
      <color theme="0"/>
      <name val="Calibri"/>
      <family val="2"/>
      <scheme val="minor"/>
    </font>
    <font>
      <sz val="10"/>
      <color indexed="60"/>
      <name val="Calibri"/>
      <family val="2"/>
      <scheme val="major"/>
    </font>
    <font>
      <sz val="10"/>
      <color indexed="60"/>
      <name val="Arial"/>
      <family val="2"/>
    </font>
    <font>
      <b/>
      <sz val="10"/>
      <color indexed="60"/>
      <name val="Arial"/>
      <family val="2"/>
    </font>
    <font>
      <b/>
      <sz val="18"/>
      <color indexed="8"/>
      <name val="Calibri"/>
      <family val="2"/>
      <scheme val="major"/>
    </font>
    <font>
      <sz val="10"/>
      <color indexed="8"/>
      <name val="Calibri"/>
      <family val="2"/>
      <scheme val="minor"/>
    </font>
    <font>
      <b/>
      <sz val="11"/>
      <color indexed="60"/>
      <name val="Calibri"/>
      <family val="2"/>
      <scheme val="minor"/>
    </font>
    <font>
      <sz val="12"/>
      <color indexed="60"/>
      <name val="Calibri"/>
      <family val="2"/>
      <scheme val="minor"/>
    </font>
    <font>
      <b/>
      <sz val="14"/>
      <color theme="5"/>
      <name val="Calibri"/>
      <family val="2"/>
      <scheme val="minor"/>
    </font>
    <font>
      <i/>
      <sz val="10"/>
      <name val="Calibri"/>
      <family val="2"/>
      <scheme val="minor"/>
    </font>
    <font>
      <b/>
      <sz val="18"/>
      <color theme="1"/>
      <name val="Calibri"/>
      <family val="2"/>
      <scheme val="minor"/>
    </font>
    <font>
      <u/>
      <sz val="8"/>
      <color indexed="60"/>
      <name val="Calibri"/>
      <family val="2"/>
      <scheme val="minor"/>
    </font>
    <font>
      <sz val="10"/>
      <color rgb="FF000000"/>
      <name val="Calibri"/>
      <family val="2"/>
    </font>
    <font>
      <b/>
      <sz val="12"/>
      <color theme="0"/>
      <name val="Tahoma"/>
      <family val="2"/>
    </font>
  </fonts>
  <fills count="23">
    <fill>
      <patternFill patternType="none"/>
    </fill>
    <fill>
      <patternFill patternType="gray125"/>
    </fill>
    <fill>
      <patternFill patternType="solid">
        <fgColor indexed="13"/>
        <bgColor indexed="64"/>
      </patternFill>
    </fill>
    <fill>
      <patternFill patternType="solid">
        <fgColor theme="4"/>
      </patternFill>
    </fill>
    <fill>
      <patternFill patternType="solid">
        <fgColor theme="6" tint="0.59999389629810485"/>
        <bgColor indexed="65"/>
      </patternFill>
    </fill>
    <fill>
      <patternFill patternType="solid">
        <fgColor rgb="FFF0F0F0"/>
        <bgColor indexed="64"/>
      </patternFill>
    </fill>
    <fill>
      <patternFill patternType="solid">
        <fgColor theme="4"/>
        <bgColor indexed="64"/>
      </patternFill>
    </fill>
    <fill>
      <patternFill patternType="solid">
        <fgColor theme="3" tint="0.39997558519241921"/>
        <bgColor indexed="64"/>
      </patternFill>
    </fill>
    <fill>
      <patternFill patternType="solid">
        <fgColor rgb="FFFFFF00"/>
        <bgColor indexed="64"/>
      </patternFill>
    </fill>
    <fill>
      <patternFill patternType="solid">
        <fgColor rgb="FF80FF80"/>
        <bgColor indexed="64"/>
      </patternFill>
    </fill>
    <fill>
      <patternFill patternType="solid">
        <fgColor theme="6" tint="0.59996337778862885"/>
        <bgColor indexed="64"/>
      </patternFill>
    </fill>
    <fill>
      <patternFill patternType="solid">
        <fgColor theme="4" tint="0.39994506668294322"/>
        <bgColor indexed="64"/>
      </patternFill>
    </fill>
    <fill>
      <patternFill patternType="solid">
        <fgColor indexed="22"/>
        <bgColor indexed="64"/>
      </patternFill>
    </fill>
    <fill>
      <patternFill patternType="solid">
        <fgColor rgb="FF008080"/>
        <bgColor theme="4"/>
      </patternFill>
    </fill>
    <fill>
      <patternFill patternType="solid">
        <fgColor indexed="65"/>
        <bgColor indexed="64"/>
      </patternFill>
    </fill>
    <fill>
      <patternFill patternType="solid">
        <fgColor indexed="63"/>
        <bgColor indexed="64"/>
      </patternFill>
    </fill>
    <fill>
      <patternFill patternType="solid">
        <fgColor indexed="62"/>
        <bgColor indexed="64"/>
      </patternFill>
    </fill>
    <fill>
      <patternFill patternType="solid">
        <fgColor rgb="FFFFFFDC"/>
        <bgColor indexed="64"/>
      </patternFill>
    </fill>
    <fill>
      <patternFill patternType="gray125">
        <fgColor indexed="42"/>
      </patternFill>
    </fill>
    <fill>
      <patternFill patternType="lightGray">
        <fgColor indexed="44"/>
      </patternFill>
    </fill>
    <fill>
      <patternFill patternType="lightGray">
        <fgColor indexed="47"/>
      </patternFill>
    </fill>
    <fill>
      <patternFill patternType="lightGray">
        <fgColor indexed="45"/>
      </patternFill>
    </fill>
    <fill>
      <patternFill patternType="lightGray">
        <fgColor indexed="24"/>
      </patternFill>
    </fill>
  </fills>
  <borders count="8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dashed">
        <color indexed="64"/>
      </left>
      <right/>
      <top style="thin">
        <color indexed="64"/>
      </top>
      <bottom style="dashed">
        <color indexed="64"/>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bottom style="dashed">
        <color indexed="64"/>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dashed">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style="thin">
        <color indexed="22"/>
      </top>
      <bottom/>
      <diagonal/>
    </border>
    <border>
      <left/>
      <right/>
      <top/>
      <bottom style="thin">
        <color indexed="2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ck">
        <color rgb="FFC00000"/>
      </left>
      <right style="thick">
        <color rgb="FFC00000"/>
      </right>
      <top style="thick">
        <color rgb="FFC00000"/>
      </top>
      <bottom style="thick">
        <color rgb="FFC00000"/>
      </bottom>
      <diagonal/>
    </border>
    <border>
      <left style="medium">
        <color rgb="FFC00000"/>
      </left>
      <right style="medium">
        <color rgb="FFC00000"/>
      </right>
      <top style="medium">
        <color rgb="FFC00000"/>
      </top>
      <bottom style="medium">
        <color rgb="FFC0000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thin">
        <color indexed="64"/>
      </left>
      <right/>
      <top style="dashed">
        <color indexed="64"/>
      </top>
      <bottom style="thin">
        <color indexed="64"/>
      </bottom>
      <diagonal/>
    </border>
    <border>
      <left style="thin">
        <color indexed="64"/>
      </left>
      <right/>
      <top style="dashed">
        <color indexed="64"/>
      </top>
      <bottom/>
      <diagonal/>
    </border>
    <border>
      <left/>
      <right style="thin">
        <color indexed="64"/>
      </right>
      <top style="dashed">
        <color indexed="64"/>
      </top>
      <bottom/>
      <diagonal/>
    </border>
    <border>
      <left style="thin">
        <color indexed="18"/>
      </left>
      <right style="thin">
        <color indexed="18"/>
      </right>
      <top style="thin">
        <color indexed="18"/>
      </top>
      <bottom style="thin">
        <color indexed="18"/>
      </bottom>
      <diagonal/>
    </border>
    <border>
      <left style="thin">
        <color indexed="18"/>
      </left>
      <right/>
      <top style="thin">
        <color indexed="18"/>
      </top>
      <bottom style="thin">
        <color indexed="18"/>
      </bottom>
      <diagonal/>
    </border>
    <border>
      <left/>
      <right style="thin">
        <color indexed="18"/>
      </right>
      <top style="thin">
        <color indexed="18"/>
      </top>
      <bottom style="thin">
        <color indexed="18"/>
      </bottom>
      <diagonal/>
    </border>
    <border>
      <left/>
      <right/>
      <top style="thin">
        <color indexed="18"/>
      </top>
      <bottom/>
      <diagonal/>
    </border>
    <border>
      <left/>
      <right/>
      <top/>
      <bottom style="thin">
        <color indexed="18"/>
      </bottom>
      <diagonal/>
    </border>
    <border>
      <left style="thin">
        <color indexed="18"/>
      </left>
      <right style="thin">
        <color indexed="18"/>
      </right>
      <top style="thin">
        <color indexed="18"/>
      </top>
      <bottom style="thin">
        <color indexed="64"/>
      </bottom>
      <diagonal/>
    </border>
    <border>
      <left style="thin">
        <color indexed="18"/>
      </left>
      <right style="thin">
        <color indexed="64"/>
      </right>
      <top style="thin">
        <color indexed="18"/>
      </top>
      <bottom style="thin">
        <color indexed="64"/>
      </bottom>
      <diagonal/>
    </border>
    <border>
      <left style="thin">
        <color indexed="64"/>
      </left>
      <right style="thin">
        <color indexed="18"/>
      </right>
      <top style="thin">
        <color indexed="18"/>
      </top>
      <bottom style="thin">
        <color indexed="64"/>
      </bottom>
      <diagonal/>
    </border>
    <border>
      <left style="thin">
        <color indexed="18"/>
      </left>
      <right style="thin">
        <color indexed="18"/>
      </right>
      <top style="thin">
        <color indexed="64"/>
      </top>
      <bottom style="thin">
        <color indexed="18"/>
      </bottom>
      <diagonal/>
    </border>
    <border>
      <left style="thin">
        <color indexed="18"/>
      </left>
      <right style="thin">
        <color indexed="64"/>
      </right>
      <top style="thin">
        <color indexed="64"/>
      </top>
      <bottom style="thin">
        <color indexed="18"/>
      </bottom>
      <diagonal/>
    </border>
    <border>
      <left style="thin">
        <color indexed="64"/>
      </left>
      <right style="thin">
        <color indexed="18"/>
      </right>
      <top style="thin">
        <color indexed="64"/>
      </top>
      <bottom style="thin">
        <color indexed="18"/>
      </bottom>
      <diagonal/>
    </border>
    <border>
      <left style="thin">
        <color indexed="18"/>
      </left>
      <right style="thin">
        <color indexed="18"/>
      </right>
      <top style="thin">
        <color indexed="18"/>
      </top>
      <bottom/>
      <diagonal/>
    </border>
    <border>
      <left style="thin">
        <color indexed="18"/>
      </left>
      <right style="thin">
        <color indexed="18"/>
      </right>
      <top/>
      <bottom style="thin">
        <color indexed="18"/>
      </bottom>
      <diagonal/>
    </border>
    <border>
      <left style="thin">
        <color indexed="18"/>
      </left>
      <right style="thin">
        <color indexed="18"/>
      </right>
      <top style="thin">
        <color indexed="64"/>
      </top>
      <bottom style="thin">
        <color indexed="64"/>
      </bottom>
      <diagonal/>
    </border>
    <border>
      <left style="thin">
        <color indexed="64"/>
      </left>
      <right/>
      <top style="thin">
        <color indexed="64"/>
      </top>
      <bottom style="thin">
        <color indexed="18"/>
      </bottom>
      <diagonal/>
    </border>
    <border>
      <left style="thin">
        <color indexed="18"/>
      </left>
      <right style="thin">
        <color indexed="64"/>
      </right>
      <top style="thin">
        <color indexed="18"/>
      </top>
      <bottom style="thin">
        <color indexed="18"/>
      </bottom>
      <diagonal/>
    </border>
    <border>
      <left style="thin">
        <color indexed="18"/>
      </left>
      <right/>
      <top style="thin">
        <color indexed="64"/>
      </top>
      <bottom style="thin">
        <color indexed="18"/>
      </bottom>
      <diagonal/>
    </border>
    <border>
      <left style="thin">
        <color indexed="64"/>
      </left>
      <right style="thin">
        <color indexed="18"/>
      </right>
      <top style="thin">
        <color indexed="18"/>
      </top>
      <bottom style="thin">
        <color indexed="18"/>
      </bottom>
      <diagonal/>
    </border>
    <border>
      <left style="thin">
        <color indexed="64"/>
      </left>
      <right style="thin">
        <color indexed="18"/>
      </right>
      <top style="thin">
        <color indexed="64"/>
      </top>
      <bottom style="thin">
        <color indexed="64"/>
      </bottom>
      <diagonal/>
    </border>
    <border>
      <left/>
      <right style="thin">
        <color indexed="64"/>
      </right>
      <top/>
      <bottom style="thin">
        <color indexed="18"/>
      </bottom>
      <diagonal/>
    </border>
    <border>
      <left/>
      <right/>
      <top style="thin">
        <color indexed="18"/>
      </top>
      <bottom style="thin">
        <color indexed="18"/>
      </bottom>
      <diagonal/>
    </border>
    <border>
      <left style="thin">
        <color indexed="18"/>
      </left>
      <right style="thin">
        <color indexed="64"/>
      </right>
      <top/>
      <bottom style="thin">
        <color indexed="64"/>
      </bottom>
      <diagonal/>
    </border>
    <border>
      <left style="thin">
        <color indexed="64"/>
      </left>
      <right style="thin">
        <color indexed="18"/>
      </right>
      <top/>
      <bottom style="thin">
        <color indexed="64"/>
      </bottom>
      <diagonal/>
    </border>
    <border>
      <left style="thin">
        <color indexed="18"/>
      </left>
      <right style="thin">
        <color indexed="64"/>
      </right>
      <top/>
      <bottom style="thin">
        <color indexed="18"/>
      </bottom>
      <diagonal/>
    </border>
    <border>
      <left style="thin">
        <color indexed="64"/>
      </left>
      <right style="thin">
        <color indexed="18"/>
      </right>
      <top/>
      <bottom style="thin">
        <color indexed="18"/>
      </bottom>
      <diagonal/>
    </border>
    <border>
      <left style="thin">
        <color indexed="18"/>
      </left>
      <right style="thin">
        <color indexed="18"/>
      </right>
      <top/>
      <bottom style="thin">
        <color indexed="64"/>
      </bottom>
      <diagonal/>
    </border>
    <border>
      <left style="thin">
        <color indexed="18"/>
      </left>
      <right/>
      <top/>
      <bottom style="thin">
        <color indexed="64"/>
      </bottom>
      <diagonal/>
    </border>
    <border>
      <left style="thin">
        <color indexed="18"/>
      </left>
      <right/>
      <top/>
      <bottom style="thin">
        <color indexed="18"/>
      </bottom>
      <diagonal/>
    </border>
    <border>
      <left style="thin">
        <color indexed="18"/>
      </left>
      <right/>
      <top style="thin">
        <color indexed="18"/>
      </top>
      <bottom style="thin">
        <color indexed="64"/>
      </bottom>
      <diagonal/>
    </border>
    <border>
      <left style="thin">
        <color indexed="64"/>
      </left>
      <right/>
      <top style="thin">
        <color indexed="18"/>
      </top>
      <bottom style="thin">
        <color indexed="18"/>
      </bottom>
      <diagonal/>
    </border>
    <border>
      <left/>
      <right/>
      <top style="thin">
        <color indexed="18"/>
      </top>
      <bottom style="thin">
        <color indexed="64"/>
      </bottom>
      <diagonal/>
    </border>
    <border>
      <left style="thin">
        <color indexed="64"/>
      </left>
      <right/>
      <top/>
      <bottom style="thin">
        <color indexed="18"/>
      </bottom>
      <diagonal/>
    </border>
    <border>
      <left style="thin">
        <color indexed="64"/>
      </left>
      <right/>
      <top style="thin">
        <color indexed="18"/>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style="thin">
        <color indexed="8"/>
      </right>
      <top style="thin">
        <color indexed="8"/>
      </top>
      <bottom style="thin">
        <color indexed="8"/>
      </bottom>
      <diagonal/>
    </border>
    <border>
      <left/>
      <right/>
      <top style="thin">
        <color indexed="64"/>
      </top>
      <bottom style="double">
        <color indexed="64"/>
      </bottom>
      <diagonal/>
    </border>
    <border>
      <left style="medium">
        <color theme="4"/>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style="medium">
        <color theme="4"/>
      </right>
      <top style="medium">
        <color theme="4"/>
      </top>
      <bottom style="medium">
        <color theme="4"/>
      </bottom>
      <diagonal/>
    </border>
    <border>
      <left/>
      <right style="thin">
        <color indexed="18"/>
      </right>
      <top/>
      <bottom/>
      <diagonal/>
    </border>
    <border>
      <left style="thin">
        <color indexed="18"/>
      </left>
      <right style="thin">
        <color indexed="64"/>
      </right>
      <top style="thin">
        <color indexed="64"/>
      </top>
      <bottom style="thin">
        <color indexed="64"/>
      </bottom>
      <diagonal/>
    </border>
    <border>
      <left style="thin">
        <color indexed="64"/>
      </left>
      <right/>
      <top/>
      <bottom style="dashed">
        <color indexed="64"/>
      </bottom>
      <diagonal/>
    </border>
    <border>
      <left/>
      <right style="thin">
        <color indexed="64"/>
      </right>
      <top style="thin">
        <color indexed="18"/>
      </top>
      <bottom style="thin">
        <color indexed="18"/>
      </bottom>
      <diagonal/>
    </border>
    <border>
      <left style="thin">
        <color indexed="64"/>
      </left>
      <right style="thin">
        <color indexed="64"/>
      </right>
      <top/>
      <bottom style="dashed">
        <color indexed="64"/>
      </bottom>
      <diagonal/>
    </border>
  </borders>
  <cellStyleXfs count="68">
    <xf numFmtId="0" fontId="0" fillId="0" borderId="0" applyBorder="0">
      <alignment vertical="center"/>
    </xf>
    <xf numFmtId="0" fontId="22" fillId="0" borderId="0" applyFill="0" applyBorder="0">
      <alignment vertical="center"/>
    </xf>
    <xf numFmtId="0" fontId="23" fillId="0" borderId="0" applyFill="0" applyBorder="0">
      <alignment vertical="center"/>
    </xf>
    <xf numFmtId="0" fontId="3" fillId="0" borderId="0" applyFill="0" applyBorder="0">
      <alignment vertical="center"/>
    </xf>
    <xf numFmtId="0" fontId="3" fillId="0" borderId="0" applyFill="0" applyBorder="0">
      <alignment vertical="center"/>
    </xf>
    <xf numFmtId="0" fontId="4" fillId="0" borderId="0" applyFill="0" applyBorder="0">
      <alignment vertical="center"/>
    </xf>
    <xf numFmtId="0" fontId="24" fillId="0" borderId="0" applyFill="0" applyBorder="0">
      <alignment vertical="center"/>
    </xf>
    <xf numFmtId="0" fontId="5" fillId="0" borderId="0" applyFill="0" applyBorder="0">
      <alignment vertical="center"/>
    </xf>
    <xf numFmtId="0" fontId="25" fillId="0" borderId="0" applyFill="0" applyBorder="0">
      <alignment vertical="center"/>
      <protection locked="0"/>
    </xf>
    <xf numFmtId="0" fontId="21" fillId="2" borderId="39">
      <alignment vertical="center"/>
      <protection locked="0"/>
    </xf>
    <xf numFmtId="164" fontId="21" fillId="2" borderId="39">
      <alignment vertical="center"/>
      <protection locked="0"/>
    </xf>
    <xf numFmtId="165" fontId="21" fillId="2" borderId="39">
      <alignment vertical="center"/>
      <protection locked="0"/>
    </xf>
    <xf numFmtId="166" fontId="21" fillId="2" borderId="39">
      <alignment vertical="center"/>
      <protection locked="0"/>
    </xf>
    <xf numFmtId="167" fontId="21" fillId="2" borderId="39">
      <alignment vertical="center"/>
      <protection locked="0"/>
    </xf>
    <xf numFmtId="168" fontId="21" fillId="2" borderId="39">
      <alignment vertical="center"/>
      <protection locked="0"/>
    </xf>
    <xf numFmtId="178" fontId="21" fillId="2" borderId="39">
      <alignment vertical="center"/>
      <protection locked="0"/>
    </xf>
    <xf numFmtId="0" fontId="2" fillId="0" borderId="0" applyNumberFormat="0" applyFont="0" applyFill="0" applyBorder="0">
      <alignment horizontal="center" vertical="center"/>
      <protection locked="0"/>
    </xf>
    <xf numFmtId="164" fontId="21" fillId="0" borderId="0" applyFill="0" applyBorder="0">
      <alignment vertical="center"/>
    </xf>
    <xf numFmtId="165" fontId="21" fillId="0" borderId="0" applyFill="0" applyBorder="0">
      <alignment vertical="center"/>
    </xf>
    <xf numFmtId="166" fontId="21" fillId="0" borderId="0" applyFill="0" applyBorder="0">
      <alignment vertical="center"/>
    </xf>
    <xf numFmtId="167" fontId="21" fillId="0" borderId="0" applyFill="0" applyBorder="0">
      <alignment vertical="center"/>
    </xf>
    <xf numFmtId="168" fontId="21" fillId="0" borderId="0" applyFill="0" applyBorder="0">
      <alignment vertical="center"/>
    </xf>
    <xf numFmtId="178" fontId="21" fillId="0" borderId="0" applyFill="0" applyBorder="0">
      <alignment vertical="center"/>
    </xf>
    <xf numFmtId="0" fontId="26" fillId="0" borderId="74" applyFill="0" applyBorder="0">
      <alignment vertical="center"/>
    </xf>
    <xf numFmtId="0" fontId="26" fillId="0" borderId="2" applyFill="0">
      <alignment horizontal="center" vertical="center"/>
    </xf>
    <xf numFmtId="169" fontId="21" fillId="0" borderId="2" applyFill="0">
      <alignment horizontal="center" vertical="center"/>
    </xf>
    <xf numFmtId="0" fontId="21" fillId="0" borderId="2" applyFill="0">
      <alignment horizontal="center" vertical="center"/>
    </xf>
    <xf numFmtId="0" fontId="9" fillId="0" borderId="0" applyFill="0" applyBorder="0">
      <alignment vertical="center"/>
    </xf>
    <xf numFmtId="0" fontId="8" fillId="0" borderId="0" applyFill="0" applyBorder="0">
      <alignment horizontal="center" vertical="center"/>
    </xf>
    <xf numFmtId="0" fontId="8" fillId="0" borderId="0" applyFill="0" applyBorder="0">
      <alignment horizontal="center" vertical="center"/>
    </xf>
    <xf numFmtId="0" fontId="9" fillId="0" borderId="0" applyFill="0" applyBorder="0">
      <alignment vertical="center"/>
    </xf>
    <xf numFmtId="0" fontId="27" fillId="0" borderId="0" applyFill="0" applyBorder="0">
      <alignment vertical="center"/>
    </xf>
    <xf numFmtId="0" fontId="28" fillId="0" borderId="0" applyFill="0" applyBorder="0">
      <alignment vertical="center"/>
    </xf>
    <xf numFmtId="0" fontId="28" fillId="0" borderId="0" applyFill="0" applyBorder="0">
      <alignment vertical="center"/>
    </xf>
    <xf numFmtId="0" fontId="22" fillId="0" borderId="0" applyFill="0" applyBorder="0">
      <alignment vertical="center"/>
    </xf>
    <xf numFmtId="0" fontId="23" fillId="0" borderId="0" applyFill="0" applyBorder="0">
      <alignment vertical="center"/>
    </xf>
    <xf numFmtId="0" fontId="3" fillId="0" borderId="0" applyFill="0" applyBorder="0">
      <alignment vertical="center"/>
    </xf>
    <xf numFmtId="0" fontId="4" fillId="0" borderId="0" applyFill="0" applyBorder="0">
      <alignment vertical="center"/>
    </xf>
    <xf numFmtId="0" fontId="24" fillId="0" borderId="0" applyFill="0" applyBorder="0">
      <alignment vertical="center"/>
    </xf>
    <xf numFmtId="0" fontId="5" fillId="0" borderId="0" applyFill="0" applyBorder="0">
      <alignment vertical="center"/>
    </xf>
    <xf numFmtId="0" fontId="25" fillId="0" borderId="0" applyFill="0" applyBorder="0">
      <alignment vertical="center"/>
    </xf>
    <xf numFmtId="0" fontId="25" fillId="0" borderId="0" applyFill="0" applyBorder="0">
      <alignment vertical="center"/>
      <protection locked="0"/>
    </xf>
    <xf numFmtId="166" fontId="21" fillId="0" borderId="0" applyFill="0" applyBorder="0">
      <alignment vertical="center"/>
    </xf>
    <xf numFmtId="167" fontId="21" fillId="0" borderId="0" applyFill="0" applyBorder="0">
      <alignment vertical="center"/>
    </xf>
    <xf numFmtId="168" fontId="21" fillId="0" borderId="0" applyFill="0" applyBorder="0">
      <alignment vertical="center"/>
    </xf>
    <xf numFmtId="178" fontId="21" fillId="0" borderId="0" applyFill="0" applyBorder="0">
      <alignment vertical="center"/>
    </xf>
    <xf numFmtId="164" fontId="21" fillId="0" borderId="0" applyFill="0" applyBorder="0">
      <alignment vertical="center"/>
    </xf>
    <xf numFmtId="165" fontId="21" fillId="0" borderId="0" applyFill="0" applyBorder="0">
      <alignment vertical="center"/>
    </xf>
    <xf numFmtId="0" fontId="26" fillId="0" borderId="0" applyFill="0" applyBorder="0">
      <alignment vertical="center"/>
    </xf>
    <xf numFmtId="0" fontId="9" fillId="0" borderId="0" applyFill="0" applyBorder="0">
      <alignment vertical="center"/>
    </xf>
    <xf numFmtId="0" fontId="8" fillId="0" borderId="0" applyFill="0" applyBorder="0">
      <alignment horizontal="center" vertical="center"/>
    </xf>
    <xf numFmtId="0" fontId="8" fillId="0" borderId="0" applyFill="0" applyBorder="0">
      <alignment horizontal="center" vertical="center"/>
    </xf>
    <xf numFmtId="0" fontId="9" fillId="0" borderId="0" applyFill="0" applyBorder="0">
      <alignment vertical="center"/>
    </xf>
    <xf numFmtId="0" fontId="27" fillId="0" borderId="0" applyFill="0" applyBorder="0">
      <alignment vertical="center"/>
    </xf>
    <xf numFmtId="0" fontId="28" fillId="0" borderId="0" applyFill="0" applyBorder="0">
      <alignment vertical="center"/>
    </xf>
    <xf numFmtId="0" fontId="28" fillId="0" borderId="0" applyFill="0" applyBorder="0">
      <alignment vertical="center"/>
    </xf>
    <xf numFmtId="0" fontId="21" fillId="0" borderId="0" applyFill="0" applyBorder="0">
      <alignment vertical="center"/>
    </xf>
    <xf numFmtId="0" fontId="20" fillId="0" borderId="0" applyNumberFormat="0" applyFill="0" applyBorder="0" applyAlignment="0" applyProtection="0">
      <alignment vertical="center"/>
    </xf>
    <xf numFmtId="9" fontId="21" fillId="0" borderId="0" applyFont="0" applyFill="0" applyBorder="0" applyAlignment="0" applyProtection="0"/>
    <xf numFmtId="0" fontId="43" fillId="3" borderId="0" applyNumberFormat="0" applyBorder="0" applyAlignment="0" applyProtection="0"/>
    <xf numFmtId="43" fontId="21" fillId="0" borderId="0" applyFont="0" applyFill="0" applyBorder="0" applyAlignment="0" applyProtection="0"/>
    <xf numFmtId="0" fontId="21" fillId="10" borderId="2">
      <alignment vertical="center"/>
    </xf>
    <xf numFmtId="0" fontId="54" fillId="11" borderId="2">
      <alignment horizontal="center" vertical="center"/>
    </xf>
    <xf numFmtId="170" fontId="21" fillId="0" borderId="0">
      <alignment vertical="center"/>
    </xf>
    <xf numFmtId="44" fontId="21" fillId="0" borderId="0" applyFont="0" applyFill="0" applyBorder="0" applyAlignment="0" applyProtection="0"/>
    <xf numFmtId="0" fontId="56" fillId="0" borderId="0"/>
    <xf numFmtId="0" fontId="57" fillId="13" borderId="22">
      <alignment horizontal="center" vertical="center" wrapText="1"/>
    </xf>
    <xf numFmtId="0" fontId="1" fillId="4" borderId="0" applyNumberFormat="0" applyBorder="0" applyAlignment="0" applyProtection="0"/>
  </cellStyleXfs>
  <cellXfs count="993">
    <xf numFmtId="0" fontId="0" fillId="0" borderId="0" xfId="0">
      <alignment vertical="center"/>
    </xf>
    <xf numFmtId="0" fontId="8" fillId="0" borderId="0" xfId="28">
      <alignment horizontal="center" vertical="center"/>
    </xf>
    <xf numFmtId="0" fontId="8" fillId="0" borderId="0" xfId="28" applyAlignment="1">
      <alignment horizontal="left" vertical="center"/>
    </xf>
    <xf numFmtId="0" fontId="0" fillId="0" borderId="0" xfId="0" applyBorder="1">
      <alignment vertical="center"/>
    </xf>
    <xf numFmtId="165" fontId="0" fillId="0" borderId="0" xfId="18" applyFont="1" applyFill="1">
      <alignment vertical="center"/>
    </xf>
    <xf numFmtId="170" fontId="0" fillId="0" borderId="0" xfId="19" applyNumberFormat="1" applyFont="1" applyFill="1">
      <alignment vertical="center"/>
    </xf>
    <xf numFmtId="0" fontId="0" fillId="0" borderId="3" xfId="0" applyFill="1" applyBorder="1">
      <alignment vertical="center"/>
    </xf>
    <xf numFmtId="164" fontId="0" fillId="0" borderId="3" xfId="17" applyFont="1" applyFill="1" applyBorder="1">
      <alignment vertical="center"/>
    </xf>
    <xf numFmtId="170" fontId="0" fillId="0" borderId="0" xfId="19" applyNumberFormat="1" applyFont="1" applyFill="1" applyBorder="1">
      <alignment vertical="center"/>
    </xf>
    <xf numFmtId="170" fontId="0" fillId="0" borderId="9" xfId="19" applyNumberFormat="1" applyFont="1" applyFill="1" applyBorder="1">
      <alignment vertical="center"/>
    </xf>
    <xf numFmtId="0" fontId="0" fillId="0" borderId="2" xfId="26" applyFont="1" applyFill="1">
      <alignment horizontal="center" vertical="center"/>
    </xf>
    <xf numFmtId="166" fontId="0" fillId="0" borderId="0" xfId="19" applyFont="1" applyFill="1" applyBorder="1">
      <alignment vertical="center"/>
    </xf>
    <xf numFmtId="166" fontId="0" fillId="0" borderId="9" xfId="19" applyFont="1" applyFill="1" applyBorder="1">
      <alignment vertical="center"/>
    </xf>
    <xf numFmtId="167" fontId="0" fillId="0" borderId="0" xfId="20" applyFont="1" applyFill="1">
      <alignment vertical="center"/>
    </xf>
    <xf numFmtId="166" fontId="0" fillId="0" borderId="0" xfId="19" applyFont="1" applyFill="1">
      <alignment vertical="center"/>
    </xf>
    <xf numFmtId="170" fontId="0" fillId="0" borderId="3" xfId="19" applyNumberFormat="1" applyFont="1" applyFill="1" applyBorder="1">
      <alignment vertical="center"/>
    </xf>
    <xf numFmtId="0" fontId="9" fillId="0" borderId="0" xfId="27" quotePrefix="1">
      <alignment vertical="center"/>
    </xf>
    <xf numFmtId="0" fontId="11" fillId="0" borderId="0" xfId="4" applyFont="1" applyFill="1">
      <alignment vertical="center"/>
    </xf>
    <xf numFmtId="0" fontId="4" fillId="0" borderId="0" xfId="5" applyFont="1" applyFill="1">
      <alignment vertical="center"/>
    </xf>
    <xf numFmtId="0" fontId="31" fillId="0" borderId="0" xfId="5" applyFont="1" applyFill="1">
      <alignment vertical="center"/>
    </xf>
    <xf numFmtId="0" fontId="32" fillId="0" borderId="2" xfId="24" applyFont="1" applyFill="1">
      <alignment horizontal="center" vertical="center"/>
    </xf>
    <xf numFmtId="0" fontId="33" fillId="0" borderId="2" xfId="26" applyFont="1" applyFill="1">
      <alignment horizontal="center" vertical="center"/>
    </xf>
    <xf numFmtId="0" fontId="29" fillId="0" borderId="2" xfId="26" applyFont="1" applyFill="1">
      <alignment horizontal="center" vertical="center"/>
    </xf>
    <xf numFmtId="169" fontId="29" fillId="0" borderId="2" xfId="25" applyFont="1" applyFill="1">
      <alignment horizontal="center" vertical="center"/>
    </xf>
    <xf numFmtId="0" fontId="24" fillId="0" borderId="0" xfId="6" applyFont="1" applyFill="1">
      <alignment vertical="center"/>
    </xf>
    <xf numFmtId="170" fontId="26" fillId="0" borderId="0" xfId="19" applyNumberFormat="1" applyFont="1" applyFill="1">
      <alignment vertical="center"/>
    </xf>
    <xf numFmtId="0" fontId="17" fillId="0" borderId="0" xfId="5" applyFont="1" applyFill="1">
      <alignment vertical="center"/>
    </xf>
    <xf numFmtId="170" fontId="29" fillId="0" borderId="0" xfId="19" applyNumberFormat="1" applyFont="1" applyFill="1">
      <alignment vertical="center"/>
    </xf>
    <xf numFmtId="166" fontId="26" fillId="0" borderId="0" xfId="19" applyFont="1" applyFill="1">
      <alignment vertical="center"/>
    </xf>
    <xf numFmtId="0" fontId="10" fillId="0" borderId="3" xfId="7" applyFont="1" applyFill="1" applyBorder="1">
      <alignment vertical="center"/>
    </xf>
    <xf numFmtId="0" fontId="35" fillId="0" borderId="0" xfId="6" applyFont="1">
      <alignment vertical="center"/>
    </xf>
    <xf numFmtId="0" fontId="10" fillId="0" borderId="0" xfId="7" applyFont="1">
      <alignment vertical="center"/>
    </xf>
    <xf numFmtId="0" fontId="40" fillId="0" borderId="0" xfId="1" applyFont="1">
      <alignment vertical="center"/>
    </xf>
    <xf numFmtId="0" fontId="23" fillId="0" borderId="0" xfId="2" applyFont="1">
      <alignment vertical="center"/>
    </xf>
    <xf numFmtId="0" fontId="10" fillId="0" borderId="0" xfId="6" applyFont="1" applyAlignment="1">
      <alignment horizontal="left" vertical="center"/>
    </xf>
    <xf numFmtId="0" fontId="42" fillId="0" borderId="0" xfId="2" applyFont="1">
      <alignment vertical="center"/>
    </xf>
    <xf numFmtId="0" fontId="3" fillId="0" borderId="0" xfId="3" applyFont="1">
      <alignment vertical="center"/>
    </xf>
    <xf numFmtId="0" fontId="41" fillId="0" borderId="0" xfId="3" applyFont="1">
      <alignment vertical="center"/>
    </xf>
    <xf numFmtId="0" fontId="37" fillId="0" borderId="0" xfId="7" applyFont="1">
      <alignment vertical="center"/>
    </xf>
    <xf numFmtId="0" fontId="3" fillId="0" borderId="0" xfId="36">
      <alignment vertical="center"/>
    </xf>
    <xf numFmtId="0" fontId="22" fillId="0" borderId="0" xfId="34">
      <alignment vertical="center"/>
    </xf>
    <xf numFmtId="0" fontId="8" fillId="0" borderId="0" xfId="50">
      <alignment horizontal="center" vertical="center"/>
    </xf>
    <xf numFmtId="0" fontId="22" fillId="0" borderId="0" xfId="1" applyFont="1">
      <alignment vertical="center"/>
    </xf>
    <xf numFmtId="0" fontId="4" fillId="0" borderId="0" xfId="37">
      <alignment vertical="center"/>
    </xf>
    <xf numFmtId="0" fontId="10" fillId="0" borderId="0" xfId="7" applyFont="1" applyAlignment="1">
      <alignment horizontal="right" vertical="center"/>
    </xf>
    <xf numFmtId="14" fontId="0" fillId="0" borderId="0" xfId="0" applyNumberFormat="1">
      <alignment vertical="center"/>
    </xf>
    <xf numFmtId="0" fontId="8" fillId="0" borderId="0" xfId="28" applyAlignment="1">
      <alignment horizontal="left" vertical="center"/>
    </xf>
    <xf numFmtId="0" fontId="0" fillId="0" borderId="0" xfId="0">
      <alignment vertical="center"/>
    </xf>
    <xf numFmtId="0" fontId="23" fillId="0" borderId="0" xfId="35">
      <alignment vertical="center"/>
    </xf>
    <xf numFmtId="0" fontId="0" fillId="0" borderId="0" xfId="0" applyFill="1">
      <alignment vertical="center"/>
    </xf>
    <xf numFmtId="0" fontId="8" fillId="0" borderId="0" xfId="28" applyAlignment="1">
      <alignment horizontal="right" vertical="center"/>
    </xf>
    <xf numFmtId="0" fontId="31" fillId="0" borderId="0" xfId="5" applyFont="1">
      <alignment vertical="center"/>
    </xf>
    <xf numFmtId="0" fontId="21" fillId="6" borderId="0" xfId="56" applyFill="1">
      <alignment vertical="center"/>
    </xf>
    <xf numFmtId="0" fontId="11" fillId="0" borderId="0" xfId="4" applyFont="1">
      <alignment vertical="center"/>
    </xf>
    <xf numFmtId="0" fontId="35" fillId="0" borderId="0" xfId="6" applyFont="1" applyAlignment="1">
      <alignment horizontal="left" vertical="center"/>
    </xf>
    <xf numFmtId="0" fontId="21" fillId="7" borderId="0" xfId="56" applyFill="1">
      <alignment vertical="center"/>
    </xf>
    <xf numFmtId="9" fontId="0" fillId="0" borderId="0" xfId="0" applyNumberFormat="1">
      <alignment vertical="center"/>
    </xf>
    <xf numFmtId="0" fontId="44" fillId="0" borderId="0" xfId="0" applyFont="1">
      <alignment vertical="center"/>
    </xf>
    <xf numFmtId="0" fontId="45" fillId="0" borderId="0" xfId="0" applyFont="1" applyAlignment="1">
      <alignment horizontal="right" vertical="center"/>
    </xf>
    <xf numFmtId="175" fontId="46" fillId="0" borderId="0" xfId="60" applyNumberFormat="1" applyFont="1" applyBorder="1" applyAlignment="1">
      <alignment vertical="center"/>
    </xf>
    <xf numFmtId="9" fontId="0" fillId="0" borderId="0" xfId="0" applyNumberFormat="1" applyBorder="1" applyAlignment="1">
      <alignment horizontal="left" vertical="center"/>
    </xf>
    <xf numFmtId="0" fontId="47" fillId="0" borderId="0" xfId="58" applyNumberFormat="1" applyFont="1" applyAlignment="1" applyProtection="1">
      <alignment horizontal="left" vertical="center"/>
      <protection locked="0"/>
    </xf>
    <xf numFmtId="0" fontId="47" fillId="0" borderId="31" xfId="58" applyNumberFormat="1" applyFont="1" applyBorder="1" applyAlignment="1" applyProtection="1">
      <alignment horizontal="center" vertical="center"/>
      <protection locked="0"/>
    </xf>
    <xf numFmtId="0" fontId="45" fillId="8" borderId="32" xfId="0" applyFont="1" applyFill="1" applyBorder="1" applyAlignment="1">
      <alignment horizontal="left" vertical="center"/>
    </xf>
    <xf numFmtId="0" fontId="39" fillId="0" borderId="0" xfId="16" applyFont="1" applyFill="1">
      <alignment horizontal="center" vertical="center"/>
      <protection locked="0"/>
    </xf>
    <xf numFmtId="173" fontId="0" fillId="0" borderId="0" xfId="19" applyNumberFormat="1" applyFont="1" applyFill="1">
      <alignment vertical="center"/>
    </xf>
    <xf numFmtId="0" fontId="5" fillId="0" borderId="0" xfId="7" applyFont="1" applyFill="1" applyAlignment="1">
      <alignment horizontal="center" vertical="center"/>
    </xf>
    <xf numFmtId="174" fontId="0" fillId="0" borderId="0" xfId="20" applyNumberFormat="1" applyFont="1" applyFill="1">
      <alignment vertical="center"/>
    </xf>
    <xf numFmtId="0" fontId="10" fillId="0" borderId="0" xfId="6" applyFont="1" applyAlignment="1">
      <alignment horizontal="right" vertical="center"/>
    </xf>
    <xf numFmtId="0" fontId="10" fillId="0" borderId="0" xfId="7" applyFont="1">
      <alignment vertical="center"/>
    </xf>
    <xf numFmtId="0" fontId="10" fillId="0" borderId="0" xfId="7" quotePrefix="1" applyFont="1">
      <alignment vertical="center"/>
    </xf>
    <xf numFmtId="170" fontId="26" fillId="0" borderId="7" xfId="19" applyNumberFormat="1" applyFont="1" applyFill="1" applyBorder="1">
      <alignment vertical="center"/>
    </xf>
    <xf numFmtId="0" fontId="35" fillId="0" borderId="0" xfId="6" applyFont="1" applyFill="1" applyAlignment="1">
      <alignment horizontal="center" vertical="center"/>
    </xf>
    <xf numFmtId="0" fontId="13" fillId="0" borderId="0" xfId="16" applyFont="1" applyFill="1" applyAlignment="1">
      <alignment horizontal="center" vertical="center"/>
      <protection locked="0"/>
    </xf>
    <xf numFmtId="0" fontId="14" fillId="0" borderId="0" xfId="5" applyFont="1" applyFill="1" applyAlignment="1">
      <alignment horizontal="left" vertical="center"/>
    </xf>
    <xf numFmtId="0" fontId="6" fillId="0" borderId="0" xfId="6" applyFont="1" applyFill="1" applyAlignment="1">
      <alignment horizontal="left" vertical="center"/>
    </xf>
    <xf numFmtId="170" fontId="7" fillId="0" borderId="1" xfId="19" applyNumberFormat="1" applyFont="1" applyFill="1" applyBorder="1" applyAlignment="1">
      <alignment horizontal="center" vertical="center"/>
    </xf>
    <xf numFmtId="170" fontId="12" fillId="0" borderId="0" xfId="6" applyNumberFormat="1" applyFont="1" applyFill="1" applyAlignment="1">
      <alignment horizontal="left" vertical="center"/>
    </xf>
    <xf numFmtId="170" fontId="16" fillId="0" borderId="4" xfId="7" applyNumberFormat="1" applyFont="1" applyFill="1" applyBorder="1" applyAlignment="1">
      <alignment horizontal="left" vertical="center"/>
    </xf>
    <xf numFmtId="0" fontId="12" fillId="0" borderId="3" xfId="6" applyFont="1" applyFill="1" applyBorder="1" applyAlignment="1">
      <alignment horizontal="left" vertical="center"/>
    </xf>
    <xf numFmtId="0" fontId="12" fillId="0" borderId="3" xfId="6" applyFont="1" applyFill="1" applyBorder="1" applyAlignment="1">
      <alignment horizontal="center" vertical="center"/>
    </xf>
    <xf numFmtId="0" fontId="12" fillId="0" borderId="0" xfId="6" applyFont="1" applyFill="1" applyBorder="1" applyAlignment="1">
      <alignment horizontal="left" vertical="center"/>
    </xf>
    <xf numFmtId="0" fontId="0" fillId="0" borderId="0" xfId="0" applyFill="1" applyBorder="1">
      <alignment vertical="center"/>
    </xf>
    <xf numFmtId="0" fontId="12" fillId="0" borderId="0" xfId="6" applyFont="1" applyFill="1" applyBorder="1" applyAlignment="1">
      <alignment horizontal="center" vertical="center"/>
    </xf>
    <xf numFmtId="0" fontId="20" fillId="0" borderId="0" xfId="57" applyFill="1">
      <alignment vertical="center"/>
    </xf>
    <xf numFmtId="0" fontId="29" fillId="0" borderId="0" xfId="16" applyFont="1" applyFill="1" applyAlignment="1">
      <alignment horizontal="center" vertical="center"/>
      <protection locked="0"/>
    </xf>
    <xf numFmtId="170" fontId="33" fillId="0" borderId="0" xfId="19" applyNumberFormat="1" applyFont="1" applyFill="1" applyAlignment="1">
      <alignment horizontal="center" vertical="center"/>
    </xf>
    <xf numFmtId="0" fontId="12" fillId="0" borderId="0" xfId="6" applyFont="1" applyFill="1" applyAlignment="1">
      <alignment horizontal="left" vertical="center"/>
    </xf>
    <xf numFmtId="170" fontId="15" fillId="0" borderId="2" xfId="19" applyNumberFormat="1" applyFont="1" applyFill="1" applyBorder="1" applyAlignment="1">
      <alignment horizontal="center" vertical="center"/>
    </xf>
    <xf numFmtId="0" fontId="10" fillId="0" borderId="0" xfId="7" applyFont="1" applyAlignment="1">
      <alignment horizontal="left" vertical="center"/>
    </xf>
    <xf numFmtId="0" fontId="47" fillId="0" borderId="0" xfId="58" applyNumberFormat="1" applyFont="1" applyBorder="1" applyAlignment="1" applyProtection="1">
      <alignment horizontal="left" vertical="center"/>
      <protection locked="0"/>
    </xf>
    <xf numFmtId="0" fontId="29" fillId="0" borderId="0" xfId="0" applyFont="1">
      <alignment vertical="center"/>
    </xf>
    <xf numFmtId="0" fontId="11" fillId="0" borderId="0" xfId="4" applyFont="1" applyBorder="1">
      <alignment vertical="center"/>
    </xf>
    <xf numFmtId="0" fontId="44" fillId="0" borderId="0" xfId="0" applyFont="1" applyBorder="1" applyAlignment="1">
      <alignment vertical="center"/>
    </xf>
    <xf numFmtId="9" fontId="50" fillId="0" borderId="0" xfId="0" applyNumberFormat="1" applyFont="1" applyBorder="1" applyAlignment="1">
      <alignment vertical="center"/>
    </xf>
    <xf numFmtId="0" fontId="52" fillId="0" borderId="0" xfId="0" applyFont="1">
      <alignment vertical="center"/>
    </xf>
    <xf numFmtId="175" fontId="53" fillId="0" borderId="19" xfId="60" applyNumberFormat="1" applyFont="1" applyBorder="1" applyAlignment="1">
      <alignment vertical="center" wrapText="1"/>
    </xf>
    <xf numFmtId="0" fontId="26" fillId="0" borderId="0" xfId="56" applyFont="1">
      <alignment vertical="center"/>
    </xf>
    <xf numFmtId="0" fontId="10" fillId="0" borderId="0" xfId="7" applyFont="1" applyFill="1">
      <alignment vertical="center"/>
    </xf>
    <xf numFmtId="0" fontId="21" fillId="0" borderId="0" xfId="56" applyFont="1">
      <alignment vertical="center"/>
    </xf>
    <xf numFmtId="0" fontId="40" fillId="0" borderId="0" xfId="1" applyFont="1" applyFill="1">
      <alignment vertical="center"/>
    </xf>
    <xf numFmtId="0" fontId="3" fillId="0" borderId="0" xfId="3" applyFont="1" applyFill="1">
      <alignment vertical="center"/>
    </xf>
    <xf numFmtId="0" fontId="8" fillId="0" borderId="0" xfId="28" applyFill="1">
      <alignment horizontal="center" vertical="center"/>
    </xf>
    <xf numFmtId="0" fontId="8" fillId="0" borderId="0" xfId="28" applyFill="1" applyAlignment="1">
      <alignment horizontal="right" vertical="center"/>
    </xf>
    <xf numFmtId="0" fontId="8" fillId="0" borderId="0" xfId="28" applyFill="1" applyAlignment="1">
      <alignment horizontal="left" vertical="center"/>
    </xf>
    <xf numFmtId="0" fontId="0" fillId="12" borderId="0" xfId="0" applyFill="1">
      <alignment vertical="center"/>
    </xf>
    <xf numFmtId="0" fontId="40" fillId="12" borderId="0" xfId="1" applyFont="1" applyFill="1">
      <alignment vertical="center"/>
    </xf>
    <xf numFmtId="0" fontId="3" fillId="12" borderId="0" xfId="3" applyFont="1" applyFill="1">
      <alignment vertical="center"/>
    </xf>
    <xf numFmtId="0" fontId="8" fillId="12" borderId="0" xfId="28" applyFill="1">
      <alignment horizontal="center" vertical="center"/>
    </xf>
    <xf numFmtId="0" fontId="8" fillId="12" borderId="0" xfId="28" applyFill="1" applyAlignment="1">
      <alignment horizontal="right" vertical="center"/>
    </xf>
    <xf numFmtId="0" fontId="8" fillId="12" borderId="0" xfId="28" applyFill="1" applyAlignment="1">
      <alignment horizontal="left" vertical="center"/>
    </xf>
    <xf numFmtId="0" fontId="9" fillId="12" borderId="0" xfId="27" applyFill="1">
      <alignment vertical="center"/>
    </xf>
    <xf numFmtId="0" fontId="35" fillId="12" borderId="11" xfId="6" applyFont="1" applyFill="1" applyBorder="1">
      <alignment vertical="center"/>
    </xf>
    <xf numFmtId="0" fontId="35" fillId="12" borderId="7" xfId="6" applyFont="1" applyFill="1" applyBorder="1">
      <alignment vertical="center"/>
    </xf>
    <xf numFmtId="0" fontId="35" fillId="12" borderId="0" xfId="6" applyFont="1" applyFill="1" applyAlignment="1">
      <alignment horizontal="right" vertical="center" indent="1"/>
    </xf>
    <xf numFmtId="0" fontId="41" fillId="12" borderId="0" xfId="4" applyFont="1" applyFill="1">
      <alignment vertical="center"/>
    </xf>
    <xf numFmtId="170" fontId="26" fillId="12" borderId="6" xfId="19" applyNumberFormat="1" applyFont="1" applyFill="1" applyBorder="1">
      <alignment vertical="center"/>
    </xf>
    <xf numFmtId="0" fontId="0" fillId="12" borderId="3" xfId="0" applyFill="1" applyBorder="1">
      <alignment vertical="center"/>
    </xf>
    <xf numFmtId="165" fontId="0" fillId="12" borderId="0" xfId="18" applyFont="1" applyFill="1">
      <alignment vertical="center"/>
    </xf>
    <xf numFmtId="170" fontId="0" fillId="12" borderId="0" xfId="19" applyNumberFormat="1" applyFont="1" applyFill="1">
      <alignment vertical="center"/>
    </xf>
    <xf numFmtId="0" fontId="10" fillId="12" borderId="3" xfId="7" applyFont="1" applyFill="1" applyBorder="1">
      <alignment vertical="center"/>
    </xf>
    <xf numFmtId="164" fontId="0" fillId="12" borderId="3" xfId="17" applyFont="1" applyFill="1" applyBorder="1">
      <alignment vertical="center"/>
    </xf>
    <xf numFmtId="167" fontId="0" fillId="12" borderId="0" xfId="20" applyFont="1" applyFill="1">
      <alignment vertical="center"/>
    </xf>
    <xf numFmtId="167" fontId="26" fillId="12" borderId="0" xfId="20" applyFont="1" applyFill="1">
      <alignment vertical="center"/>
    </xf>
    <xf numFmtId="0" fontId="17" fillId="12" borderId="0" xfId="5" applyFont="1" applyFill="1">
      <alignment vertical="center"/>
    </xf>
    <xf numFmtId="170" fontId="26" fillId="12" borderId="5" xfId="19" applyNumberFormat="1" applyFont="1" applyFill="1" applyBorder="1">
      <alignment vertical="center"/>
    </xf>
    <xf numFmtId="170" fontId="26" fillId="12" borderId="0" xfId="19" applyNumberFormat="1" applyFont="1" applyFill="1" applyAlignment="1">
      <alignment horizontal="center" vertical="center"/>
    </xf>
    <xf numFmtId="173" fontId="0" fillId="12" borderId="0" xfId="19" applyNumberFormat="1" applyFont="1" applyFill="1" applyAlignment="1">
      <alignment horizontal="center" vertical="center"/>
    </xf>
    <xf numFmtId="0" fontId="5" fillId="12" borderId="16" xfId="7" applyFont="1" applyFill="1" applyBorder="1" applyAlignment="1">
      <alignment vertical="center" wrapText="1"/>
    </xf>
    <xf numFmtId="0" fontId="5" fillId="12" borderId="3" xfId="7" applyFont="1" applyFill="1" applyBorder="1" applyAlignment="1">
      <alignment vertical="center" wrapText="1"/>
    </xf>
    <xf numFmtId="170" fontId="0" fillId="12" borderId="3" xfId="19" applyNumberFormat="1" applyFont="1" applyFill="1" applyBorder="1">
      <alignment vertical="center"/>
    </xf>
    <xf numFmtId="170" fontId="26" fillId="12" borderId="0" xfId="19" applyNumberFormat="1" applyFont="1" applyFill="1">
      <alignment vertical="center"/>
    </xf>
    <xf numFmtId="0" fontId="36" fillId="12" borderId="0" xfId="6" applyFont="1" applyFill="1" applyAlignment="1">
      <alignment horizontal="center" vertical="center" wrapText="1"/>
    </xf>
    <xf numFmtId="0" fontId="35" fillId="12" borderId="5" xfId="6" applyFont="1" applyFill="1" applyBorder="1" applyAlignment="1">
      <alignment horizontal="center" vertical="center" wrapText="1"/>
    </xf>
    <xf numFmtId="173" fontId="0" fillId="12" borderId="1" xfId="19" applyNumberFormat="1" applyFont="1" applyFill="1" applyBorder="1">
      <alignment vertical="center"/>
    </xf>
    <xf numFmtId="173" fontId="0" fillId="12" borderId="15" xfId="19" applyNumberFormat="1" applyFont="1" applyFill="1" applyBorder="1">
      <alignment vertical="center"/>
    </xf>
    <xf numFmtId="173" fontId="26" fillId="12" borderId="2" xfId="19" applyNumberFormat="1" applyFont="1" applyFill="1" applyBorder="1">
      <alignment vertical="center"/>
    </xf>
    <xf numFmtId="173" fontId="0" fillId="12" borderId="0" xfId="19" applyNumberFormat="1" applyFont="1" applyFill="1">
      <alignment vertical="center"/>
    </xf>
    <xf numFmtId="173" fontId="0" fillId="12" borderId="0" xfId="22" applyNumberFormat="1" applyFont="1" applyFill="1">
      <alignment vertical="center"/>
    </xf>
    <xf numFmtId="178" fontId="0" fillId="12" borderId="0" xfId="22" applyFont="1" applyFill="1">
      <alignment vertical="center"/>
    </xf>
    <xf numFmtId="173" fontId="26" fillId="12" borderId="6" xfId="22" applyNumberFormat="1" applyFont="1" applyFill="1" applyBorder="1">
      <alignment vertical="center"/>
    </xf>
    <xf numFmtId="0" fontId="36" fillId="12" borderId="2" xfId="6" applyFont="1" applyFill="1" applyBorder="1" applyAlignment="1">
      <alignment horizontal="center" vertical="center" wrapText="1"/>
    </xf>
    <xf numFmtId="0" fontId="35" fillId="12" borderId="11" xfId="6" applyFont="1" applyFill="1" applyBorder="1" applyAlignment="1">
      <alignment horizontal="center" vertical="center"/>
    </xf>
    <xf numFmtId="0" fontId="35" fillId="12" borderId="3" xfId="6" applyFont="1" applyFill="1" applyBorder="1" applyAlignment="1">
      <alignment horizontal="center" vertical="center" wrapText="1"/>
    </xf>
    <xf numFmtId="173" fontId="0" fillId="12" borderId="10" xfId="19" applyNumberFormat="1" applyFont="1" applyFill="1" applyBorder="1">
      <alignment vertical="center"/>
    </xf>
    <xf numFmtId="170" fontId="0" fillId="12" borderId="1" xfId="19" applyNumberFormat="1" applyFont="1" applyFill="1" applyBorder="1">
      <alignment vertical="center"/>
    </xf>
    <xf numFmtId="170" fontId="0" fillId="12" borderId="0" xfId="19" applyNumberFormat="1" applyFont="1" applyFill="1" applyBorder="1">
      <alignment vertical="center"/>
    </xf>
    <xf numFmtId="173" fontId="0" fillId="12" borderId="11" xfId="19" applyNumberFormat="1" applyFont="1" applyFill="1" applyBorder="1">
      <alignment vertical="center"/>
    </xf>
    <xf numFmtId="170" fontId="0" fillId="12" borderId="15" xfId="19" applyNumberFormat="1" applyFont="1" applyFill="1" applyBorder="1">
      <alignment vertical="center"/>
    </xf>
    <xf numFmtId="173" fontId="0" fillId="12" borderId="16" xfId="19" applyNumberFormat="1" applyFont="1" applyFill="1" applyBorder="1">
      <alignment vertical="center"/>
    </xf>
    <xf numFmtId="170" fontId="0" fillId="12" borderId="36" xfId="19" applyNumberFormat="1" applyFont="1" applyFill="1" applyBorder="1">
      <alignment vertical="center"/>
    </xf>
    <xf numFmtId="170" fontId="0" fillId="12" borderId="37" xfId="19" applyNumberFormat="1" applyFont="1" applyFill="1" applyBorder="1">
      <alignment vertical="center"/>
    </xf>
    <xf numFmtId="170" fontId="0" fillId="12" borderId="38" xfId="19" applyNumberFormat="1" applyFont="1" applyFill="1" applyBorder="1">
      <alignment vertical="center"/>
    </xf>
    <xf numFmtId="170" fontId="0" fillId="12" borderId="11" xfId="19" applyNumberFormat="1" applyFont="1" applyFill="1" applyBorder="1">
      <alignment vertical="center"/>
    </xf>
    <xf numFmtId="170" fontId="0" fillId="12" borderId="7" xfId="19" applyNumberFormat="1" applyFont="1" applyFill="1" applyBorder="1">
      <alignment vertical="center"/>
    </xf>
    <xf numFmtId="170" fontId="26" fillId="12" borderId="12" xfId="19" applyNumberFormat="1" applyFont="1" applyFill="1" applyBorder="1">
      <alignment vertical="center"/>
    </xf>
    <xf numFmtId="170" fontId="26" fillId="12" borderId="13" xfId="19" applyNumberFormat="1" applyFont="1" applyFill="1" applyBorder="1">
      <alignment vertical="center"/>
    </xf>
    <xf numFmtId="0" fontId="24" fillId="12" borderId="0" xfId="6" applyFont="1" applyFill="1" applyAlignment="1">
      <alignment horizontal="center" vertical="center" wrapText="1"/>
    </xf>
    <xf numFmtId="170" fontId="30" fillId="12" borderId="0" xfId="16" applyNumberFormat="1" applyFont="1" applyFill="1">
      <alignment horizontal="center" vertical="center"/>
      <protection locked="0"/>
    </xf>
    <xf numFmtId="0" fontId="35" fillId="12" borderId="0" xfId="6" applyFont="1" applyFill="1" applyBorder="1" applyAlignment="1">
      <alignment horizontal="center" vertical="center" wrapText="1"/>
    </xf>
    <xf numFmtId="170" fontId="26" fillId="12" borderId="2" xfId="19" applyNumberFormat="1" applyFont="1" applyFill="1" applyBorder="1">
      <alignment vertical="center"/>
    </xf>
    <xf numFmtId="170" fontId="0" fillId="12" borderId="0" xfId="22" applyNumberFormat="1" applyFont="1" applyFill="1">
      <alignment vertical="center"/>
    </xf>
    <xf numFmtId="170" fontId="26" fillId="12" borderId="6" xfId="22" applyNumberFormat="1" applyFont="1" applyFill="1" applyBorder="1">
      <alignment vertical="center"/>
    </xf>
    <xf numFmtId="170" fontId="0" fillId="12" borderId="10" xfId="19" applyNumberFormat="1" applyFont="1" applyFill="1" applyBorder="1">
      <alignment vertical="center"/>
    </xf>
    <xf numFmtId="170" fontId="26" fillId="12" borderId="14" xfId="19" applyNumberFormat="1" applyFont="1" applyFill="1" applyBorder="1">
      <alignment vertical="center"/>
    </xf>
    <xf numFmtId="0" fontId="31" fillId="0" borderId="3" xfId="5" applyFont="1" applyFill="1" applyBorder="1" applyAlignment="1">
      <alignment horizontal="left" vertical="center"/>
    </xf>
    <xf numFmtId="0" fontId="35" fillId="0" borderId="0" xfId="6" applyFont="1" applyFill="1" applyAlignment="1">
      <alignment horizontal="left" vertical="center"/>
    </xf>
    <xf numFmtId="0" fontId="0" fillId="0" borderId="9" xfId="0" applyFill="1" applyBorder="1">
      <alignment vertical="center"/>
    </xf>
    <xf numFmtId="0" fontId="10" fillId="0" borderId="0" xfId="7" quotePrefix="1" applyFont="1" applyFill="1" applyAlignment="1">
      <alignment horizontal="left" vertical="center"/>
    </xf>
    <xf numFmtId="0" fontId="8" fillId="0" borderId="0" xfId="29" applyAlignment="1">
      <alignment vertical="center"/>
    </xf>
    <xf numFmtId="0" fontId="26" fillId="0" borderId="0" xfId="0" applyFont="1">
      <alignment vertical="center"/>
    </xf>
    <xf numFmtId="0" fontId="21" fillId="0" borderId="0" xfId="56">
      <alignment vertical="center"/>
    </xf>
    <xf numFmtId="0" fontId="9" fillId="0" borderId="0" xfId="49">
      <alignment vertical="center"/>
    </xf>
    <xf numFmtId="0" fontId="8" fillId="0" borderId="0" xfId="50" applyAlignment="1">
      <alignment horizontal="right" vertical="center"/>
    </xf>
    <xf numFmtId="0" fontId="44" fillId="0" borderId="0" xfId="0" applyFont="1" applyBorder="1" applyAlignment="1">
      <alignment vertical="center" wrapText="1"/>
    </xf>
    <xf numFmtId="0" fontId="10" fillId="12" borderId="0" xfId="7" applyFont="1" applyFill="1">
      <alignment vertical="center"/>
    </xf>
    <xf numFmtId="0" fontId="10" fillId="0" borderId="3" xfId="4" applyFont="1" applyBorder="1">
      <alignment vertical="center"/>
    </xf>
    <xf numFmtId="0" fontId="0" fillId="0" borderId="3" xfId="0" applyBorder="1">
      <alignment vertical="center"/>
    </xf>
    <xf numFmtId="0" fontId="0" fillId="0" borderId="0" xfId="0" applyFill="1" applyAlignment="1">
      <alignment vertical="top"/>
    </xf>
    <xf numFmtId="0" fontId="58" fillId="0" borderId="0" xfId="7" applyFont="1" applyAlignment="1">
      <alignment horizontal="left" vertical="center"/>
    </xf>
    <xf numFmtId="0" fontId="59" fillId="0" borderId="0" xfId="0" applyFont="1" applyFill="1" applyAlignment="1">
      <alignment vertical="top" wrapText="1"/>
    </xf>
    <xf numFmtId="0" fontId="21" fillId="0" borderId="0" xfId="0" applyFont="1" applyFill="1" applyAlignment="1">
      <alignment vertical="top"/>
    </xf>
    <xf numFmtId="170" fontId="29" fillId="2" borderId="51" xfId="12" applyNumberFormat="1" applyFont="1" applyFill="1" applyBorder="1">
      <alignment vertical="center"/>
      <protection locked="0"/>
    </xf>
    <xf numFmtId="170" fontId="29" fillId="2" borderId="39" xfId="12" applyNumberFormat="1" applyFont="1" applyFill="1">
      <alignment vertical="center"/>
      <protection locked="0"/>
    </xf>
    <xf numFmtId="167" fontId="29" fillId="2" borderId="39" xfId="13" applyFont="1" applyFill="1">
      <alignment vertical="center"/>
      <protection locked="0"/>
    </xf>
    <xf numFmtId="0" fontId="29" fillId="2" borderId="39" xfId="9" applyFont="1" applyFill="1" applyAlignment="1">
      <alignment horizontal="center" vertical="center"/>
      <protection locked="0"/>
    </xf>
    <xf numFmtId="170" fontId="29" fillId="2" borderId="39" xfId="12" applyNumberFormat="1" applyFont="1" applyFill="1" applyAlignment="1">
      <alignment horizontal="center" vertical="center"/>
      <protection locked="0"/>
    </xf>
    <xf numFmtId="170" fontId="29" fillId="2" borderId="49" xfId="12" applyNumberFormat="1" applyFont="1" applyFill="1" applyBorder="1">
      <alignment vertical="center"/>
      <protection locked="0"/>
    </xf>
    <xf numFmtId="170" fontId="29" fillId="2" borderId="47" xfId="12" applyNumberFormat="1" applyFont="1" applyFill="1" applyBorder="1">
      <alignment vertical="center"/>
      <protection locked="0"/>
    </xf>
    <xf numFmtId="170" fontId="29" fillId="2" borderId="61" xfId="12" applyNumberFormat="1" applyFont="1" applyFill="1" applyBorder="1">
      <alignment vertical="center"/>
      <protection locked="0"/>
    </xf>
    <xf numFmtId="170" fontId="29" fillId="2" borderId="64" xfId="12" applyNumberFormat="1" applyFont="1" applyFill="1" applyBorder="1">
      <alignment vertical="center"/>
      <protection locked="0"/>
    </xf>
    <xf numFmtId="170" fontId="29" fillId="2" borderId="70" xfId="12" applyNumberFormat="1" applyFont="1" applyFill="1" applyBorder="1">
      <alignment vertical="center"/>
      <protection locked="0"/>
    </xf>
    <xf numFmtId="170" fontId="29" fillId="2" borderId="68" xfId="12" applyNumberFormat="1" applyFont="1" applyFill="1" applyBorder="1">
      <alignment vertical="center"/>
      <protection locked="0"/>
    </xf>
    <xf numFmtId="170" fontId="29" fillId="2" borderId="71" xfId="12" applyNumberFormat="1" applyFont="1" applyFill="1" applyBorder="1">
      <alignment vertical="center"/>
      <protection locked="0"/>
    </xf>
    <xf numFmtId="0" fontId="32" fillId="0" borderId="0" xfId="0" applyFont="1">
      <alignment vertical="center"/>
    </xf>
    <xf numFmtId="0" fontId="0" fillId="15" borderId="0" xfId="0" applyFill="1">
      <alignment vertical="center"/>
    </xf>
    <xf numFmtId="0" fontId="26" fillId="0" borderId="0" xfId="23" applyFont="1" applyFill="1" applyBorder="1">
      <alignment vertical="center"/>
    </xf>
    <xf numFmtId="164" fontId="26" fillId="0" borderId="0" xfId="23" applyNumberFormat="1" applyFont="1" applyFill="1" applyBorder="1" applyAlignment="1">
      <alignment horizontal="center" vertical="center"/>
    </xf>
    <xf numFmtId="0" fontId="26" fillId="0" borderId="0" xfId="23" applyFont="1" applyFill="1" applyBorder="1" applyAlignment="1">
      <alignment horizontal="center" vertical="center"/>
    </xf>
    <xf numFmtId="0" fontId="34" fillId="0" borderId="3" xfId="23" applyFont="1" applyFill="1" applyBorder="1">
      <alignment vertical="center"/>
    </xf>
    <xf numFmtId="0" fontId="34" fillId="12" borderId="3" xfId="23" applyFont="1" applyFill="1" applyBorder="1">
      <alignment vertical="center"/>
    </xf>
    <xf numFmtId="0" fontId="61" fillId="0" borderId="0" xfId="1" applyFont="1">
      <alignment vertical="center"/>
    </xf>
    <xf numFmtId="175" fontId="26" fillId="12" borderId="30" xfId="60" applyNumberFormat="1" applyFont="1" applyFill="1" applyBorder="1" applyAlignment="1">
      <alignment horizontal="center" vertical="center"/>
    </xf>
    <xf numFmtId="170" fontId="26" fillId="0" borderId="72" xfId="0" applyNumberFormat="1" applyFont="1" applyBorder="1" applyAlignment="1">
      <alignment horizontal="center" vertical="center"/>
    </xf>
    <xf numFmtId="175" fontId="26" fillId="12" borderId="72" xfId="60" applyNumberFormat="1" applyFont="1" applyFill="1" applyBorder="1" applyAlignment="1">
      <alignment horizontal="center" vertical="center"/>
    </xf>
    <xf numFmtId="170" fontId="26" fillId="0" borderId="73" xfId="0" applyNumberFormat="1" applyFont="1" applyBorder="1" applyAlignment="1">
      <alignment horizontal="center" vertical="center"/>
    </xf>
    <xf numFmtId="0" fontId="26" fillId="0" borderId="29" xfId="0" applyFont="1" applyFill="1" applyBorder="1" applyAlignment="1">
      <alignment horizontal="center" vertical="center" wrapText="1"/>
    </xf>
    <xf numFmtId="0" fontId="26" fillId="0" borderId="26" xfId="0" applyFont="1" applyFill="1" applyBorder="1" applyAlignment="1">
      <alignment horizontal="center" vertical="center" wrapText="1"/>
    </xf>
    <xf numFmtId="0" fontId="26" fillId="0" borderId="27" xfId="0" applyFont="1" applyFill="1" applyBorder="1" applyAlignment="1">
      <alignment horizontal="center" vertical="center" wrapText="1"/>
    </xf>
    <xf numFmtId="170" fontId="26" fillId="0" borderId="26" xfId="19" applyNumberFormat="1" applyFont="1" applyBorder="1">
      <alignment vertical="center"/>
    </xf>
    <xf numFmtId="170" fontId="26" fillId="0" borderId="27" xfId="19" applyNumberFormat="1" applyFont="1" applyBorder="1">
      <alignment vertical="center"/>
    </xf>
    <xf numFmtId="9" fontId="50" fillId="0" borderId="0" xfId="0" applyNumberFormat="1" applyFont="1" applyBorder="1" applyAlignment="1">
      <alignment horizontal="left" vertical="center" wrapText="1"/>
    </xf>
    <xf numFmtId="9" fontId="50" fillId="0" borderId="0" xfId="0" applyNumberFormat="1" applyFont="1" applyBorder="1" applyAlignment="1">
      <alignment horizontal="right" vertical="center"/>
    </xf>
    <xf numFmtId="0" fontId="62" fillId="0" borderId="0" xfId="16" applyFont="1" applyFill="1">
      <alignment horizontal="center" vertical="center"/>
      <protection locked="0"/>
    </xf>
    <xf numFmtId="0" fontId="62" fillId="0" borderId="0" xfId="0" applyFont="1" applyFill="1">
      <alignment vertical="center"/>
    </xf>
    <xf numFmtId="0" fontId="10" fillId="0" borderId="0" xfId="7" applyFont="1" applyFill="1" applyAlignment="1">
      <alignment horizontal="right"/>
    </xf>
    <xf numFmtId="0" fontId="31" fillId="0" borderId="0" xfId="5" quotePrefix="1" applyFont="1" applyFill="1">
      <alignment vertical="center"/>
    </xf>
    <xf numFmtId="170" fontId="29" fillId="2" borderId="48" xfId="12" applyNumberFormat="1" applyFont="1" applyFill="1" applyBorder="1">
      <alignment vertical="center"/>
      <protection locked="0"/>
    </xf>
    <xf numFmtId="170" fontId="29" fillId="2" borderId="43" xfId="12" applyNumberFormat="1" applyFont="1" applyFill="1" applyBorder="1">
      <alignment vertical="center"/>
      <protection locked="0"/>
    </xf>
    <xf numFmtId="170" fontId="29" fillId="2" borderId="69" xfId="12" applyNumberFormat="1" applyFont="1" applyFill="1" applyBorder="1">
      <alignment vertical="center"/>
      <protection locked="0"/>
    </xf>
    <xf numFmtId="170" fontId="29" fillId="2" borderId="53" xfId="12" applyNumberFormat="1" applyFont="1" applyFill="1" applyBorder="1">
      <alignment vertical="center"/>
      <protection locked="0"/>
    </xf>
    <xf numFmtId="170" fontId="29" fillId="2" borderId="63" xfId="12" applyNumberFormat="1" applyFont="1" applyFill="1" applyBorder="1">
      <alignment vertical="center"/>
      <protection locked="0"/>
    </xf>
    <xf numFmtId="170" fontId="29" fillId="2" borderId="62" xfId="12" applyNumberFormat="1" applyFont="1" applyFill="1" applyBorder="1">
      <alignment vertical="center"/>
      <protection locked="0"/>
    </xf>
    <xf numFmtId="170" fontId="29" fillId="2" borderId="59" xfId="12" applyNumberFormat="1" applyFont="1" applyFill="1" applyBorder="1">
      <alignment vertical="center"/>
      <protection locked="0"/>
    </xf>
    <xf numFmtId="170" fontId="29" fillId="2" borderId="46" xfId="12" applyNumberFormat="1" applyFont="1" applyFill="1" applyBorder="1">
      <alignment vertical="center"/>
      <protection locked="0"/>
    </xf>
    <xf numFmtId="170" fontId="29" fillId="2" borderId="44" xfId="12" applyNumberFormat="1" applyFont="1" applyFill="1" applyBorder="1">
      <alignment vertical="center"/>
      <protection locked="0"/>
    </xf>
    <xf numFmtId="170" fontId="29" fillId="2" borderId="45" xfId="12" applyNumberFormat="1" applyFont="1" applyFill="1" applyBorder="1">
      <alignment vertical="center"/>
      <protection locked="0"/>
    </xf>
    <xf numFmtId="0" fontId="9" fillId="12" borderId="0" xfId="27" applyFill="1">
      <alignment vertical="center"/>
    </xf>
    <xf numFmtId="0" fontId="10" fillId="0" borderId="0" xfId="7" applyFont="1" applyFill="1" applyAlignment="1">
      <alignment horizontal="right" vertical="center"/>
    </xf>
    <xf numFmtId="0" fontId="35" fillId="0" borderId="0" xfId="6" applyFont="1" applyFill="1" applyAlignment="1">
      <alignment horizontal="center" vertical="center" wrapText="1"/>
    </xf>
    <xf numFmtId="0" fontId="37" fillId="0" borderId="0" xfId="7" applyFont="1" applyFill="1" applyAlignment="1">
      <alignment horizontal="right" vertical="center"/>
    </xf>
    <xf numFmtId="0" fontId="29" fillId="0" borderId="3" xfId="0" applyFont="1" applyFill="1" applyBorder="1">
      <alignment vertical="center"/>
    </xf>
    <xf numFmtId="0" fontId="29" fillId="12" borderId="3" xfId="0" applyFont="1" applyFill="1" applyBorder="1">
      <alignment vertical="center"/>
    </xf>
    <xf numFmtId="0" fontId="36" fillId="0" borderId="0" xfId="6" quotePrefix="1" applyFont="1" applyFill="1">
      <alignment vertical="center"/>
    </xf>
    <xf numFmtId="167" fontId="26" fillId="0" borderId="0" xfId="20" applyFont="1" applyFill="1">
      <alignment vertical="center"/>
    </xf>
    <xf numFmtId="0" fontId="21" fillId="0" borderId="0" xfId="56">
      <alignment vertical="center"/>
    </xf>
    <xf numFmtId="0" fontId="29" fillId="2" borderId="46" xfId="9" applyFont="1" applyFill="1" applyBorder="1" applyAlignment="1">
      <alignment horizontal="center" vertical="center" wrapText="1"/>
      <protection locked="0"/>
    </xf>
    <xf numFmtId="0" fontId="29" fillId="2" borderId="69" xfId="9" applyFont="1" applyFill="1" applyBorder="1" applyAlignment="1">
      <alignment horizontal="center" vertical="center" wrapText="1"/>
      <protection locked="0"/>
    </xf>
    <xf numFmtId="0" fontId="29" fillId="2" borderId="67" xfId="9" applyFont="1" applyFill="1" applyBorder="1" applyAlignment="1">
      <alignment horizontal="center" vertical="center" wrapText="1"/>
      <protection locked="0"/>
    </xf>
    <xf numFmtId="172" fontId="29" fillId="2" borderId="39" xfId="13" applyNumberFormat="1" applyFont="1" applyFill="1">
      <alignment vertical="center"/>
      <protection locked="0"/>
    </xf>
    <xf numFmtId="0" fontId="21" fillId="0" borderId="0" xfId="56">
      <alignment vertical="center"/>
    </xf>
    <xf numFmtId="0" fontId="9" fillId="0" borderId="0" xfId="27" quotePrefix="1">
      <alignment vertical="center"/>
    </xf>
    <xf numFmtId="0" fontId="9" fillId="0" borderId="0" xfId="49">
      <alignment vertical="center"/>
    </xf>
    <xf numFmtId="0" fontId="8" fillId="0" borderId="0" xfId="50" applyAlignment="1">
      <alignment horizontal="right" vertical="center"/>
    </xf>
    <xf numFmtId="0" fontId="8" fillId="0" borderId="0" xfId="50" applyAlignment="1">
      <alignment horizontal="left" vertical="center"/>
    </xf>
    <xf numFmtId="0" fontId="8" fillId="0" borderId="0" xfId="51" applyAlignment="1">
      <alignment horizontal="right" vertical="center"/>
    </xf>
    <xf numFmtId="0" fontId="8" fillId="0" borderId="0" xfId="51" applyAlignment="1">
      <alignment horizontal="center" vertical="center"/>
    </xf>
    <xf numFmtId="0" fontId="8" fillId="0" borderId="0" xfId="51" applyAlignment="1">
      <alignment horizontal="left" vertical="center"/>
    </xf>
    <xf numFmtId="0" fontId="9" fillId="0" borderId="0" xfId="49" quotePrefix="1">
      <alignment vertical="center"/>
    </xf>
    <xf numFmtId="0" fontId="21" fillId="0" borderId="0" xfId="56" applyBorder="1">
      <alignment vertical="center"/>
    </xf>
    <xf numFmtId="170" fontId="29" fillId="2" borderId="55" xfId="12" applyNumberFormat="1" applyFont="1" applyFill="1" applyBorder="1">
      <alignment vertical="center"/>
      <protection locked="0"/>
    </xf>
    <xf numFmtId="0" fontId="4" fillId="0" borderId="0" xfId="5" applyFont="1">
      <alignment vertical="center"/>
    </xf>
    <xf numFmtId="0" fontId="21" fillId="0" borderId="0" xfId="56">
      <alignment vertical="center"/>
    </xf>
    <xf numFmtId="0" fontId="8" fillId="0" borderId="0" xfId="50" applyAlignment="1">
      <alignment horizontal="right" vertical="center"/>
    </xf>
    <xf numFmtId="0" fontId="8" fillId="0" borderId="0" xfId="50" applyAlignment="1">
      <alignment horizontal="left" vertical="center"/>
    </xf>
    <xf numFmtId="0" fontId="8" fillId="0" borderId="0" xfId="51" applyAlignment="1">
      <alignment horizontal="right" vertical="center"/>
    </xf>
    <xf numFmtId="0" fontId="8" fillId="0" borderId="0" xfId="51" applyAlignment="1">
      <alignment horizontal="center" vertical="center"/>
    </xf>
    <xf numFmtId="0" fontId="8" fillId="0" borderId="0" xfId="51" applyAlignment="1">
      <alignment horizontal="left" vertical="center"/>
    </xf>
    <xf numFmtId="0" fontId="9" fillId="0" borderId="0" xfId="49" quotePrefix="1">
      <alignment vertical="center"/>
    </xf>
    <xf numFmtId="0" fontId="35" fillId="0" borderId="0" xfId="6" applyFont="1">
      <alignment vertical="center"/>
    </xf>
    <xf numFmtId="0" fontId="44" fillId="0" borderId="0" xfId="0" applyFont="1" applyAlignment="1">
      <alignment vertical="center" wrapText="1"/>
    </xf>
    <xf numFmtId="0" fontId="44" fillId="0" borderId="0" xfId="0" applyFont="1" applyBorder="1" applyAlignment="1">
      <alignment vertical="center" wrapText="1"/>
    </xf>
    <xf numFmtId="175" fontId="53" fillId="0" borderId="0" xfId="60" applyNumberFormat="1" applyFont="1" applyBorder="1" applyAlignment="1">
      <alignment vertical="center" wrapText="1"/>
    </xf>
    <xf numFmtId="0" fontId="0" fillId="0" borderId="0" xfId="56" applyFont="1" applyAlignment="1">
      <alignment vertical="center" wrapText="1"/>
    </xf>
    <xf numFmtId="0" fontId="47" fillId="0" borderId="0" xfId="58" applyNumberFormat="1" applyFont="1" applyAlignment="1" applyProtection="1">
      <alignment horizontal="left" vertical="top"/>
      <protection locked="0"/>
    </xf>
    <xf numFmtId="0" fontId="26" fillId="0" borderId="0" xfId="50" applyFont="1">
      <alignment horizontal="center" vertical="center"/>
    </xf>
    <xf numFmtId="0" fontId="26" fillId="0" borderId="0" xfId="50" applyFont="1" applyAlignment="1">
      <alignment horizontal="right" vertical="center"/>
    </xf>
    <xf numFmtId="0" fontId="26" fillId="0" borderId="0" xfId="50" applyFont="1" applyAlignment="1">
      <alignment horizontal="left" vertical="center"/>
    </xf>
    <xf numFmtId="175" fontId="53" fillId="0" borderId="20" xfId="60" applyNumberFormat="1" applyFont="1" applyBorder="1" applyAlignment="1">
      <alignment vertical="center"/>
    </xf>
    <xf numFmtId="175" fontId="53" fillId="0" borderId="21" xfId="60" applyNumberFormat="1" applyFont="1" applyBorder="1" applyAlignment="1">
      <alignment vertical="center"/>
    </xf>
    <xf numFmtId="0" fontId="52" fillId="0" borderId="0" xfId="0" applyFont="1" applyBorder="1">
      <alignment vertical="center"/>
    </xf>
    <xf numFmtId="175" fontId="53" fillId="0" borderId="0" xfId="60" applyNumberFormat="1" applyFont="1" applyBorder="1" applyAlignment="1">
      <alignment vertical="center"/>
    </xf>
    <xf numFmtId="0" fontId="50" fillId="0" borderId="0" xfId="0" applyNumberFormat="1" applyFont="1" applyBorder="1" applyAlignment="1">
      <alignment horizontal="right"/>
    </xf>
    <xf numFmtId="0" fontId="50" fillId="0" borderId="0" xfId="0" applyNumberFormat="1" applyFont="1" applyBorder="1" applyAlignment="1"/>
    <xf numFmtId="170" fontId="53" fillId="0" borderId="19" xfId="60" applyNumberFormat="1" applyFont="1" applyBorder="1" applyAlignment="1">
      <alignment vertical="center"/>
    </xf>
    <xf numFmtId="175" fontId="55" fillId="0" borderId="19" xfId="60" applyNumberFormat="1" applyFont="1" applyBorder="1" applyAlignment="1">
      <alignment vertical="center"/>
    </xf>
    <xf numFmtId="0" fontId="65" fillId="0" borderId="31" xfId="58" applyNumberFormat="1" applyFont="1" applyBorder="1" applyAlignment="1" applyProtection="1">
      <alignment horizontal="center" vertical="center"/>
      <protection locked="0"/>
    </xf>
    <xf numFmtId="0" fontId="65" fillId="0" borderId="0" xfId="58" applyNumberFormat="1" applyFont="1" applyBorder="1" applyAlignment="1" applyProtection="1">
      <alignment horizontal="left" vertical="center"/>
      <protection locked="0"/>
    </xf>
    <xf numFmtId="170" fontId="55" fillId="0" borderId="19" xfId="60" applyNumberFormat="1" applyFont="1" applyBorder="1" applyAlignment="1">
      <alignment vertical="center"/>
    </xf>
    <xf numFmtId="0" fontId="32" fillId="0" borderId="29" xfId="0" applyFont="1" applyFill="1" applyBorder="1" applyAlignment="1">
      <alignment horizontal="center" vertical="center" wrapText="1"/>
    </xf>
    <xf numFmtId="0" fontId="32" fillId="0" borderId="27" xfId="0" applyFont="1" applyFill="1" applyBorder="1" applyAlignment="1">
      <alignment horizontal="center" vertical="center" wrapText="1"/>
    </xf>
    <xf numFmtId="0" fontId="29" fillId="2" borderId="39" xfId="9" applyFont="1" applyFill="1" applyAlignment="1">
      <alignment horizontal="center" vertical="center" wrapText="1"/>
      <protection locked="0"/>
    </xf>
    <xf numFmtId="170" fontId="0" fillId="0" borderId="5" xfId="19" applyNumberFormat="1" applyFont="1" applyFill="1" applyBorder="1">
      <alignment vertical="center"/>
    </xf>
    <xf numFmtId="0" fontId="29" fillId="9" borderId="39" xfId="9" applyFont="1" applyFill="1" applyAlignment="1">
      <alignment horizontal="center" vertical="center"/>
      <protection locked="0"/>
    </xf>
    <xf numFmtId="0" fontId="35" fillId="5" borderId="0" xfId="6" applyFont="1" applyFill="1">
      <alignment vertical="center"/>
    </xf>
    <xf numFmtId="0" fontId="0" fillId="0" borderId="0" xfId="56" applyFont="1" applyBorder="1" applyAlignment="1">
      <alignment vertical="center" wrapText="1"/>
    </xf>
    <xf numFmtId="0" fontId="0" fillId="6" borderId="0" xfId="0" applyFill="1">
      <alignment vertical="center"/>
    </xf>
    <xf numFmtId="166" fontId="53" fillId="0" borderId="20" xfId="60" applyNumberFormat="1" applyFont="1" applyBorder="1" applyAlignment="1">
      <alignment vertical="center"/>
    </xf>
    <xf numFmtId="0" fontId="35" fillId="12" borderId="6" xfId="6" applyFont="1" applyFill="1" applyBorder="1" applyAlignment="1">
      <alignment horizontal="center" vertical="center" wrapText="1"/>
    </xf>
    <xf numFmtId="0" fontId="0" fillId="0" borderId="2" xfId="26" applyFont="1">
      <alignment horizontal="center" vertical="center"/>
    </xf>
    <xf numFmtId="0" fontId="32" fillId="0" borderId="2" xfId="24" applyFont="1">
      <alignment horizontal="center" vertical="center"/>
    </xf>
    <xf numFmtId="175" fontId="53" fillId="0" borderId="77" xfId="60" applyNumberFormat="1" applyFont="1" applyBorder="1" applyAlignment="1">
      <alignment vertical="center"/>
    </xf>
    <xf numFmtId="0" fontId="21" fillId="0" borderId="78" xfId="56" applyBorder="1">
      <alignment vertical="center"/>
    </xf>
    <xf numFmtId="0" fontId="67" fillId="0" borderId="0" xfId="58" applyNumberFormat="1" applyFont="1" applyAlignment="1" applyProtection="1">
      <alignment horizontal="left" vertical="center"/>
      <protection locked="0"/>
    </xf>
    <xf numFmtId="1" fontId="47" fillId="0" borderId="31" xfId="58" applyNumberFormat="1" applyFont="1" applyBorder="1" applyAlignment="1" applyProtection="1">
      <alignment horizontal="center" vertical="center"/>
      <protection locked="0"/>
    </xf>
    <xf numFmtId="175" fontId="53" fillId="0" borderId="76" xfId="60" applyNumberFormat="1" applyFont="1" applyBorder="1" applyAlignment="1">
      <alignment vertical="center"/>
    </xf>
    <xf numFmtId="166" fontId="29" fillId="2" borderId="39" xfId="12" applyNumberFormat="1" applyFont="1" applyFill="1">
      <alignment vertical="center"/>
      <protection locked="0"/>
    </xf>
    <xf numFmtId="166" fontId="0" fillId="12" borderId="11" xfId="19" applyNumberFormat="1" applyFont="1" applyFill="1" applyBorder="1">
      <alignment vertical="center"/>
    </xf>
    <xf numFmtId="1" fontId="40" fillId="12" borderId="0" xfId="1" applyNumberFormat="1" applyFont="1" applyFill="1">
      <alignment vertical="center"/>
    </xf>
    <xf numFmtId="1" fontId="0" fillId="12" borderId="0" xfId="0" applyNumberFormat="1" applyFill="1">
      <alignment vertical="center"/>
    </xf>
    <xf numFmtId="1" fontId="3" fillId="12" borderId="0" xfId="3" applyNumberFormat="1" applyFont="1" applyFill="1">
      <alignment vertical="center"/>
    </xf>
    <xf numFmtId="1" fontId="8" fillId="12" borderId="0" xfId="28" applyNumberFormat="1" applyFill="1" applyAlignment="1">
      <alignment horizontal="right" vertical="center"/>
    </xf>
    <xf numFmtId="1" fontId="8" fillId="12" borderId="0" xfId="28" applyNumberFormat="1" applyFill="1" applyAlignment="1">
      <alignment horizontal="left" vertical="center"/>
    </xf>
    <xf numFmtId="172" fontId="0" fillId="12" borderId="0" xfId="20" applyNumberFormat="1" applyFont="1" applyFill="1">
      <alignment vertical="center"/>
    </xf>
    <xf numFmtId="172" fontId="26" fillId="12" borderId="0" xfId="20" applyNumberFormat="1" applyFont="1" applyFill="1">
      <alignment vertical="center"/>
    </xf>
    <xf numFmtId="1" fontId="35" fillId="12" borderId="0" xfId="6" applyNumberFormat="1" applyFont="1" applyFill="1" applyBorder="1" applyAlignment="1">
      <alignment horizontal="center" vertical="center" wrapText="1"/>
    </xf>
    <xf numFmtId="166" fontId="0" fillId="12" borderId="16" xfId="19" applyNumberFormat="1" applyFont="1" applyFill="1" applyBorder="1">
      <alignment vertical="center"/>
    </xf>
    <xf numFmtId="1" fontId="35" fillId="12" borderId="0" xfId="6" applyNumberFormat="1" applyFont="1" applyFill="1" applyAlignment="1">
      <alignment horizontal="center" vertical="center" wrapText="1"/>
    </xf>
    <xf numFmtId="177" fontId="0" fillId="12" borderId="0" xfId="22" applyNumberFormat="1" applyFont="1" applyFill="1">
      <alignment vertical="center"/>
    </xf>
    <xf numFmtId="166" fontId="26" fillId="12" borderId="6" xfId="22" applyNumberFormat="1" applyFont="1" applyFill="1" applyBorder="1">
      <alignment vertical="center"/>
    </xf>
    <xf numFmtId="1" fontId="24" fillId="12" borderId="2" xfId="6" applyNumberFormat="1" applyFont="1" applyFill="1" applyBorder="1" applyAlignment="1">
      <alignment horizontal="center" vertical="center"/>
    </xf>
    <xf numFmtId="166" fontId="0" fillId="12" borderId="10" xfId="19" applyNumberFormat="1" applyFont="1" applyFill="1" applyBorder="1">
      <alignment vertical="center"/>
    </xf>
    <xf numFmtId="1" fontId="37" fillId="12" borderId="0" xfId="7" applyNumberFormat="1" applyFont="1" applyFill="1" applyAlignment="1">
      <alignment horizontal="center" vertical="center" wrapText="1"/>
    </xf>
    <xf numFmtId="167" fontId="0" fillId="12" borderId="0" xfId="20" applyNumberFormat="1" applyFont="1" applyFill="1">
      <alignment vertical="center"/>
    </xf>
    <xf numFmtId="170" fontId="29" fillId="12" borderId="0" xfId="19" applyNumberFormat="1" applyFont="1" applyFill="1">
      <alignment vertical="center"/>
    </xf>
    <xf numFmtId="0" fontId="21" fillId="0" borderId="0" xfId="56">
      <alignment vertical="center"/>
    </xf>
    <xf numFmtId="0" fontId="10" fillId="0" borderId="0" xfId="7" applyFont="1">
      <alignment vertical="center"/>
    </xf>
    <xf numFmtId="0" fontId="10" fillId="0" borderId="0" xfId="7" applyFont="1">
      <alignment vertical="center"/>
    </xf>
    <xf numFmtId="0" fontId="64" fillId="0" borderId="0" xfId="0" applyFont="1" applyAlignment="1">
      <alignment vertical="center" wrapText="1"/>
    </xf>
    <xf numFmtId="1" fontId="35" fillId="12" borderId="5" xfId="6" applyNumberFormat="1" applyFont="1" applyFill="1" applyBorder="1" applyAlignment="1">
      <alignment horizontal="center" vertical="center" wrapText="1"/>
    </xf>
    <xf numFmtId="0" fontId="33" fillId="0" borderId="2" xfId="26" applyFont="1">
      <alignment horizontal="center" vertical="center"/>
    </xf>
    <xf numFmtId="0" fontId="0" fillId="12" borderId="0" xfId="0" applyFill="1" applyProtection="1">
      <alignment vertical="center"/>
      <protection locked="0"/>
    </xf>
    <xf numFmtId="0" fontId="0" fillId="0" borderId="0" xfId="0">
      <alignment vertical="center"/>
    </xf>
    <xf numFmtId="0" fontId="8" fillId="0" borderId="0" xfId="28">
      <alignment horizontal="center" vertical="center"/>
    </xf>
    <xf numFmtId="0" fontId="8" fillId="0" borderId="0" xfId="28" applyAlignment="1">
      <alignment horizontal="left" vertical="center"/>
    </xf>
    <xf numFmtId="0" fontId="8" fillId="0" borderId="0" xfId="28" applyBorder="1">
      <alignment horizontal="center" vertical="center"/>
    </xf>
    <xf numFmtId="0" fontId="0" fillId="0" borderId="0" xfId="0" applyBorder="1">
      <alignment vertical="center"/>
    </xf>
    <xf numFmtId="0" fontId="0" fillId="0" borderId="0" xfId="0" applyFill="1">
      <alignment vertical="center"/>
    </xf>
    <xf numFmtId="0" fontId="0" fillId="0" borderId="2" xfId="26" applyFont="1" applyFill="1">
      <alignment horizontal="center" vertical="center"/>
    </xf>
    <xf numFmtId="0" fontId="11" fillId="0" borderId="0" xfId="4" applyFont="1" applyFill="1">
      <alignment vertical="center"/>
    </xf>
    <xf numFmtId="0" fontId="31" fillId="0" borderId="0" xfId="5" applyFont="1" applyFill="1">
      <alignment vertical="center"/>
    </xf>
    <xf numFmtId="0" fontId="32" fillId="0" borderId="2" xfId="24" applyFont="1" applyFill="1">
      <alignment horizontal="center" vertical="center"/>
    </xf>
    <xf numFmtId="0" fontId="28" fillId="0" borderId="0" xfId="33" applyFont="1" applyAlignment="1">
      <alignment horizontal="center" vertical="center"/>
    </xf>
    <xf numFmtId="0" fontId="40" fillId="0" borderId="0" xfId="1" applyFont="1">
      <alignment vertical="center"/>
    </xf>
    <xf numFmtId="0" fontId="3" fillId="0" borderId="0" xfId="3" applyFont="1">
      <alignment vertical="center"/>
    </xf>
    <xf numFmtId="0" fontId="10" fillId="0" borderId="0" xfId="4" applyFont="1" applyBorder="1" applyAlignment="1">
      <alignment horizontal="left" vertical="center"/>
    </xf>
    <xf numFmtId="0" fontId="11" fillId="0" borderId="0" xfId="4" applyFont="1" applyBorder="1" applyAlignment="1">
      <alignment horizontal="center" vertical="center"/>
    </xf>
    <xf numFmtId="0" fontId="8" fillId="0" borderId="0" xfId="28" applyAlignment="1">
      <alignment horizontal="right" vertical="center"/>
    </xf>
    <xf numFmtId="0" fontId="24" fillId="0" borderId="0" xfId="6" applyFont="1">
      <alignment vertical="center"/>
    </xf>
    <xf numFmtId="0" fontId="31" fillId="0" borderId="0" xfId="5" applyFont="1">
      <alignment vertical="center"/>
    </xf>
    <xf numFmtId="0" fontId="11" fillId="0" borderId="0" xfId="4" applyFont="1">
      <alignment vertical="center"/>
    </xf>
    <xf numFmtId="170" fontId="0" fillId="0" borderId="0" xfId="19" applyNumberFormat="1" applyFont="1" applyFill="1" applyAlignment="1">
      <alignment horizontal="center" vertical="center"/>
    </xf>
    <xf numFmtId="0" fontId="10" fillId="0" borderId="0" xfId="7" quotePrefix="1" applyFont="1">
      <alignment vertical="center"/>
    </xf>
    <xf numFmtId="0" fontId="8" fillId="0" borderId="0" xfId="28" applyFill="1" applyAlignment="1">
      <alignment horizontal="right" vertical="center"/>
    </xf>
    <xf numFmtId="0" fontId="8" fillId="0" borderId="0" xfId="28" applyFill="1" applyAlignment="1">
      <alignment horizontal="left" vertical="center"/>
    </xf>
    <xf numFmtId="0" fontId="8" fillId="0" borderId="0" xfId="29" applyFill="1" applyAlignment="1">
      <alignment horizontal="right" vertical="center"/>
    </xf>
    <xf numFmtId="0" fontId="8" fillId="0" borderId="0" xfId="29" applyFill="1" applyAlignment="1">
      <alignment horizontal="center" vertical="center"/>
    </xf>
    <xf numFmtId="0" fontId="8" fillId="0" borderId="0" xfId="29" applyFill="1" applyAlignment="1">
      <alignment horizontal="left" vertical="center"/>
    </xf>
    <xf numFmtId="0" fontId="0" fillId="12" borderId="0" xfId="0" applyFill="1">
      <alignment vertical="center"/>
    </xf>
    <xf numFmtId="0" fontId="40" fillId="12" borderId="0" xfId="1" applyFont="1" applyFill="1">
      <alignment vertical="center"/>
    </xf>
    <xf numFmtId="0" fontId="3" fillId="12" borderId="0" xfId="3" applyFont="1" applyFill="1">
      <alignment vertical="center"/>
    </xf>
    <xf numFmtId="0" fontId="8" fillId="12" borderId="0" xfId="28" applyFill="1">
      <alignment horizontal="center" vertical="center"/>
    </xf>
    <xf numFmtId="0" fontId="8" fillId="12" borderId="0" xfId="28" applyFill="1" applyAlignment="1">
      <alignment horizontal="right" vertical="center"/>
    </xf>
    <xf numFmtId="0" fontId="8" fillId="12" borderId="0" xfId="28" applyFill="1" applyAlignment="1">
      <alignment horizontal="left" vertical="center"/>
    </xf>
    <xf numFmtId="0" fontId="8" fillId="12" borderId="0" xfId="29" applyFill="1" applyAlignment="1">
      <alignment horizontal="right" vertical="center"/>
    </xf>
    <xf numFmtId="0" fontId="8" fillId="12" borderId="0" xfId="29" applyFill="1" applyAlignment="1">
      <alignment horizontal="center" vertical="center"/>
    </xf>
    <xf numFmtId="0" fontId="8" fillId="12" borderId="0" xfId="29" applyFill="1" applyAlignment="1">
      <alignment horizontal="left" vertical="center"/>
    </xf>
    <xf numFmtId="0" fontId="11" fillId="12" borderId="0" xfId="4" applyFont="1" applyFill="1">
      <alignment vertical="center"/>
    </xf>
    <xf numFmtId="0" fontId="31" fillId="12" borderId="0" xfId="5" applyFont="1" applyFill="1">
      <alignment vertical="center"/>
    </xf>
    <xf numFmtId="0" fontId="36" fillId="12" borderId="0" xfId="6" applyFont="1" applyFill="1">
      <alignment vertical="center"/>
    </xf>
    <xf numFmtId="0" fontId="10" fillId="12" borderId="0" xfId="7" applyFont="1" applyFill="1" applyAlignment="1">
      <alignment horizontal="right" vertical="center"/>
    </xf>
    <xf numFmtId="0" fontId="30" fillId="12" borderId="0" xfId="16" applyFont="1" applyFill="1">
      <alignment horizontal="center" vertical="center"/>
      <protection locked="0"/>
    </xf>
    <xf numFmtId="0" fontId="24" fillId="12" borderId="0" xfId="6" applyFont="1" applyFill="1">
      <alignment vertical="center"/>
    </xf>
    <xf numFmtId="0" fontId="4" fillId="12" borderId="0" xfId="5" applyFont="1" applyFill="1">
      <alignment vertical="center"/>
    </xf>
    <xf numFmtId="166" fontId="0" fillId="12" borderId="0" xfId="19" applyFont="1" applyFill="1" applyAlignment="1">
      <alignment horizontal="center" vertical="center"/>
    </xf>
    <xf numFmtId="0" fontId="37" fillId="12" borderId="0" xfId="7" applyFont="1" applyFill="1" applyAlignment="1">
      <alignment horizontal="center" vertical="center" wrapText="1"/>
    </xf>
    <xf numFmtId="0" fontId="35" fillId="12" borderId="0" xfId="6" applyFont="1" applyFill="1" applyAlignment="1">
      <alignment horizontal="center" vertical="center" wrapText="1"/>
    </xf>
    <xf numFmtId="0" fontId="35" fillId="12" borderId="0" xfId="6" applyFont="1" applyFill="1">
      <alignment vertical="center"/>
    </xf>
    <xf numFmtId="166" fontId="0" fillId="12" borderId="0" xfId="19" applyFont="1" applyFill="1">
      <alignment vertical="center"/>
    </xf>
    <xf numFmtId="0" fontId="10" fillId="12" borderId="0" xfId="7" applyFont="1" applyFill="1">
      <alignment vertical="center"/>
    </xf>
    <xf numFmtId="173" fontId="29" fillId="2" borderId="39" xfId="12" applyNumberFormat="1" applyFont="1" applyFill="1">
      <alignment vertical="center"/>
      <protection locked="0"/>
    </xf>
    <xf numFmtId="170" fontId="0" fillId="0" borderId="0" xfId="19" applyNumberFormat="1" applyFont="1">
      <alignment vertical="center"/>
    </xf>
    <xf numFmtId="166" fontId="29" fillId="2" borderId="39" xfId="12" applyFont="1" applyFill="1">
      <alignment vertical="center"/>
      <protection locked="0"/>
    </xf>
    <xf numFmtId="0" fontId="37" fillId="12" borderId="0" xfId="7" applyFont="1" applyFill="1">
      <alignment vertical="center"/>
    </xf>
    <xf numFmtId="0" fontId="0" fillId="0" borderId="2" xfId="26" applyFont="1">
      <alignment horizontal="center" vertical="center"/>
    </xf>
    <xf numFmtId="0" fontId="10" fillId="0" borderId="0" xfId="7" quotePrefix="1" applyFont="1" applyFill="1">
      <alignment vertical="center"/>
    </xf>
    <xf numFmtId="0" fontId="32" fillId="0" borderId="2" xfId="24" applyFont="1">
      <alignment horizontal="center" vertical="center"/>
    </xf>
    <xf numFmtId="166" fontId="26" fillId="12" borderId="6" xfId="19" applyFont="1" applyFill="1" applyBorder="1">
      <alignment vertical="center"/>
    </xf>
    <xf numFmtId="0" fontId="5" fillId="0" borderId="0" xfId="7" applyFont="1">
      <alignment vertical="center"/>
    </xf>
    <xf numFmtId="0" fontId="10" fillId="12" borderId="0" xfId="7" applyFont="1" applyFill="1" applyAlignment="1">
      <alignment horizontal="center" vertical="center" wrapText="1"/>
    </xf>
    <xf numFmtId="166" fontId="0" fillId="12" borderId="0" xfId="0" applyNumberFormat="1" applyFont="1" applyFill="1">
      <alignment vertical="center"/>
    </xf>
    <xf numFmtId="170" fontId="26" fillId="0" borderId="75" xfId="19" applyNumberFormat="1" applyFont="1" applyBorder="1">
      <alignment vertical="center"/>
    </xf>
    <xf numFmtId="0" fontId="0" fillId="12" borderId="0" xfId="0" applyFill="1" applyAlignment="1">
      <alignment vertical="center"/>
    </xf>
    <xf numFmtId="166" fontId="0" fillId="12" borderId="0" xfId="19" applyFont="1" applyFill="1" applyBorder="1">
      <alignment vertical="center"/>
    </xf>
    <xf numFmtId="166" fontId="0" fillId="12" borderId="3" xfId="19" applyFont="1" applyFill="1" applyBorder="1">
      <alignment vertical="center"/>
    </xf>
    <xf numFmtId="166" fontId="0" fillId="2" borderId="39" xfId="12" applyFont="1" applyFill="1">
      <alignment vertical="center"/>
      <protection locked="0"/>
    </xf>
    <xf numFmtId="0" fontId="0" fillId="12" borderId="0" xfId="0" applyFill="1" applyAlignment="1">
      <alignment horizontal="center" vertical="center"/>
    </xf>
    <xf numFmtId="166" fontId="34" fillId="12" borderId="0" xfId="19" applyFont="1" applyFill="1">
      <alignment vertical="center"/>
    </xf>
    <xf numFmtId="170" fontId="26" fillId="12" borderId="75" xfId="19" applyNumberFormat="1" applyFont="1" applyFill="1" applyBorder="1">
      <alignment vertical="center"/>
    </xf>
    <xf numFmtId="170" fontId="34" fillId="12" borderId="75" xfId="19" applyNumberFormat="1" applyFont="1" applyFill="1" applyBorder="1">
      <alignment vertical="center"/>
    </xf>
    <xf numFmtId="166" fontId="34" fillId="12" borderId="0" xfId="19" applyFont="1" applyFill="1" applyAlignment="1">
      <alignment vertical="center" wrapText="1"/>
    </xf>
    <xf numFmtId="166" fontId="0" fillId="12" borderId="0" xfId="19" applyFont="1" applyFill="1" applyAlignment="1">
      <alignment vertical="center"/>
    </xf>
    <xf numFmtId="166" fontId="34" fillId="12" borderId="0" xfId="19" applyFont="1" applyFill="1" applyAlignment="1">
      <alignment horizontal="center" vertical="center" wrapText="1"/>
    </xf>
    <xf numFmtId="0" fontId="37" fillId="0" borderId="0" xfId="7" applyFont="1" applyAlignment="1">
      <alignment horizontal="center" vertical="center" wrapText="1"/>
    </xf>
    <xf numFmtId="170" fontId="33" fillId="0" borderId="0" xfId="19" applyNumberFormat="1" applyFont="1">
      <alignment vertical="center"/>
    </xf>
    <xf numFmtId="166" fontId="0" fillId="12" borderId="0" xfId="19" applyFont="1" applyFill="1" applyBorder="1" applyAlignment="1">
      <alignment vertical="center"/>
    </xf>
    <xf numFmtId="166" fontId="0" fillId="12" borderId="3" xfId="19" applyFont="1" applyFill="1" applyBorder="1" applyAlignment="1">
      <alignment vertical="center"/>
    </xf>
    <xf numFmtId="166" fontId="26" fillId="12" borderId="6" xfId="19" applyFont="1" applyFill="1" applyBorder="1" applyAlignment="1">
      <alignment vertical="center"/>
    </xf>
    <xf numFmtId="166" fontId="0" fillId="12" borderId="0" xfId="19" applyFont="1" applyFill="1" applyBorder="1" applyAlignment="1">
      <alignment horizontal="center" vertical="center"/>
    </xf>
    <xf numFmtId="166" fontId="0" fillId="12" borderId="3" xfId="19" applyFont="1" applyFill="1" applyBorder="1" applyAlignment="1">
      <alignment horizontal="center" vertical="center"/>
    </xf>
    <xf numFmtId="166" fontId="26" fillId="12" borderId="6" xfId="19" applyFont="1" applyFill="1" applyBorder="1" applyAlignment="1">
      <alignment horizontal="center" vertical="center"/>
    </xf>
    <xf numFmtId="170" fontId="26" fillId="12" borderId="75" xfId="19" applyNumberFormat="1" applyFont="1" applyFill="1" applyBorder="1" applyAlignment="1">
      <alignment vertical="center"/>
    </xf>
    <xf numFmtId="0" fontId="37" fillId="0" borderId="75" xfId="7" applyFont="1" applyBorder="1">
      <alignment vertical="center"/>
    </xf>
    <xf numFmtId="170" fontId="34" fillId="0" borderId="75" xfId="19" applyNumberFormat="1" applyFont="1" applyBorder="1">
      <alignment vertical="center"/>
    </xf>
    <xf numFmtId="0" fontId="31" fillId="12" borderId="0" xfId="5" applyFont="1" applyFill="1">
      <alignment vertical="center"/>
    </xf>
    <xf numFmtId="0" fontId="37" fillId="12" borderId="0" xfId="7" applyFont="1" applyFill="1">
      <alignment vertical="center"/>
    </xf>
    <xf numFmtId="0" fontId="35" fillId="12" borderId="0" xfId="6" applyFont="1" applyFill="1">
      <alignment vertical="center"/>
    </xf>
    <xf numFmtId="0" fontId="24" fillId="12" borderId="0" xfId="6" applyFont="1" applyFill="1">
      <alignment vertical="center"/>
    </xf>
    <xf numFmtId="166" fontId="0" fillId="12" borderId="0" xfId="19" applyFont="1" applyFill="1">
      <alignment vertical="center"/>
    </xf>
    <xf numFmtId="0" fontId="10" fillId="12" borderId="0" xfId="7" applyFont="1" applyFill="1">
      <alignment vertical="center"/>
    </xf>
    <xf numFmtId="0" fontId="10" fillId="12" borderId="0" xfId="7" applyFont="1" applyFill="1" applyAlignment="1">
      <alignment horizontal="center" vertical="center" wrapText="1"/>
    </xf>
    <xf numFmtId="0" fontId="30" fillId="12" borderId="0" xfId="16" applyFont="1" applyFill="1">
      <alignment horizontal="center" vertical="center"/>
      <protection locked="0"/>
    </xf>
    <xf numFmtId="167" fontId="29" fillId="16" borderId="39" xfId="13" applyFont="1" applyFill="1">
      <alignment vertical="center"/>
      <protection locked="0"/>
    </xf>
    <xf numFmtId="172" fontId="29" fillId="16" borderId="39" xfId="13" applyNumberFormat="1" applyFont="1" applyFill="1">
      <alignment vertical="center"/>
      <protection locked="0"/>
    </xf>
    <xf numFmtId="0" fontId="10" fillId="0" borderId="0" xfId="7" applyFont="1">
      <alignment vertical="center"/>
    </xf>
    <xf numFmtId="0" fontId="8" fillId="0" borderId="0" xfId="50" applyAlignment="1">
      <alignment horizontal="left" vertical="center"/>
    </xf>
    <xf numFmtId="0" fontId="35" fillId="12" borderId="0" xfId="6" applyFont="1" applyFill="1" applyAlignment="1">
      <alignment horizontal="right" vertical="center"/>
    </xf>
    <xf numFmtId="166" fontId="29" fillId="0" borderId="0" xfId="19" applyFont="1" applyFill="1">
      <alignment vertical="center"/>
    </xf>
    <xf numFmtId="170" fontId="29" fillId="2" borderId="39" xfId="13" applyNumberFormat="1" applyFont="1" applyFill="1">
      <alignment vertical="center"/>
      <protection locked="0"/>
    </xf>
    <xf numFmtId="0" fontId="5" fillId="5" borderId="0" xfId="7" applyFont="1" applyFill="1">
      <alignment vertical="center"/>
    </xf>
    <xf numFmtId="0" fontId="0" fillId="0" borderId="0" xfId="0" applyProtection="1">
      <alignment vertical="center"/>
      <protection locked="0"/>
    </xf>
    <xf numFmtId="0" fontId="21" fillId="0" borderId="0" xfId="56" applyProtection="1">
      <alignment vertical="center"/>
      <protection locked="0"/>
    </xf>
    <xf numFmtId="0" fontId="0" fillId="0" borderId="0" xfId="0" applyFill="1" applyProtection="1">
      <alignment vertical="center"/>
      <protection locked="0"/>
    </xf>
    <xf numFmtId="0" fontId="11" fillId="0" borderId="0" xfId="4" applyFont="1" applyFill="1" applyAlignment="1" applyProtection="1">
      <alignment horizontal="left" vertical="center"/>
      <protection locked="0"/>
    </xf>
    <xf numFmtId="0" fontId="3" fillId="12" borderId="0" xfId="4" applyFont="1" applyFill="1" applyProtection="1">
      <alignment vertical="center"/>
      <protection locked="0"/>
    </xf>
    <xf numFmtId="0" fontId="11" fillId="12" borderId="0" xfId="4" applyFont="1" applyFill="1" applyProtection="1">
      <alignment vertical="center"/>
      <protection locked="0"/>
    </xf>
    <xf numFmtId="0" fontId="11" fillId="0" borderId="0" xfId="4" applyFont="1" applyFill="1" applyProtection="1">
      <alignment vertical="center"/>
      <protection locked="0"/>
    </xf>
    <xf numFmtId="0" fontId="11" fillId="0" borderId="0" xfId="4" applyFont="1" applyProtection="1">
      <alignment vertical="center"/>
      <protection locked="0"/>
    </xf>
    <xf numFmtId="0" fontId="4" fillId="12" borderId="0" xfId="5" applyFont="1" applyFill="1" applyProtection="1">
      <alignment vertical="center"/>
      <protection locked="0"/>
    </xf>
    <xf numFmtId="0" fontId="10" fillId="0" borderId="0" xfId="4" applyFont="1" applyFill="1" applyAlignment="1" applyProtection="1">
      <alignment horizontal="left" vertical="center"/>
      <protection locked="0"/>
    </xf>
    <xf numFmtId="0" fontId="40" fillId="0" borderId="0" xfId="1" applyFont="1" applyProtection="1">
      <alignment vertical="center"/>
      <protection locked="0"/>
    </xf>
    <xf numFmtId="0" fontId="37" fillId="12" borderId="0" xfId="7" quotePrefix="1" applyFont="1" applyFill="1" applyAlignment="1">
      <alignment horizontal="center" vertical="center" wrapText="1"/>
    </xf>
    <xf numFmtId="167" fontId="66" fillId="0" borderId="23" xfId="20" applyFont="1" applyFill="1" applyBorder="1">
      <alignment vertical="center"/>
    </xf>
    <xf numFmtId="167" fontId="66" fillId="0" borderId="22" xfId="20" applyFont="1" applyFill="1" applyBorder="1">
      <alignment vertical="center"/>
    </xf>
    <xf numFmtId="0" fontId="10" fillId="0" borderId="19" xfId="7" applyFont="1" applyFill="1" applyBorder="1">
      <alignment vertical="center"/>
    </xf>
    <xf numFmtId="0" fontId="10" fillId="0" borderId="28" xfId="7" applyFont="1" applyFill="1" applyBorder="1">
      <alignment vertical="center"/>
    </xf>
    <xf numFmtId="167" fontId="66" fillId="0" borderId="24" xfId="20" applyFont="1" applyFill="1" applyBorder="1">
      <alignment vertical="center"/>
    </xf>
    <xf numFmtId="0" fontId="29" fillId="0" borderId="0" xfId="0" applyFont="1" applyFill="1">
      <alignment vertical="center"/>
    </xf>
    <xf numFmtId="0" fontId="10" fillId="0" borderId="0" xfId="7" applyFont="1" applyFill="1">
      <alignment vertical="center"/>
    </xf>
    <xf numFmtId="174" fontId="29" fillId="16" borderId="39" xfId="13" applyNumberFormat="1" applyFont="1" applyFill="1">
      <alignment vertical="center"/>
      <protection locked="0"/>
    </xf>
    <xf numFmtId="166" fontId="29" fillId="5" borderId="0" xfId="19" applyFont="1" applyFill="1">
      <alignment vertical="center"/>
    </xf>
    <xf numFmtId="166" fontId="0" fillId="5" borderId="0" xfId="19" applyFont="1" applyFill="1">
      <alignment vertical="center"/>
    </xf>
    <xf numFmtId="166" fontId="0" fillId="16" borderId="0" xfId="19" applyFont="1" applyFill="1">
      <alignment vertical="center"/>
    </xf>
    <xf numFmtId="0" fontId="29" fillId="17" borderId="39" xfId="9" applyFont="1" applyFill="1" applyAlignment="1">
      <alignment horizontal="center" vertical="center"/>
      <protection locked="0"/>
    </xf>
    <xf numFmtId="0" fontId="29" fillId="16" borderId="39" xfId="9" applyFont="1" applyFill="1" applyAlignment="1">
      <alignment horizontal="center" vertical="center"/>
      <protection locked="0"/>
    </xf>
    <xf numFmtId="173" fontId="29" fillId="17" borderId="39" xfId="12" applyNumberFormat="1" applyFont="1" applyFill="1">
      <alignment vertical="center"/>
      <protection locked="0"/>
    </xf>
    <xf numFmtId="173" fontId="29" fillId="16" borderId="39" xfId="12" applyNumberFormat="1" applyFont="1" applyFill="1">
      <alignment vertical="center"/>
      <protection locked="0"/>
    </xf>
    <xf numFmtId="170" fontId="29" fillId="17" borderId="39" xfId="12" applyNumberFormat="1" applyFont="1" applyFill="1" applyAlignment="1">
      <alignment horizontal="center" vertical="center"/>
      <protection locked="0"/>
    </xf>
    <xf numFmtId="170" fontId="29" fillId="16" borderId="39" xfId="12" applyNumberFormat="1" applyFont="1" applyFill="1" applyAlignment="1">
      <alignment horizontal="center" vertical="center"/>
      <protection locked="0"/>
    </xf>
    <xf numFmtId="176" fontId="0" fillId="5" borderId="0" xfId="19" applyNumberFormat="1" applyFont="1" applyFill="1" applyAlignment="1">
      <alignment horizontal="center" vertical="center"/>
    </xf>
    <xf numFmtId="176" fontId="0" fillId="16" borderId="0" xfId="19" applyNumberFormat="1" applyFont="1" applyFill="1" applyAlignment="1">
      <alignment horizontal="center" vertical="center"/>
    </xf>
    <xf numFmtId="166" fontId="29" fillId="16" borderId="0" xfId="19" applyFont="1" applyFill="1">
      <alignment vertical="center"/>
    </xf>
    <xf numFmtId="0" fontId="3" fillId="0" borderId="0" xfId="4" applyFont="1" applyFill="1" applyProtection="1">
      <alignment vertical="center"/>
      <protection locked="0"/>
    </xf>
    <xf numFmtId="0" fontId="41" fillId="0" borderId="0" xfId="4" applyFont="1" applyFill="1" applyProtection="1">
      <alignment vertical="center"/>
      <protection locked="0"/>
    </xf>
    <xf numFmtId="164" fontId="26" fillId="0" borderId="0" xfId="23" applyNumberFormat="1" applyFont="1" applyFill="1" applyBorder="1">
      <alignment vertical="center"/>
    </xf>
    <xf numFmtId="164" fontId="26" fillId="12" borderId="0" xfId="23" applyNumberFormat="1" applyFont="1" applyFill="1" applyBorder="1">
      <alignment vertical="center"/>
    </xf>
    <xf numFmtId="170" fontId="26" fillId="0" borderId="14" xfId="19" applyNumberFormat="1" applyFont="1" applyFill="1" applyBorder="1">
      <alignment vertical="center"/>
    </xf>
    <xf numFmtId="166" fontId="26" fillId="0" borderId="14" xfId="19" applyFont="1" applyFill="1" applyBorder="1">
      <alignment vertical="center"/>
    </xf>
    <xf numFmtId="170" fontId="29" fillId="16" borderId="39" xfId="12" applyNumberFormat="1" applyFont="1" applyFill="1">
      <alignment vertical="center"/>
      <protection locked="0"/>
    </xf>
    <xf numFmtId="170" fontId="29" fillId="16" borderId="50" xfId="12" applyNumberFormat="1" applyFont="1" applyFill="1" applyBorder="1">
      <alignment vertical="center"/>
      <protection locked="0"/>
    </xf>
    <xf numFmtId="170" fontId="29" fillId="16" borderId="70" xfId="12" applyNumberFormat="1" applyFont="1" applyFill="1" applyBorder="1">
      <alignment vertical="center"/>
      <protection locked="0"/>
    </xf>
    <xf numFmtId="170" fontId="29" fillId="16" borderId="68" xfId="12" applyNumberFormat="1" applyFont="1" applyFill="1" applyBorder="1">
      <alignment vertical="center"/>
      <protection locked="0"/>
    </xf>
    <xf numFmtId="166" fontId="29" fillId="16" borderId="39" xfId="12" applyNumberFormat="1" applyFont="1" applyFill="1">
      <alignment vertical="center"/>
      <protection locked="0"/>
    </xf>
    <xf numFmtId="170" fontId="29" fillId="16" borderId="53" xfId="12" applyNumberFormat="1" applyFont="1" applyFill="1" applyBorder="1">
      <alignment vertical="center"/>
      <protection locked="0"/>
    </xf>
    <xf numFmtId="170" fontId="29" fillId="16" borderId="71" xfId="12" applyNumberFormat="1" applyFont="1" applyFill="1" applyBorder="1">
      <alignment vertical="center"/>
      <protection locked="0"/>
    </xf>
    <xf numFmtId="170" fontId="29" fillId="17" borderId="46" xfId="12" applyNumberFormat="1" applyFont="1" applyFill="1" applyBorder="1">
      <alignment vertical="center"/>
      <protection locked="0"/>
    </xf>
    <xf numFmtId="170" fontId="29" fillId="17" borderId="44" xfId="12" applyNumberFormat="1" applyFont="1" applyFill="1" applyBorder="1">
      <alignment vertical="center"/>
      <protection locked="0"/>
    </xf>
    <xf numFmtId="170" fontId="29" fillId="17" borderId="45" xfId="12" applyNumberFormat="1" applyFont="1" applyFill="1" applyBorder="1">
      <alignment vertical="center"/>
      <protection locked="0"/>
    </xf>
    <xf numFmtId="170" fontId="29" fillId="16" borderId="49" xfId="12" applyNumberFormat="1" applyFont="1" applyFill="1" applyBorder="1">
      <alignment vertical="center"/>
      <protection locked="0"/>
    </xf>
    <xf numFmtId="170" fontId="29" fillId="16" borderId="47" xfId="12" applyNumberFormat="1" applyFont="1" applyFill="1" applyBorder="1">
      <alignment vertical="center"/>
      <protection locked="0"/>
    </xf>
    <xf numFmtId="170" fontId="29" fillId="16" borderId="48" xfId="12" applyNumberFormat="1" applyFont="1" applyFill="1" applyBorder="1">
      <alignment vertical="center"/>
      <protection locked="0"/>
    </xf>
    <xf numFmtId="170" fontId="29" fillId="16" borderId="63" xfId="12" applyNumberFormat="1" applyFont="1" applyFill="1" applyBorder="1">
      <alignment vertical="center"/>
      <protection locked="0"/>
    </xf>
    <xf numFmtId="170" fontId="29" fillId="16" borderId="51" xfId="12" applyNumberFormat="1" applyFont="1" applyFill="1" applyBorder="1">
      <alignment vertical="center"/>
      <protection locked="0"/>
    </xf>
    <xf numFmtId="170" fontId="29" fillId="16" borderId="62" xfId="12" applyNumberFormat="1" applyFont="1" applyFill="1" applyBorder="1">
      <alignment vertical="center"/>
      <protection locked="0"/>
    </xf>
    <xf numFmtId="170" fontId="29" fillId="17" borderId="69" xfId="12" applyNumberFormat="1" applyFont="1" applyFill="1" applyBorder="1">
      <alignment vertical="center"/>
      <protection locked="0"/>
    </xf>
    <xf numFmtId="170" fontId="29" fillId="16" borderId="43" xfId="12" applyNumberFormat="1" applyFont="1" applyFill="1" applyBorder="1">
      <alignment vertical="center"/>
      <protection locked="0"/>
    </xf>
    <xf numFmtId="170" fontId="29" fillId="16" borderId="59" xfId="12" applyNumberFormat="1" applyFont="1" applyFill="1" applyBorder="1">
      <alignment vertical="center"/>
      <protection locked="0"/>
    </xf>
    <xf numFmtId="170" fontId="29" fillId="2" borderId="56" xfId="12" applyNumberFormat="1" applyFont="1" applyFill="1" applyBorder="1">
      <alignment vertical="center"/>
      <protection locked="0"/>
    </xf>
    <xf numFmtId="170" fontId="29" fillId="2" borderId="39" xfId="12" applyNumberFormat="1" applyFont="1" applyFill="1" applyBorder="1">
      <alignment vertical="center"/>
      <protection locked="0"/>
    </xf>
    <xf numFmtId="170" fontId="29" fillId="2" borderId="54" xfId="12" applyNumberFormat="1" applyFont="1" applyFill="1" applyBorder="1">
      <alignment vertical="center"/>
      <protection locked="0"/>
    </xf>
    <xf numFmtId="170" fontId="29" fillId="16" borderId="56" xfId="12" applyNumberFormat="1" applyFont="1" applyFill="1" applyBorder="1">
      <alignment vertical="center"/>
      <protection locked="0"/>
    </xf>
    <xf numFmtId="170" fontId="29" fillId="16" borderId="39" xfId="12" applyNumberFormat="1" applyFont="1" applyFill="1" applyBorder="1">
      <alignment vertical="center"/>
      <protection locked="0"/>
    </xf>
    <xf numFmtId="170" fontId="29" fillId="16" borderId="54" xfId="12" applyNumberFormat="1" applyFont="1" applyFill="1" applyBorder="1">
      <alignment vertical="center"/>
      <protection locked="0"/>
    </xf>
    <xf numFmtId="170" fontId="29" fillId="16" borderId="46" xfId="12" applyNumberFormat="1" applyFont="1" applyFill="1" applyBorder="1">
      <alignment vertical="center"/>
      <protection locked="0"/>
    </xf>
    <xf numFmtId="170" fontId="29" fillId="16" borderId="44" xfId="12" applyNumberFormat="1" applyFont="1" applyFill="1" applyBorder="1">
      <alignment vertical="center"/>
      <protection locked="0"/>
    </xf>
    <xf numFmtId="170" fontId="29" fillId="16" borderId="45" xfId="12" applyNumberFormat="1" applyFont="1" applyFill="1" applyBorder="1">
      <alignment vertical="center"/>
      <protection locked="0"/>
    </xf>
    <xf numFmtId="170" fontId="29" fillId="16" borderId="69" xfId="12" applyNumberFormat="1" applyFont="1" applyFill="1" applyBorder="1">
      <alignment vertical="center"/>
      <protection locked="0"/>
    </xf>
    <xf numFmtId="170" fontId="26" fillId="16" borderId="0" xfId="19" applyNumberFormat="1" applyFont="1" applyFill="1">
      <alignment vertical="center"/>
    </xf>
    <xf numFmtId="0" fontId="35" fillId="12" borderId="0" xfId="6" applyFont="1" applyFill="1" applyBorder="1">
      <alignment vertical="center"/>
    </xf>
    <xf numFmtId="170" fontId="0" fillId="16" borderId="5" xfId="19" applyNumberFormat="1" applyFont="1" applyFill="1" applyBorder="1">
      <alignment vertical="center"/>
    </xf>
    <xf numFmtId="170" fontId="0" fillId="16" borderId="0" xfId="19" applyNumberFormat="1" applyFont="1" applyFill="1" applyBorder="1">
      <alignment vertical="center"/>
    </xf>
    <xf numFmtId="170" fontId="0" fillId="16" borderId="3" xfId="19" applyNumberFormat="1" applyFont="1" applyFill="1" applyBorder="1">
      <alignment vertical="center"/>
    </xf>
    <xf numFmtId="0" fontId="10" fillId="0" borderId="0" xfId="7" applyFont="1" applyFill="1">
      <alignment vertical="center"/>
    </xf>
    <xf numFmtId="0" fontId="9" fillId="0" borderId="0" xfId="49">
      <alignment vertical="center"/>
    </xf>
    <xf numFmtId="166" fontId="29" fillId="16" borderId="39" xfId="12" applyFont="1" applyFill="1">
      <alignment vertical="center"/>
      <protection locked="0"/>
    </xf>
    <xf numFmtId="170" fontId="21" fillId="0" borderId="0" xfId="19" applyNumberFormat="1" applyFont="1" applyFill="1">
      <alignment vertical="center"/>
    </xf>
    <xf numFmtId="0" fontId="30" fillId="5" borderId="0" xfId="16" applyFont="1" applyFill="1" applyAlignment="1">
      <alignment horizontal="center" vertical="center" wrapText="1"/>
      <protection locked="0"/>
    </xf>
    <xf numFmtId="170" fontId="0" fillId="12" borderId="75" xfId="19" applyNumberFormat="1" applyFont="1" applyFill="1" applyBorder="1">
      <alignment vertical="center"/>
    </xf>
    <xf numFmtId="0" fontId="3" fillId="12" borderId="0" xfId="4" applyFont="1" applyFill="1">
      <alignment vertical="center"/>
    </xf>
    <xf numFmtId="0" fontId="37" fillId="0" borderId="0" xfId="7" quotePrefix="1" applyFont="1" applyFill="1">
      <alignment vertical="center"/>
    </xf>
    <xf numFmtId="173" fontId="29" fillId="17" borderId="39" xfId="12" applyNumberFormat="1" applyFont="1" applyFill="1" applyAlignment="1">
      <alignment horizontal="right" vertical="center"/>
      <protection locked="0"/>
    </xf>
    <xf numFmtId="173" fontId="29" fillId="16" borderId="39" xfId="12" applyNumberFormat="1" applyFont="1" applyFill="1" applyAlignment="1">
      <alignment horizontal="right" vertical="center"/>
      <protection locked="0"/>
    </xf>
    <xf numFmtId="0" fontId="20" fillId="0" borderId="0" xfId="57">
      <alignment vertical="center"/>
    </xf>
    <xf numFmtId="167" fontId="26" fillId="12" borderId="0" xfId="19" applyNumberFormat="1" applyFont="1" applyFill="1">
      <alignment vertical="center"/>
    </xf>
    <xf numFmtId="0" fontId="10" fillId="0" borderId="0" xfId="7" applyFont="1" applyFill="1">
      <alignment vertical="center"/>
    </xf>
    <xf numFmtId="166" fontId="26" fillId="12" borderId="0" xfId="19" applyFont="1" applyFill="1">
      <alignment vertical="center"/>
    </xf>
    <xf numFmtId="166" fontId="26" fillId="12" borderId="75" xfId="19" applyFont="1" applyFill="1" applyBorder="1">
      <alignment vertical="center"/>
    </xf>
    <xf numFmtId="0" fontId="36" fillId="12" borderId="0" xfId="6" quotePrefix="1" applyFont="1" applyFill="1">
      <alignment vertical="center"/>
    </xf>
    <xf numFmtId="1" fontId="24" fillId="12" borderId="0" xfId="6" applyNumberFormat="1" applyFont="1" applyFill="1" applyAlignment="1">
      <alignment vertical="center"/>
    </xf>
    <xf numFmtId="170" fontId="29" fillId="2" borderId="60" xfId="12" applyNumberFormat="1" applyFont="1" applyFill="1" applyBorder="1">
      <alignment vertical="center"/>
      <protection locked="0"/>
    </xf>
    <xf numFmtId="0" fontId="5" fillId="16" borderId="0" xfId="7" applyFont="1" applyFill="1">
      <alignment vertical="center"/>
    </xf>
    <xf numFmtId="166" fontId="0" fillId="5" borderId="0" xfId="19" applyNumberFormat="1" applyFont="1" applyFill="1">
      <alignment vertical="center"/>
    </xf>
    <xf numFmtId="166" fontId="0" fillId="16" borderId="0" xfId="19" applyNumberFormat="1" applyFont="1" applyFill="1">
      <alignment vertical="center"/>
    </xf>
    <xf numFmtId="1" fontId="24" fillId="12" borderId="1" xfId="6" applyNumberFormat="1" applyFont="1" applyFill="1" applyBorder="1" applyAlignment="1">
      <alignment horizontal="center" vertical="center"/>
    </xf>
    <xf numFmtId="170" fontId="0" fillId="12" borderId="16" xfId="19" applyNumberFormat="1" applyFont="1" applyFill="1" applyBorder="1">
      <alignment vertical="center"/>
    </xf>
    <xf numFmtId="170" fontId="0" fillId="12" borderId="81" xfId="19" applyNumberFormat="1" applyFont="1" applyFill="1" applyBorder="1">
      <alignment vertical="center"/>
    </xf>
    <xf numFmtId="0" fontId="9" fillId="0" borderId="0" xfId="27">
      <alignment vertical="center"/>
    </xf>
    <xf numFmtId="0" fontId="29" fillId="17" borderId="39" xfId="9" applyFont="1" applyFill="1" applyAlignment="1">
      <alignment horizontal="left" vertical="center"/>
      <protection locked="0"/>
    </xf>
    <xf numFmtId="0" fontId="10" fillId="0" borderId="0" xfId="7" applyFont="1" applyFill="1">
      <alignment vertical="center"/>
    </xf>
    <xf numFmtId="0" fontId="35" fillId="0" borderId="0" xfId="6" applyFont="1" applyFill="1">
      <alignment vertical="center"/>
    </xf>
    <xf numFmtId="0" fontId="37" fillId="0" borderId="0" xfId="7" applyFont="1" applyFill="1">
      <alignment vertical="center"/>
    </xf>
    <xf numFmtId="0" fontId="5" fillId="0" borderId="0" xfId="7" applyFont="1" applyFill="1">
      <alignment vertical="center"/>
    </xf>
    <xf numFmtId="0" fontId="36" fillId="0" borderId="0" xfId="6" applyFont="1" applyFill="1">
      <alignment vertical="center"/>
    </xf>
    <xf numFmtId="170" fontId="0" fillId="0" borderId="75" xfId="19" applyNumberFormat="1" applyFont="1" applyFill="1" applyBorder="1">
      <alignment vertical="center"/>
    </xf>
    <xf numFmtId="0" fontId="24" fillId="12" borderId="0" xfId="6" applyFont="1" applyFill="1" applyAlignment="1">
      <alignment vertical="center"/>
    </xf>
    <xf numFmtId="170" fontId="26" fillId="0" borderId="19" xfId="19" applyNumberFormat="1" applyFont="1" applyFill="1" applyBorder="1">
      <alignment vertical="center"/>
    </xf>
    <xf numFmtId="170" fontId="0" fillId="2" borderId="39" xfId="12" applyNumberFormat="1" applyFont="1" applyFill="1">
      <alignment vertical="center"/>
      <protection locked="0"/>
    </xf>
    <xf numFmtId="0" fontId="0" fillId="12" borderId="10" xfId="0" applyFill="1" applyBorder="1">
      <alignment vertical="center"/>
    </xf>
    <xf numFmtId="0" fontId="0" fillId="12" borderId="5" xfId="0" applyFill="1" applyBorder="1">
      <alignment vertical="center"/>
    </xf>
    <xf numFmtId="0" fontId="36" fillId="12" borderId="2" xfId="6" applyFont="1" applyFill="1" applyBorder="1">
      <alignment vertical="center"/>
    </xf>
    <xf numFmtId="0" fontId="0" fillId="12" borderId="8" xfId="0" applyFill="1" applyBorder="1">
      <alignment vertical="center"/>
    </xf>
    <xf numFmtId="0" fontId="35" fillId="5" borderId="11" xfId="6" applyFont="1" applyFill="1" applyBorder="1">
      <alignment vertical="center"/>
    </xf>
    <xf numFmtId="0" fontId="35" fillId="5" borderId="15" xfId="6" applyFont="1" applyFill="1" applyBorder="1">
      <alignment vertical="center"/>
    </xf>
    <xf numFmtId="0" fontId="5" fillId="12" borderId="6" xfId="7" applyFont="1" applyFill="1" applyBorder="1">
      <alignment vertical="center"/>
    </xf>
    <xf numFmtId="0" fontId="5" fillId="12" borderId="12" xfId="7" applyFont="1" applyFill="1" applyBorder="1">
      <alignment vertical="center"/>
    </xf>
    <xf numFmtId="0" fontId="5" fillId="12" borderId="13" xfId="7" applyFont="1" applyFill="1" applyBorder="1">
      <alignment vertical="center"/>
    </xf>
    <xf numFmtId="0" fontId="29" fillId="16" borderId="39" xfId="9" applyFont="1" applyFill="1" applyAlignment="1">
      <alignment horizontal="left" vertical="center"/>
      <protection locked="0"/>
    </xf>
    <xf numFmtId="170" fontId="29" fillId="2" borderId="41" xfId="12" applyNumberFormat="1" applyFont="1" applyFill="1" applyBorder="1">
      <alignment vertical="center"/>
      <protection locked="0"/>
    </xf>
    <xf numFmtId="0" fontId="31" fillId="12" borderId="0" xfId="5" applyFont="1" applyFill="1">
      <alignment vertical="center"/>
    </xf>
    <xf numFmtId="0" fontId="35" fillId="12" borderId="0" xfId="6" applyFont="1" applyFill="1">
      <alignment vertical="center"/>
    </xf>
    <xf numFmtId="0" fontId="24" fillId="12" borderId="0" xfId="6" applyFont="1" applyFill="1">
      <alignment vertical="center"/>
    </xf>
    <xf numFmtId="0" fontId="10" fillId="12" borderId="0" xfId="7" applyFont="1" applyFill="1">
      <alignment vertical="center"/>
    </xf>
    <xf numFmtId="166" fontId="0" fillId="12" borderId="0" xfId="19" applyFont="1" applyFill="1">
      <alignment vertical="center"/>
    </xf>
    <xf numFmtId="0" fontId="37" fillId="12" borderId="0" xfId="7" applyFont="1" applyFill="1">
      <alignment vertical="center"/>
    </xf>
    <xf numFmtId="0" fontId="30" fillId="12" borderId="0" xfId="16" applyFont="1" applyFill="1">
      <alignment horizontal="center" vertical="center"/>
      <protection locked="0"/>
    </xf>
    <xf numFmtId="0" fontId="10" fillId="12" borderId="0" xfId="7" applyFont="1" applyFill="1" applyAlignment="1">
      <alignment horizontal="center" vertical="center" wrapText="1"/>
    </xf>
    <xf numFmtId="0" fontId="5" fillId="0" borderId="0" xfId="7" applyFont="1" applyFill="1">
      <alignment vertical="center"/>
    </xf>
    <xf numFmtId="170" fontId="0" fillId="12" borderId="5" xfId="19" applyNumberFormat="1" applyFont="1" applyFill="1" applyBorder="1">
      <alignment vertical="center"/>
    </xf>
    <xf numFmtId="166" fontId="29" fillId="17" borderId="39" xfId="12" applyFont="1" applyFill="1">
      <alignment vertical="center"/>
      <protection locked="0"/>
    </xf>
    <xf numFmtId="176" fontId="0" fillId="12" borderId="11" xfId="19" applyNumberFormat="1" applyFont="1" applyFill="1" applyBorder="1">
      <alignment vertical="center"/>
    </xf>
    <xf numFmtId="173" fontId="0" fillId="12" borderId="2" xfId="19" applyNumberFormat="1" applyFont="1" applyFill="1" applyBorder="1">
      <alignment vertical="center"/>
    </xf>
    <xf numFmtId="176" fontId="0" fillId="12" borderId="16" xfId="19" applyNumberFormat="1" applyFont="1" applyFill="1" applyBorder="1">
      <alignment vertical="center"/>
    </xf>
    <xf numFmtId="170" fontId="29" fillId="2" borderId="65" xfId="12" applyNumberFormat="1" applyFont="1" applyFill="1" applyBorder="1">
      <alignment vertical="center"/>
      <protection locked="0"/>
    </xf>
    <xf numFmtId="0" fontId="24" fillId="12" borderId="11" xfId="6" applyFont="1" applyFill="1" applyBorder="1" applyAlignment="1">
      <alignment horizontal="center" vertical="center"/>
    </xf>
    <xf numFmtId="0" fontId="35" fillId="12" borderId="1" xfId="6" applyFont="1" applyFill="1" applyBorder="1" applyAlignment="1">
      <alignment horizontal="center" vertical="center" wrapText="1"/>
    </xf>
    <xf numFmtId="170" fontId="29" fillId="17" borderId="68" xfId="12" applyNumberFormat="1" applyFont="1" applyFill="1" applyBorder="1">
      <alignment vertical="center"/>
      <protection locked="0"/>
    </xf>
    <xf numFmtId="170" fontId="29" fillId="17" borderId="71" xfId="12" applyNumberFormat="1" applyFont="1" applyFill="1" applyBorder="1">
      <alignment vertical="center"/>
      <protection locked="0"/>
    </xf>
    <xf numFmtId="166" fontId="0" fillId="12" borderId="0" xfId="19" applyNumberFormat="1" applyFont="1" applyFill="1" applyAlignment="1">
      <alignment horizontal="center" vertical="center"/>
    </xf>
    <xf numFmtId="0" fontId="10" fillId="5" borderId="10" xfId="7" applyFont="1" applyFill="1" applyBorder="1" applyAlignment="1">
      <alignment horizontal="center" vertical="center"/>
    </xf>
    <xf numFmtId="0" fontId="10" fillId="5" borderId="1" xfId="7" applyFont="1" applyFill="1" applyBorder="1" applyAlignment="1">
      <alignment horizontal="center" vertical="center"/>
    </xf>
    <xf numFmtId="0" fontId="29" fillId="17" borderId="12" xfId="9" applyFont="1" applyFill="1" applyBorder="1" applyAlignment="1">
      <alignment horizontal="center" vertical="center" wrapText="1"/>
      <protection locked="0"/>
    </xf>
    <xf numFmtId="0" fontId="29" fillId="17" borderId="2" xfId="9" applyFont="1" applyFill="1" applyBorder="1" applyAlignment="1">
      <alignment horizontal="center" vertical="center" wrapText="1"/>
      <protection locked="0"/>
    </xf>
    <xf numFmtId="170" fontId="26" fillId="0" borderId="6" xfId="19" applyNumberFormat="1" applyFont="1" applyFill="1" applyBorder="1">
      <alignment vertical="center"/>
    </xf>
    <xf numFmtId="166" fontId="0" fillId="0" borderId="0" xfId="19" applyNumberFormat="1" applyFont="1" applyFill="1">
      <alignment vertical="center"/>
    </xf>
    <xf numFmtId="166" fontId="26" fillId="0" borderId="6" xfId="19" applyNumberFormat="1" applyFont="1" applyFill="1" applyBorder="1">
      <alignment vertical="center"/>
    </xf>
    <xf numFmtId="170" fontId="10" fillId="0" borderId="0" xfId="7" applyNumberFormat="1" applyFont="1" applyFill="1">
      <alignment vertical="center"/>
    </xf>
    <xf numFmtId="0" fontId="0" fillId="16" borderId="2" xfId="26" applyFont="1" applyFill="1">
      <alignment horizontal="center" vertical="center"/>
    </xf>
    <xf numFmtId="0" fontId="33" fillId="16" borderId="2" xfId="26" applyFont="1" applyFill="1">
      <alignment horizontal="center" vertical="center"/>
    </xf>
    <xf numFmtId="0" fontId="10" fillId="0" borderId="0" xfId="7" applyFont="1" applyFill="1">
      <alignment vertical="center"/>
    </xf>
    <xf numFmtId="0" fontId="41" fillId="12" borderId="0" xfId="4" applyFont="1" applyFill="1" applyProtection="1">
      <alignment vertical="center"/>
      <protection locked="0"/>
    </xf>
    <xf numFmtId="170" fontId="29" fillId="16" borderId="39" xfId="12" applyNumberFormat="1" applyFont="1" applyFill="1" applyProtection="1">
      <alignment vertical="center"/>
      <protection locked="0"/>
    </xf>
    <xf numFmtId="170" fontId="29" fillId="2" borderId="66" xfId="12" applyNumberFormat="1" applyFont="1" applyFill="1" applyBorder="1">
      <alignment vertical="center"/>
      <protection locked="0"/>
    </xf>
    <xf numFmtId="170" fontId="29" fillId="2" borderId="67" xfId="12" applyNumberFormat="1" applyFont="1" applyFill="1" applyBorder="1">
      <alignment vertical="center"/>
      <protection locked="0"/>
    </xf>
    <xf numFmtId="0" fontId="38" fillId="12" borderId="0" xfId="6" applyFont="1" applyFill="1">
      <alignment vertical="center"/>
    </xf>
    <xf numFmtId="170" fontId="0" fillId="12" borderId="9" xfId="19" applyNumberFormat="1" applyFont="1" applyFill="1" applyBorder="1">
      <alignment vertical="center"/>
    </xf>
    <xf numFmtId="0" fontId="24" fillId="12" borderId="10" xfId="6" applyFont="1" applyFill="1" applyBorder="1" applyAlignment="1">
      <alignment horizontal="center" vertical="center"/>
    </xf>
    <xf numFmtId="170" fontId="0" fillId="12" borderId="83" xfId="19" applyNumberFormat="1" applyFont="1" applyFill="1" applyBorder="1">
      <alignment vertical="center"/>
    </xf>
    <xf numFmtId="170" fontId="33" fillId="2" borderId="65" xfId="12" applyNumberFormat="1" applyFont="1" applyFill="1" applyBorder="1">
      <alignment vertical="center"/>
      <protection locked="0"/>
    </xf>
    <xf numFmtId="170" fontId="29" fillId="17" borderId="56" xfId="12" applyNumberFormat="1" applyFont="1" applyFill="1" applyBorder="1">
      <alignment vertical="center"/>
      <protection locked="0"/>
    </xf>
    <xf numFmtId="170" fontId="29" fillId="17" borderId="39" xfId="12" applyNumberFormat="1" applyFont="1" applyFill="1" applyBorder="1">
      <alignment vertical="center"/>
      <protection locked="0"/>
    </xf>
    <xf numFmtId="170" fontId="29" fillId="17" borderId="54" xfId="12" applyNumberFormat="1" applyFont="1" applyFill="1" applyBorder="1">
      <alignment vertical="center"/>
      <protection locked="0"/>
    </xf>
    <xf numFmtId="170" fontId="29" fillId="17" borderId="59" xfId="12" applyNumberFormat="1" applyFont="1" applyFill="1" applyBorder="1">
      <alignment vertical="center"/>
      <protection locked="0"/>
    </xf>
    <xf numFmtId="170" fontId="0" fillId="5" borderId="0" xfId="19" applyNumberFormat="1" applyFont="1" applyFill="1" applyAlignment="1">
      <alignment horizontal="right" vertical="center"/>
    </xf>
    <xf numFmtId="170" fontId="0" fillId="16" borderId="0" xfId="19" applyNumberFormat="1" applyFont="1" applyFill="1" applyAlignment="1">
      <alignment horizontal="right" vertical="center"/>
    </xf>
    <xf numFmtId="166" fontId="33" fillId="5" borderId="0" xfId="19" applyFont="1" applyFill="1">
      <alignment vertical="center"/>
    </xf>
    <xf numFmtId="166" fontId="33" fillId="16" borderId="0" xfId="19" applyFont="1" applyFill="1">
      <alignment vertical="center"/>
    </xf>
    <xf numFmtId="170" fontId="0" fillId="5" borderId="0" xfId="19" applyNumberFormat="1" applyFont="1" applyFill="1" applyAlignment="1">
      <alignment horizontal="center" vertical="center"/>
    </xf>
    <xf numFmtId="170" fontId="0" fillId="16" borderId="0" xfId="19" applyNumberFormat="1" applyFont="1" applyFill="1" applyAlignment="1">
      <alignment horizontal="center" vertical="center"/>
    </xf>
    <xf numFmtId="0" fontId="37" fillId="5" borderId="0" xfId="7" applyFont="1" applyFill="1">
      <alignment vertical="center"/>
    </xf>
    <xf numFmtId="0" fontId="37" fillId="16" borderId="0" xfId="7" applyFont="1" applyFill="1">
      <alignment vertical="center"/>
    </xf>
    <xf numFmtId="0" fontId="10" fillId="0" borderId="0" xfId="7" applyFont="1" applyFill="1">
      <alignment vertical="center"/>
    </xf>
    <xf numFmtId="0" fontId="31" fillId="12" borderId="0" xfId="5" applyFont="1" applyFill="1">
      <alignment vertical="center"/>
    </xf>
    <xf numFmtId="0" fontId="10" fillId="12" borderId="0" xfId="7" applyFont="1" applyFill="1">
      <alignment vertical="center"/>
    </xf>
    <xf numFmtId="166" fontId="0" fillId="12" borderId="0" xfId="19" applyFont="1" applyFill="1">
      <alignment vertical="center"/>
    </xf>
    <xf numFmtId="0" fontId="5" fillId="0" borderId="0" xfId="7" applyFont="1" applyFill="1">
      <alignment vertical="center"/>
    </xf>
    <xf numFmtId="0" fontId="35" fillId="0" borderId="0" xfId="6" applyFont="1" applyFill="1">
      <alignment vertical="center"/>
    </xf>
    <xf numFmtId="0" fontId="37" fillId="0" borderId="0" xfId="7" applyFont="1" applyFill="1">
      <alignment vertical="center"/>
    </xf>
    <xf numFmtId="0" fontId="36" fillId="0" borderId="0" xfId="6" applyFont="1" applyFill="1">
      <alignment vertical="center"/>
    </xf>
    <xf numFmtId="0" fontId="10" fillId="0" borderId="0" xfId="7" applyFont="1" applyFill="1">
      <alignment vertical="center"/>
    </xf>
    <xf numFmtId="0" fontId="10" fillId="0" borderId="0" xfId="7" applyFont="1">
      <alignment vertical="center"/>
    </xf>
    <xf numFmtId="0" fontId="31" fillId="12" borderId="0" xfId="5" applyFont="1" applyFill="1">
      <alignment vertical="center"/>
    </xf>
    <xf numFmtId="0" fontId="10" fillId="12" borderId="0" xfId="7" applyFont="1" applyFill="1" applyAlignment="1">
      <alignment horizontal="center" vertical="center"/>
    </xf>
    <xf numFmtId="0" fontId="35" fillId="12" borderId="0" xfId="6" applyFont="1" applyFill="1">
      <alignment vertical="center"/>
    </xf>
    <xf numFmtId="0" fontId="10" fillId="12" borderId="0" xfId="7" applyFont="1" applyFill="1">
      <alignment vertical="center"/>
    </xf>
    <xf numFmtId="166" fontId="0" fillId="12" borderId="0" xfId="19" applyFont="1" applyFill="1">
      <alignment vertical="center"/>
    </xf>
    <xf numFmtId="0" fontId="8" fillId="0" borderId="0" xfId="28" quotePrefix="1" applyFill="1" applyAlignment="1">
      <alignment horizontal="left" vertical="center"/>
    </xf>
    <xf numFmtId="166" fontId="29" fillId="2" borderId="39" xfId="12" applyFont="1">
      <alignment vertical="center"/>
      <protection locked="0"/>
    </xf>
    <xf numFmtId="166" fontId="0" fillId="0" borderId="75" xfId="19" applyFont="1" applyFill="1" applyBorder="1">
      <alignment vertical="center"/>
    </xf>
    <xf numFmtId="170" fontId="29" fillId="2" borderId="39" xfId="12" applyNumberFormat="1" applyFont="1" applyFill="1" applyAlignment="1">
      <alignment vertical="center" wrapText="1"/>
      <protection locked="0"/>
    </xf>
    <xf numFmtId="170" fontId="29" fillId="2" borderId="50" xfId="12" applyNumberFormat="1" applyFont="1" applyFill="1" applyBorder="1" applyAlignment="1">
      <alignment vertical="center" wrapText="1"/>
      <protection locked="0"/>
    </xf>
    <xf numFmtId="0" fontId="0" fillId="0" borderId="0" xfId="0" applyAlignment="1"/>
    <xf numFmtId="170" fontId="26" fillId="0" borderId="19" xfId="0" applyNumberFormat="1" applyFont="1" applyBorder="1" applyAlignment="1">
      <alignment horizontal="right"/>
    </xf>
    <xf numFmtId="0" fontId="26" fillId="0" borderId="20" xfId="0" applyFont="1" applyFill="1" applyBorder="1" applyAlignment="1">
      <alignment horizontal="left" wrapText="1"/>
    </xf>
    <xf numFmtId="0" fontId="26" fillId="0" borderId="29" xfId="0" applyFont="1" applyFill="1" applyBorder="1" applyAlignment="1">
      <alignment horizontal="left" wrapText="1"/>
    </xf>
    <xf numFmtId="0" fontId="26" fillId="0" borderId="19" xfId="0" applyFont="1" applyFill="1" applyBorder="1" applyAlignment="1">
      <alignment horizontal="left" wrapText="1"/>
    </xf>
    <xf numFmtId="0" fontId="5" fillId="0" borderId="29" xfId="7" applyFont="1" applyFill="1" applyBorder="1" applyAlignment="1">
      <alignment horizontal="left" wrapText="1"/>
    </xf>
    <xf numFmtId="179" fontId="26" fillId="0" borderId="27" xfId="64" applyNumberFormat="1" applyFont="1" applyBorder="1" applyAlignment="1">
      <alignment horizontal="right"/>
    </xf>
    <xf numFmtId="170" fontId="26" fillId="0" borderId="73" xfId="19" applyNumberFormat="1" applyFont="1" applyFill="1" applyBorder="1">
      <alignment vertical="center"/>
    </xf>
    <xf numFmtId="0" fontId="35" fillId="16" borderId="0" xfId="6" applyFont="1" applyFill="1" applyAlignment="1">
      <alignment horizontal="left" vertical="center"/>
    </xf>
    <xf numFmtId="0" fontId="0" fillId="16" borderId="0" xfId="0" applyFill="1">
      <alignment vertical="center"/>
    </xf>
    <xf numFmtId="0" fontId="10" fillId="16" borderId="0" xfId="7" applyFont="1" applyFill="1" applyAlignment="1">
      <alignment horizontal="left" vertical="center"/>
    </xf>
    <xf numFmtId="0" fontId="5" fillId="0" borderId="19" xfId="7" applyFont="1" applyFill="1" applyBorder="1" applyAlignment="1">
      <alignment horizontal="left"/>
    </xf>
    <xf numFmtId="0" fontId="63" fillId="0" borderId="0" xfId="9" applyFont="1" applyFill="1" applyBorder="1">
      <alignment vertical="center"/>
      <protection locked="0"/>
    </xf>
    <xf numFmtId="0" fontId="26" fillId="0" borderId="0" xfId="23" applyFont="1" applyFill="1" applyBorder="1" applyAlignment="1">
      <alignment horizontal="right" vertical="center"/>
    </xf>
    <xf numFmtId="170" fontId="26" fillId="0" borderId="75" xfId="19" applyNumberFormat="1" applyFont="1" applyFill="1" applyBorder="1">
      <alignment vertical="center"/>
    </xf>
    <xf numFmtId="0" fontId="41" fillId="5" borderId="0" xfId="4" applyFont="1" applyFill="1" applyProtection="1">
      <alignment vertical="center"/>
      <protection locked="0"/>
    </xf>
    <xf numFmtId="0" fontId="36" fillId="0" borderId="0" xfId="6" applyFont="1" applyFill="1" applyAlignment="1">
      <alignment horizontal="center" vertical="center" wrapText="1"/>
    </xf>
    <xf numFmtId="0" fontId="9" fillId="0" borderId="0" xfId="27">
      <alignment vertical="center"/>
    </xf>
    <xf numFmtId="0" fontId="24" fillId="0" borderId="0" xfId="6" applyFont="1" applyFill="1">
      <alignment vertical="center"/>
    </xf>
    <xf numFmtId="0" fontId="35" fillId="0" borderId="0" xfId="6" applyFont="1" applyFill="1">
      <alignment vertical="center"/>
    </xf>
    <xf numFmtId="0" fontId="37" fillId="0" borderId="0" xfId="7" applyFont="1" applyFill="1">
      <alignment vertical="center"/>
    </xf>
    <xf numFmtId="0" fontId="5" fillId="0" borderId="0" xfId="7" applyFont="1" applyFill="1">
      <alignment vertical="center"/>
    </xf>
    <xf numFmtId="0" fontId="36" fillId="0" borderId="0" xfId="6" applyFont="1" applyFill="1">
      <alignment vertical="center"/>
    </xf>
    <xf numFmtId="0" fontId="10" fillId="0" borderId="0" xfId="7" applyFont="1" applyFill="1">
      <alignment vertical="center"/>
    </xf>
    <xf numFmtId="0" fontId="10" fillId="12" borderId="0" xfId="7" applyFont="1" applyFill="1">
      <alignment vertical="center"/>
    </xf>
    <xf numFmtId="0" fontId="30" fillId="12" borderId="0" xfId="16" applyFont="1" applyFill="1">
      <alignment horizontal="center" vertical="center"/>
      <protection locked="0"/>
    </xf>
    <xf numFmtId="0" fontId="10" fillId="0" borderId="0" xfId="7" applyFont="1" applyFill="1">
      <alignment vertical="center"/>
    </xf>
    <xf numFmtId="166" fontId="34" fillId="0" borderId="0" xfId="19" applyFont="1" applyFill="1" applyAlignment="1">
      <alignment horizontal="center" vertical="center"/>
    </xf>
    <xf numFmtId="0" fontId="35" fillId="0" borderId="0" xfId="6" applyFont="1" applyFill="1">
      <alignment vertical="center"/>
    </xf>
    <xf numFmtId="0" fontId="37" fillId="0" borderId="0" xfId="7" applyFont="1" applyFill="1">
      <alignment vertical="center"/>
    </xf>
    <xf numFmtId="0" fontId="5" fillId="0" borderId="0" xfId="7" applyFont="1" applyFill="1">
      <alignment vertical="center"/>
    </xf>
    <xf numFmtId="0" fontId="24" fillId="0" borderId="0" xfId="6" applyFont="1" applyFill="1">
      <alignment vertical="center"/>
    </xf>
    <xf numFmtId="0" fontId="36" fillId="0" borderId="0" xfId="6" applyFont="1" applyFill="1">
      <alignment vertical="center"/>
    </xf>
    <xf numFmtId="0" fontId="10" fillId="0" borderId="0" xfId="7" applyFont="1" applyFill="1">
      <alignment vertical="center"/>
    </xf>
    <xf numFmtId="0" fontId="9" fillId="0" borderId="0" xfId="27">
      <alignment vertical="center"/>
    </xf>
    <xf numFmtId="0" fontId="9" fillId="0" borderId="0" xfId="27" quotePrefix="1">
      <alignment vertical="center"/>
    </xf>
    <xf numFmtId="0" fontId="24" fillId="0" borderId="0" xfId="6" applyFont="1" applyFill="1">
      <alignment vertical="center"/>
    </xf>
    <xf numFmtId="0" fontId="10" fillId="0" borderId="0" xfId="7" applyFont="1">
      <alignment vertical="center"/>
    </xf>
    <xf numFmtId="0" fontId="41" fillId="0" borderId="0" xfId="4" applyFont="1" applyFill="1">
      <alignment vertical="center"/>
    </xf>
    <xf numFmtId="166" fontId="33" fillId="0" borderId="0" xfId="19" applyFont="1" applyFill="1" applyAlignment="1">
      <alignment horizontal="center" vertical="center"/>
    </xf>
    <xf numFmtId="0" fontId="24" fillId="0" borderId="75" xfId="6" applyFont="1" applyFill="1" applyBorder="1">
      <alignment vertical="center"/>
    </xf>
    <xf numFmtId="0" fontId="41" fillId="0" borderId="0" xfId="4" applyFont="1">
      <alignment vertical="center"/>
    </xf>
    <xf numFmtId="0" fontId="9" fillId="0" borderId="0" xfId="27">
      <alignment vertical="center"/>
    </xf>
    <xf numFmtId="0" fontId="9" fillId="0" borderId="0" xfId="27" quotePrefix="1">
      <alignment vertical="center"/>
    </xf>
    <xf numFmtId="0" fontId="8" fillId="0" borderId="0" xfId="29" applyAlignment="1">
      <alignment horizontal="left" vertical="center"/>
    </xf>
    <xf numFmtId="0" fontId="8" fillId="0" borderId="0" xfId="29" applyAlignment="1">
      <alignment horizontal="right" vertical="center"/>
    </xf>
    <xf numFmtId="0" fontId="8" fillId="0" borderId="0" xfId="29" applyAlignment="1">
      <alignment horizontal="center" vertical="center"/>
    </xf>
    <xf numFmtId="0" fontId="9" fillId="0" borderId="0" xfId="27" applyFill="1">
      <alignment vertical="center"/>
    </xf>
    <xf numFmtId="0" fontId="35" fillId="0" borderId="0" xfId="6" applyFont="1" applyFill="1">
      <alignment vertical="center"/>
    </xf>
    <xf numFmtId="0" fontId="37" fillId="0" borderId="0" xfId="7" applyFont="1" applyFill="1">
      <alignment vertical="center"/>
    </xf>
    <xf numFmtId="0" fontId="5" fillId="0" borderId="0" xfId="7" applyFont="1" applyFill="1">
      <alignment vertical="center"/>
    </xf>
    <xf numFmtId="0" fontId="29" fillId="2" borderId="39" xfId="9" applyFont="1" applyFill="1">
      <alignment vertical="center"/>
      <protection locked="0"/>
    </xf>
    <xf numFmtId="0" fontId="9" fillId="12" borderId="0" xfId="27" applyFill="1">
      <alignment vertical="center"/>
    </xf>
    <xf numFmtId="0" fontId="29" fillId="16" borderId="39" xfId="9" applyFont="1" applyFill="1">
      <alignment vertical="center"/>
      <protection locked="0"/>
    </xf>
    <xf numFmtId="0" fontId="31" fillId="12" borderId="0" xfId="5" applyFont="1" applyFill="1">
      <alignment vertical="center"/>
    </xf>
    <xf numFmtId="170" fontId="0" fillId="12" borderId="0" xfId="19" applyNumberFormat="1" applyFont="1" applyFill="1" applyAlignment="1">
      <alignment horizontal="center" vertical="center"/>
    </xf>
    <xf numFmtId="0" fontId="10" fillId="12" borderId="0" xfId="7" applyFont="1" applyFill="1" applyAlignment="1">
      <alignment horizontal="center" vertical="center"/>
    </xf>
    <xf numFmtId="0" fontId="35" fillId="12" borderId="0" xfId="6" applyFont="1" applyFill="1">
      <alignment vertical="center"/>
    </xf>
    <xf numFmtId="0" fontId="5" fillId="12" borderId="0" xfId="7" applyFont="1" applyFill="1">
      <alignment vertical="center"/>
    </xf>
    <xf numFmtId="0" fontId="24" fillId="12" borderId="0" xfId="6" applyFont="1" applyFill="1">
      <alignment vertical="center"/>
    </xf>
    <xf numFmtId="0" fontId="29" fillId="17" borderId="39" xfId="9" applyFont="1" applyFill="1">
      <alignment vertical="center"/>
      <protection locked="0"/>
    </xf>
    <xf numFmtId="0" fontId="10" fillId="12" borderId="0" xfId="7" applyFont="1" applyFill="1">
      <alignment vertical="center"/>
    </xf>
    <xf numFmtId="166" fontId="0" fillId="12" borderId="0" xfId="19" applyFont="1" applyFill="1">
      <alignment vertical="center"/>
    </xf>
    <xf numFmtId="0" fontId="35" fillId="12" borderId="12" xfId="6" applyFont="1" applyFill="1" applyBorder="1" applyAlignment="1">
      <alignment horizontal="center" vertical="center" wrapText="1"/>
    </xf>
    <xf numFmtId="166" fontId="0" fillId="12" borderId="0" xfId="19" applyNumberFormat="1" applyFont="1" applyFill="1">
      <alignment vertical="center"/>
    </xf>
    <xf numFmtId="0" fontId="35" fillId="12" borderId="10" xfId="6" applyFont="1" applyFill="1" applyBorder="1" applyAlignment="1">
      <alignment horizontal="center" vertical="center" wrapText="1"/>
    </xf>
    <xf numFmtId="0" fontId="10" fillId="12" borderId="0" xfId="7" applyFont="1" applyFill="1" applyAlignment="1">
      <alignment horizontal="center" vertical="center" wrapText="1"/>
    </xf>
    <xf numFmtId="0" fontId="30" fillId="12" borderId="0" xfId="16" applyFont="1" applyFill="1">
      <alignment horizontal="center" vertical="center"/>
      <protection locked="0"/>
    </xf>
    <xf numFmtId="0" fontId="37" fillId="12" borderId="0" xfId="7" applyFont="1" applyFill="1">
      <alignment vertical="center"/>
    </xf>
    <xf numFmtId="0" fontId="36" fillId="0" borderId="0" xfId="6" applyFont="1" applyFill="1">
      <alignment vertical="center"/>
    </xf>
    <xf numFmtId="0" fontId="10" fillId="0" borderId="0" xfId="7" applyFont="1" applyFill="1">
      <alignment vertical="center"/>
    </xf>
    <xf numFmtId="0" fontId="35" fillId="0" borderId="0" xfId="6" applyFont="1" applyFill="1" applyAlignment="1">
      <alignment vertical="center" wrapText="1"/>
    </xf>
    <xf numFmtId="0" fontId="10" fillId="0" borderId="0" xfId="7" applyFont="1" applyFill="1" applyAlignment="1">
      <alignment horizontal="center" vertical="center"/>
    </xf>
    <xf numFmtId="0" fontId="0" fillId="18" borderId="0" xfId="0" applyFill="1">
      <alignment vertical="center"/>
    </xf>
    <xf numFmtId="0" fontId="17" fillId="21" borderId="0" xfId="5" applyFont="1" applyFill="1">
      <alignment vertical="center"/>
    </xf>
    <xf numFmtId="0" fontId="37" fillId="19" borderId="0" xfId="7" applyFont="1" applyFill="1">
      <alignment vertical="center"/>
    </xf>
    <xf numFmtId="0" fontId="37" fillId="21" borderId="0" xfId="7" applyFont="1" applyFill="1">
      <alignment vertical="center"/>
    </xf>
    <xf numFmtId="0" fontId="17" fillId="19" borderId="0" xfId="5" applyFont="1" applyFill="1">
      <alignment vertical="center"/>
    </xf>
    <xf numFmtId="0" fontId="5" fillId="19" borderId="0" xfId="7" applyFont="1" applyFill="1">
      <alignment vertical="center"/>
    </xf>
    <xf numFmtId="0" fontId="5" fillId="21" borderId="0" xfId="7" applyFont="1" applyFill="1">
      <alignment vertical="center"/>
    </xf>
    <xf numFmtId="0" fontId="11" fillId="19" borderId="0" xfId="4" applyFont="1" applyFill="1" applyProtection="1">
      <alignment vertical="center"/>
      <protection locked="0"/>
    </xf>
    <xf numFmtId="170" fontId="0" fillId="20" borderId="0" xfId="19" applyNumberFormat="1" applyFont="1" applyFill="1">
      <alignment vertical="center"/>
    </xf>
    <xf numFmtId="170" fontId="0" fillId="22" borderId="0" xfId="19" applyNumberFormat="1" applyFont="1" applyFill="1">
      <alignment vertical="center"/>
    </xf>
    <xf numFmtId="0" fontId="10" fillId="22" borderId="0" xfId="7" applyFont="1" applyFill="1">
      <alignment vertical="center"/>
    </xf>
    <xf numFmtId="170" fontId="26" fillId="20" borderId="6" xfId="19" applyNumberFormat="1" applyFont="1" applyFill="1" applyBorder="1">
      <alignment vertical="center"/>
    </xf>
    <xf numFmtId="170" fontId="26" fillId="22" borderId="6" xfId="19" applyNumberFormat="1" applyFont="1" applyFill="1" applyBorder="1">
      <alignment vertical="center"/>
    </xf>
    <xf numFmtId="0" fontId="10" fillId="20" borderId="0" xfId="7" applyFont="1" applyFill="1">
      <alignment vertical="center"/>
    </xf>
    <xf numFmtId="170" fontId="26" fillId="21" borderId="14" xfId="19" applyNumberFormat="1" applyFont="1" applyFill="1" applyBorder="1">
      <alignment vertical="center"/>
    </xf>
    <xf numFmtId="170" fontId="26" fillId="19" borderId="14" xfId="19" applyNumberFormat="1" applyFont="1" applyFill="1" applyBorder="1">
      <alignment vertical="center"/>
    </xf>
    <xf numFmtId="0" fontId="0" fillId="0" borderId="0" xfId="0" applyFill="1">
      <alignment vertical="center"/>
    </xf>
    <xf numFmtId="0" fontId="70" fillId="3" borderId="2" xfId="59" applyFont="1" applyBorder="1" applyAlignment="1">
      <alignment horizontal="center" vertical="center"/>
    </xf>
    <xf numFmtId="0" fontId="21" fillId="0" borderId="0" xfId="56">
      <alignment vertical="center"/>
    </xf>
    <xf numFmtId="0" fontId="9" fillId="0" borderId="0" xfId="27">
      <alignment vertical="center"/>
    </xf>
    <xf numFmtId="0" fontId="9" fillId="0" borderId="0" xfId="27" applyAlignment="1">
      <alignment vertical="center" wrapText="1"/>
    </xf>
    <xf numFmtId="0" fontId="32" fillId="0" borderId="20" xfId="0" applyFont="1" applyBorder="1" applyAlignment="1">
      <alignment horizontal="center" vertical="center"/>
    </xf>
    <xf numFmtId="0" fontId="32" fillId="0" borderId="21" xfId="0" applyFont="1" applyBorder="1" applyAlignment="1">
      <alignment horizontal="center" vertical="center"/>
    </xf>
    <xf numFmtId="0" fontId="28" fillId="0" borderId="0" xfId="32" quotePrefix="1" applyAlignment="1">
      <alignment horizontal="right" vertical="center"/>
    </xf>
    <xf numFmtId="0" fontId="28" fillId="0" borderId="0" xfId="32">
      <alignment vertical="center"/>
    </xf>
    <xf numFmtId="0" fontId="28" fillId="0" borderId="0" xfId="33">
      <alignment vertical="center"/>
    </xf>
    <xf numFmtId="171" fontId="9" fillId="0" borderId="0" xfId="30" applyNumberFormat="1" applyAlignment="1">
      <alignment horizontal="right" vertical="center"/>
    </xf>
    <xf numFmtId="0" fontId="9" fillId="0" borderId="0" xfId="30">
      <alignment vertical="center"/>
    </xf>
    <xf numFmtId="0" fontId="9" fillId="0" borderId="0" xfId="27" quotePrefix="1">
      <alignment vertical="center"/>
    </xf>
    <xf numFmtId="0" fontId="27" fillId="0" borderId="0" xfId="31" applyAlignment="1">
      <alignment horizontal="right" vertical="center"/>
    </xf>
    <xf numFmtId="0" fontId="27" fillId="0" borderId="0" xfId="31">
      <alignment vertical="center"/>
    </xf>
    <xf numFmtId="0" fontId="35" fillId="16" borderId="0" xfId="6" applyFont="1" applyFill="1">
      <alignment vertical="center"/>
    </xf>
    <xf numFmtId="0" fontId="5" fillId="0" borderId="0" xfId="7" applyFont="1" applyFill="1">
      <alignment vertical="center"/>
    </xf>
    <xf numFmtId="0" fontId="9" fillId="0" borderId="0" xfId="27" applyFill="1">
      <alignment vertical="center"/>
    </xf>
    <xf numFmtId="0" fontId="35" fillId="0" borderId="0" xfId="6" applyFont="1" applyFill="1">
      <alignment vertical="center"/>
    </xf>
    <xf numFmtId="0" fontId="37" fillId="0" borderId="0" xfId="7" applyFont="1" applyFill="1">
      <alignment vertical="center"/>
    </xf>
    <xf numFmtId="0" fontId="5" fillId="0" borderId="0" xfId="7" applyFont="1" applyFill="1" applyBorder="1">
      <alignment vertical="center"/>
    </xf>
    <xf numFmtId="0" fontId="0" fillId="0" borderId="0" xfId="0" applyFill="1">
      <alignment vertical="center"/>
    </xf>
    <xf numFmtId="0" fontId="29" fillId="2" borderId="39" xfId="9" applyFont="1" applyFill="1">
      <alignment vertical="center"/>
      <protection locked="0"/>
    </xf>
    <xf numFmtId="0" fontId="9" fillId="12" borderId="0" xfId="27" applyFill="1">
      <alignment vertical="center"/>
    </xf>
    <xf numFmtId="0" fontId="29" fillId="16" borderId="39" xfId="9" applyFont="1" applyFill="1">
      <alignment vertical="center"/>
      <protection locked="0"/>
    </xf>
    <xf numFmtId="0" fontId="68" fillId="2" borderId="39" xfId="57" quotePrefix="1" applyFont="1" applyFill="1" applyBorder="1" applyProtection="1">
      <alignment vertical="center"/>
      <protection locked="0"/>
    </xf>
    <xf numFmtId="0" fontId="35" fillId="12" borderId="43" xfId="6" applyFont="1" applyFill="1" applyBorder="1">
      <alignment vertical="center"/>
    </xf>
    <xf numFmtId="0" fontId="35" fillId="14" borderId="43" xfId="6" applyFont="1" applyFill="1" applyBorder="1">
      <alignment vertical="center"/>
    </xf>
    <xf numFmtId="0" fontId="68" fillId="2" borderId="39" xfId="57" applyFont="1" applyFill="1" applyBorder="1" applyProtection="1">
      <alignment vertical="center"/>
      <protection locked="0"/>
    </xf>
    <xf numFmtId="0" fontId="29" fillId="2" borderId="12" xfId="9" applyFont="1" applyFill="1" applyBorder="1">
      <alignment vertical="center"/>
      <protection locked="0"/>
    </xf>
    <xf numFmtId="0" fontId="29" fillId="2" borderId="6" xfId="9" applyFont="1" applyFill="1" applyBorder="1">
      <alignment vertical="center"/>
      <protection locked="0"/>
    </xf>
    <xf numFmtId="0" fontId="29" fillId="2" borderId="13" xfId="9" applyFont="1" applyFill="1" applyBorder="1">
      <alignment vertical="center"/>
      <protection locked="0"/>
    </xf>
    <xf numFmtId="0" fontId="29" fillId="2" borderId="57" xfId="9" applyFont="1" applyFill="1" applyBorder="1">
      <alignment vertical="center"/>
      <protection locked="0"/>
    </xf>
    <xf numFmtId="0" fontId="29" fillId="2" borderId="52" xfId="9" applyFont="1" applyFill="1" applyBorder="1">
      <alignment vertical="center"/>
      <protection locked="0"/>
    </xf>
    <xf numFmtId="0" fontId="29" fillId="2" borderId="80" xfId="9" applyFont="1" applyFill="1" applyBorder="1">
      <alignment vertical="center"/>
      <protection locked="0"/>
    </xf>
    <xf numFmtId="0" fontId="29" fillId="2" borderId="40" xfId="9" applyFont="1" applyFill="1" applyBorder="1" applyAlignment="1">
      <alignment horizontal="left" vertical="top" wrapText="1"/>
      <protection locked="0"/>
    </xf>
    <xf numFmtId="0" fontId="29" fillId="2" borderId="59" xfId="9" applyFont="1" applyFill="1" applyBorder="1" applyAlignment="1">
      <alignment horizontal="left" vertical="top" wrapText="1"/>
      <protection locked="0"/>
    </xf>
    <xf numFmtId="0" fontId="29" fillId="2" borderId="41" xfId="9" applyFont="1" applyFill="1" applyBorder="1" applyAlignment="1">
      <alignment horizontal="left" vertical="top" wrapText="1"/>
      <protection locked="0"/>
    </xf>
    <xf numFmtId="0" fontId="29" fillId="2" borderId="40" xfId="9" applyFont="1" applyFill="1" applyBorder="1" applyAlignment="1">
      <alignment vertical="center" wrapText="1"/>
      <protection locked="0"/>
    </xf>
    <xf numFmtId="0" fontId="29" fillId="2" borderId="59" xfId="9" applyFont="1" applyFill="1" applyBorder="1" applyAlignment="1">
      <alignment vertical="center" wrapText="1"/>
      <protection locked="0"/>
    </xf>
    <xf numFmtId="0" fontId="29" fillId="2" borderId="41" xfId="9" applyFont="1" applyFill="1" applyBorder="1" applyAlignment="1">
      <alignment vertical="center" wrapText="1"/>
      <protection locked="0"/>
    </xf>
    <xf numFmtId="0" fontId="31" fillId="12" borderId="0" xfId="5" applyFont="1" applyFill="1" applyAlignment="1">
      <alignment vertical="center" wrapText="1"/>
    </xf>
    <xf numFmtId="0" fontId="31" fillId="14" borderId="0" xfId="5" applyFont="1" applyFill="1" applyAlignment="1">
      <alignment vertical="center" wrapText="1"/>
    </xf>
    <xf numFmtId="0" fontId="35" fillId="12" borderId="10" xfId="6" applyFont="1" applyFill="1" applyBorder="1" applyAlignment="1">
      <alignment horizontal="center" vertical="center"/>
    </xf>
    <xf numFmtId="0" fontId="35" fillId="14" borderId="5" xfId="6" applyFont="1" applyFill="1" applyBorder="1" applyAlignment="1">
      <alignment horizontal="center" vertical="center"/>
    </xf>
    <xf numFmtId="0" fontId="29" fillId="2" borderId="39" xfId="9" quotePrefix="1" applyFont="1" applyFill="1">
      <alignment vertical="center"/>
      <protection locked="0"/>
    </xf>
    <xf numFmtId="0" fontId="29" fillId="2" borderId="50" xfId="9" applyFont="1" applyFill="1" applyBorder="1">
      <alignment vertical="center"/>
      <protection locked="0"/>
    </xf>
    <xf numFmtId="0" fontId="31" fillId="12" borderId="0" xfId="5" applyFont="1" applyFill="1">
      <alignment vertical="center"/>
    </xf>
    <xf numFmtId="0" fontId="31" fillId="14" borderId="0" xfId="5" applyFont="1" applyFill="1">
      <alignment vertical="center"/>
    </xf>
    <xf numFmtId="170" fontId="29" fillId="2" borderId="40" xfId="12" applyNumberFormat="1" applyFont="1" applyFill="1" applyBorder="1" applyAlignment="1">
      <alignment horizontal="center" vertical="center"/>
      <protection locked="0"/>
    </xf>
    <xf numFmtId="170" fontId="29" fillId="2" borderId="41" xfId="12" applyNumberFormat="1" applyFont="1" applyFill="1" applyBorder="1" applyAlignment="1">
      <alignment horizontal="center" vertical="center"/>
      <protection locked="0"/>
    </xf>
    <xf numFmtId="165" fontId="0" fillId="12" borderId="42" xfId="18" applyFont="1" applyFill="1" applyBorder="1" applyAlignment="1">
      <alignment horizontal="center" vertical="center"/>
    </xf>
    <xf numFmtId="165" fontId="0" fillId="14" borderId="42" xfId="18" applyFont="1" applyFill="1" applyBorder="1" applyAlignment="1">
      <alignment horizontal="center" vertical="center"/>
    </xf>
    <xf numFmtId="165" fontId="0" fillId="12" borderId="0" xfId="18" applyFont="1" applyFill="1" applyAlignment="1">
      <alignment horizontal="center" vertical="center"/>
    </xf>
    <xf numFmtId="165" fontId="0" fillId="14" borderId="0" xfId="18" applyFont="1" applyFill="1" applyAlignment="1">
      <alignment horizontal="center" vertical="center"/>
    </xf>
    <xf numFmtId="170" fontId="0" fillId="12" borderId="0" xfId="19" applyNumberFormat="1" applyFont="1" applyFill="1" applyAlignment="1">
      <alignment horizontal="center" vertical="center"/>
    </xf>
    <xf numFmtId="170" fontId="0" fillId="14" borderId="0" xfId="19" applyNumberFormat="1" applyFont="1" applyFill="1" applyAlignment="1">
      <alignment horizontal="center" vertical="center"/>
    </xf>
    <xf numFmtId="0" fontId="10" fillId="12" borderId="0" xfId="7" applyFont="1" applyFill="1" applyAlignment="1">
      <alignment horizontal="center" vertical="center"/>
    </xf>
    <xf numFmtId="0" fontId="10" fillId="14" borderId="0" xfId="7" applyFont="1" applyFill="1" applyAlignment="1">
      <alignment horizontal="center" vertical="center"/>
    </xf>
    <xf numFmtId="164" fontId="29" fillId="2" borderId="40" xfId="10" applyFont="1" applyFill="1" applyBorder="1" applyAlignment="1">
      <alignment horizontal="center" vertical="center"/>
      <protection locked="0"/>
    </xf>
    <xf numFmtId="164" fontId="29" fillId="2" borderId="41" xfId="10" applyFont="1" applyFill="1" applyBorder="1" applyAlignment="1">
      <alignment horizontal="center" vertical="center"/>
      <protection locked="0"/>
    </xf>
    <xf numFmtId="0" fontId="29" fillId="17" borderId="40" xfId="9" applyFont="1" applyFill="1" applyBorder="1" applyAlignment="1">
      <alignment vertical="center" wrapText="1"/>
      <protection locked="0"/>
    </xf>
    <xf numFmtId="0" fontId="0" fillId="17" borderId="59" xfId="0" applyFill="1" applyBorder="1" applyAlignment="1">
      <alignment vertical="center" wrapText="1"/>
    </xf>
    <xf numFmtId="0" fontId="0" fillId="17" borderId="41" xfId="0" applyFill="1" applyBorder="1" applyAlignment="1">
      <alignment vertical="center" wrapText="1"/>
    </xf>
    <xf numFmtId="0" fontId="29" fillId="17" borderId="59" xfId="0" applyFont="1" applyFill="1" applyBorder="1" applyAlignment="1">
      <alignment vertical="center" wrapText="1"/>
    </xf>
    <xf numFmtId="0" fontId="29" fillId="17" borderId="41" xfId="0" applyFont="1" applyFill="1" applyBorder="1" applyAlignment="1">
      <alignment vertical="center" wrapText="1"/>
    </xf>
    <xf numFmtId="0" fontId="36" fillId="12" borderId="12" xfId="6" applyFont="1" applyFill="1" applyBorder="1">
      <alignment vertical="center"/>
    </xf>
    <xf numFmtId="0" fontId="36" fillId="14" borderId="6" xfId="6" applyFont="1" applyFill="1" applyBorder="1">
      <alignment vertical="center"/>
    </xf>
    <xf numFmtId="0" fontId="29" fillId="17" borderId="51" xfId="9" applyFont="1" applyFill="1" applyBorder="1" applyAlignment="1">
      <alignment vertical="center" wrapText="1"/>
      <protection locked="0"/>
    </xf>
    <xf numFmtId="0" fontId="29" fillId="17" borderId="39" xfId="9" applyFont="1" applyFill="1" applyAlignment="1">
      <alignment vertical="center" wrapText="1"/>
      <protection locked="0"/>
    </xf>
    <xf numFmtId="0" fontId="31" fillId="12" borderId="10" xfId="5" applyFont="1" applyFill="1" applyBorder="1" applyAlignment="1">
      <alignment horizontal="center" vertical="center"/>
    </xf>
    <xf numFmtId="0" fontId="31" fillId="14" borderId="5" xfId="5" applyFont="1" applyFill="1" applyBorder="1" applyAlignment="1">
      <alignment horizontal="center" vertical="center"/>
    </xf>
    <xf numFmtId="0" fontId="31" fillId="14" borderId="8" xfId="5" applyFont="1" applyFill="1" applyBorder="1" applyAlignment="1">
      <alignment horizontal="center" vertical="center"/>
    </xf>
    <xf numFmtId="0" fontId="35" fillId="12" borderId="12" xfId="6" applyFont="1" applyFill="1" applyBorder="1" applyAlignment="1">
      <alignment horizontal="center" vertical="center"/>
    </xf>
    <xf numFmtId="0" fontId="35" fillId="14" borderId="6" xfId="6" applyFont="1" applyFill="1" applyBorder="1" applyAlignment="1">
      <alignment horizontal="center" vertical="center"/>
    </xf>
    <xf numFmtId="0" fontId="35" fillId="14" borderId="13" xfId="6" applyFont="1" applyFill="1" applyBorder="1" applyAlignment="1">
      <alignment horizontal="center" vertical="center"/>
    </xf>
    <xf numFmtId="0" fontId="35" fillId="12" borderId="2" xfId="6" applyFont="1" applyFill="1" applyBorder="1" applyAlignment="1">
      <alignment horizontal="center" vertical="center"/>
    </xf>
    <xf numFmtId="0" fontId="35" fillId="14" borderId="2" xfId="6" applyFont="1" applyFill="1" applyBorder="1" applyAlignment="1">
      <alignment horizontal="center" vertical="center"/>
    </xf>
    <xf numFmtId="0" fontId="9" fillId="14" borderId="0" xfId="27" applyFill="1">
      <alignment vertical="center"/>
    </xf>
    <xf numFmtId="0" fontId="5" fillId="12" borderId="42" xfId="7" applyFont="1" applyFill="1" applyBorder="1">
      <alignment vertical="center"/>
    </xf>
    <xf numFmtId="0" fontId="5" fillId="14" borderId="42" xfId="7" applyFont="1" applyFill="1" applyBorder="1">
      <alignment vertical="center"/>
    </xf>
    <xf numFmtId="0" fontId="5" fillId="12" borderId="43" xfId="7" applyFont="1" applyFill="1" applyBorder="1">
      <alignment vertical="center"/>
    </xf>
    <xf numFmtId="0" fontId="5" fillId="14" borderId="43" xfId="7" applyFont="1" applyFill="1" applyBorder="1">
      <alignment vertical="center"/>
    </xf>
    <xf numFmtId="0" fontId="35" fillId="12" borderId="0" xfId="6" applyFont="1" applyFill="1">
      <alignment vertical="center"/>
    </xf>
    <xf numFmtId="0" fontId="35" fillId="14" borderId="0" xfId="6" applyFont="1" applyFill="1">
      <alignment vertical="center"/>
    </xf>
    <xf numFmtId="0" fontId="10" fillId="16" borderId="0" xfId="7" applyFont="1" applyFill="1">
      <alignment vertical="center"/>
    </xf>
    <xf numFmtId="0" fontId="5" fillId="12" borderId="0" xfId="7" applyFont="1" applyFill="1">
      <alignment vertical="center"/>
    </xf>
    <xf numFmtId="0" fontId="5" fillId="14" borderId="0" xfId="7" applyFont="1" applyFill="1">
      <alignment vertical="center"/>
    </xf>
    <xf numFmtId="0" fontId="5" fillId="14" borderId="79" xfId="7" applyFont="1" applyFill="1" applyBorder="1">
      <alignment vertical="center"/>
    </xf>
    <xf numFmtId="0" fontId="29" fillId="17" borderId="39" xfId="9" applyFont="1" applyFill="1">
      <alignment vertical="center"/>
      <protection locked="0"/>
    </xf>
    <xf numFmtId="0" fontId="5" fillId="12" borderId="0" xfId="7" applyFont="1" applyFill="1" applyAlignment="1">
      <alignment vertical="center"/>
    </xf>
    <xf numFmtId="0" fontId="0" fillId="14" borderId="0" xfId="0" applyFill="1" applyAlignment="1">
      <alignment vertical="center"/>
    </xf>
    <xf numFmtId="0" fontId="24" fillId="12" borderId="0" xfId="6" applyFont="1" applyFill="1">
      <alignment vertical="center"/>
    </xf>
    <xf numFmtId="0" fontId="24" fillId="14" borderId="0" xfId="6" applyFont="1" applyFill="1">
      <alignment vertical="center"/>
    </xf>
    <xf numFmtId="0" fontId="5" fillId="12" borderId="0" xfId="7" applyFont="1" applyFill="1" applyBorder="1">
      <alignment vertical="center"/>
    </xf>
    <xf numFmtId="0" fontId="5" fillId="14" borderId="0" xfId="7" applyFont="1" applyFill="1" applyBorder="1">
      <alignment vertical="center"/>
    </xf>
    <xf numFmtId="0" fontId="10" fillId="12" borderId="18" xfId="7" applyFont="1" applyFill="1" applyBorder="1">
      <alignment vertical="center"/>
    </xf>
    <xf numFmtId="0" fontId="10" fillId="14" borderId="18" xfId="7" applyFont="1" applyFill="1" applyBorder="1">
      <alignment vertical="center"/>
    </xf>
    <xf numFmtId="0" fontId="10" fillId="12" borderId="17" xfId="7" applyFont="1" applyFill="1" applyBorder="1">
      <alignment vertical="center"/>
    </xf>
    <xf numFmtId="0" fontId="10" fillId="14" borderId="17" xfId="7" applyFont="1" applyFill="1" applyBorder="1">
      <alignment vertical="center"/>
    </xf>
    <xf numFmtId="0" fontId="35" fillId="5" borderId="0" xfId="6" applyFont="1" applyFill="1" applyAlignment="1">
      <alignment horizontal="left" vertical="center"/>
    </xf>
    <xf numFmtId="0" fontId="10" fillId="12" borderId="43" xfId="7" applyFont="1" applyFill="1" applyBorder="1">
      <alignment vertical="center"/>
    </xf>
    <xf numFmtId="0" fontId="10" fillId="14" borderId="43" xfId="7" applyFont="1" applyFill="1" applyBorder="1">
      <alignment vertical="center"/>
    </xf>
    <xf numFmtId="0" fontId="10" fillId="12" borderId="0" xfId="7" applyFont="1" applyFill="1">
      <alignment vertical="center"/>
    </xf>
    <xf numFmtId="0" fontId="10" fillId="14" borderId="0" xfId="7" applyFont="1" applyFill="1">
      <alignment vertical="center"/>
    </xf>
    <xf numFmtId="0" fontId="29" fillId="16" borderId="39" xfId="9" applyFont="1" applyFill="1" applyAlignment="1">
      <alignment vertical="center" wrapText="1"/>
      <protection locked="0"/>
    </xf>
    <xf numFmtId="0" fontId="29" fillId="2" borderId="40" xfId="9" applyFont="1" applyFill="1" applyBorder="1" applyAlignment="1">
      <alignment vertical="center"/>
      <protection locked="0"/>
    </xf>
    <xf numFmtId="0" fontId="0" fillId="14" borderId="59" xfId="0" applyFill="1" applyBorder="1" applyAlignment="1">
      <alignment vertical="center"/>
    </xf>
    <xf numFmtId="0" fontId="0" fillId="14" borderId="41" xfId="0" applyFill="1" applyBorder="1" applyAlignment="1">
      <alignment vertical="center"/>
    </xf>
    <xf numFmtId="0" fontId="29" fillId="16" borderId="40" xfId="9" applyFont="1" applyFill="1" applyBorder="1" applyAlignment="1">
      <alignment vertical="center" wrapText="1"/>
      <protection locked="0"/>
    </xf>
    <xf numFmtId="0" fontId="29" fillId="16" borderId="59" xfId="9" applyFont="1" applyFill="1" applyBorder="1" applyAlignment="1">
      <alignment vertical="center" wrapText="1"/>
      <protection locked="0"/>
    </xf>
    <xf numFmtId="0" fontId="29" fillId="16" borderId="41" xfId="9" applyFont="1" applyFill="1" applyBorder="1" applyAlignment="1">
      <alignment vertical="center" wrapText="1"/>
      <protection locked="0"/>
    </xf>
    <xf numFmtId="0" fontId="29" fillId="14" borderId="59" xfId="0" applyFont="1" applyFill="1" applyBorder="1" applyAlignment="1">
      <alignment vertical="center"/>
    </xf>
    <xf numFmtId="0" fontId="29" fillId="14" borderId="41" xfId="0" applyFont="1" applyFill="1" applyBorder="1" applyAlignment="1">
      <alignment vertical="center"/>
    </xf>
    <xf numFmtId="0" fontId="29" fillId="17" borderId="40" xfId="9" applyFont="1" applyFill="1" applyBorder="1" applyAlignment="1">
      <alignment vertical="center"/>
      <protection locked="0"/>
    </xf>
    <xf numFmtId="0" fontId="29" fillId="17" borderId="59" xfId="0" applyFont="1" applyFill="1" applyBorder="1" applyAlignment="1">
      <alignment vertical="center"/>
    </xf>
    <xf numFmtId="0" fontId="29" fillId="17" borderId="41" xfId="0" applyFont="1" applyFill="1" applyBorder="1" applyAlignment="1">
      <alignment vertical="center"/>
    </xf>
    <xf numFmtId="0" fontId="29" fillId="16" borderId="59" xfId="0" applyFont="1" applyFill="1" applyBorder="1" applyAlignment="1">
      <alignment vertical="center" wrapText="1"/>
    </xf>
    <xf numFmtId="0" fontId="29" fillId="16" borderId="41" xfId="0" applyFont="1" applyFill="1" applyBorder="1" applyAlignment="1">
      <alignment vertical="center" wrapText="1"/>
    </xf>
    <xf numFmtId="0" fontId="29" fillId="17" borderId="59" xfId="9" applyFont="1" applyFill="1" applyBorder="1" applyAlignment="1">
      <alignment vertical="center" wrapText="1"/>
      <protection locked="0"/>
    </xf>
    <xf numFmtId="0" fontId="29" fillId="17" borderId="41" xfId="9" applyFont="1" applyFill="1" applyBorder="1" applyAlignment="1">
      <alignment vertical="center" wrapText="1"/>
      <protection locked="0"/>
    </xf>
    <xf numFmtId="0" fontId="29" fillId="17" borderId="39" xfId="9" applyFont="1" applyFill="1" applyBorder="1" applyAlignment="1">
      <alignment vertical="center" wrapText="1"/>
      <protection locked="0"/>
    </xf>
    <xf numFmtId="0" fontId="29" fillId="17" borderId="39" xfId="0" applyFont="1" applyFill="1" applyBorder="1" applyAlignment="1">
      <alignment vertical="center" wrapText="1"/>
    </xf>
    <xf numFmtId="0" fontId="29" fillId="17" borderId="39" xfId="9" applyFont="1" applyFill="1" applyBorder="1" applyAlignment="1">
      <alignment vertical="center"/>
      <protection locked="0"/>
    </xf>
    <xf numFmtId="0" fontId="29" fillId="17" borderId="39" xfId="0" applyFont="1" applyFill="1" applyBorder="1" applyAlignment="1">
      <alignment vertical="center"/>
    </xf>
    <xf numFmtId="0" fontId="36" fillId="12" borderId="43" xfId="6" applyFont="1" applyFill="1" applyBorder="1">
      <alignment vertical="center"/>
    </xf>
    <xf numFmtId="0" fontId="36" fillId="14" borderId="43" xfId="6" applyFont="1" applyFill="1" applyBorder="1">
      <alignment vertical="center"/>
    </xf>
    <xf numFmtId="0" fontId="29" fillId="16" borderId="39" xfId="9" applyFont="1" applyFill="1" applyBorder="1" applyAlignment="1">
      <alignment vertical="center" wrapText="1"/>
      <protection locked="0"/>
    </xf>
    <xf numFmtId="0" fontId="29" fillId="16" borderId="39" xfId="0" applyFont="1" applyFill="1" applyBorder="1" applyAlignment="1">
      <alignment vertical="center" wrapText="1"/>
    </xf>
    <xf numFmtId="0" fontId="35" fillId="12" borderId="12" xfId="6" applyFont="1" applyFill="1" applyBorder="1">
      <alignment vertical="center"/>
    </xf>
    <xf numFmtId="0" fontId="35" fillId="14" borderId="6" xfId="6" applyFont="1" applyFill="1" applyBorder="1">
      <alignment vertical="center"/>
    </xf>
    <xf numFmtId="0" fontId="35" fillId="14" borderId="13" xfId="6" applyFont="1" applyFill="1" applyBorder="1">
      <alignment vertical="center"/>
    </xf>
    <xf numFmtId="0" fontId="33" fillId="2" borderId="39" xfId="9" applyFont="1" applyFill="1">
      <alignment vertical="center"/>
      <protection locked="0"/>
    </xf>
    <xf numFmtId="166" fontId="0" fillId="12" borderId="0" xfId="19" applyFont="1" applyFill="1">
      <alignment vertical="center"/>
    </xf>
    <xf numFmtId="166" fontId="0" fillId="14" borderId="0" xfId="19" applyFont="1" applyFill="1">
      <alignment vertical="center"/>
    </xf>
    <xf numFmtId="166" fontId="0" fillId="14" borderId="0" xfId="19" applyFont="1" applyFill="1" applyBorder="1">
      <alignment vertical="center"/>
    </xf>
    <xf numFmtId="0" fontId="35" fillId="12" borderId="3" xfId="6" applyFont="1" applyFill="1" applyBorder="1">
      <alignment vertical="center"/>
    </xf>
    <xf numFmtId="0" fontId="35" fillId="14" borderId="3" xfId="6" applyFont="1" applyFill="1" applyBorder="1">
      <alignment vertical="center"/>
    </xf>
    <xf numFmtId="0" fontId="29" fillId="2" borderId="49" xfId="9" applyFont="1" applyFill="1" applyBorder="1">
      <alignment vertical="center"/>
      <protection locked="0"/>
    </xf>
    <xf numFmtId="0" fontId="29" fillId="2" borderId="47" xfId="9" applyFont="1" applyFill="1" applyBorder="1">
      <alignment vertical="center"/>
      <protection locked="0"/>
    </xf>
    <xf numFmtId="0" fontId="29" fillId="2" borderId="48" xfId="9" applyFont="1" applyFill="1" applyBorder="1">
      <alignment vertical="center"/>
      <protection locked="0"/>
    </xf>
    <xf numFmtId="0" fontId="29" fillId="2" borderId="56" xfId="9" applyFont="1" applyFill="1" applyBorder="1">
      <alignment vertical="center"/>
      <protection locked="0"/>
    </xf>
    <xf numFmtId="0" fontId="29" fillId="2" borderId="39" xfId="9" applyFont="1" applyFill="1" applyBorder="1">
      <alignment vertical="center"/>
      <protection locked="0"/>
    </xf>
    <xf numFmtId="0" fontId="29" fillId="2" borderId="54" xfId="9" applyFont="1" applyFill="1" applyBorder="1">
      <alignment vertical="center"/>
      <protection locked="0"/>
    </xf>
    <xf numFmtId="0" fontId="29" fillId="2" borderId="46" xfId="9" applyFont="1" applyFill="1" applyBorder="1">
      <alignment vertical="center"/>
      <protection locked="0"/>
    </xf>
    <xf numFmtId="0" fontId="29" fillId="2" borderId="44" xfId="9" applyFont="1" applyFill="1" applyBorder="1">
      <alignment vertical="center"/>
      <protection locked="0"/>
    </xf>
    <xf numFmtId="0" fontId="29" fillId="2" borderId="45" xfId="9" applyFont="1" applyFill="1" applyBorder="1">
      <alignment vertical="center"/>
      <protection locked="0"/>
    </xf>
    <xf numFmtId="0" fontId="29" fillId="2" borderId="40" xfId="9" applyFont="1" applyFill="1" applyBorder="1" applyAlignment="1">
      <alignment horizontal="left" vertical="center" wrapText="1"/>
      <protection locked="0"/>
    </xf>
    <xf numFmtId="0" fontId="29" fillId="2" borderId="59" xfId="9" applyFont="1" applyFill="1" applyBorder="1" applyAlignment="1">
      <alignment horizontal="left" vertical="center" wrapText="1"/>
      <protection locked="0"/>
    </xf>
    <xf numFmtId="0" fontId="29" fillId="2" borderId="41" xfId="9" applyFont="1" applyFill="1" applyBorder="1" applyAlignment="1">
      <alignment horizontal="left" vertical="center" wrapText="1"/>
      <protection locked="0"/>
    </xf>
    <xf numFmtId="0" fontId="36" fillId="12" borderId="10" xfId="6" applyFont="1" applyFill="1" applyBorder="1" applyAlignment="1">
      <alignment horizontal="center" vertical="center" wrapText="1"/>
    </xf>
    <xf numFmtId="0" fontId="36" fillId="14" borderId="2" xfId="6" applyFont="1" applyFill="1" applyBorder="1" applyAlignment="1">
      <alignment horizontal="center" vertical="center" wrapText="1"/>
    </xf>
    <xf numFmtId="0" fontId="36" fillId="12" borderId="1" xfId="6" applyFont="1" applyFill="1" applyBorder="1" applyAlignment="1">
      <alignment horizontal="center" vertical="center" wrapText="1"/>
    </xf>
    <xf numFmtId="0" fontId="36" fillId="14" borderId="1" xfId="6" applyFont="1" applyFill="1" applyBorder="1" applyAlignment="1">
      <alignment horizontal="center" vertical="center" wrapText="1"/>
    </xf>
    <xf numFmtId="0" fontId="29" fillId="17" borderId="40" xfId="9" applyFont="1" applyFill="1" applyBorder="1" applyAlignment="1">
      <alignment horizontal="left" vertical="center" wrapText="1"/>
      <protection locked="0"/>
    </xf>
    <xf numFmtId="0" fontId="29" fillId="17" borderId="59" xfId="9" applyFont="1" applyFill="1" applyBorder="1" applyAlignment="1">
      <alignment horizontal="left" vertical="center" wrapText="1"/>
      <protection locked="0"/>
    </xf>
    <xf numFmtId="0" fontId="29" fillId="17" borderId="41" xfId="9" applyFont="1" applyFill="1" applyBorder="1" applyAlignment="1">
      <alignment horizontal="left" vertical="center" wrapText="1"/>
      <protection locked="0"/>
    </xf>
    <xf numFmtId="0" fontId="36" fillId="12" borderId="10" xfId="6" applyFont="1" applyFill="1" applyBorder="1" applyAlignment="1">
      <alignment horizontal="center" vertical="center"/>
    </xf>
    <xf numFmtId="0" fontId="36" fillId="14" borderId="6" xfId="6" applyFont="1" applyFill="1" applyBorder="1" applyAlignment="1">
      <alignment horizontal="center" vertical="center"/>
    </xf>
    <xf numFmtId="0" fontId="36" fillId="14" borderId="8" xfId="6" applyFont="1" applyFill="1" applyBorder="1" applyAlignment="1">
      <alignment horizontal="center" vertical="center"/>
    </xf>
    <xf numFmtId="0" fontId="29" fillId="16" borderId="46" xfId="9" applyFont="1" applyFill="1" applyBorder="1">
      <alignment vertical="center"/>
      <protection locked="0"/>
    </xf>
    <xf numFmtId="0" fontId="29" fillId="16" borderId="44" xfId="9" applyFont="1" applyFill="1" applyBorder="1">
      <alignment vertical="center"/>
      <protection locked="0"/>
    </xf>
    <xf numFmtId="0" fontId="29" fillId="16" borderId="45" xfId="9" applyFont="1" applyFill="1" applyBorder="1">
      <alignment vertical="center"/>
      <protection locked="0"/>
    </xf>
    <xf numFmtId="0" fontId="36" fillId="14" borderId="5" xfId="6" applyFont="1" applyFill="1" applyBorder="1" applyAlignment="1">
      <alignment horizontal="center" vertical="center" wrapText="1"/>
    </xf>
    <xf numFmtId="0" fontId="36" fillId="14" borderId="8" xfId="6" applyFont="1" applyFill="1" applyBorder="1" applyAlignment="1">
      <alignment horizontal="center" vertical="center" wrapText="1"/>
    </xf>
    <xf numFmtId="0" fontId="29" fillId="16" borderId="49" xfId="9" applyFont="1" applyFill="1" applyBorder="1">
      <alignment vertical="center"/>
      <protection locked="0"/>
    </xf>
    <xf numFmtId="0" fontId="29" fillId="16" borderId="47" xfId="9" applyFont="1" applyFill="1" applyBorder="1">
      <alignment vertical="center"/>
      <protection locked="0"/>
    </xf>
    <xf numFmtId="0" fontId="29" fillId="16" borderId="48" xfId="9" applyFont="1" applyFill="1" applyBorder="1">
      <alignment vertical="center"/>
      <protection locked="0"/>
    </xf>
    <xf numFmtId="0" fontId="29" fillId="16" borderId="56" xfId="9" applyFont="1" applyFill="1" applyBorder="1">
      <alignment vertical="center"/>
      <protection locked="0"/>
    </xf>
    <xf numFmtId="0" fontId="29" fillId="16" borderId="39" xfId="9" applyFont="1" applyFill="1" applyBorder="1">
      <alignment vertical="center"/>
      <protection locked="0"/>
    </xf>
    <xf numFmtId="0" fontId="29" fillId="16" borderId="54" xfId="9" applyFont="1" applyFill="1" applyBorder="1">
      <alignment vertical="center"/>
      <protection locked="0"/>
    </xf>
    <xf numFmtId="0" fontId="35" fillId="12" borderId="10" xfId="6" applyFont="1" applyFill="1" applyBorder="1">
      <alignment vertical="center"/>
    </xf>
    <xf numFmtId="0" fontId="35" fillId="14" borderId="5" xfId="6" applyFont="1" applyFill="1" applyBorder="1">
      <alignment vertical="center"/>
    </xf>
    <xf numFmtId="0" fontId="35" fillId="14" borderId="8" xfId="6" applyFont="1" applyFill="1" applyBorder="1">
      <alignment vertical="center"/>
    </xf>
    <xf numFmtId="1" fontId="35" fillId="12" borderId="10" xfId="6" applyNumberFormat="1" applyFont="1" applyFill="1" applyBorder="1" applyAlignment="1">
      <alignment horizontal="center" vertical="center"/>
    </xf>
    <xf numFmtId="1" fontId="35" fillId="14" borderId="5" xfId="6" applyNumberFormat="1" applyFont="1" applyFill="1" applyBorder="1" applyAlignment="1">
      <alignment horizontal="center" vertical="center"/>
    </xf>
    <xf numFmtId="0" fontId="35" fillId="12" borderId="10" xfId="6" applyFont="1" applyFill="1" applyBorder="1" applyAlignment="1">
      <alignment horizontal="center" vertical="center" wrapText="1"/>
    </xf>
    <xf numFmtId="0" fontId="35" fillId="14" borderId="12" xfId="6" applyFont="1" applyFill="1" applyBorder="1" applyAlignment="1">
      <alignment horizontal="center" vertical="center" wrapText="1"/>
    </xf>
    <xf numFmtId="0" fontId="29" fillId="16" borderId="40" xfId="9" applyFont="1" applyFill="1" applyBorder="1" applyAlignment="1">
      <alignment vertical="center"/>
      <protection locked="0"/>
    </xf>
    <xf numFmtId="0" fontId="29" fillId="16" borderId="59" xfId="0" applyFont="1" applyFill="1" applyBorder="1" applyAlignment="1">
      <alignment vertical="center"/>
    </xf>
    <xf numFmtId="0" fontId="29" fillId="16" borderId="41" xfId="0" applyFont="1" applyFill="1" applyBorder="1" applyAlignment="1">
      <alignment vertical="center"/>
    </xf>
    <xf numFmtId="0" fontId="10" fillId="12" borderId="43" xfId="7" applyFont="1" applyFill="1" applyBorder="1" applyAlignment="1">
      <alignment horizontal="center" vertical="center"/>
    </xf>
    <xf numFmtId="0" fontId="10" fillId="14" borderId="58" xfId="7" applyFont="1" applyFill="1" applyBorder="1" applyAlignment="1">
      <alignment horizontal="center" vertical="center"/>
    </xf>
    <xf numFmtId="0" fontId="29" fillId="16" borderId="40" xfId="9" applyFont="1" applyFill="1" applyBorder="1">
      <alignment vertical="center"/>
      <protection locked="0"/>
    </xf>
    <xf numFmtId="166" fontId="0" fillId="12" borderId="0" xfId="19" applyNumberFormat="1" applyFont="1" applyFill="1">
      <alignment vertical="center"/>
    </xf>
    <xf numFmtId="166" fontId="0" fillId="14" borderId="0" xfId="19" applyNumberFormat="1" applyFont="1" applyFill="1">
      <alignment vertical="center"/>
    </xf>
    <xf numFmtId="1" fontId="36" fillId="12" borderId="10" xfId="6" applyNumberFormat="1" applyFont="1" applyFill="1" applyBorder="1" applyAlignment="1">
      <alignment horizontal="center" vertical="center" wrapText="1"/>
    </xf>
    <xf numFmtId="1" fontId="36" fillId="14" borderId="6" xfId="6" applyNumberFormat="1" applyFont="1" applyFill="1" applyBorder="1" applyAlignment="1">
      <alignment horizontal="center" vertical="center" wrapText="1"/>
    </xf>
    <xf numFmtId="1" fontId="36" fillId="14" borderId="8" xfId="6" applyNumberFormat="1" applyFont="1" applyFill="1" applyBorder="1" applyAlignment="1">
      <alignment horizontal="center" vertical="center" wrapText="1"/>
    </xf>
    <xf numFmtId="0" fontId="36" fillId="12" borderId="2" xfId="6" applyFont="1" applyFill="1" applyBorder="1" applyAlignment="1">
      <alignment horizontal="center" vertical="center"/>
    </xf>
    <xf numFmtId="0" fontId="36" fillId="14" borderId="15" xfId="6" applyFont="1" applyFill="1" applyBorder="1" applyAlignment="1">
      <alignment horizontal="center" vertical="center"/>
    </xf>
    <xf numFmtId="0" fontId="10" fillId="14" borderId="43" xfId="7" applyFont="1" applyFill="1" applyBorder="1" applyAlignment="1">
      <alignment horizontal="center" vertical="center"/>
    </xf>
    <xf numFmtId="1" fontId="35" fillId="12" borderId="12" xfId="6" applyNumberFormat="1" applyFont="1" applyFill="1" applyBorder="1" applyAlignment="1">
      <alignment horizontal="center" vertical="center"/>
    </xf>
    <xf numFmtId="1" fontId="35" fillId="14" borderId="6" xfId="6" applyNumberFormat="1" applyFont="1" applyFill="1" applyBorder="1" applyAlignment="1">
      <alignment horizontal="center" vertical="center"/>
    </xf>
    <xf numFmtId="0" fontId="29" fillId="17" borderId="40" xfId="9" applyFont="1" applyFill="1" applyBorder="1">
      <alignment vertical="center"/>
      <protection locked="0"/>
    </xf>
    <xf numFmtId="0" fontId="29" fillId="2" borderId="40" xfId="9" applyFont="1" applyFill="1" applyBorder="1">
      <alignment vertical="center"/>
      <protection locked="0"/>
    </xf>
    <xf numFmtId="0" fontId="36" fillId="14" borderId="10" xfId="6" applyFont="1" applyFill="1" applyBorder="1" applyAlignment="1">
      <alignment horizontal="center" vertical="center" wrapText="1"/>
    </xf>
    <xf numFmtId="0" fontId="35" fillId="12" borderId="12" xfId="6" applyFont="1" applyFill="1" applyBorder="1" applyAlignment="1">
      <alignment horizontal="center" vertical="center" wrapText="1"/>
    </xf>
    <xf numFmtId="0" fontId="35" fillId="14" borderId="16" xfId="6" applyFont="1" applyFill="1" applyBorder="1" applyAlignment="1">
      <alignment horizontal="center" vertical="center" wrapText="1"/>
    </xf>
    <xf numFmtId="0" fontId="36" fillId="12" borderId="1" xfId="6" applyFont="1" applyFill="1" applyBorder="1" applyAlignment="1">
      <alignment horizontal="center" vertical="center"/>
    </xf>
    <xf numFmtId="0" fontId="36" fillId="14" borderId="1" xfId="6" applyFont="1" applyFill="1" applyBorder="1" applyAlignment="1">
      <alignment horizontal="center" vertical="center"/>
    </xf>
    <xf numFmtId="0" fontId="0" fillId="16" borderId="59" xfId="0" applyFill="1" applyBorder="1" applyAlignment="1">
      <alignment vertical="center"/>
    </xf>
    <xf numFmtId="0" fontId="0" fillId="16" borderId="82" xfId="0" applyFill="1" applyBorder="1" applyAlignment="1">
      <alignment vertical="center"/>
    </xf>
    <xf numFmtId="0" fontId="0" fillId="16" borderId="41" xfId="0" applyFill="1" applyBorder="1" applyAlignment="1">
      <alignment vertical="center"/>
    </xf>
    <xf numFmtId="0" fontId="10" fillId="12" borderId="43" xfId="7" applyFont="1" applyFill="1" applyBorder="1" applyAlignment="1">
      <alignment horizontal="left" vertical="center"/>
    </xf>
    <xf numFmtId="0" fontId="10" fillId="14" borderId="43" xfId="7" applyFont="1" applyFill="1" applyBorder="1" applyAlignment="1">
      <alignment horizontal="left" vertical="center"/>
    </xf>
    <xf numFmtId="0" fontId="29" fillId="2" borderId="40" xfId="9" applyFont="1" applyFill="1" applyBorder="1" applyAlignment="1">
      <alignment horizontal="left" vertical="center"/>
      <protection locked="0"/>
    </xf>
    <xf numFmtId="0" fontId="29" fillId="2" borderId="59" xfId="9" applyFont="1" applyFill="1" applyBorder="1" applyAlignment="1">
      <alignment horizontal="left" vertical="center"/>
      <protection locked="0"/>
    </xf>
    <xf numFmtId="0" fontId="29" fillId="2" borderId="41" xfId="9" applyFont="1" applyFill="1" applyBorder="1" applyAlignment="1">
      <alignment horizontal="left" vertical="center"/>
      <protection locked="0"/>
    </xf>
    <xf numFmtId="0" fontId="32" fillId="2" borderId="39" xfId="9" applyFont="1" applyFill="1">
      <alignment vertical="center"/>
      <protection locked="0"/>
    </xf>
    <xf numFmtId="0" fontId="37" fillId="12" borderId="0" xfId="7" applyFont="1" applyFill="1">
      <alignment vertical="center"/>
    </xf>
    <xf numFmtId="0" fontId="37" fillId="14" borderId="0" xfId="7" applyFont="1" applyFill="1">
      <alignment vertical="center"/>
    </xf>
    <xf numFmtId="0" fontId="29" fillId="2" borderId="40" xfId="9" applyFont="1" applyFill="1" applyBorder="1" applyAlignment="1" applyProtection="1">
      <alignment horizontal="left" vertical="center"/>
      <protection locked="0"/>
    </xf>
    <xf numFmtId="0" fontId="29" fillId="2" borderId="59" xfId="9" applyFont="1" applyFill="1" applyBorder="1" applyAlignment="1" applyProtection="1">
      <alignment horizontal="left" vertical="center"/>
      <protection locked="0"/>
    </xf>
    <xf numFmtId="0" fontId="29" fillId="2" borderId="41" xfId="9" applyFont="1" applyFill="1" applyBorder="1" applyAlignment="1" applyProtection="1">
      <alignment horizontal="left" vertical="center"/>
      <protection locked="0"/>
    </xf>
    <xf numFmtId="0" fontId="35" fillId="12" borderId="0" xfId="6" applyFont="1" applyFill="1" applyAlignment="1">
      <alignment vertical="center" wrapText="1"/>
    </xf>
    <xf numFmtId="0" fontId="35" fillId="14" borderId="0" xfId="6" applyFont="1" applyFill="1" applyAlignment="1">
      <alignment vertical="center" wrapText="1"/>
    </xf>
    <xf numFmtId="0" fontId="5" fillId="12" borderId="59" xfId="7" applyFont="1" applyFill="1" applyBorder="1">
      <alignment vertical="center"/>
    </xf>
    <xf numFmtId="0" fontId="5" fillId="14" borderId="59" xfId="7" applyFont="1" applyFill="1" applyBorder="1">
      <alignment vertical="center"/>
    </xf>
    <xf numFmtId="0" fontId="35" fillId="12" borderId="43" xfId="6" applyFont="1" applyFill="1" applyBorder="1" applyAlignment="1">
      <alignment vertical="center" wrapText="1"/>
    </xf>
    <xf numFmtId="0" fontId="35" fillId="14" borderId="43" xfId="6" applyFont="1" applyFill="1" applyBorder="1" applyAlignment="1">
      <alignment vertical="center" wrapText="1"/>
    </xf>
    <xf numFmtId="0" fontId="24" fillId="12" borderId="0" xfId="6" applyFont="1" applyFill="1" applyAlignment="1">
      <alignment vertical="center" wrapText="1"/>
    </xf>
    <xf numFmtId="0" fontId="24" fillId="14" borderId="0" xfId="6" applyFont="1" applyFill="1" applyAlignment="1">
      <alignment vertical="center" wrapText="1"/>
    </xf>
    <xf numFmtId="0" fontId="29" fillId="2" borderId="39" xfId="9" applyFont="1" applyFill="1" applyAlignment="1">
      <alignment vertical="center" wrapText="1"/>
      <protection locked="0"/>
    </xf>
    <xf numFmtId="0" fontId="10" fillId="12" borderId="0" xfId="7" applyFont="1" applyFill="1" applyAlignment="1">
      <alignment horizontal="center" vertical="center" wrapText="1"/>
    </xf>
    <xf numFmtId="0" fontId="10" fillId="14" borderId="0" xfId="7" applyFont="1" applyFill="1" applyAlignment="1">
      <alignment horizontal="center" vertical="center" wrapText="1"/>
    </xf>
    <xf numFmtId="0" fontId="5" fillId="0" borderId="0" xfId="7" applyFont="1" applyFill="1" applyAlignment="1">
      <alignment vertical="center"/>
    </xf>
    <xf numFmtId="0" fontId="29" fillId="0" borderId="0" xfId="0" applyFont="1" applyFill="1" applyAlignment="1">
      <alignment vertical="center"/>
    </xf>
    <xf numFmtId="0" fontId="36" fillId="0" borderId="0" xfId="6" applyFont="1" applyFill="1">
      <alignment vertical="center"/>
    </xf>
    <xf numFmtId="0" fontId="10" fillId="0" borderId="0" xfId="7" applyFont="1" applyFill="1">
      <alignment vertical="center"/>
    </xf>
    <xf numFmtId="0" fontId="35" fillId="0" borderId="0" xfId="6" applyFont="1" applyFill="1" applyAlignment="1">
      <alignment vertical="center" wrapText="1"/>
    </xf>
    <xf numFmtId="0" fontId="37" fillId="0" borderId="0" xfId="7" applyFont="1" applyFill="1" applyAlignment="1">
      <alignment vertical="center" wrapText="1"/>
    </xf>
    <xf numFmtId="0" fontId="37" fillId="0" borderId="0" xfId="7" applyFont="1" applyFill="1" applyAlignment="1">
      <alignment horizontal="left" vertical="center" wrapText="1"/>
    </xf>
    <xf numFmtId="0" fontId="9" fillId="21" borderId="0" xfId="27" applyFill="1">
      <alignment vertical="center"/>
    </xf>
    <xf numFmtId="0" fontId="9" fillId="19" borderId="0" xfId="27" applyFill="1">
      <alignment vertical="center"/>
    </xf>
    <xf numFmtId="0" fontId="44" fillId="0" borderId="0" xfId="0" applyFont="1" applyBorder="1" applyAlignment="1">
      <alignment vertical="center" wrapText="1"/>
    </xf>
    <xf numFmtId="0" fontId="44" fillId="0" borderId="0" xfId="0" applyFont="1" applyAlignment="1">
      <alignment vertical="center" wrapText="1"/>
    </xf>
    <xf numFmtId="175" fontId="53" fillId="0" borderId="20" xfId="60" applyNumberFormat="1" applyFont="1" applyBorder="1" applyAlignment="1">
      <alignment vertical="center"/>
    </xf>
    <xf numFmtId="175" fontId="53" fillId="0" borderId="21" xfId="60" applyNumberFormat="1" applyFont="1" applyBorder="1" applyAlignment="1">
      <alignment vertical="center"/>
    </xf>
    <xf numFmtId="0" fontId="44" fillId="0" borderId="0" xfId="0" applyFont="1" applyAlignment="1">
      <alignment horizontal="left" vertical="center" wrapText="1"/>
    </xf>
    <xf numFmtId="0" fontId="9" fillId="0" borderId="0" xfId="49">
      <alignment vertical="center"/>
    </xf>
    <xf numFmtId="0" fontId="26" fillId="0" borderId="0" xfId="50" applyFont="1" applyAlignment="1">
      <alignment horizontal="left" vertical="center" wrapText="1"/>
    </xf>
    <xf numFmtId="0" fontId="44" fillId="0" borderId="0" xfId="0" applyFont="1" applyBorder="1" applyAlignment="1">
      <alignment horizontal="right" vertical="center" wrapText="1"/>
    </xf>
    <xf numFmtId="0" fontId="8" fillId="0" borderId="0" xfId="50" applyAlignment="1">
      <alignment horizontal="right" vertical="center"/>
    </xf>
    <xf numFmtId="0" fontId="8" fillId="0" borderId="0" xfId="50" applyAlignment="1">
      <alignment horizontal="left" vertical="center"/>
    </xf>
    <xf numFmtId="0" fontId="8" fillId="0" borderId="0" xfId="29" applyAlignment="1">
      <alignment horizontal="right" vertical="center"/>
    </xf>
    <xf numFmtId="0" fontId="8" fillId="0" borderId="0" xfId="29" applyAlignment="1">
      <alignment horizontal="center" vertical="center"/>
    </xf>
    <xf numFmtId="0" fontId="8" fillId="0" borderId="0" xfId="29" applyAlignment="1">
      <alignment horizontal="left" vertical="center"/>
    </xf>
    <xf numFmtId="0" fontId="64" fillId="0" borderId="0" xfId="0" applyFont="1" applyAlignment="1">
      <alignment vertical="center" wrapText="1"/>
    </xf>
    <xf numFmtId="0" fontId="48" fillId="0" borderId="0" xfId="0" applyFont="1" applyAlignment="1">
      <alignment horizontal="left" vertical="center" wrapText="1"/>
    </xf>
    <xf numFmtId="0" fontId="50" fillId="0" borderId="0" xfId="0" applyFont="1" applyAlignment="1">
      <alignment horizontal="left" vertical="center" wrapText="1"/>
    </xf>
    <xf numFmtId="0" fontId="0" fillId="0" borderId="0" xfId="56" applyFont="1" applyAlignment="1">
      <alignment vertical="center" wrapText="1"/>
    </xf>
    <xf numFmtId="0" fontId="0" fillId="0" borderId="25" xfId="56" applyFont="1" applyBorder="1" applyAlignment="1">
      <alignment vertical="center" wrapText="1"/>
    </xf>
    <xf numFmtId="0" fontId="51" fillId="8" borderId="33" xfId="0" applyFont="1" applyFill="1" applyBorder="1" applyAlignment="1">
      <alignment horizontal="left" vertical="center"/>
    </xf>
    <xf numFmtId="0" fontId="51" fillId="8" borderId="34" xfId="0" applyFont="1" applyFill="1" applyBorder="1" applyAlignment="1">
      <alignment horizontal="left" vertical="center"/>
    </xf>
    <xf numFmtId="0" fontId="51" fillId="8" borderId="35" xfId="0" applyFont="1" applyFill="1" applyBorder="1" applyAlignment="1">
      <alignment horizontal="left" vertical="center"/>
    </xf>
    <xf numFmtId="0" fontId="51" fillId="0" borderId="0" xfId="0" applyFont="1" applyBorder="1" applyAlignment="1">
      <alignment horizontal="right" vertical="center" wrapText="1"/>
    </xf>
    <xf numFmtId="0" fontId="10" fillId="12" borderId="0" xfId="8" applyFont="1" applyFill="1">
      <alignment vertical="center"/>
      <protection locked="0"/>
    </xf>
    <xf numFmtId="0" fontId="10" fillId="14" borderId="0" xfId="8" applyFont="1" applyFill="1">
      <alignment vertical="center"/>
      <protection locked="0"/>
    </xf>
    <xf numFmtId="0" fontId="37" fillId="12" borderId="42" xfId="7" applyFont="1" applyFill="1" applyBorder="1">
      <alignment vertical="center"/>
    </xf>
    <xf numFmtId="0" fontId="37" fillId="14" borderId="42" xfId="7" applyFont="1" applyFill="1" applyBorder="1">
      <alignment vertical="center"/>
    </xf>
    <xf numFmtId="0" fontId="10" fillId="12" borderId="43" xfId="8" applyFont="1" applyFill="1" applyBorder="1">
      <alignment vertical="center"/>
      <protection locked="0"/>
    </xf>
    <xf numFmtId="0" fontId="10" fillId="14" borderId="43" xfId="8" applyFont="1" applyFill="1" applyBorder="1">
      <alignment vertical="center"/>
      <protection locked="0"/>
    </xf>
    <xf numFmtId="0" fontId="0" fillId="2" borderId="39" xfId="9" applyFont="1" applyFill="1">
      <alignment vertical="center"/>
      <protection locked="0"/>
    </xf>
    <xf numFmtId="0" fontId="35" fillId="12" borderId="42" xfId="6" applyFont="1" applyFill="1" applyBorder="1">
      <alignment vertical="center"/>
    </xf>
    <xf numFmtId="0" fontId="35" fillId="14" borderId="42" xfId="6" applyFont="1" applyFill="1" applyBorder="1">
      <alignment vertical="center"/>
    </xf>
    <xf numFmtId="0" fontId="5" fillId="0" borderId="0" xfId="7" applyFont="1">
      <alignment vertical="center"/>
    </xf>
    <xf numFmtId="0" fontId="29" fillId="2" borderId="39" xfId="9" applyFont="1">
      <alignment vertical="center"/>
      <protection locked="0"/>
    </xf>
    <xf numFmtId="0" fontId="0" fillId="0" borderId="0" xfId="0" applyFill="1" applyAlignment="1">
      <alignment vertical="top"/>
    </xf>
    <xf numFmtId="0" fontId="21" fillId="0" borderId="0" xfId="0" applyFont="1" applyFill="1" applyAlignment="1">
      <alignment vertical="top"/>
    </xf>
    <xf numFmtId="0" fontId="10" fillId="0" borderId="0" xfId="6" applyFont="1" applyFill="1" applyAlignment="1">
      <alignment vertical="top"/>
    </xf>
    <xf numFmtId="0" fontId="58" fillId="0" borderId="0" xfId="7" applyFont="1" applyFill="1">
      <alignment vertical="center"/>
    </xf>
    <xf numFmtId="0" fontId="60" fillId="0" borderId="0" xfId="0" quotePrefix="1" applyFont="1" applyFill="1" applyAlignment="1">
      <alignment horizontal="right" vertical="top"/>
    </xf>
    <xf numFmtId="0" fontId="58" fillId="0" borderId="0" xfId="7" applyFont="1" applyFill="1" applyAlignment="1">
      <alignment vertical="top" wrapText="1"/>
    </xf>
    <xf numFmtId="0" fontId="60" fillId="0" borderId="0" xfId="0" applyFont="1" applyFill="1" applyAlignment="1">
      <alignment vertical="top"/>
    </xf>
    <xf numFmtId="0" fontId="58" fillId="0" borderId="0" xfId="7" quotePrefix="1" applyFont="1" applyFill="1" applyAlignment="1">
      <alignment vertical="top"/>
    </xf>
    <xf numFmtId="0" fontId="10" fillId="0" borderId="0" xfId="7" applyFont="1">
      <alignment vertical="center"/>
    </xf>
    <xf numFmtId="0" fontId="10" fillId="0" borderId="0" xfId="7" applyFont="1" applyAlignment="1">
      <alignment vertical="center" wrapText="1"/>
    </xf>
    <xf numFmtId="0" fontId="58" fillId="0" borderId="3" xfId="7" applyFont="1" applyBorder="1" applyAlignment="1">
      <alignment horizontal="left" vertical="center" wrapText="1"/>
    </xf>
    <xf numFmtId="0" fontId="58" fillId="0" borderId="6" xfId="7" applyFont="1" applyBorder="1" applyAlignment="1">
      <alignment horizontal="left" vertical="center" wrapText="1"/>
    </xf>
    <xf numFmtId="0" fontId="58" fillId="0" borderId="0" xfId="7" applyFont="1" applyBorder="1" applyAlignment="1">
      <alignment horizontal="left" vertical="center" wrapText="1"/>
    </xf>
    <xf numFmtId="0" fontId="10" fillId="0" borderId="0" xfId="7" applyFont="1" applyFill="1" applyAlignment="1">
      <alignment horizontal="left" vertical="top" wrapText="1"/>
    </xf>
    <xf numFmtId="0" fontId="24" fillId="0" borderId="0" xfId="6" applyFont="1" applyFill="1" applyAlignment="1">
      <alignment horizontal="center" vertical="top"/>
    </xf>
    <xf numFmtId="0" fontId="36" fillId="0" borderId="0" xfId="6" applyFont="1" applyFill="1" applyAlignment="1">
      <alignment horizontal="center" vertical="top"/>
    </xf>
    <xf numFmtId="0" fontId="31" fillId="0" borderId="3" xfId="5" applyFont="1" applyFill="1" applyBorder="1" applyAlignment="1">
      <alignment horizontal="center" vertical="center"/>
    </xf>
    <xf numFmtId="0" fontId="35" fillId="0" borderId="0" xfId="6" applyFont="1" applyFill="1" applyAlignment="1">
      <alignment horizontal="center" vertical="top"/>
    </xf>
    <xf numFmtId="0" fontId="0" fillId="0" borderId="12" xfId="0" applyFill="1" applyBorder="1">
      <alignment vertical="center"/>
    </xf>
    <xf numFmtId="0" fontId="0" fillId="0" borderId="13" xfId="0" applyFill="1" applyBorder="1">
      <alignment vertical="center"/>
    </xf>
    <xf numFmtId="0" fontId="49" fillId="0" borderId="0" xfId="6" applyFont="1" applyFill="1" applyAlignment="1">
      <alignment horizontal="center" vertical="top"/>
    </xf>
    <xf numFmtId="0" fontId="9" fillId="0" borderId="0" xfId="27" applyFill="1" applyAlignment="1">
      <alignment horizontal="center" vertical="top"/>
    </xf>
    <xf numFmtId="0" fontId="8" fillId="0" borderId="0" xfId="28" applyFill="1" applyAlignment="1">
      <alignment horizontal="center" vertical="top"/>
    </xf>
    <xf numFmtId="0" fontId="10" fillId="0" borderId="0" xfId="7" applyFont="1" applyFill="1" applyAlignment="1">
      <alignment horizontal="center" vertical="top"/>
    </xf>
    <xf numFmtId="0" fontId="10" fillId="0" borderId="0" xfId="7" applyFont="1" applyFill="1" applyAlignment="1">
      <alignment horizontal="left" vertical="center"/>
    </xf>
    <xf numFmtId="0" fontId="10" fillId="0" borderId="0" xfId="7" applyFont="1" applyFill="1" applyAlignment="1">
      <alignment horizontal="center" vertical="center"/>
    </xf>
  </cellXfs>
  <cellStyles count="68">
    <cellStyle name="40% - Accent3 2" xfId="67"/>
    <cellStyle name="Accent1" xfId="59" builtinId="29"/>
    <cellStyle name="Assumption Currency." xfId="15"/>
    <cellStyle name="Assumption Date." xfId="11"/>
    <cellStyle name="Assumption Heading." xfId="9"/>
    <cellStyle name="Assumption Multiple." xfId="14"/>
    <cellStyle name="Assumption Number." xfId="12"/>
    <cellStyle name="Assumption Percentage." xfId="13"/>
    <cellStyle name="Assumption Year." xfId="10"/>
    <cellStyle name="Cell Link." xfId="16"/>
    <cellStyle name="Comma" xfId="60" builtinId="3"/>
    <cellStyle name="Currency" xfId="64" builtinId="4"/>
    <cellStyle name="Currency." xfId="22"/>
    <cellStyle name="Date." xfId="18"/>
    <cellStyle name="Heading 1." xfId="4"/>
    <cellStyle name="Heading 2." xfId="5"/>
    <cellStyle name="Heading 3." xfId="6"/>
    <cellStyle name="Heading 4." xfId="7"/>
    <cellStyle name="Hyperlink" xfId="57" builtinId="8"/>
    <cellStyle name="Hyperlink Arrow." xfId="28"/>
    <cellStyle name="Hyperlink Check." xfId="29"/>
    <cellStyle name="Hyperlink Text." xfId="27"/>
    <cellStyle name="Hyperlink TOC 1." xfId="30"/>
    <cellStyle name="Hyperlink TOC 2." xfId="31"/>
    <cellStyle name="Hyperlink TOC 3." xfId="32"/>
    <cellStyle name="Hyperlink TOC 4." xfId="33"/>
    <cellStyle name="Lookup Table Heading." xfId="24"/>
    <cellStyle name="Lookup Table Label." xfId="26"/>
    <cellStyle name="Lookup Table Number." xfId="25"/>
    <cellStyle name="Model Name." xfId="3"/>
    <cellStyle name="Multiple." xfId="21"/>
    <cellStyle name="Normal" xfId="0" builtinId="0" customBuiltin="1"/>
    <cellStyle name="Normal 2" xfId="65"/>
    <cellStyle name="Number." xfId="19"/>
    <cellStyle name="Percent" xfId="58" builtinId="5"/>
    <cellStyle name="Percentage." xfId="20"/>
    <cellStyle name="Period Title." xfId="23"/>
    <cellStyle name="Pres_#_0" xfId="63"/>
    <cellStyle name="Presentation Currency." xfId="45"/>
    <cellStyle name="Presentation Date." xfId="47"/>
    <cellStyle name="Presentation Heading 1." xfId="37"/>
    <cellStyle name="Presentation Heading 2." xfId="38"/>
    <cellStyle name="Presentation Heading 3." xfId="39"/>
    <cellStyle name="Presentation Heading 4." xfId="40"/>
    <cellStyle name="Presentation Hyperlink Arrow." xfId="50"/>
    <cellStyle name="Presentation Hyperlink Check." xfId="51"/>
    <cellStyle name="Presentation Hyperlink Text." xfId="49"/>
    <cellStyle name="Presentation Model Name." xfId="36"/>
    <cellStyle name="Presentation Multiple." xfId="44"/>
    <cellStyle name="Presentation Normal." xfId="56"/>
    <cellStyle name="Presentation Number." xfId="42"/>
    <cellStyle name="Presentation Percentage." xfId="43"/>
    <cellStyle name="Presentation Period Title." xfId="48"/>
    <cellStyle name="Presentation Section Number." xfId="35"/>
    <cellStyle name="Presentation Sheet Title." xfId="34"/>
    <cellStyle name="Presentation Sub Total." xfId="41"/>
    <cellStyle name="Presentation TOC 1." xfId="52"/>
    <cellStyle name="Presentation TOC 2." xfId="53"/>
    <cellStyle name="Presentation TOC 3." xfId="54"/>
    <cellStyle name="Presentation TOC 4." xfId="55"/>
    <cellStyle name="Presentation Year." xfId="46"/>
    <cellStyle name="Section Number." xfId="2"/>
    <cellStyle name="Selection" xfId="61"/>
    <cellStyle name="Sheet Title." xfId="1"/>
    <cellStyle name="Sub Total." xfId="8"/>
    <cellStyle name="Table Header" xfId="66"/>
    <cellStyle name="Table_Period" xfId="62"/>
    <cellStyle name="Year." xfId="17"/>
  </cellStyles>
  <dxfs count="116">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ill>
        <patternFill>
          <bgColor rgb="FFFD6559"/>
        </patternFill>
      </fill>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
      <font>
        <b/>
        <i val="0"/>
        <color indexed="58"/>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DC"/>
      <rgbColor rgb="00FF00FF"/>
      <rgbColor rgb="0000FFFF"/>
      <rgbColor rgb="00800000"/>
      <rgbColor rgb="00008000"/>
      <rgbColor rgb="00C0C0C0"/>
      <rgbColor rgb="00808000"/>
      <rgbColor rgb="00800080"/>
      <rgbColor rgb="00008080"/>
      <rgbColor rgb="00F0F0F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993366"/>
      <rgbColor rgb="00339966"/>
      <rgbColor rgb="00CB2840"/>
      <rgbColor rgb="00007767"/>
      <rgbColor rgb="000069B3"/>
      <rgbColor rgb="00993366"/>
      <rgbColor rgb="00FFFF78"/>
      <rgbColor rgb="00FFFFFF"/>
    </indexedColors>
    <mruColors>
      <color rgb="FF993366"/>
      <color rgb="FF66FF66"/>
      <color rgb="FFFFCCFF"/>
      <color rgb="FFFFFFCC"/>
      <color rgb="FF99CCFF"/>
      <color rgb="FFFD6559"/>
      <color rgb="FFFFCCCC"/>
      <color rgb="FFFF99FF"/>
      <color rgb="FF99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556938056872568"/>
          <c:y val="0.1732692169780419"/>
          <c:w val="0.40470283290111975"/>
          <c:h val="0.62884615757350215"/>
        </c:manualLayout>
      </c:layout>
      <c:pieChart>
        <c:varyColors val="1"/>
        <c:ser>
          <c:idx val="0"/>
          <c:order val="0"/>
          <c:dPt>
            <c:idx val="0"/>
            <c:bubble3D val="0"/>
            <c:spPr>
              <a:solidFill>
                <a:schemeClr val="accent3"/>
              </a:solidFill>
            </c:spPr>
          </c:dPt>
          <c:dLbls>
            <c:dLbl>
              <c:idx val="0"/>
              <c:layout>
                <c:manualLayout>
                  <c:x val="0.33266599059233842"/>
                  <c:y val="-0.23706092022863257"/>
                </c:manualLayout>
              </c:layout>
              <c:showLegendKey val="0"/>
              <c:showVal val="0"/>
              <c:showCatName val="0"/>
              <c:showSerName val="0"/>
              <c:showPercent val="1"/>
              <c:showBubbleSize val="0"/>
            </c:dLbl>
            <c:dLbl>
              <c:idx val="1"/>
              <c:layout>
                <c:manualLayout>
                  <c:x val="-0.21740592026563982"/>
                  <c:y val="2.7278524315953304E-2"/>
                </c:manualLayout>
              </c:layout>
              <c:showLegendKey val="0"/>
              <c:showVal val="0"/>
              <c:showCatName val="0"/>
              <c:showSerName val="0"/>
              <c:showPercent val="1"/>
              <c:showBubbleSize val="0"/>
            </c:dLbl>
            <c:showLegendKey val="0"/>
            <c:showVal val="0"/>
            <c:showCatName val="0"/>
            <c:showSerName val="0"/>
            <c:showPercent val="1"/>
            <c:showBubbleSize val="0"/>
            <c:showLeaderLines val="1"/>
          </c:dLbls>
          <c:cat>
            <c:strRef>
              <c:f>PLUG_IN_2_P_MS!$T$18:$T$19</c:f>
              <c:strCache>
                <c:ptCount val="2"/>
                <c:pt idx="0">
                  <c:v>TOTAL</c:v>
                </c:pt>
                <c:pt idx="1">
                  <c:v>UNMET </c:v>
                </c:pt>
              </c:strCache>
            </c:strRef>
          </c:cat>
          <c:val>
            <c:numRef>
              <c:f>PLUG_IN_2_P_MS!$V$18:$V$19</c:f>
              <c:numCache>
                <c:formatCode>_(* #,##0_);_(* \(#,##0\);_(* "-"??_);_(@_)</c:formatCode>
                <c:ptCount val="2"/>
                <c:pt idx="0">
                  <c:v>#N/A</c:v>
                </c:pt>
                <c:pt idx="1">
                  <c:v>#N/A</c:v>
                </c:pt>
              </c:numCache>
            </c:numRef>
          </c:val>
        </c:ser>
        <c:dLbls>
          <c:showLegendKey val="0"/>
          <c:showVal val="0"/>
          <c:showCatName val="0"/>
          <c:showSerName val="0"/>
          <c:showPercent val="1"/>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Drop" dropLines="2" dropStyle="combo" dx="23" fmlaLink="$H$169" fmlaRange="LU_Sum_Tbls_Curr" noThreeD="1" val="0"/>
</file>

<file path=xl/ctrlProps/ctrlProp2.xml><?xml version="1.0" encoding="utf-8"?>
<formControlPr xmlns="http://schemas.microsoft.com/office/spreadsheetml/2009/9/main" objectType="Drop" dropLines="2" dropStyle="combo" dx="23" fmlaLink="DD_Serv_Curr" fmlaRange="LU_Serv_Curr" noThreeD="1" val="0"/>
</file>

<file path=xl/ctrlProps/ctrlProp3.xml><?xml version="1.0" encoding="utf-8"?>
<formControlPr xmlns="http://schemas.microsoft.com/office/spreadsheetml/2009/9/main" objectType="Drop" dropLines="2" dropStyle="combo" dx="23" fmlaLink="DD_Intro_Costs_Curr" fmlaRange="LU_Intro_Costs_Curr" noThreeD="1" val="0"/>
</file>

<file path=xl/ctrlProps/ctrlProp4.xml><?xml version="1.0" encoding="utf-8"?>
<formControlPr xmlns="http://schemas.microsoft.com/office/spreadsheetml/2009/9/main" objectType="Drop" dropLines="2" dropStyle="combo" dx="23" fmlaLink="DD_Init_Inv_Curr" fmlaRange="LU_Init_Inv_Curr" noThreeD="1" val="0"/>
</file>

<file path=xl/ctrlProps/ctrlProp5.xml><?xml version="1.0" encoding="utf-8"?>
<formControlPr xmlns="http://schemas.microsoft.com/office/spreadsheetml/2009/9/main" objectType="Drop" dropLines="2" dropStyle="combo" dx="23" fmlaLink="DD_Recur_Cost_Curr" fmlaRange="LU_Recur_Cost_Curr" noThreeD="1" val="0"/>
</file>

<file path=xl/ctrlProps/ctrlProp6.xml><?xml version="1.0" encoding="utf-8"?>
<formControlPr xmlns="http://schemas.microsoft.com/office/spreadsheetml/2009/9/main" objectType="Drop" dropLines="2" dropStyle="combo" dx="23" fmlaLink="DD_Total_Costs_Curr" fmlaRange="LU_Total_Costs_Curr" noThreeD="1" val="0"/>
</file>

<file path=xl/ctrlProps/ctrlProp7.xml><?xml version="1.0" encoding="utf-8"?>
<formControlPr xmlns="http://schemas.microsoft.com/office/spreadsheetml/2009/9/main" objectType="Drop" dropLines="12" dropStyle="combo" dx="23" fmlaLink="DD_TS_Fin_Yr_End_Mth" fmlaRange="LU_TS_Mth_Names" noThreeD="1" sel="12" val="0"/>
</file>

<file path=xl/ctrlProps/ctrlProp8.xml><?xml version="1.0" encoding="utf-8"?>
<formControlPr xmlns="http://schemas.microsoft.com/office/spreadsheetml/2009/9/main" objectType="Drop" dropLines="4" dropStyle="combo" dx="23" fmlaLink="DD_TS_Denom" fmlaRange="LU_TS_Denom" noThreeD="1" val="0"/>
</file>

<file path=xl/ctrlProps/ctrlProp9.xml><?xml version="1.0" encoding="utf-8"?>
<formControlPr xmlns="http://schemas.microsoft.com/office/spreadsheetml/2009/9/main" objectType="Drop" dropLines="6" dropStyle="combo" dx="23" fmlaLink="$J$10" fmlaRange="LU_Reg_Pop_Start_Year" noThreeD="1" val="0"/>
</file>

<file path=xl/ctrlProps/ctrlProp10.xml><?xml version="1.0" encoding="utf-8"?>
<formControlPr xmlns="http://schemas.microsoft.com/office/spreadsheetml/2009/9/main" objectType="Drop" dropLines="6" dropStyle="combo" dx="23" fmlaLink="$J$13" fmlaRange="LU_Reg_Pop_Start_Year" noThreeD="1" val="0"/>
</file>

<file path=xl/ctrlProps/ctrlProp11.xml><?xml version="1.0" encoding="utf-8"?>
<formControlPr xmlns="http://schemas.microsoft.com/office/spreadsheetml/2009/9/main" objectType="Drop" dropLines="6" dropStyle="combo" dx="23" fmlaLink="$J$14" fmlaRange="LU_Reg_Pop_Start_Year" noThreeD="1" val="0"/>
</file>

<file path=xl/ctrlProps/ctrlProp12.xml><?xml version="1.0" encoding="utf-8"?>
<formControlPr xmlns="http://schemas.microsoft.com/office/spreadsheetml/2009/9/main" objectType="Drop" dropLines="6" dropStyle="combo" dx="23" fmlaLink="$J$12" fmlaRange="LU_Reg_Pop_Start_Year" noThreeD="1" val="0"/>
</file>

<file path=xl/ctrlProps/ctrlProp13.xml><?xml version="1.0" encoding="utf-8"?>
<formControlPr xmlns="http://schemas.microsoft.com/office/spreadsheetml/2009/9/main" objectType="Drop" dropLines="6" dropStyle="combo" dx="23" fmlaLink="$J$11" fmlaRange="LU_Reg_Pop_Start_Year" noThreeD="1" val="0"/>
</file>

<file path=xl/ctrlProps/ctrlProp14.xml><?xml version="1.0" encoding="utf-8"?>
<formControlPr xmlns="http://schemas.microsoft.com/office/spreadsheetml/2009/9/main" objectType="Drop" dropLines="6" dropStyle="combo" dx="16" fmlaLink="$J$15" fmlaRange="LU_Reg_Pop_Start_Year" noThreeD="1" val="0"/>
</file>

<file path=xl/ctrlProps/ctrlProp15.xml><?xml version="1.0" encoding="utf-8"?>
<formControlPr xmlns="http://schemas.microsoft.com/office/spreadsheetml/2009/9/main" objectType="Drop" dropLines="6" dropStyle="combo" dx="16" fmlaLink="$J$16" fmlaRange="LU_Reg_Pop_Start_Year" noThreeD="1" val="0"/>
</file>

<file path=xl/ctrlProps/ctrlProp16.xml><?xml version="1.0" encoding="utf-8"?>
<formControlPr xmlns="http://schemas.microsoft.com/office/spreadsheetml/2009/9/main" objectType="Drop" dropLines="6" dropStyle="combo" dx="16" fmlaLink="$J$17" fmlaRange="LU_Reg_Pop_Start_Year" noThreeD="1" val="0"/>
</file>

<file path=xl/ctrlProps/ctrlProp17.xml><?xml version="1.0" encoding="utf-8"?>
<formControlPr xmlns="http://schemas.microsoft.com/office/spreadsheetml/2009/9/main" objectType="Drop" dropLines="6" dropStyle="combo" dx="16" fmlaLink="$J$18" fmlaRange="LU_Reg_Pop_Start_Year" noThreeD="1" val="0"/>
</file>

<file path=xl/ctrlProps/ctrlProp18.xml><?xml version="1.0" encoding="utf-8"?>
<formControlPr xmlns="http://schemas.microsoft.com/office/spreadsheetml/2009/9/main" objectType="Drop" dropLines="6" dropStyle="combo" dx="16" fmlaLink="$J$19" fmlaRange="LU_Reg_Pop_Start_Year" noThreeD="1" val="0"/>
</file>

<file path=xl/ctrlProps/ctrlProp19.xml><?xml version="1.0" encoding="utf-8"?>
<formControlPr xmlns="http://schemas.microsoft.com/office/spreadsheetml/2009/9/main" objectType="CheckBox" checked="Checked" fmlaLink="$H$246" lockText="1" noThreeD="1"/>
</file>

<file path=xl/ctrlProps/ctrlProp20.xml><?xml version="1.0" encoding="utf-8"?>
<formControlPr xmlns="http://schemas.microsoft.com/office/spreadsheetml/2009/9/main" objectType="CheckBox" checked="Checked" fmlaLink="$H$214" lockText="1" noThreeD="1"/>
</file>

<file path=xl/ctrlProps/ctrlProp21.xml><?xml version="1.0" encoding="utf-8"?>
<formControlPr xmlns="http://schemas.microsoft.com/office/spreadsheetml/2009/9/main" objectType="CheckBox" checked="Checked" fmlaLink="$H$767" lockText="1" noThreeD="1"/>
</file>

<file path=xl/ctrlProps/ctrlProp22.xml><?xml version="1.0" encoding="utf-8"?>
<formControlPr xmlns="http://schemas.microsoft.com/office/spreadsheetml/2009/9/main" objectType="CheckBox" checked="Checked" fmlaLink="$H$182" lockText="1" noThreeD="1"/>
</file>

<file path=xl/ctrlProps/ctrlProp23.xml><?xml version="1.0" encoding="utf-8"?>
<formControlPr xmlns="http://schemas.microsoft.com/office/spreadsheetml/2009/9/main" objectType="CheckBox" checked="Checked" fmlaLink="$H$377" lockText="1" noThreeD="1"/>
</file>

<file path=xl/ctrlProps/ctrlProp24.xml><?xml version="1.0" encoding="utf-8"?>
<formControlPr xmlns="http://schemas.microsoft.com/office/spreadsheetml/2009/9/main" objectType="CheckBox" checked="Checked" fmlaLink="$H$962" lockText="1" noThreeD="1"/>
</file>

<file path=xl/ctrlProps/ctrlProp25.xml><?xml version="1.0" encoding="utf-8"?>
<formControlPr xmlns="http://schemas.microsoft.com/office/spreadsheetml/2009/9/main" objectType="CheckBox" checked="Checked" fmlaLink="$H$572" lockText="1" noThreeD="1"/>
</file>

<file path=xl/ctrlProps/ctrlProp26.xml><?xml version="1.0" encoding="utf-8"?>
<formControlPr xmlns="http://schemas.microsoft.com/office/spreadsheetml/2009/9/main" objectType="CheckBox" checked="Checked" fmlaLink="$H$1157" lockText="1" noThreeD="1"/>
</file>

<file path=xl/ctrlProps/ctrlProp27.xml><?xml version="1.0" encoding="utf-8"?>
<formControlPr xmlns="http://schemas.microsoft.com/office/spreadsheetml/2009/9/main" objectType="Drop" dropLines="2" dropStyle="combo" dx="23" fmlaLink="DD_Micro_Curr" fmlaRange="LU_Micro_Curr" noThreeD="1" val="0"/>
</file>

<file path=xl/ctrlProps/ctrlProp28.xml><?xml version="1.0" encoding="utf-8"?>
<formControlPr xmlns="http://schemas.microsoft.com/office/spreadsheetml/2009/9/main" objectType="Drop" dropLines="2" dropStyle="combo" dx="23" fmlaLink="DD_Train_Curr" fmlaRange="LU_Train_Curr" noThreeD="1" val="0"/>
</file>

<file path=xl/ctrlProps/ctrlProp29.xml><?xml version="1.0" encoding="utf-8"?>
<formControlPr xmlns="http://schemas.microsoft.com/office/spreadsheetml/2009/9/main" objectType="Drop" dropLines="2" dropStyle="combo" dx="23" fmlaLink="DD_Comm_Curr" fmlaRange="LU_Comm_Curr" noThreeD="1" val="0"/>
</file>

<file path=xl/ctrlProps/ctrlProp30.xml><?xml version="1.0" encoding="utf-8"?>
<formControlPr xmlns="http://schemas.microsoft.com/office/spreadsheetml/2009/9/main" objectType="Drop" dropLines="5" dropStyle="combo" dx="23" fmlaLink="$I$228" fmlaRange="LU_SME_Num_Act" noThreeD="1" sel="2" val="0"/>
</file>

<file path=xl/ctrlProps/ctrlProp31.xml><?xml version="1.0" encoding="utf-8"?>
<formControlPr xmlns="http://schemas.microsoft.com/office/spreadsheetml/2009/9/main" objectType="Drop" dropLines="5" dropStyle="combo" dx="23" fmlaLink="$I$229" fmlaRange="LU_SME_Num_Act" noThreeD="1" sel="2" val="0"/>
</file>

<file path=xl/ctrlProps/ctrlProp32.xml><?xml version="1.0" encoding="utf-8"?>
<formControlPr xmlns="http://schemas.microsoft.com/office/spreadsheetml/2009/9/main" objectType="Drop" dropLines="5" dropStyle="combo" dx="23" fmlaLink="$I$230" fmlaRange="LU_SME_Num_Act" noThreeD="1" sel="3" val="0"/>
</file>

<file path=xl/ctrlProps/ctrlProp33.xml><?xml version="1.0" encoding="utf-8"?>
<formControlPr xmlns="http://schemas.microsoft.com/office/spreadsheetml/2009/9/main" objectType="Drop" dropLines="5" dropStyle="combo" dx="23" fmlaLink="$I$238" fmlaRange="LU_SME_Num_Act" noThreeD="1" sel="4" val="0"/>
</file>

<file path=xl/ctrlProps/ctrlProp34.xml><?xml version="1.0" encoding="utf-8"?>
<formControlPr xmlns="http://schemas.microsoft.com/office/spreadsheetml/2009/9/main" objectType="Drop" dropLines="2" dropStyle="combo" dx="23" fmlaLink="DD_SME_Curr" fmlaRange="LU_SME_Curr" noThreeD="1" val="0"/>
</file>

<file path=xl/ctrlProps/ctrlProp35.xml><?xml version="1.0" encoding="utf-8"?>
<formControlPr xmlns="http://schemas.microsoft.com/office/spreadsheetml/2009/9/main" objectType="Drop" dropLines="2" dropStyle="combo" dx="23" fmlaLink="DD_Oth_Curr" fmlaRange="LU_Oth_Curr" noThreeD="1" val="0"/>
</file>

<file path=xl/ctrlProps/ctrlProp36.xml><?xml version="1.0" encoding="utf-8"?>
<formControlPr xmlns="http://schemas.microsoft.com/office/spreadsheetml/2009/9/main" objectType="Scroll" dx="23" fmlaLink="SB_Adj_Min_per_Screening" horiz="1" max="30" min="5" noThreeD="1" page="10" val="11"/>
</file>

<file path=xl/ctrlProps/ctrlProp37.xml><?xml version="1.0" encoding="utf-8"?>
<formControlPr xmlns="http://schemas.microsoft.com/office/spreadsheetml/2009/9/main" objectType="Scroll" dx="23" fmlaLink="SB_Adj_Hrs_Screening_Avail_per_Day" horiz="1" max="24" min="1" noThreeD="1" page="5" val="8"/>
</file>

<file path=xl/ctrlProps/ctrlProp38.xml><?xml version="1.0" encoding="utf-8"?>
<formControlPr xmlns="http://schemas.microsoft.com/office/spreadsheetml/2009/9/main" objectType="Scroll" dx="23" fmlaLink="SB_Adj_Screen_Days_per_Month" horiz="1" max="30" min="1" noThreeD="1" page="5" val="6"/>
</file>

<file path=xl/ctrlProps/ctrlProp39.xml><?xml version="1.0" encoding="utf-8"?>
<formControlPr xmlns="http://schemas.microsoft.com/office/spreadsheetml/2009/9/main" objectType="Spin" dx="23" fmlaLink="Ass_Min_per_Screening_Hr" inc="5" max="60" noThreeD="1" page="10" val="60"/>
</file>

<file path=xl/ctrlProps/ctrlProp40.xml><?xml version="1.0" encoding="utf-8"?>
<formControlPr xmlns="http://schemas.microsoft.com/office/spreadsheetml/2009/9/main" objectType="Spin" dx="23" fmlaLink="S_SP_Working_Hrs_Per_Day" max="24" noThreeD="1" page="10" val="8"/>
</file>

<file path=xl/ctrlProps/ctrlProp41.xml><?xml version="1.0" encoding="utf-8"?>
<formControlPr xmlns="http://schemas.microsoft.com/office/spreadsheetml/2009/9/main" objectType="Spin" dx="23" fmlaLink="S_SP_Working_Days_Per_Month" max="30" noThreeD="1" page="10" val="20"/>
</file>

<file path=xl/ctrlProps/ctrlProp42.xml><?xml version="1.0" encoding="utf-8"?>
<formControlPr xmlns="http://schemas.microsoft.com/office/spreadsheetml/2009/9/main" objectType="Spin" dx="23" fmlaLink="S_SP_Percent_Allocated_To_SU" inc="5" max="100" noThreeD="1" page="10" val="50"/>
</file>

<file path=xl/ctrlProps/ctrlProp43.xml><?xml version="1.0" encoding="utf-8"?>
<formControlPr xmlns="http://schemas.microsoft.com/office/spreadsheetml/2009/9/main" objectType="Spin" dx="23" fmlaLink="S_Nbr_SP_Needed_Per_Service" max="10" min="1" noThreeD="1" page="10" val="0"/>
</file>

<file path=xl/ctrlProps/ctrlProp44.xml><?xml version="1.0" encoding="utf-8"?>
<formControlPr xmlns="http://schemas.microsoft.com/office/spreadsheetml/2009/9/main" objectType="Spin" dx="23" fmlaLink="S_FTE_Mins_per_Hr" inc="10" max="60" noThreeD="1" page="10" val="60"/>
</file>

<file path=xl/ctrlProps/ctrlProp45.xml><?xml version="1.0" encoding="utf-8"?>
<formControlPr xmlns="http://schemas.microsoft.com/office/spreadsheetml/2009/9/main" objectType="Spin" dx="23" fmlaLink="S_SP_Working_Days_Per_Month" max="30" noThreeD="1" page="10" val="20"/>
</file>

<file path=xl/ctrlProps/ctrlProp46.xml><?xml version="1.0" encoding="utf-8"?>
<formControlPr xmlns="http://schemas.microsoft.com/office/spreadsheetml/2009/9/main" objectType="Scroll" dx="25" fmlaLink="SB_WKSHT_PROP_ELIG_SEEK_SCREEN" horiz="1" inc="5" max="100" noThreeD="1" page="10" val="57"/>
</file>

<file path=xl/ctrlProps/ctrlProp47.xml><?xml version="1.0" encoding="utf-8"?>
<formControlPr xmlns="http://schemas.microsoft.com/office/spreadsheetml/2009/9/main" objectType="Drop" dropLines="2" dropStyle="combo" dx="23" fmlaLink="DD_PLUG_Train1_Curr" fmlaRange="LU_PLUG_Train_Curr" noThreeD="1" val="0"/>
</file>

<file path=xl/ctrlProps/ctrlProp48.xml><?xml version="1.0" encoding="utf-8"?>
<formControlPr xmlns="http://schemas.microsoft.com/office/spreadsheetml/2009/9/main" objectType="Drop" dropLines="2" dropStyle="combo" dx="23" fmlaLink="DD_PLUG_2_Train1_Curr" fmlaRange="LU_PLUG_2_Train_Curr" noThreeD="1" val="0"/>
</file>

<file path=xl/ctrlProps/ctrlProp49.xml><?xml version="1.0" encoding="utf-8"?>
<formControlPr xmlns="http://schemas.microsoft.com/office/spreadsheetml/2009/9/main" objectType="Drop" dropLines="2" dropStyle="combo" dx="23" fmlaLink="DD_PLUG_3_Train1_Curr" fmlaRange="LU_PLUG_3_Train_Curr" noThreeD="1" val="0"/>
</file>

<file path=xl/ctrlProps/ctrlProp50.xml><?xml version="1.0" encoding="utf-8"?>
<formControlPr xmlns="http://schemas.microsoft.com/office/spreadsheetml/2009/9/main" objectType="Drop" dropLines="2" dropStyle="combo" dx="23" fmlaLink="DD_PLUG_4_Train1_Curr" fmlaRange="LU_PLUG_4_Train_Curr" noThreeD="1" val="0"/>
</file>

<file path=xl/ctrlProps/ctrlProp51.xml><?xml version="1.0" encoding="utf-8"?>
<formControlPr xmlns="http://schemas.microsoft.com/office/spreadsheetml/2009/9/main" objectType="Drop" dropLines="2" dropStyle="combo" dx="23" fmlaLink="DD_PLUG_5_Meet1_Curr" fmlaRange="LU_PLUG_5_Meet_Curr" noThreeD="1" val="0"/>
</file>

<file path=xl/ctrlProps/ctrlProp52.xml><?xml version="1.0" encoding="utf-8"?>
<formControlPr xmlns="http://schemas.microsoft.com/office/spreadsheetml/2009/9/main" objectType="Drop" dropLines="2" dropStyle="combo" dx="23" fmlaLink="DD_PLUG_6_Meet1_Curr" fmlaRange="LU_PLUG_6_Meet_Curr" noThreeD="1" val="0"/>
</file>

<file path=xl/ctrlProps/ctrlProp53.xml><?xml version="1.0" encoding="utf-8"?>
<formControlPr xmlns="http://schemas.microsoft.com/office/spreadsheetml/2009/9/main" objectType="Drop" dropLines="2" dropStyle="combo" dx="23" fmlaLink="DD_PLUG_7_Meet1_Curr" fmlaRange="LU_PLUG_7_Meet_Curr" noThreeD="1" val="0"/>
</file>

<file path=xl/ctrlProps/ctrlProp54.xml><?xml version="1.0" encoding="utf-8"?>
<formControlPr xmlns="http://schemas.microsoft.com/office/spreadsheetml/2009/9/main" objectType="CheckBox" checked="Checked" fmlaLink="CB_Err_Chks_Show_Msg" lockText="1" noThreeD="1"/>
</file>

<file path=xl/ctrlProps/ctrlProp55.xml><?xml version="1.0" encoding="utf-8"?>
<formControlPr xmlns="http://schemas.microsoft.com/office/spreadsheetml/2009/9/main" objectType="CheckBox" checked="Checked" fmlaLink="CB_Sens_Chks_Show_Msg" lockText="1" noThreeD="1"/>
</file>

<file path=xl/ctrlProps/ctrlProp56.xml><?xml version="1.0" encoding="utf-8"?>
<formControlPr xmlns="http://schemas.microsoft.com/office/spreadsheetml/2009/9/main" objectType="CheckBox" checked="Checked" fmlaLink="CB_Alt_Chks_Show_Msg"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5.png"/><Relationship Id="rId5" Type="http://schemas.openxmlformats.org/officeDocument/2006/relationships/hyperlink" Target="http://www.levinmorgan.com" TargetMode="External"/><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4.jpg"/></Relationships>
</file>

<file path=xl/drawings/_rels/drawing19.xml.rels><?xml version="1.0" encoding="UTF-8" standalone="yes"?>
<Relationships xmlns="http://schemas.openxmlformats.org/package/2006/relationships"><Relationship Id="rId1" Type="http://schemas.openxmlformats.org/officeDocument/2006/relationships/image" Target="../media/image14.jpg"/></Relationships>
</file>

<file path=xl/drawings/_rels/drawing20.xml.rels><?xml version="1.0" encoding="UTF-8" standalone="yes"?>
<Relationships xmlns="http://schemas.openxmlformats.org/package/2006/relationships"><Relationship Id="rId1" Type="http://schemas.openxmlformats.org/officeDocument/2006/relationships/image" Target="../media/image14.jpg"/></Relationships>
</file>

<file path=xl/drawings/_rels/drawing22.xml.rels><?xml version="1.0" encoding="UTF-8" standalone="yes"?>
<Relationships xmlns="http://schemas.openxmlformats.org/package/2006/relationships"><Relationship Id="rId1" Type="http://schemas.openxmlformats.org/officeDocument/2006/relationships/image" Target="../media/image1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xdr:col>
      <xdr:colOff>765048</xdr:colOff>
      <xdr:row>4</xdr:row>
      <xdr:rowOff>49678</xdr:rowOff>
    </xdr:from>
    <xdr:to>
      <xdr:col>7</xdr:col>
      <xdr:colOff>609600</xdr:colOff>
      <xdr:row>9</xdr:row>
      <xdr:rowOff>50800</xdr:rowOff>
    </xdr:to>
    <xdr:pic>
      <xdr:nvPicPr>
        <xdr:cNvPr id="7" name="Picture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6098" y="1002178"/>
          <a:ext cx="2968752" cy="848847"/>
        </a:xfrm>
        <a:prstGeom prst="rect">
          <a:avLst/>
        </a:prstGeom>
      </xdr:spPr>
    </xdr:pic>
    <xdr:clientData/>
  </xdr:twoCellAnchor>
  <xdr:twoCellAnchor editAs="oneCell">
    <xdr:from>
      <xdr:col>7</xdr:col>
      <xdr:colOff>348615</xdr:colOff>
      <xdr:row>21</xdr:row>
      <xdr:rowOff>38177</xdr:rowOff>
    </xdr:from>
    <xdr:to>
      <xdr:col>10</xdr:col>
      <xdr:colOff>0</xdr:colOff>
      <xdr:row>24</xdr:row>
      <xdr:rowOff>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82365" y="4857827"/>
          <a:ext cx="1994535" cy="447598"/>
        </a:xfrm>
        <a:prstGeom prst="rect">
          <a:avLst/>
        </a:prstGeom>
      </xdr:spPr>
    </xdr:pic>
    <xdr:clientData/>
  </xdr:twoCellAnchor>
  <xdr:twoCellAnchor editAs="oneCell">
    <xdr:from>
      <xdr:col>0</xdr:col>
      <xdr:colOff>716281</xdr:colOff>
      <xdr:row>21</xdr:row>
      <xdr:rowOff>83820</xdr:rowOff>
    </xdr:from>
    <xdr:to>
      <xdr:col>6</xdr:col>
      <xdr:colOff>340014</xdr:colOff>
      <xdr:row>24</xdr:row>
      <xdr:rowOff>33528</xdr:rowOff>
    </xdr:to>
    <xdr:pic>
      <xdr:nvPicPr>
        <xdr:cNvPr id="5" name="Picture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16281" y="5204460"/>
          <a:ext cx="2229773" cy="475488"/>
        </a:xfrm>
        <a:prstGeom prst="rect">
          <a:avLst/>
        </a:prstGeom>
      </xdr:spPr>
    </xdr:pic>
    <xdr:clientData/>
  </xdr:twoCellAnchor>
  <xdr:twoCellAnchor editAs="oneCell">
    <xdr:from>
      <xdr:col>0</xdr:col>
      <xdr:colOff>139701</xdr:colOff>
      <xdr:row>0</xdr:row>
      <xdr:rowOff>0</xdr:rowOff>
    </xdr:from>
    <xdr:to>
      <xdr:col>1</xdr:col>
      <xdr:colOff>390295</xdr:colOff>
      <xdr:row>6</xdr:row>
      <xdr:rowOff>127000</xdr:rowOff>
    </xdr:to>
    <xdr:pic>
      <xdr:nvPicPr>
        <xdr:cNvPr id="8" name="Picture 7" descr="File:Tealand White.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9701" y="0"/>
          <a:ext cx="1031644" cy="143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495300</xdr:colOff>
      <xdr:row>20</xdr:row>
      <xdr:rowOff>98701</xdr:rowOff>
    </xdr:from>
    <xdr:to>
      <xdr:col>13</xdr:col>
      <xdr:colOff>1199852</xdr:colOff>
      <xdr:row>24</xdr:row>
      <xdr:rowOff>47625</xdr:rowOff>
    </xdr:to>
    <xdr:pic>
      <xdr:nvPicPr>
        <xdr:cNvPr id="2" name="Picture 1">
          <a:hlinkClick xmlns:r="http://schemas.openxmlformats.org/officeDocument/2006/relationships" r:id="rId5"/>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781925" y="3889651"/>
          <a:ext cx="1866602" cy="634724"/>
        </a:xfrm>
        <a:prstGeom prst="rect">
          <a:avLst/>
        </a:prstGeom>
      </xdr:spPr>
    </xdr:pic>
    <xdr:clientData/>
  </xdr:twoCellAnchor>
  <xdr:twoCellAnchor>
    <xdr:from>
      <xdr:col>9</xdr:col>
      <xdr:colOff>485775</xdr:colOff>
      <xdr:row>1</xdr:row>
      <xdr:rowOff>180976</xdr:rowOff>
    </xdr:from>
    <xdr:to>
      <xdr:col>15</xdr:col>
      <xdr:colOff>266700</xdr:colOff>
      <xdr:row>9</xdr:row>
      <xdr:rowOff>28576</xdr:rowOff>
    </xdr:to>
    <xdr:sp macro="" textlink="">
      <xdr:nvSpPr>
        <xdr:cNvPr id="4" name="Rounded Rectangle 3"/>
        <xdr:cNvSpPr/>
      </xdr:nvSpPr>
      <xdr:spPr>
        <a:xfrm>
          <a:off x="5953125" y="447676"/>
          <a:ext cx="4791075" cy="1714500"/>
        </a:xfrm>
        <a:prstGeom prst="roundRect">
          <a:avLst>
            <a:gd name="adj" fmla="val 9445"/>
          </a:avLst>
        </a:prstGeom>
        <a:noFill/>
        <a:ln>
          <a:solidFill>
            <a:schemeClr val="tx2"/>
          </a:solidFill>
        </a:ln>
        <a:effectLst>
          <a:outerShdw blurRad="50800" dist="38100" dir="2700000" algn="tl" rotWithShape="0">
            <a:prstClr val="black">
              <a:alpha val="40000"/>
            </a:prstClr>
          </a:outerShdw>
        </a:effectLst>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0</xdr:colOff>
          <xdr:row>168</xdr:row>
          <xdr:rowOff>0</xdr:rowOff>
        </xdr:from>
        <xdr:to>
          <xdr:col>9</xdr:col>
          <xdr:colOff>0</xdr:colOff>
          <xdr:row>169</xdr:row>
          <xdr:rowOff>0</xdr:rowOff>
        </xdr:to>
        <xdr:sp macro="" textlink="">
          <xdr:nvSpPr>
            <xdr:cNvPr id="65544" name="bpmDropDownSum_Tbls1" hidden="1">
              <a:extLst>
                <a:ext uri="{63B3BB69-23CF-44E3-9099-C40C66FF867C}">
                  <a14:compatExt spid="_x0000_s655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63</xdr:row>
          <xdr:rowOff>0</xdr:rowOff>
        </xdr:from>
        <xdr:to>
          <xdr:col>9</xdr:col>
          <xdr:colOff>0</xdr:colOff>
          <xdr:row>64</xdr:row>
          <xdr:rowOff>0</xdr:rowOff>
        </xdr:to>
        <xdr:sp macro="" textlink="">
          <xdr:nvSpPr>
            <xdr:cNvPr id="65545" name="bpmDropDownServ1" hidden="1">
              <a:extLst>
                <a:ext uri="{63B3BB69-23CF-44E3-9099-C40C66FF867C}">
                  <a14:compatExt spid="_x0000_s655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327</xdr:row>
          <xdr:rowOff>0</xdr:rowOff>
        </xdr:from>
        <xdr:to>
          <xdr:col>9</xdr:col>
          <xdr:colOff>0</xdr:colOff>
          <xdr:row>328</xdr:row>
          <xdr:rowOff>0</xdr:rowOff>
        </xdr:to>
        <xdr:sp macro="" textlink="">
          <xdr:nvSpPr>
            <xdr:cNvPr id="65558" name="bpmDropDownIntro_Costs1" hidden="1">
              <a:extLst>
                <a:ext uri="{63B3BB69-23CF-44E3-9099-C40C66FF867C}">
                  <a14:compatExt spid="_x0000_s655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206</xdr:row>
          <xdr:rowOff>0</xdr:rowOff>
        </xdr:from>
        <xdr:to>
          <xdr:col>9</xdr:col>
          <xdr:colOff>0</xdr:colOff>
          <xdr:row>207</xdr:row>
          <xdr:rowOff>0</xdr:rowOff>
        </xdr:to>
        <xdr:sp macro="" textlink="">
          <xdr:nvSpPr>
            <xdr:cNvPr id="65559" name="bpmDropDownInit_Inv1" hidden="1">
              <a:extLst>
                <a:ext uri="{63B3BB69-23CF-44E3-9099-C40C66FF867C}">
                  <a14:compatExt spid="_x0000_s655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401</xdr:row>
          <xdr:rowOff>0</xdr:rowOff>
        </xdr:from>
        <xdr:to>
          <xdr:col>9</xdr:col>
          <xdr:colOff>0</xdr:colOff>
          <xdr:row>402</xdr:row>
          <xdr:rowOff>0</xdr:rowOff>
        </xdr:to>
        <xdr:sp macro="" textlink="">
          <xdr:nvSpPr>
            <xdr:cNvPr id="65560" name="bpmDropDownRecur_Cost1" hidden="1">
              <a:extLst>
                <a:ext uri="{63B3BB69-23CF-44E3-9099-C40C66FF867C}">
                  <a14:compatExt spid="_x0000_s655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13</xdr:row>
          <xdr:rowOff>0</xdr:rowOff>
        </xdr:from>
        <xdr:to>
          <xdr:col>9</xdr:col>
          <xdr:colOff>0</xdr:colOff>
          <xdr:row>14</xdr:row>
          <xdr:rowOff>0</xdr:rowOff>
        </xdr:to>
        <xdr:sp macro="" textlink="">
          <xdr:nvSpPr>
            <xdr:cNvPr id="65583" name="bpmDropDownTotal_Costs1" hidden="1">
              <a:extLst>
                <a:ext uri="{63B3BB69-23CF-44E3-9099-C40C66FF867C}">
                  <a14:compatExt spid="_x0000_s655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xdr:col>
          <xdr:colOff>152400</xdr:colOff>
          <xdr:row>1</xdr:row>
          <xdr:rowOff>219075</xdr:rowOff>
        </xdr:to>
        <xdr:sp macro="" textlink="">
          <xdr:nvSpPr>
            <xdr:cNvPr id="65648" name="ModProjDataOLEBPP" hidden="1">
              <a:extLst>
                <a:ext uri="{63B3BB69-23CF-44E3-9099-C40C66FF867C}">
                  <a14:compatExt spid="_x0000_s65648"/>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16</xdr:col>
      <xdr:colOff>0</xdr:colOff>
      <xdr:row>0</xdr:row>
      <xdr:rowOff>0</xdr:rowOff>
    </xdr:from>
    <xdr:to>
      <xdr:col>16384</xdr:col>
      <xdr:colOff>609600</xdr:colOff>
      <xdr:row>7</xdr:row>
      <xdr:rowOff>184927</xdr:rowOff>
    </xdr:to>
    <xdr:pic>
      <xdr:nvPicPr>
        <xdr:cNvPr id="3" name="Picture 2" descr="File:Tealand White.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3200" y="0"/>
          <a:ext cx="990600" cy="1366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xdr:col>
      <xdr:colOff>206588</xdr:colOff>
      <xdr:row>7</xdr:row>
      <xdr:rowOff>184522</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0"/>
          <a:ext cx="987638" cy="136562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342901</xdr:colOff>
      <xdr:row>16</xdr:row>
      <xdr:rowOff>86701</xdr:rowOff>
    </xdr:from>
    <xdr:to>
      <xdr:col>4</xdr:col>
      <xdr:colOff>15818</xdr:colOff>
      <xdr:row>19</xdr:row>
      <xdr:rowOff>158750</xdr:rowOff>
    </xdr:to>
    <xdr:pic>
      <xdr:nvPicPr>
        <xdr:cNvPr id="2" name="bpmShapeLbl1"/>
        <xdr:cNvPicPr>
          <a:picLocks noChangeAspect="1"/>
        </xdr:cNvPicPr>
      </xdr:nvPicPr>
      <xdr:blipFill>
        <a:blip xmlns:r="http://schemas.openxmlformats.org/officeDocument/2006/relationships" r:embed="rId1"/>
        <a:stretch>
          <a:fillRect/>
        </a:stretch>
      </xdr:blipFill>
      <xdr:spPr>
        <a:xfrm>
          <a:off x="812801" y="3395051"/>
          <a:ext cx="796867" cy="567349"/>
        </a:xfrm>
        <a:prstGeom prst="rect">
          <a:avLst/>
        </a:prstGeom>
      </xdr:spPr>
    </xdr:pic>
    <xdr:clientData/>
  </xdr:twoCellAnchor>
  <xdr:twoCellAnchor editAs="oneCell">
    <xdr:from>
      <xdr:col>4</xdr:col>
      <xdr:colOff>581024</xdr:colOff>
      <xdr:row>16</xdr:row>
      <xdr:rowOff>96737</xdr:rowOff>
    </xdr:from>
    <xdr:to>
      <xdr:col>5</xdr:col>
      <xdr:colOff>434975</xdr:colOff>
      <xdr:row>19</xdr:row>
      <xdr:rowOff>131674</xdr:rowOff>
    </xdr:to>
    <xdr:pic>
      <xdr:nvPicPr>
        <xdr:cNvPr id="3" name="bpmShapeLbl2"/>
        <xdr:cNvPicPr>
          <a:picLocks noChangeAspect="1"/>
        </xdr:cNvPicPr>
      </xdr:nvPicPr>
      <xdr:blipFill>
        <a:blip xmlns:r="http://schemas.openxmlformats.org/officeDocument/2006/relationships" r:embed="rId2"/>
        <a:stretch>
          <a:fillRect/>
        </a:stretch>
      </xdr:blipFill>
      <xdr:spPr>
        <a:xfrm>
          <a:off x="2257424" y="3392387"/>
          <a:ext cx="901701" cy="520712"/>
        </a:xfrm>
        <a:prstGeom prst="rect">
          <a:avLst/>
        </a:prstGeom>
      </xdr:spPr>
    </xdr:pic>
    <xdr:clientData/>
  </xdr:twoCellAnchor>
  <xdr:twoCellAnchor editAs="oneCell">
    <xdr:from>
      <xdr:col>7</xdr:col>
      <xdr:colOff>473075</xdr:colOff>
      <xdr:row>16</xdr:row>
      <xdr:rowOff>10038</xdr:rowOff>
    </xdr:from>
    <xdr:to>
      <xdr:col>8</xdr:col>
      <xdr:colOff>441325</xdr:colOff>
      <xdr:row>19</xdr:row>
      <xdr:rowOff>113787</xdr:rowOff>
    </xdr:to>
    <xdr:pic>
      <xdr:nvPicPr>
        <xdr:cNvPr id="6" name="bpmShapeLbl3"/>
        <xdr:cNvPicPr>
          <a:picLocks noChangeAspect="1"/>
        </xdr:cNvPicPr>
      </xdr:nvPicPr>
      <xdr:blipFill>
        <a:blip xmlns:r="http://schemas.openxmlformats.org/officeDocument/2006/relationships" r:embed="rId3"/>
        <a:stretch>
          <a:fillRect/>
        </a:stretch>
      </xdr:blipFill>
      <xdr:spPr>
        <a:xfrm>
          <a:off x="4816475" y="3305688"/>
          <a:ext cx="749300" cy="589524"/>
        </a:xfrm>
        <a:prstGeom prst="rect">
          <a:avLst/>
        </a:prstGeom>
      </xdr:spPr>
    </xdr:pic>
    <xdr:clientData/>
  </xdr:twoCellAnchor>
  <xdr:twoCellAnchor editAs="oneCell">
    <xdr:from>
      <xdr:col>5</xdr:col>
      <xdr:colOff>869950</xdr:colOff>
      <xdr:row>16</xdr:row>
      <xdr:rowOff>91749</xdr:rowOff>
    </xdr:from>
    <xdr:to>
      <xdr:col>7</xdr:col>
      <xdr:colOff>120736</xdr:colOff>
      <xdr:row>19</xdr:row>
      <xdr:rowOff>139759</xdr:rowOff>
    </xdr:to>
    <xdr:pic>
      <xdr:nvPicPr>
        <xdr:cNvPr id="7" name="bpmShapeLbl4"/>
        <xdr:cNvPicPr>
          <a:picLocks noChangeAspect="1"/>
        </xdr:cNvPicPr>
      </xdr:nvPicPr>
      <xdr:blipFill>
        <a:blip xmlns:r="http://schemas.openxmlformats.org/officeDocument/2006/relationships" r:embed="rId4"/>
        <a:stretch>
          <a:fillRect/>
        </a:stretch>
      </xdr:blipFill>
      <xdr:spPr>
        <a:xfrm>
          <a:off x="3460750" y="3400099"/>
          <a:ext cx="793836" cy="5433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0</xdr:colOff>
          <xdr:row>9</xdr:row>
          <xdr:rowOff>0</xdr:rowOff>
        </xdr:from>
        <xdr:to>
          <xdr:col>9</xdr:col>
          <xdr:colOff>0</xdr:colOff>
          <xdr:row>10</xdr:row>
          <xdr:rowOff>0</xdr:rowOff>
        </xdr:to>
        <xdr:sp macro="" textlink="">
          <xdr:nvSpPr>
            <xdr:cNvPr id="11265" name="bpmDropDownTS1" hidden="1">
              <a:extLst>
                <a:ext uri="{63B3BB69-23CF-44E3-9099-C40C66FF867C}">
                  <a14:compatExt spid="_x0000_s11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12</xdr:row>
          <xdr:rowOff>0</xdr:rowOff>
        </xdr:from>
        <xdr:to>
          <xdr:col>9</xdr:col>
          <xdr:colOff>0</xdr:colOff>
          <xdr:row>15</xdr:row>
          <xdr:rowOff>0</xdr:rowOff>
        </xdr:to>
        <xdr:sp macro="" textlink="">
          <xdr:nvSpPr>
            <xdr:cNvPr id="11266" name="bpmDropDownTS2" hidden="1">
              <a:extLst>
                <a:ext uri="{63B3BB69-23CF-44E3-9099-C40C66FF867C}">
                  <a14:compatExt spid="_x0000_s11266"/>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209550</xdr:colOff>
      <xdr:row>8</xdr:row>
      <xdr:rowOff>70627</xdr:rowOff>
    </xdr:to>
    <xdr:pic>
      <xdr:nvPicPr>
        <xdr:cNvPr id="2" name="Picture 1" descr="File:Tealand White.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990600" cy="1366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0</xdr:colOff>
          <xdr:row>9</xdr:row>
          <xdr:rowOff>0</xdr:rowOff>
        </xdr:from>
        <xdr:to>
          <xdr:col>11</xdr:col>
          <xdr:colOff>0</xdr:colOff>
          <xdr:row>10</xdr:row>
          <xdr:rowOff>0</xdr:rowOff>
        </xdr:to>
        <xdr:sp macro="" textlink="">
          <xdr:nvSpPr>
            <xdr:cNvPr id="13314" name="bpmDropDownReg_Pop2" hidden="1">
              <a:extLst>
                <a:ext uri="{63B3BB69-23CF-44E3-9099-C40C66FF867C}">
                  <a14:compatExt spid="_x0000_s133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12</xdr:row>
          <xdr:rowOff>0</xdr:rowOff>
        </xdr:from>
        <xdr:to>
          <xdr:col>11</xdr:col>
          <xdr:colOff>0</xdr:colOff>
          <xdr:row>13</xdr:row>
          <xdr:rowOff>0</xdr:rowOff>
        </xdr:to>
        <xdr:sp macro="" textlink="">
          <xdr:nvSpPr>
            <xdr:cNvPr id="13315" name="bpmDropDownReg_Pop3" hidden="1">
              <a:extLst>
                <a:ext uri="{63B3BB69-23CF-44E3-9099-C40C66FF867C}">
                  <a14:compatExt spid="_x0000_s133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13</xdr:row>
          <xdr:rowOff>0</xdr:rowOff>
        </xdr:from>
        <xdr:to>
          <xdr:col>11</xdr:col>
          <xdr:colOff>0</xdr:colOff>
          <xdr:row>14</xdr:row>
          <xdr:rowOff>0</xdr:rowOff>
        </xdr:to>
        <xdr:sp macro="" textlink="">
          <xdr:nvSpPr>
            <xdr:cNvPr id="13316" name="bpmDropDownReg_Pop4" hidden="1">
              <a:extLst>
                <a:ext uri="{63B3BB69-23CF-44E3-9099-C40C66FF867C}">
                  <a14:compatExt spid="_x0000_s133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11</xdr:row>
          <xdr:rowOff>0</xdr:rowOff>
        </xdr:from>
        <xdr:to>
          <xdr:col>11</xdr:col>
          <xdr:colOff>0</xdr:colOff>
          <xdr:row>12</xdr:row>
          <xdr:rowOff>0</xdr:rowOff>
        </xdr:to>
        <xdr:sp macro="" textlink="">
          <xdr:nvSpPr>
            <xdr:cNvPr id="13320" name="bpmDropDownReg_Pop8" hidden="1">
              <a:extLst>
                <a:ext uri="{63B3BB69-23CF-44E3-9099-C40C66FF867C}">
                  <a14:compatExt spid="_x0000_s133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10</xdr:row>
          <xdr:rowOff>0</xdr:rowOff>
        </xdr:from>
        <xdr:to>
          <xdr:col>11</xdr:col>
          <xdr:colOff>0</xdr:colOff>
          <xdr:row>11</xdr:row>
          <xdr:rowOff>0</xdr:rowOff>
        </xdr:to>
        <xdr:sp macro="" textlink="">
          <xdr:nvSpPr>
            <xdr:cNvPr id="13321" name="bpmDropDownReg_Pop1" hidden="1">
              <a:extLst>
                <a:ext uri="{63B3BB69-23CF-44E3-9099-C40C66FF867C}">
                  <a14:compatExt spid="_x0000_s133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14</xdr:row>
          <xdr:rowOff>0</xdr:rowOff>
        </xdr:from>
        <xdr:to>
          <xdr:col>11</xdr:col>
          <xdr:colOff>0</xdr:colOff>
          <xdr:row>15</xdr:row>
          <xdr:rowOff>0</xdr:rowOff>
        </xdr:to>
        <xdr:sp macro="" textlink="">
          <xdr:nvSpPr>
            <xdr:cNvPr id="13322" name="bpmDropDownReg_Pop5" hidden="1">
              <a:extLst>
                <a:ext uri="{63B3BB69-23CF-44E3-9099-C40C66FF867C}">
                  <a14:compatExt spid="_x0000_s133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15</xdr:row>
          <xdr:rowOff>0</xdr:rowOff>
        </xdr:from>
        <xdr:to>
          <xdr:col>11</xdr:col>
          <xdr:colOff>0</xdr:colOff>
          <xdr:row>16</xdr:row>
          <xdr:rowOff>0</xdr:rowOff>
        </xdr:to>
        <xdr:sp macro="" textlink="">
          <xdr:nvSpPr>
            <xdr:cNvPr id="13323" name="bpmDropDownReg_Pop6" hidden="1">
              <a:extLst>
                <a:ext uri="{63B3BB69-23CF-44E3-9099-C40C66FF867C}">
                  <a14:compatExt spid="_x0000_s133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16</xdr:row>
          <xdr:rowOff>0</xdr:rowOff>
        </xdr:from>
        <xdr:to>
          <xdr:col>11</xdr:col>
          <xdr:colOff>0</xdr:colOff>
          <xdr:row>17</xdr:row>
          <xdr:rowOff>0</xdr:rowOff>
        </xdr:to>
        <xdr:sp macro="" textlink="">
          <xdr:nvSpPr>
            <xdr:cNvPr id="13324" name="bpmDropDownReg_Pop7" hidden="1">
              <a:extLst>
                <a:ext uri="{63B3BB69-23CF-44E3-9099-C40C66FF867C}">
                  <a14:compatExt spid="_x0000_s133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17</xdr:row>
          <xdr:rowOff>0</xdr:rowOff>
        </xdr:from>
        <xdr:to>
          <xdr:col>11</xdr:col>
          <xdr:colOff>0</xdr:colOff>
          <xdr:row>18</xdr:row>
          <xdr:rowOff>0</xdr:rowOff>
        </xdr:to>
        <xdr:sp macro="" textlink="">
          <xdr:nvSpPr>
            <xdr:cNvPr id="13325" name="bpmDropDownReg_Pop9" hidden="1">
              <a:extLst>
                <a:ext uri="{63B3BB69-23CF-44E3-9099-C40C66FF867C}">
                  <a14:compatExt spid="_x0000_s133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18</xdr:row>
          <xdr:rowOff>0</xdr:rowOff>
        </xdr:from>
        <xdr:to>
          <xdr:col>11</xdr:col>
          <xdr:colOff>0</xdr:colOff>
          <xdr:row>19</xdr:row>
          <xdr:rowOff>0</xdr:rowOff>
        </xdr:to>
        <xdr:sp macro="" textlink="">
          <xdr:nvSpPr>
            <xdr:cNvPr id="13326" name="bpmDropDownReg_Pop10" hidden="1">
              <a:extLst>
                <a:ext uri="{63B3BB69-23CF-44E3-9099-C40C66FF867C}">
                  <a14:compatExt spid="_x0000_s13326"/>
                </a:ext>
              </a:extLst>
            </xdr:cNvPr>
            <xdr:cNvSpPr/>
          </xdr:nvSpPr>
          <xdr:spPr>
            <a:xfrm>
              <a:off x="0" y="0"/>
              <a:ext cx="0" cy="0"/>
            </a:xfrm>
            <a:prstGeom prst="rect">
              <a:avLst/>
            </a:prstGeom>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352425</xdr:colOff>
          <xdr:row>245</xdr:row>
          <xdr:rowOff>0</xdr:rowOff>
        </xdr:from>
        <xdr:to>
          <xdr:col>8</xdr:col>
          <xdr:colOff>0</xdr:colOff>
          <xdr:row>246</xdr:row>
          <xdr:rowOff>0</xdr:rowOff>
        </xdr:to>
        <xdr:sp macro="" textlink="">
          <xdr:nvSpPr>
            <xdr:cNvPr id="84993" name="bpmCheckBoxScreen1" hidden="1">
              <a:extLst>
                <a:ext uri="{63B3BB69-23CF-44E3-9099-C40C66FF867C}">
                  <a14:compatExt spid="_x0000_s8499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171450</xdr:colOff>
          <xdr:row>212</xdr:row>
          <xdr:rowOff>133350</xdr:rowOff>
        </xdr:from>
        <xdr:to>
          <xdr:col>7</xdr:col>
          <xdr:colOff>866775</xdr:colOff>
          <xdr:row>213</xdr:row>
          <xdr:rowOff>190500</xdr:rowOff>
        </xdr:to>
        <xdr:sp macro="" textlink="">
          <xdr:nvSpPr>
            <xdr:cNvPr id="74753" name="bpmCheckBoxDiag1" hidden="1">
              <a:extLst>
                <a:ext uri="{63B3BB69-23CF-44E3-9099-C40C66FF867C}">
                  <a14:compatExt spid="_x0000_s74753"/>
                </a:ext>
              </a:extLst>
            </xdr:cNvPr>
            <xdr:cNvSpPr/>
          </xdr:nvSpPr>
          <xdr:spPr>
            <a:xfrm>
              <a:off x="0" y="0"/>
              <a:ext cx="0" cy="0"/>
            </a:xfrm>
            <a:prstGeom prst="rect">
              <a:avLst/>
            </a:prstGeom>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257175</xdr:colOff>
          <xdr:row>766</xdr:row>
          <xdr:rowOff>0</xdr:rowOff>
        </xdr:from>
        <xdr:to>
          <xdr:col>9</xdr:col>
          <xdr:colOff>0</xdr:colOff>
          <xdr:row>767</xdr:row>
          <xdr:rowOff>0</xdr:rowOff>
        </xdr:to>
        <xdr:sp macro="" textlink="">
          <xdr:nvSpPr>
            <xdr:cNvPr id="61576" name="bpmCheckBoxIntv_35" hidden="1">
              <a:extLst>
                <a:ext uri="{63B3BB69-23CF-44E3-9099-C40C66FF867C}">
                  <a14:compatExt spid="_x0000_s615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181</xdr:row>
          <xdr:rowOff>0</xdr:rowOff>
        </xdr:from>
        <xdr:to>
          <xdr:col>8</xdr:col>
          <xdr:colOff>0</xdr:colOff>
          <xdr:row>182</xdr:row>
          <xdr:rowOff>0</xdr:rowOff>
        </xdr:to>
        <xdr:sp macro="" textlink="">
          <xdr:nvSpPr>
            <xdr:cNvPr id="61577" name="bpmCheckBoxIntv5" hidden="1">
              <a:extLst>
                <a:ext uri="{63B3BB69-23CF-44E3-9099-C40C66FF867C}">
                  <a14:compatExt spid="_x0000_s61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376</xdr:row>
          <xdr:rowOff>0</xdr:rowOff>
        </xdr:from>
        <xdr:to>
          <xdr:col>8</xdr:col>
          <xdr:colOff>0</xdr:colOff>
          <xdr:row>377</xdr:row>
          <xdr:rowOff>0</xdr:rowOff>
        </xdr:to>
        <xdr:sp macro="" textlink="">
          <xdr:nvSpPr>
            <xdr:cNvPr id="61578" name="bpmCheckBoxIntv_25" hidden="1">
              <a:extLst>
                <a:ext uri="{63B3BB69-23CF-44E3-9099-C40C66FF867C}">
                  <a14:compatExt spid="_x0000_s61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257175</xdr:colOff>
          <xdr:row>961</xdr:row>
          <xdr:rowOff>0</xdr:rowOff>
        </xdr:from>
        <xdr:to>
          <xdr:col>9</xdr:col>
          <xdr:colOff>0</xdr:colOff>
          <xdr:row>962</xdr:row>
          <xdr:rowOff>0</xdr:rowOff>
        </xdr:to>
        <xdr:sp macro="" textlink="">
          <xdr:nvSpPr>
            <xdr:cNvPr id="61581" name="bpmCheckBoxIntv_45" hidden="1">
              <a:extLst>
                <a:ext uri="{63B3BB69-23CF-44E3-9099-C40C66FF867C}">
                  <a14:compatExt spid="_x0000_s615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571</xdr:row>
          <xdr:rowOff>0</xdr:rowOff>
        </xdr:from>
        <xdr:to>
          <xdr:col>9</xdr:col>
          <xdr:colOff>0</xdr:colOff>
          <xdr:row>572</xdr:row>
          <xdr:rowOff>0</xdr:rowOff>
        </xdr:to>
        <xdr:sp macro="" textlink="">
          <xdr:nvSpPr>
            <xdr:cNvPr id="61584" name="bpmCheckBoxIntv_55" hidden="1">
              <a:extLst>
                <a:ext uri="{63B3BB69-23CF-44E3-9099-C40C66FF867C}">
                  <a14:compatExt spid="_x0000_s615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1156</xdr:row>
          <xdr:rowOff>0</xdr:rowOff>
        </xdr:from>
        <xdr:to>
          <xdr:col>9</xdr:col>
          <xdr:colOff>0</xdr:colOff>
          <xdr:row>1157</xdr:row>
          <xdr:rowOff>0</xdr:rowOff>
        </xdr:to>
        <xdr:sp macro="" textlink="">
          <xdr:nvSpPr>
            <xdr:cNvPr id="61587" name="bpmCheckBoxIntv_65" hidden="1">
              <a:extLst>
                <a:ext uri="{63B3BB69-23CF-44E3-9099-C40C66FF867C}">
                  <a14:compatExt spid="_x0000_s61587"/>
                </a:ext>
              </a:extLst>
            </xdr:cNvPr>
            <xdr:cNvSpPr/>
          </xdr:nvSpPr>
          <xdr:spPr>
            <a:xfrm>
              <a:off x="0" y="0"/>
              <a:ext cx="0" cy="0"/>
            </a:xfrm>
            <a:prstGeom prst="rect">
              <a:avLst/>
            </a:prstGeom>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0</xdr:colOff>
          <xdr:row>13</xdr:row>
          <xdr:rowOff>0</xdr:rowOff>
        </xdr:from>
        <xdr:to>
          <xdr:col>9</xdr:col>
          <xdr:colOff>0</xdr:colOff>
          <xdr:row>14</xdr:row>
          <xdr:rowOff>0</xdr:rowOff>
        </xdr:to>
        <xdr:sp macro="" textlink="">
          <xdr:nvSpPr>
            <xdr:cNvPr id="476167" name="bpmDropDownMicro7" hidden="1">
              <a:extLst>
                <a:ext uri="{63B3BB69-23CF-44E3-9099-C40C66FF867C}">
                  <a14:compatExt spid="_x0000_s4761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59</xdr:row>
          <xdr:rowOff>0</xdr:rowOff>
        </xdr:from>
        <xdr:to>
          <xdr:col>9</xdr:col>
          <xdr:colOff>0</xdr:colOff>
          <xdr:row>60</xdr:row>
          <xdr:rowOff>0</xdr:rowOff>
        </xdr:to>
        <xdr:sp macro="" textlink="">
          <xdr:nvSpPr>
            <xdr:cNvPr id="476168" name="bpmDropDownTrain1" hidden="1">
              <a:extLst>
                <a:ext uri="{63B3BB69-23CF-44E3-9099-C40C66FF867C}">
                  <a14:compatExt spid="_x0000_s4761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104</xdr:row>
          <xdr:rowOff>0</xdr:rowOff>
        </xdr:from>
        <xdr:to>
          <xdr:col>9</xdr:col>
          <xdr:colOff>0</xdr:colOff>
          <xdr:row>105</xdr:row>
          <xdr:rowOff>0</xdr:rowOff>
        </xdr:to>
        <xdr:sp macro="" textlink="">
          <xdr:nvSpPr>
            <xdr:cNvPr id="476182" name="bpmDropDownComm7" hidden="1">
              <a:extLst>
                <a:ext uri="{63B3BB69-23CF-44E3-9099-C40C66FF867C}">
                  <a14:compatExt spid="_x0000_s4761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227</xdr:row>
          <xdr:rowOff>0</xdr:rowOff>
        </xdr:from>
        <xdr:to>
          <xdr:col>11</xdr:col>
          <xdr:colOff>0</xdr:colOff>
          <xdr:row>228</xdr:row>
          <xdr:rowOff>0</xdr:rowOff>
        </xdr:to>
        <xdr:sp macro="" textlink="">
          <xdr:nvSpPr>
            <xdr:cNvPr id="476183" name="bpmDropDownSME1" hidden="1">
              <a:extLst>
                <a:ext uri="{63B3BB69-23CF-44E3-9099-C40C66FF867C}">
                  <a14:compatExt spid="_x0000_s4761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228</xdr:row>
          <xdr:rowOff>0</xdr:rowOff>
        </xdr:from>
        <xdr:to>
          <xdr:col>11</xdr:col>
          <xdr:colOff>0</xdr:colOff>
          <xdr:row>229</xdr:row>
          <xdr:rowOff>0</xdr:rowOff>
        </xdr:to>
        <xdr:sp macro="" textlink="">
          <xdr:nvSpPr>
            <xdr:cNvPr id="476184" name="bpmDropDownSME2" hidden="1">
              <a:extLst>
                <a:ext uri="{63B3BB69-23CF-44E3-9099-C40C66FF867C}">
                  <a14:compatExt spid="_x0000_s4761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229</xdr:row>
          <xdr:rowOff>0</xdr:rowOff>
        </xdr:from>
        <xdr:to>
          <xdr:col>11</xdr:col>
          <xdr:colOff>0</xdr:colOff>
          <xdr:row>230</xdr:row>
          <xdr:rowOff>0</xdr:rowOff>
        </xdr:to>
        <xdr:sp macro="" textlink="">
          <xdr:nvSpPr>
            <xdr:cNvPr id="476185" name="bpmDropDownSME3" hidden="1">
              <a:extLst>
                <a:ext uri="{63B3BB69-23CF-44E3-9099-C40C66FF867C}">
                  <a14:compatExt spid="_x0000_s4761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237</xdr:row>
          <xdr:rowOff>0</xdr:rowOff>
        </xdr:from>
        <xdr:to>
          <xdr:col>11</xdr:col>
          <xdr:colOff>0</xdr:colOff>
          <xdr:row>238</xdr:row>
          <xdr:rowOff>0</xdr:rowOff>
        </xdr:to>
        <xdr:sp macro="" textlink="">
          <xdr:nvSpPr>
            <xdr:cNvPr id="476193" name="bpmDropDownSME11" hidden="1">
              <a:extLst>
                <a:ext uri="{63B3BB69-23CF-44E3-9099-C40C66FF867C}">
                  <a14:compatExt spid="_x0000_s4761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187</xdr:row>
          <xdr:rowOff>0</xdr:rowOff>
        </xdr:from>
        <xdr:to>
          <xdr:col>9</xdr:col>
          <xdr:colOff>0</xdr:colOff>
          <xdr:row>188</xdr:row>
          <xdr:rowOff>0</xdr:rowOff>
        </xdr:to>
        <xdr:sp macro="" textlink="">
          <xdr:nvSpPr>
            <xdr:cNvPr id="476194" name="bpmDropDownSME12" hidden="1">
              <a:extLst>
                <a:ext uri="{63B3BB69-23CF-44E3-9099-C40C66FF867C}">
                  <a14:compatExt spid="_x0000_s4761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261</xdr:row>
          <xdr:rowOff>0</xdr:rowOff>
        </xdr:from>
        <xdr:to>
          <xdr:col>9</xdr:col>
          <xdr:colOff>0</xdr:colOff>
          <xdr:row>262</xdr:row>
          <xdr:rowOff>0</xdr:rowOff>
        </xdr:to>
        <xdr:sp macro="" textlink="">
          <xdr:nvSpPr>
            <xdr:cNvPr id="476195" name="bpmDropDownOth1" hidden="1">
              <a:extLst>
                <a:ext uri="{63B3BB69-23CF-44E3-9099-C40C66FF867C}">
                  <a14:compatExt spid="_x0000_s476195"/>
                </a:ext>
              </a:extLst>
            </xdr:cNvPr>
            <xdr:cNvSpPr/>
          </xdr:nvSpPr>
          <xdr:spPr>
            <a:xfrm>
              <a:off x="0" y="0"/>
              <a:ext cx="0" cy="0"/>
            </a:xfrm>
            <a:prstGeom prst="rect">
              <a:avLst/>
            </a:prstGeom>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1</xdr:col>
      <xdr:colOff>247650</xdr:colOff>
      <xdr:row>6</xdr:row>
      <xdr:rowOff>3952</xdr:rowOff>
    </xdr:to>
    <xdr:pic>
      <xdr:nvPicPr>
        <xdr:cNvPr id="3" name="Picture 2" descr="File:Tealand White.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0"/>
          <a:ext cx="990600" cy="1366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209550</xdr:colOff>
      <xdr:row>8</xdr:row>
      <xdr:rowOff>70627</xdr:rowOff>
    </xdr:to>
    <xdr:pic>
      <xdr:nvPicPr>
        <xdr:cNvPr id="2" name="Picture 1" descr="File:Tealand White.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990600" cy="1366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95250</xdr:colOff>
          <xdr:row>10</xdr:row>
          <xdr:rowOff>28575</xdr:rowOff>
        </xdr:from>
        <xdr:to>
          <xdr:col>17</xdr:col>
          <xdr:colOff>114300</xdr:colOff>
          <xdr:row>11</xdr:row>
          <xdr:rowOff>28575</xdr:rowOff>
        </xdr:to>
        <xdr:sp macro="" textlink="">
          <xdr:nvSpPr>
            <xdr:cNvPr id="419850" name="Scroll Bar 10" hidden="1">
              <a:extLst>
                <a:ext uri="{63B3BB69-23CF-44E3-9099-C40C66FF867C}">
                  <a14:compatExt spid="_x0000_s4198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16</xdr:row>
          <xdr:rowOff>104775</xdr:rowOff>
        </xdr:from>
        <xdr:to>
          <xdr:col>17</xdr:col>
          <xdr:colOff>161925</xdr:colOff>
          <xdr:row>17</xdr:row>
          <xdr:rowOff>180975</xdr:rowOff>
        </xdr:to>
        <xdr:sp macro="" textlink="">
          <xdr:nvSpPr>
            <xdr:cNvPr id="419851" name="Scroll Bar 11" hidden="1">
              <a:extLst>
                <a:ext uri="{63B3BB69-23CF-44E3-9099-C40C66FF867C}">
                  <a14:compatExt spid="_x0000_s4198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20</xdr:row>
          <xdr:rowOff>161925</xdr:rowOff>
        </xdr:from>
        <xdr:to>
          <xdr:col>17</xdr:col>
          <xdr:colOff>161925</xdr:colOff>
          <xdr:row>21</xdr:row>
          <xdr:rowOff>9525</xdr:rowOff>
        </xdr:to>
        <xdr:sp macro="" textlink="">
          <xdr:nvSpPr>
            <xdr:cNvPr id="419852" name="Scroll Bar 12" hidden="1">
              <a:extLst>
                <a:ext uri="{63B3BB69-23CF-44E3-9099-C40C66FF867C}">
                  <a14:compatExt spid="_x0000_s4198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26</xdr:col>
          <xdr:colOff>28575</xdr:colOff>
          <xdr:row>15</xdr:row>
          <xdr:rowOff>28575</xdr:rowOff>
        </xdr:from>
        <xdr:to>
          <xdr:col>27</xdr:col>
          <xdr:colOff>257175</xdr:colOff>
          <xdr:row>16</xdr:row>
          <xdr:rowOff>9525</xdr:rowOff>
        </xdr:to>
        <xdr:sp macro="" textlink="">
          <xdr:nvSpPr>
            <xdr:cNvPr id="419856" name="Spinner 16" hidden="1">
              <a:extLst>
                <a:ext uri="{63B3BB69-23CF-44E3-9099-C40C66FF867C}">
                  <a14:compatExt spid="_x0000_s4198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876300</xdr:colOff>
          <xdr:row>43</xdr:row>
          <xdr:rowOff>9525</xdr:rowOff>
        </xdr:from>
        <xdr:to>
          <xdr:col>17</xdr:col>
          <xdr:colOff>0</xdr:colOff>
          <xdr:row>44</xdr:row>
          <xdr:rowOff>9525</xdr:rowOff>
        </xdr:to>
        <xdr:sp macro="" textlink="">
          <xdr:nvSpPr>
            <xdr:cNvPr id="419857" name="Spinner 17" hidden="1">
              <a:extLst>
                <a:ext uri="{63B3BB69-23CF-44E3-9099-C40C66FF867C}">
                  <a14:compatExt spid="_x0000_s4198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885825</xdr:colOff>
          <xdr:row>45</xdr:row>
          <xdr:rowOff>0</xdr:rowOff>
        </xdr:from>
        <xdr:to>
          <xdr:col>17</xdr:col>
          <xdr:colOff>0</xdr:colOff>
          <xdr:row>46</xdr:row>
          <xdr:rowOff>0</xdr:rowOff>
        </xdr:to>
        <xdr:sp macro="" textlink="">
          <xdr:nvSpPr>
            <xdr:cNvPr id="419858" name="Spinner 18" hidden="1">
              <a:extLst>
                <a:ext uri="{63B3BB69-23CF-44E3-9099-C40C66FF867C}">
                  <a14:compatExt spid="_x0000_s4198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876300</xdr:colOff>
          <xdr:row>55</xdr:row>
          <xdr:rowOff>0</xdr:rowOff>
        </xdr:from>
        <xdr:to>
          <xdr:col>17</xdr:col>
          <xdr:colOff>0</xdr:colOff>
          <xdr:row>56</xdr:row>
          <xdr:rowOff>0</xdr:rowOff>
        </xdr:to>
        <xdr:sp macro="" textlink="">
          <xdr:nvSpPr>
            <xdr:cNvPr id="419860" name="Spinner 20" hidden="1">
              <a:extLst>
                <a:ext uri="{63B3BB69-23CF-44E3-9099-C40C66FF867C}">
                  <a14:compatExt spid="_x0000_s4198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9525</xdr:colOff>
          <xdr:row>51</xdr:row>
          <xdr:rowOff>0</xdr:rowOff>
        </xdr:from>
        <xdr:to>
          <xdr:col>16</xdr:col>
          <xdr:colOff>9525</xdr:colOff>
          <xdr:row>51</xdr:row>
          <xdr:rowOff>0</xdr:rowOff>
        </xdr:to>
        <xdr:sp macro="" textlink="">
          <xdr:nvSpPr>
            <xdr:cNvPr id="419861" name="Spinner 21" hidden="1">
              <a:extLst>
                <a:ext uri="{63B3BB69-23CF-44E3-9099-C40C66FF867C}">
                  <a14:compatExt spid="_x0000_s4198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914400</xdr:colOff>
          <xdr:row>47</xdr:row>
          <xdr:rowOff>0</xdr:rowOff>
        </xdr:from>
        <xdr:to>
          <xdr:col>16</xdr:col>
          <xdr:colOff>1047750</xdr:colOff>
          <xdr:row>48</xdr:row>
          <xdr:rowOff>0</xdr:rowOff>
        </xdr:to>
        <xdr:sp macro="" textlink="">
          <xdr:nvSpPr>
            <xdr:cNvPr id="419864" name="Spinner 24" hidden="1">
              <a:extLst>
                <a:ext uri="{63B3BB69-23CF-44E3-9099-C40C66FF867C}">
                  <a14:compatExt spid="_x0000_s4198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885825</xdr:colOff>
          <xdr:row>47</xdr:row>
          <xdr:rowOff>0</xdr:rowOff>
        </xdr:from>
        <xdr:to>
          <xdr:col>17</xdr:col>
          <xdr:colOff>0</xdr:colOff>
          <xdr:row>48</xdr:row>
          <xdr:rowOff>0</xdr:rowOff>
        </xdr:to>
        <xdr:sp macro="" textlink="">
          <xdr:nvSpPr>
            <xdr:cNvPr id="419865" name="Spinner 25" hidden="1">
              <a:extLst>
                <a:ext uri="{63B3BB69-23CF-44E3-9099-C40C66FF867C}">
                  <a14:compatExt spid="_x0000_s419865"/>
                </a:ext>
              </a:extLst>
            </xdr:cNvPr>
            <xdr:cNvSpPr/>
          </xdr:nvSpPr>
          <xdr:spPr>
            <a:xfrm>
              <a:off x="0" y="0"/>
              <a:ext cx="0" cy="0"/>
            </a:xfrm>
            <a:prstGeom prst="rect">
              <a:avLst/>
            </a:prstGeom>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104775</xdr:colOff>
          <xdr:row>12</xdr:row>
          <xdr:rowOff>9525</xdr:rowOff>
        </xdr:from>
        <xdr:to>
          <xdr:col>17</xdr:col>
          <xdr:colOff>866775</xdr:colOff>
          <xdr:row>12</xdr:row>
          <xdr:rowOff>209550</xdr:rowOff>
        </xdr:to>
        <xdr:sp macro="" textlink="">
          <xdr:nvSpPr>
            <xdr:cNvPr id="441345" name="Scroll Bar 1" hidden="1">
              <a:extLst>
                <a:ext uri="{63B3BB69-23CF-44E3-9099-C40C66FF867C}">
                  <a14:compatExt spid="_x0000_s441345"/>
                </a:ext>
              </a:extLst>
            </xdr:cNvPr>
            <xdr:cNvSpPr/>
          </xdr:nvSpPr>
          <xdr:spPr>
            <a:xfrm>
              <a:off x="0" y="0"/>
              <a:ext cx="0" cy="0"/>
            </a:xfrm>
            <a:prstGeom prst="rect">
              <a:avLst/>
            </a:prstGeom>
          </xdr:spPr>
        </xdr:sp>
        <xdr:clientData/>
      </xdr:twoCellAnchor>
    </mc:Choice>
    <mc:Fallback/>
  </mc:AlternateContent>
  <xdr:twoCellAnchor>
    <xdr:from>
      <xdr:col>21</xdr:col>
      <xdr:colOff>101600</xdr:colOff>
      <xdr:row>0</xdr:row>
      <xdr:rowOff>6350</xdr:rowOff>
    </xdr:from>
    <xdr:to>
      <xdr:col>21</xdr:col>
      <xdr:colOff>1533524</xdr:colOff>
      <xdr:row>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11</xdr:row>
          <xdr:rowOff>0</xdr:rowOff>
        </xdr:from>
        <xdr:to>
          <xdr:col>9</xdr:col>
          <xdr:colOff>123825</xdr:colOff>
          <xdr:row>12</xdr:row>
          <xdr:rowOff>0</xdr:rowOff>
        </xdr:to>
        <xdr:sp macro="" textlink="">
          <xdr:nvSpPr>
            <xdr:cNvPr id="524291" name="bpmDropDownPLUG3" hidden="1">
              <a:extLst>
                <a:ext uri="{63B3BB69-23CF-44E3-9099-C40C66FF867C}">
                  <a14:compatExt spid="_x0000_s5242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159</xdr:row>
          <xdr:rowOff>0</xdr:rowOff>
        </xdr:from>
        <xdr:to>
          <xdr:col>9</xdr:col>
          <xdr:colOff>0</xdr:colOff>
          <xdr:row>292</xdr:row>
          <xdr:rowOff>133350</xdr:rowOff>
        </xdr:to>
        <xdr:sp macro="" textlink="">
          <xdr:nvSpPr>
            <xdr:cNvPr id="524292" name="bpmDropDownPLUG_21" hidden="1">
              <a:extLst>
                <a:ext uri="{63B3BB69-23CF-44E3-9099-C40C66FF867C}">
                  <a14:compatExt spid="_x0000_s5242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307</xdr:row>
          <xdr:rowOff>0</xdr:rowOff>
        </xdr:from>
        <xdr:to>
          <xdr:col>9</xdr:col>
          <xdr:colOff>0</xdr:colOff>
          <xdr:row>440</xdr:row>
          <xdr:rowOff>133350</xdr:rowOff>
        </xdr:to>
        <xdr:sp macro="" textlink="">
          <xdr:nvSpPr>
            <xdr:cNvPr id="524293" name="bpmDropDownPLUG_31" hidden="1">
              <a:extLst>
                <a:ext uri="{63B3BB69-23CF-44E3-9099-C40C66FF867C}">
                  <a14:compatExt spid="_x0000_s5242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455</xdr:row>
          <xdr:rowOff>0</xdr:rowOff>
        </xdr:from>
        <xdr:to>
          <xdr:col>9</xdr:col>
          <xdr:colOff>0</xdr:colOff>
          <xdr:row>588</xdr:row>
          <xdr:rowOff>133350</xdr:rowOff>
        </xdr:to>
        <xdr:sp macro="" textlink="">
          <xdr:nvSpPr>
            <xdr:cNvPr id="524294" name="bpmDropDownPLUG_41" hidden="1">
              <a:extLst>
                <a:ext uri="{63B3BB69-23CF-44E3-9099-C40C66FF867C}">
                  <a14:compatExt spid="_x0000_s524294"/>
                </a:ext>
              </a:extLst>
            </xdr:cNvPr>
            <xdr:cNvSpPr/>
          </xdr:nvSpPr>
          <xdr:spPr>
            <a:xfrm>
              <a:off x="0" y="0"/>
              <a:ext cx="0" cy="0"/>
            </a:xfrm>
            <a:prstGeom prst="rect">
              <a:avLst/>
            </a:prstGeom>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0</xdr:colOff>
          <xdr:row>8</xdr:row>
          <xdr:rowOff>0</xdr:rowOff>
        </xdr:from>
        <xdr:to>
          <xdr:col>9</xdr:col>
          <xdr:colOff>0</xdr:colOff>
          <xdr:row>9</xdr:row>
          <xdr:rowOff>0</xdr:rowOff>
        </xdr:to>
        <xdr:sp macro="" textlink="">
          <xdr:nvSpPr>
            <xdr:cNvPr id="556033" name="bpmDropDownPLUG_51" hidden="1">
              <a:extLst>
                <a:ext uri="{63B3BB69-23CF-44E3-9099-C40C66FF867C}">
                  <a14:compatExt spid="_x0000_s556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298</xdr:row>
          <xdr:rowOff>0</xdr:rowOff>
        </xdr:from>
        <xdr:to>
          <xdr:col>9</xdr:col>
          <xdr:colOff>0</xdr:colOff>
          <xdr:row>299</xdr:row>
          <xdr:rowOff>0</xdr:rowOff>
        </xdr:to>
        <xdr:sp macro="" textlink="">
          <xdr:nvSpPr>
            <xdr:cNvPr id="556034" name="bpmDropDownPLUG_61" hidden="1">
              <a:extLst>
                <a:ext uri="{63B3BB69-23CF-44E3-9099-C40C66FF867C}">
                  <a14:compatExt spid="_x0000_s556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153</xdr:row>
          <xdr:rowOff>0</xdr:rowOff>
        </xdr:from>
        <xdr:to>
          <xdr:col>9</xdr:col>
          <xdr:colOff>0</xdr:colOff>
          <xdr:row>154</xdr:row>
          <xdr:rowOff>0</xdr:rowOff>
        </xdr:to>
        <xdr:sp macro="" textlink="">
          <xdr:nvSpPr>
            <xdr:cNvPr id="556035" name="bpmDropDownPLUG_71" hidden="1">
              <a:extLst>
                <a:ext uri="{63B3BB69-23CF-44E3-9099-C40C66FF867C}">
                  <a14:compatExt spid="_x0000_s556035"/>
                </a:ext>
              </a:extLst>
            </xdr:cNvPr>
            <xdr:cNvSpPr/>
          </xdr:nvSpPr>
          <xdr:spPr>
            <a:xfrm>
              <a:off x="0" y="0"/>
              <a:ext cx="0" cy="0"/>
            </a:xfrm>
            <a:prstGeom prst="rect">
              <a:avLst/>
            </a:prstGeom>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736193</xdr:colOff>
      <xdr:row>6</xdr:row>
      <xdr:rowOff>171450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36193" cy="11557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736193</xdr:colOff>
      <xdr:row>6</xdr:row>
      <xdr:rowOff>165100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36193" cy="11557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736193</xdr:colOff>
      <xdr:row>6</xdr:row>
      <xdr:rowOff>165100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36193" cy="11557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8</xdr:row>
          <xdr:rowOff>0</xdr:rowOff>
        </xdr:from>
        <xdr:to>
          <xdr:col>7</xdr:col>
          <xdr:colOff>381000</xdr:colOff>
          <xdr:row>9</xdr:row>
          <xdr:rowOff>0</xdr:rowOff>
        </xdr:to>
        <xdr:sp macro="" textlink="">
          <xdr:nvSpPr>
            <xdr:cNvPr id="2049" name="CB_Err_Chks_Show_Msg"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1000" b="0" i="0" u="none" strike="noStrike" baseline="0">
                  <a:solidFill>
                    <a:srgbClr val="000000"/>
                  </a:solidFill>
                  <a:latin typeface="Calibri"/>
                </a:rPr>
                <a:t> Include summary in model name?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24</xdr:row>
          <xdr:rowOff>0</xdr:rowOff>
        </xdr:from>
        <xdr:to>
          <xdr:col>7</xdr:col>
          <xdr:colOff>381000</xdr:colOff>
          <xdr:row>25</xdr:row>
          <xdr:rowOff>0</xdr:rowOff>
        </xdr:to>
        <xdr:sp macro="" textlink="">
          <xdr:nvSpPr>
            <xdr:cNvPr id="2050" name="CB_Sens_Chks_Show_Msg" hidden="1">
              <a:extLst>
                <a:ext uri="{63B3BB69-23CF-44E3-9099-C40C66FF867C}">
                  <a14:compatExt spid="_x0000_s2050"/>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1000" b="0" i="0" u="none" strike="noStrike" baseline="0">
                  <a:solidFill>
                    <a:srgbClr val="000000"/>
                  </a:solidFill>
                  <a:latin typeface="Calibri"/>
                </a:rPr>
                <a:t> Include summary in model name?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40</xdr:row>
          <xdr:rowOff>0</xdr:rowOff>
        </xdr:from>
        <xdr:to>
          <xdr:col>7</xdr:col>
          <xdr:colOff>381000</xdr:colOff>
          <xdr:row>41</xdr:row>
          <xdr:rowOff>0</xdr:rowOff>
        </xdr:to>
        <xdr:sp macro="" textlink="">
          <xdr:nvSpPr>
            <xdr:cNvPr id="2051" name="CB_Alt_Chks_Show_Msg" hidden="1">
              <a:extLst>
                <a:ext uri="{63B3BB69-23CF-44E3-9099-C40C66FF867C}">
                  <a14:compatExt spid="_x0000_s2051"/>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1000" b="0" i="0" u="none" strike="noStrike" baseline="0">
                  <a:solidFill>
                    <a:srgbClr val="000000"/>
                  </a:solidFill>
                  <a:latin typeface="Calibri"/>
                </a:rPr>
                <a:t> Include summary in model name?</a:t>
              </a:r>
            </a:p>
          </xdr:txBody>
        </xdr:sp>
        <xdr:clientData/>
      </xdr:twoCellAnchor>
    </mc:Choice>
    <mc:Fallback/>
  </mc:AlternateContent>
</xdr:wsDr>
</file>

<file path=xl/drawings/drawing22.xml><?xml version="1.0" encoding="utf-8"?>
<xdr:wsDr xmlns:xdr="http://schemas.openxmlformats.org/drawingml/2006/spreadsheetDrawing" xmlns:a="http://schemas.openxmlformats.org/drawingml/2006/main">
  <xdr:twoCellAnchor editAs="oneCell">
    <xdr:from>
      <xdr:col>0</xdr:col>
      <xdr:colOff>114301</xdr:colOff>
      <xdr:row>0</xdr:row>
      <xdr:rowOff>31751</xdr:rowOff>
    </xdr:from>
    <xdr:to>
      <xdr:col>1</xdr:col>
      <xdr:colOff>323851</xdr:colOff>
      <xdr:row>8</xdr:row>
      <xdr:rowOff>102378</xdr:rowOff>
    </xdr:to>
    <xdr:pic>
      <xdr:nvPicPr>
        <xdr:cNvPr id="2" name="Picture 1" descr="File:Tealand White.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301" y="31751"/>
          <a:ext cx="952500" cy="1381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a:ea typeface="Calibri"/>
        <a:cs typeface="Calibri"/>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Calibri"/>
        <a:cs typeface="Calibri"/>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horzOverflow="clip" rtlCol="0" anchor="t"/>
      <a:lstStyle>
        <a:defPPr algn="l">
          <a:defRPr sz="1100"/>
        </a:defPPr>
      </a:lstStyle>
      <a:style>
        <a:lnRef idx="2">
          <a:schemeClr val="accent4"/>
        </a:lnRef>
        <a:fillRef idx="1">
          <a:schemeClr val="lt1"/>
        </a:fillRef>
        <a:effectRef idx="0">
          <a:schemeClr val="accent4"/>
        </a:effectRef>
        <a:fontRef idx="minor">
          <a:schemeClr val="dk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3.xml"/><Relationship Id="rId3" Type="http://schemas.openxmlformats.org/officeDocument/2006/relationships/vmlDrawing" Target="../drawings/vmlDrawing1.vml"/><Relationship Id="rId7" Type="http://schemas.openxmlformats.org/officeDocument/2006/relationships/ctrlProp" Target="../ctrlProps/ctrlProp2.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image" Target="../media/image6.emf"/><Relationship Id="rId10" Type="http://schemas.openxmlformats.org/officeDocument/2006/relationships/ctrlProp" Target="../ctrlProps/ctrlProp5.xml"/><Relationship Id="rId4" Type="http://schemas.openxmlformats.org/officeDocument/2006/relationships/oleObject" Target="../embeddings/oleObject1.bin"/><Relationship Id="rId9" Type="http://schemas.openxmlformats.org/officeDocument/2006/relationships/ctrlProp" Target="../ctrlProps/ctrlProp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mailto:kansembe@gmail.com" TargetMode="External"/><Relationship Id="rId2" Type="http://schemas.openxmlformats.org/officeDocument/2006/relationships/hyperlink" Target="mailto:win@levinmorgan.com" TargetMode="External"/><Relationship Id="rId1" Type="http://schemas.openxmlformats.org/officeDocument/2006/relationships/hyperlink" Target="mailto:ebing@mail.smu.edu" TargetMode="External"/><Relationship Id="rId6" Type="http://schemas.openxmlformats.org/officeDocument/2006/relationships/printerSettings" Target="../printerSettings/printerSettings22.bin"/><Relationship Id="rId5" Type="http://schemas.openxmlformats.org/officeDocument/2006/relationships/hyperlink" Target="mailto:amwiche@yahoo.com" TargetMode="External"/><Relationship Id="rId4" Type="http://schemas.openxmlformats.org/officeDocument/2006/relationships/hyperlink" Target="mailto:skapambwe@yahoo.com"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24.bin"/><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8" Type="http://schemas.openxmlformats.org/officeDocument/2006/relationships/ctrlProp" Target="../ctrlProps/ctrlProp13.xml"/><Relationship Id="rId13" Type="http://schemas.openxmlformats.org/officeDocument/2006/relationships/ctrlProp" Target="../ctrlProps/ctrlProp18.xml"/><Relationship Id="rId3" Type="http://schemas.openxmlformats.org/officeDocument/2006/relationships/vmlDrawing" Target="../drawings/vmlDrawing3.vml"/><Relationship Id="rId7" Type="http://schemas.openxmlformats.org/officeDocument/2006/relationships/ctrlProp" Target="../ctrlProps/ctrlProp12.xml"/><Relationship Id="rId12" Type="http://schemas.openxmlformats.org/officeDocument/2006/relationships/ctrlProp" Target="../ctrlProps/ctrlProp17.xml"/><Relationship Id="rId2" Type="http://schemas.openxmlformats.org/officeDocument/2006/relationships/drawing" Target="../drawings/drawing7.xml"/><Relationship Id="rId1" Type="http://schemas.openxmlformats.org/officeDocument/2006/relationships/printerSettings" Target="../printerSettings/printerSettings27.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4.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treasury.un.org/operationalrates/"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5.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6.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33.bin"/><Relationship Id="rId4" Type="http://schemas.openxmlformats.org/officeDocument/2006/relationships/ctrlProp" Target="../ctrlProps/ctrlProp19.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8.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35.bin"/><Relationship Id="rId4" Type="http://schemas.openxmlformats.org/officeDocument/2006/relationships/ctrlProp" Target="../ctrlProps/ctrlProp20.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10.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1.vml"/><Relationship Id="rId7" Type="http://schemas.openxmlformats.org/officeDocument/2006/relationships/ctrlProp" Target="../ctrlProps/ctrlProp24.xml"/><Relationship Id="rId2" Type="http://schemas.openxmlformats.org/officeDocument/2006/relationships/drawing" Target="../drawings/drawing10.xml"/><Relationship Id="rId1" Type="http://schemas.openxmlformats.org/officeDocument/2006/relationships/printerSettings" Target="../printerSettings/printerSettings37.bin"/><Relationship Id="rId6" Type="http://schemas.openxmlformats.org/officeDocument/2006/relationships/ctrlProp" Target="../ctrlProps/ctrlProp23.xml"/><Relationship Id="rId5" Type="http://schemas.openxmlformats.org/officeDocument/2006/relationships/ctrlProp" Target="../ctrlProps/ctrlProp22.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31.xml"/><Relationship Id="rId3" Type="http://schemas.openxmlformats.org/officeDocument/2006/relationships/vmlDrawing" Target="../drawings/vmlDrawing12.vml"/><Relationship Id="rId7" Type="http://schemas.openxmlformats.org/officeDocument/2006/relationships/ctrlProp" Target="../ctrlProps/ctrlProp30.xml"/><Relationship Id="rId12" Type="http://schemas.openxmlformats.org/officeDocument/2006/relationships/ctrlProp" Target="../ctrlProps/ctrlProp35.xml"/><Relationship Id="rId2" Type="http://schemas.openxmlformats.org/officeDocument/2006/relationships/drawing" Target="../drawings/drawing11.xml"/><Relationship Id="rId1" Type="http://schemas.openxmlformats.org/officeDocument/2006/relationships/printerSettings" Target="../printerSettings/printerSettings39.bin"/><Relationship Id="rId6" Type="http://schemas.openxmlformats.org/officeDocument/2006/relationships/ctrlProp" Target="../ctrlProps/ctrlProp29.xml"/><Relationship Id="rId11" Type="http://schemas.openxmlformats.org/officeDocument/2006/relationships/ctrlProp" Target="../ctrlProps/ctrlProp34.xml"/><Relationship Id="rId5" Type="http://schemas.openxmlformats.org/officeDocument/2006/relationships/ctrlProp" Target="../ctrlProps/ctrlProp28.xml"/><Relationship Id="rId10" Type="http://schemas.openxmlformats.org/officeDocument/2006/relationships/ctrlProp" Target="../ctrlProps/ctrlProp33.xml"/><Relationship Id="rId4" Type="http://schemas.openxmlformats.org/officeDocument/2006/relationships/ctrlProp" Target="../ctrlProps/ctrlProp27.xml"/><Relationship Id="rId9" Type="http://schemas.openxmlformats.org/officeDocument/2006/relationships/ctrlProp" Target="../ctrlProps/ctrlProp32.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13.v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8" Type="http://schemas.openxmlformats.org/officeDocument/2006/relationships/ctrlProp" Target="../ctrlProps/ctrlProp40.xml"/><Relationship Id="rId13" Type="http://schemas.openxmlformats.org/officeDocument/2006/relationships/ctrlProp" Target="../ctrlProps/ctrlProp45.xml"/><Relationship Id="rId3" Type="http://schemas.openxmlformats.org/officeDocument/2006/relationships/vmlDrawing" Target="../drawings/vmlDrawing14.vml"/><Relationship Id="rId7" Type="http://schemas.openxmlformats.org/officeDocument/2006/relationships/ctrlProp" Target="../ctrlProps/ctrlProp39.xml"/><Relationship Id="rId12" Type="http://schemas.openxmlformats.org/officeDocument/2006/relationships/ctrlProp" Target="../ctrlProps/ctrlProp44.xml"/><Relationship Id="rId2" Type="http://schemas.openxmlformats.org/officeDocument/2006/relationships/drawing" Target="../drawings/drawing14.xml"/><Relationship Id="rId1" Type="http://schemas.openxmlformats.org/officeDocument/2006/relationships/printerSettings" Target="../printerSettings/printerSettings48.bin"/><Relationship Id="rId6" Type="http://schemas.openxmlformats.org/officeDocument/2006/relationships/ctrlProp" Target="../ctrlProps/ctrlProp38.xml"/><Relationship Id="rId11" Type="http://schemas.openxmlformats.org/officeDocument/2006/relationships/ctrlProp" Target="../ctrlProps/ctrlProp43.xml"/><Relationship Id="rId5" Type="http://schemas.openxmlformats.org/officeDocument/2006/relationships/ctrlProp" Target="../ctrlProps/ctrlProp37.xml"/><Relationship Id="rId10" Type="http://schemas.openxmlformats.org/officeDocument/2006/relationships/ctrlProp" Target="../ctrlProps/ctrlProp42.xml"/><Relationship Id="rId4" Type="http://schemas.openxmlformats.org/officeDocument/2006/relationships/ctrlProp" Target="../ctrlProps/ctrlProp36.xml"/><Relationship Id="rId9" Type="http://schemas.openxmlformats.org/officeDocument/2006/relationships/ctrlProp" Target="../ctrlProps/ctrlProp41.xml"/></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49.bin"/><Relationship Id="rId4" Type="http://schemas.openxmlformats.org/officeDocument/2006/relationships/ctrlProp" Target="../ctrlProps/ctrlProp46.x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ctrlProp" Target="../ctrlProps/ctrlProp50.xml"/><Relationship Id="rId2" Type="http://schemas.openxmlformats.org/officeDocument/2006/relationships/drawing" Target="../drawings/drawing16.xml"/><Relationship Id="rId1" Type="http://schemas.openxmlformats.org/officeDocument/2006/relationships/printerSettings" Target="../printerSettings/printerSettings50.bin"/><Relationship Id="rId6" Type="http://schemas.openxmlformats.org/officeDocument/2006/relationships/ctrlProp" Target="../ctrlProps/ctrlProp49.xml"/><Relationship Id="rId5" Type="http://schemas.openxmlformats.org/officeDocument/2006/relationships/ctrlProp" Target="../ctrlProps/ctrlProp48.xml"/><Relationship Id="rId4" Type="http://schemas.openxmlformats.org/officeDocument/2006/relationships/ctrlProp" Target="../ctrlProps/ctrlProp47.xm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51.bin"/><Relationship Id="rId6" Type="http://schemas.openxmlformats.org/officeDocument/2006/relationships/ctrlProp" Target="../ctrlProps/ctrlProp53.xml"/><Relationship Id="rId5" Type="http://schemas.openxmlformats.org/officeDocument/2006/relationships/ctrlProp" Target="../ctrlProps/ctrlProp52.xml"/><Relationship Id="rId4" Type="http://schemas.openxmlformats.org/officeDocument/2006/relationships/ctrlProp" Target="../ctrlProps/ctrlProp51.xm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1.xml"/><Relationship Id="rId1" Type="http://schemas.openxmlformats.org/officeDocument/2006/relationships/printerSettings" Target="../printerSettings/printerSettings71.bin"/><Relationship Id="rId6" Type="http://schemas.openxmlformats.org/officeDocument/2006/relationships/ctrlProp" Target="../ctrlProps/ctrlProp56.xml"/><Relationship Id="rId5" Type="http://schemas.openxmlformats.org/officeDocument/2006/relationships/ctrlProp" Target="../ctrlProps/ctrlProp55.xml"/><Relationship Id="rId4" Type="http://schemas.openxmlformats.org/officeDocument/2006/relationships/ctrlProp" Target="../ctrlProps/ctrlProp54.xml"/></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3" Type="http://schemas.openxmlformats.org/officeDocument/2006/relationships/hyperlink" Target="http://www.bestpracticemodelling.com/downloads/example_models" TargetMode="External"/><Relationship Id="rId2" Type="http://schemas.openxmlformats.org/officeDocument/2006/relationships/hyperlink" Target="mailto:Info@bpmglobal.com?subject=Inquiry%20-%20Re%20Forecast%20Business%20Planning%20Model%206.0" TargetMode="External"/><Relationship Id="rId1" Type="http://schemas.openxmlformats.org/officeDocument/2006/relationships/hyperlink" Target="mailto:win@levinmorgan.com" TargetMode="External"/><Relationship Id="rId6" Type="http://schemas.openxmlformats.org/officeDocument/2006/relationships/printerSettings" Target="../printerSettings/printerSettings74.bin"/><Relationship Id="rId5" Type="http://schemas.openxmlformats.org/officeDocument/2006/relationships/hyperlink" Target="http://www.bestpracticemodelling.com/downloads/standards" TargetMode="External"/><Relationship Id="rId4" Type="http://schemas.openxmlformats.org/officeDocument/2006/relationships/hyperlink" Target="http://www.levinmorgan.com/" TargetMode="External"/></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7030A0"/>
    <pageSetUpPr autoPageBreaks="0" fitToPage="1"/>
  </sheetPr>
  <dimension ref="A1:R27"/>
  <sheetViews>
    <sheetView showGridLines="0" zoomScaleNormal="100" workbookViewId="0">
      <selection activeCell="N12" sqref="N12"/>
    </sheetView>
  </sheetViews>
  <sheetFormatPr defaultColWidth="0" defaultRowHeight="12.75" zeroHeight="1" x14ac:dyDescent="0.2"/>
  <cols>
    <col min="1" max="2" width="11.7109375" customWidth="1"/>
    <col min="3" max="6" width="3.7109375" customWidth="1"/>
    <col min="7" max="7" width="20.28515625" customWidth="1"/>
    <col min="8" max="10" width="11.7109375" customWidth="1"/>
    <col min="11" max="12" width="15.5703125" customWidth="1"/>
    <col min="13" max="13" width="1.85546875" customWidth="1"/>
    <col min="14" max="14" width="22.42578125" customWidth="1"/>
    <col min="15" max="16" width="11.7109375" customWidth="1"/>
    <col min="17" max="18" width="0" hidden="1" customWidth="1"/>
    <col min="19" max="16384" width="11.7109375" hidden="1"/>
  </cols>
  <sheetData>
    <row r="1" spans="1:15" ht="21" x14ac:dyDescent="0.2">
      <c r="A1" s="420"/>
      <c r="O1" s="48"/>
    </row>
    <row r="2" spans="1:15" ht="23.1" customHeight="1" x14ac:dyDescent="0.2">
      <c r="C2" s="201" t="str">
        <f>Lbl_Country</f>
        <v>Zambia</v>
      </c>
      <c r="M2" s="195"/>
    </row>
    <row r="3" spans="1:15" ht="18.75" x14ac:dyDescent="0.2">
      <c r="C3" s="37" t="str">
        <f>Lbl_Country&amp;" C4P* - Screening &amp; Treatment Tool"&amp;Err_Chks_Msg&amp;Sens_Chks_Msg&amp;Alt_Chks_Msg</f>
        <v>Zambia C4P* - Screening &amp; Treatment Tool</v>
      </c>
      <c r="K3" s="700" t="s">
        <v>1877</v>
      </c>
      <c r="L3" s="700"/>
      <c r="M3" s="700"/>
      <c r="N3" s="700"/>
      <c r="O3" s="700"/>
    </row>
    <row r="4" spans="1:15" ht="13.5" thickBot="1" x14ac:dyDescent="0.25">
      <c r="C4" s="702" t="s">
        <v>2</v>
      </c>
      <c r="D4" s="702"/>
      <c r="E4" s="702"/>
      <c r="F4" s="702"/>
      <c r="G4" s="702"/>
    </row>
    <row r="5" spans="1:15" ht="13.5" thickBot="1" x14ac:dyDescent="0.25">
      <c r="K5" s="704" t="s">
        <v>1875</v>
      </c>
      <c r="L5" s="705"/>
      <c r="N5" s="704" t="s">
        <v>1876</v>
      </c>
      <c r="O5" s="705"/>
    </row>
    <row r="6" spans="1:15" ht="13.5" thickBot="1" x14ac:dyDescent="0.25">
      <c r="K6" s="612" t="str">
        <f>Serv_Total_Nmbr_Svcs_1</f>
        <v>Total # Screening</v>
      </c>
      <c r="L6" s="525">
        <f ca="1">Serv_Tot_Nmbr_Svcs_1</f>
        <v>509112</v>
      </c>
      <c r="M6" s="610"/>
      <c r="N6" s="615" t="str">
        <f>HL_Total_Costs_Total_Financial_Costs</f>
        <v>Total Financial Costs (USD)</v>
      </c>
      <c r="O6" s="616">
        <f ca="1">HL_Serv_Fin_Costs_Total_Includes_Capex+HL_Sum_Tbls_Total_Fin_NonService</f>
        <v>13201802.623103442</v>
      </c>
    </row>
    <row r="7" spans="1:15" ht="13.5" thickBot="1" x14ac:dyDescent="0.25">
      <c r="K7" s="613" t="str">
        <f>Serv_Total_Nmbr_Svcs_3</f>
        <v>Total # PreCxCa</v>
      </c>
      <c r="L7" s="617">
        <f ca="1">Serv_Tot_Nmbr_Svcs_3</f>
        <v>67278</v>
      </c>
      <c r="M7" s="610"/>
      <c r="N7" s="621" t="str">
        <f>HL_Total_Costs_Total_Economic_Costs</f>
        <v>Total Economic Costs (USD)</v>
      </c>
      <c r="O7" s="616">
        <f ca="1">HL_Serv_Total_SD_Econ_Incl_Capex_Annualized+HL_Sum_Tbls_Non_Serv_Del_Econ</f>
        <v>16051507.479505146</v>
      </c>
    </row>
    <row r="8" spans="1:15" ht="13.5" thickBot="1" x14ac:dyDescent="0.25">
      <c r="K8" s="614" t="str">
        <f>Serv_Total_Nmbr_Svcs_4</f>
        <v>Total # CxCa</v>
      </c>
      <c r="L8" s="611">
        <f ca="1">Serv_Tot_Nmbr_Svcs_4</f>
        <v>5006</v>
      </c>
      <c r="M8" s="610"/>
      <c r="N8" s="610"/>
      <c r="O8" s="610"/>
    </row>
    <row r="9" spans="1:15" s="322" customFormat="1" x14ac:dyDescent="0.2"/>
    <row r="10" spans="1:15" s="322" customFormat="1" x14ac:dyDescent="0.2"/>
    <row r="11" spans="1:15" ht="29.1" customHeight="1" x14ac:dyDescent="0.2">
      <c r="K11" s="703"/>
      <c r="L11" s="703"/>
      <c r="M11" s="703"/>
      <c r="N11" s="703"/>
    </row>
    <row r="12" spans="1:15" x14ac:dyDescent="0.2"/>
    <row r="13" spans="1:15" x14ac:dyDescent="0.2">
      <c r="F13" s="68" t="s">
        <v>586</v>
      </c>
      <c r="G13" s="516" t="str">
        <f>Team_BA!G10</f>
        <v>Henry Kansembe</v>
      </c>
    </row>
    <row r="14" spans="1:15" x14ac:dyDescent="0.2"/>
    <row r="15" spans="1:15" x14ac:dyDescent="0.2">
      <c r="C15" s="34" t="s">
        <v>1</v>
      </c>
    </row>
    <row r="16" spans="1:15" s="47" customFormat="1" x14ac:dyDescent="0.2">
      <c r="C16" s="69" t="s">
        <v>654</v>
      </c>
    </row>
    <row r="17" spans="2:11" x14ac:dyDescent="0.2">
      <c r="C17" s="31" t="s">
        <v>295</v>
      </c>
    </row>
    <row r="18" spans="2:11" x14ac:dyDescent="0.2">
      <c r="G18" s="44" t="s">
        <v>296</v>
      </c>
      <c r="H18" s="701" t="str">
        <f ca="1">IF(ISERROR(MID(CELL("filename",$C$18),FIND("[",CELL("filename",$C$18))+1,FIND("]",CELL("filename",$C$18))-FIND("[",CELL("filename",$C$18))-1)),"FILE NOT SAVED",MID(CELL("filename",$C$18),FIND("[",CELL("filename",$C$18))+1,FIND("]",CELL("filename",$C$18))-FIND("[",CELL("filename",$C$18))-1))</f>
        <v>~WHO-C4P Tool_Release_Candidate_Jan15_v1.20b.xlsx</v>
      </c>
      <c r="I18" s="701"/>
      <c r="J18" s="701"/>
      <c r="K18" s="701"/>
    </row>
    <row r="19" spans="2:11" x14ac:dyDescent="0.2">
      <c r="C19" s="31"/>
      <c r="G19" s="44" t="s">
        <v>297</v>
      </c>
      <c r="H19" s="45">
        <f ca="1">TODAY()</f>
        <v>42385</v>
      </c>
    </row>
    <row r="20" spans="2:11" x14ac:dyDescent="0.2"/>
    <row r="21" spans="2:11" ht="15.75" x14ac:dyDescent="0.2">
      <c r="B21" s="43" t="s">
        <v>558</v>
      </c>
    </row>
    <row r="22" spans="2:11" x14ac:dyDescent="0.2"/>
    <row r="23" spans="2:11" x14ac:dyDescent="0.2"/>
    <row r="24" spans="2:11" x14ac:dyDescent="0.2"/>
    <row r="25" spans="2:11" x14ac:dyDescent="0.2"/>
    <row r="26" spans="2:11" x14ac:dyDescent="0.2"/>
    <row r="27" spans="2:11" x14ac:dyDescent="0.2"/>
  </sheetData>
  <mergeCells count="6">
    <mergeCell ref="K3:O3"/>
    <mergeCell ref="H18:K18"/>
    <mergeCell ref="C4:G4"/>
    <mergeCell ref="K11:N11"/>
    <mergeCell ref="N5:O5"/>
    <mergeCell ref="K5:L5"/>
  </mergeCells>
  <hyperlinks>
    <hyperlink ref="G13" location="Team_BA!G10" display="Team_BA!G10"/>
    <hyperlink ref="C4" location="HL_Home" tooltip="Go to Table of Contents" display="HL_Home"/>
  </hyperlinks>
  <pageMargins left="0.39370078740157499" right="0.39370078740157499" top="0.59055118110236204" bottom="0.98425196850393704" header="0" footer="0.31496062992126"/>
  <pageSetup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0000"/>
    <pageSetUpPr autoPageBreaks="0"/>
  </sheetPr>
  <dimension ref="A1:Q140"/>
  <sheetViews>
    <sheetView showGridLines="0" zoomScaleNormal="100" workbookViewId="0">
      <pane ySplit="6" topLeftCell="A39" activePane="bottomLeft" state="frozen"/>
      <selection activeCell="L25" sqref="L25"/>
      <selection pane="bottomLeft" activeCell="D87" sqref="D87:P87"/>
    </sheetView>
  </sheetViews>
  <sheetFormatPr defaultColWidth="11.7109375" defaultRowHeight="12.75" outlineLevelRow="2" x14ac:dyDescent="0.2"/>
  <cols>
    <col min="1" max="2" width="3.7109375" customWidth="1"/>
    <col min="3" max="3" width="0" hidden="1" customWidth="1"/>
    <col min="4" max="4" width="4.140625" customWidth="1"/>
    <col min="5" max="5" width="0" hidden="1" customWidth="1"/>
    <col min="6" max="6" width="2.85546875" customWidth="1"/>
    <col min="7" max="7" width="0" hidden="1" customWidth="1"/>
    <col min="8" max="8" width="1.5703125" customWidth="1"/>
    <col min="14" max="14" width="14.28515625" customWidth="1"/>
    <col min="15" max="15" width="15.5703125" customWidth="1"/>
    <col min="16" max="17" width="14.85546875" customWidth="1"/>
  </cols>
  <sheetData>
    <row r="1" spans="1:17" ht="23.25" x14ac:dyDescent="0.2">
      <c r="B1" s="430" t="s">
        <v>473</v>
      </c>
    </row>
    <row r="2" spans="1:17" ht="21" x14ac:dyDescent="0.2">
      <c r="B2" s="33" t="str">
        <f>Model_Name</f>
        <v>Zambia C4P* - Screening &amp; Treatment Tool</v>
      </c>
    </row>
    <row r="3" spans="1:17" x14ac:dyDescent="0.2">
      <c r="B3" s="711" t="s">
        <v>3</v>
      </c>
      <c r="C3" s="711"/>
      <c r="D3" s="711"/>
      <c r="E3" s="711"/>
      <c r="F3" s="711"/>
      <c r="G3" s="711"/>
      <c r="H3" s="711"/>
      <c r="I3" s="711"/>
      <c r="J3" s="16"/>
    </row>
    <row r="5" spans="1:17" x14ac:dyDescent="0.2">
      <c r="A5" s="169"/>
    </row>
    <row r="6" spans="1:17" s="326" customFormat="1" ht="18.75" x14ac:dyDescent="0.2">
      <c r="A6" s="325" t="s">
        <v>4</v>
      </c>
      <c r="B6" s="335" t="s">
        <v>0</v>
      </c>
      <c r="Q6" s="336"/>
    </row>
    <row r="8" spans="1:17" ht="19.149999999999999" customHeight="1" x14ac:dyDescent="0.2">
      <c r="B8" s="709">
        <v>1</v>
      </c>
      <c r="C8" s="709"/>
      <c r="D8" s="710" t="str">
        <f>Sheet_SC!C9</f>
        <v>Current Scenario Summary Sheets</v>
      </c>
      <c r="E8" s="710"/>
      <c r="F8" s="710"/>
      <c r="G8" s="710"/>
      <c r="H8" s="710"/>
      <c r="I8" s="710"/>
      <c r="J8" s="710"/>
      <c r="K8" s="710"/>
      <c r="L8" s="710"/>
      <c r="M8" s="710"/>
      <c r="N8" s="710"/>
      <c r="O8" s="710"/>
      <c r="P8" s="710"/>
    </row>
    <row r="9" spans="1:17" outlineLevel="1" x14ac:dyDescent="0.2">
      <c r="F9" s="706" t="s">
        <v>67</v>
      </c>
      <c r="G9" s="706"/>
      <c r="H9" s="707" t="str">
        <f>Out_Ann_TO!B1</f>
        <v>Programme Cost Summaries</v>
      </c>
      <c r="I9" s="707"/>
      <c r="J9" s="707"/>
      <c r="K9" s="707"/>
      <c r="L9" s="707"/>
      <c r="M9" s="707"/>
      <c r="N9" s="707"/>
      <c r="O9" s="707"/>
      <c r="P9" s="707"/>
    </row>
    <row r="10" spans="1:17" ht="12.75" hidden="1" customHeight="1" outlineLevel="2" x14ac:dyDescent="0.2">
      <c r="H10" s="332" t="s">
        <v>69</v>
      </c>
      <c r="I10" s="708" t="str">
        <f>TOC_Hdg_48</f>
        <v>Introduction and Recurrent Costs ( Excludes Service Delivery Capital Expenditures)</v>
      </c>
      <c r="J10" s="708"/>
      <c r="K10" s="708"/>
      <c r="L10" s="708"/>
      <c r="M10" s="708"/>
      <c r="N10" s="708"/>
      <c r="O10" s="708"/>
      <c r="P10" s="708"/>
    </row>
    <row r="11" spans="1:17" ht="12.75" hidden="1" customHeight="1" outlineLevel="2" x14ac:dyDescent="0.2">
      <c r="H11" s="332" t="s">
        <v>69</v>
      </c>
      <c r="I11" s="708" t="str">
        <f>TOC_Hdg_39</f>
        <v>Service Delivery Costs</v>
      </c>
      <c r="J11" s="708"/>
      <c r="K11" s="708"/>
      <c r="L11" s="708"/>
      <c r="M11" s="708"/>
      <c r="N11" s="708"/>
      <c r="O11" s="708"/>
      <c r="P11" s="708"/>
    </row>
    <row r="12" spans="1:17" ht="12.75" hidden="1" customHeight="1" outlineLevel="2" x14ac:dyDescent="0.2">
      <c r="H12" s="332" t="s">
        <v>69</v>
      </c>
      <c r="I12" s="708" t="str">
        <f>TOC_Hdg_40</f>
        <v>Programme (Non-Service Delivery) Costs - By Activity Category</v>
      </c>
      <c r="J12" s="708"/>
      <c r="K12" s="708"/>
      <c r="L12" s="708"/>
      <c r="M12" s="708"/>
      <c r="N12" s="708"/>
      <c r="O12" s="708"/>
      <c r="P12" s="708"/>
    </row>
    <row r="13" spans="1:17" ht="12.75" hidden="1" customHeight="1" outlineLevel="2" x14ac:dyDescent="0.2">
      <c r="H13" s="332" t="s">
        <v>69</v>
      </c>
      <c r="I13" s="708" t="str">
        <f>TOC_Hdg_50</f>
        <v>Initial Investment Costs</v>
      </c>
      <c r="J13" s="708"/>
      <c r="K13" s="708"/>
      <c r="L13" s="708"/>
      <c r="M13" s="708"/>
      <c r="N13" s="708"/>
      <c r="O13" s="708"/>
      <c r="P13" s="708"/>
    </row>
    <row r="14" spans="1:17" ht="12.75" hidden="1" customHeight="1" outlineLevel="2" x14ac:dyDescent="0.2">
      <c r="H14" s="332" t="s">
        <v>69</v>
      </c>
      <c r="I14" s="708" t="str">
        <f>TOC_Hdg_46</f>
        <v>Programme Costs - Introduction Costs</v>
      </c>
      <c r="J14" s="708"/>
      <c r="K14" s="708"/>
      <c r="L14" s="708"/>
      <c r="M14" s="708"/>
      <c r="N14" s="708"/>
      <c r="O14" s="708"/>
      <c r="P14" s="708"/>
    </row>
    <row r="15" spans="1:17" ht="12.75" hidden="1" customHeight="1" outlineLevel="2" x14ac:dyDescent="0.2">
      <c r="H15" s="332" t="s">
        <v>69</v>
      </c>
      <c r="I15" s="708" t="str">
        <f>TOC_Hdg_47</f>
        <v>Recurrent Costs - Outputs</v>
      </c>
      <c r="J15" s="708"/>
      <c r="K15" s="708"/>
      <c r="L15" s="708"/>
      <c r="M15" s="708"/>
      <c r="N15" s="708"/>
      <c r="O15" s="708"/>
      <c r="P15" s="708"/>
    </row>
    <row r="16" spans="1:17" outlineLevel="1" x14ac:dyDescent="0.2">
      <c r="F16" s="706" t="s">
        <v>263</v>
      </c>
      <c r="G16" s="706"/>
      <c r="H16" s="707" t="str">
        <f>Screen_Sum_Ann_TO!B1</f>
        <v>VIA - Outputs Summary</v>
      </c>
      <c r="I16" s="707"/>
      <c r="J16" s="707"/>
      <c r="K16" s="707"/>
      <c r="L16" s="707"/>
      <c r="M16" s="707"/>
      <c r="N16" s="707"/>
      <c r="O16" s="707"/>
      <c r="P16" s="707"/>
    </row>
    <row r="17" spans="2:16" outlineLevel="1" x14ac:dyDescent="0.2">
      <c r="F17" s="706" t="s">
        <v>264</v>
      </c>
      <c r="G17" s="706"/>
      <c r="H17" s="707" t="str">
        <f>Screen_Sum_1_Ann_TO!B1</f>
        <v>VIA - Cost Summary</v>
      </c>
      <c r="I17" s="707"/>
      <c r="J17" s="707"/>
      <c r="K17" s="707"/>
      <c r="L17" s="707"/>
      <c r="M17" s="707"/>
      <c r="N17" s="707"/>
      <c r="O17" s="707"/>
      <c r="P17" s="707"/>
    </row>
    <row r="18" spans="2:16" outlineLevel="1" x14ac:dyDescent="0.2">
      <c r="F18" s="706" t="s">
        <v>265</v>
      </c>
      <c r="G18" s="706"/>
      <c r="H18" s="707" t="str">
        <f>Diag_Sum_Ann_TO!B1</f>
        <v>Diagnostic - Outputs Summary</v>
      </c>
      <c r="I18" s="707"/>
      <c r="J18" s="707"/>
      <c r="K18" s="707"/>
      <c r="L18" s="707"/>
      <c r="M18" s="707"/>
      <c r="N18" s="707"/>
      <c r="O18" s="707"/>
      <c r="P18" s="707"/>
    </row>
    <row r="19" spans="2:16" outlineLevel="1" x14ac:dyDescent="0.2">
      <c r="F19" s="706" t="s">
        <v>266</v>
      </c>
      <c r="G19" s="706"/>
      <c r="H19" s="707" t="str">
        <f>Diag_Sum_1_Ann_TO!B1</f>
        <v>Diagnostics- Cost Summary</v>
      </c>
      <c r="I19" s="707"/>
      <c r="J19" s="707"/>
      <c r="K19" s="707"/>
      <c r="L19" s="707"/>
      <c r="M19" s="707"/>
      <c r="N19" s="707"/>
      <c r="O19" s="707"/>
      <c r="P19" s="707"/>
    </row>
    <row r="20" spans="2:16" outlineLevel="1" x14ac:dyDescent="0.2">
      <c r="F20" s="706" t="s">
        <v>267</v>
      </c>
      <c r="G20" s="706"/>
      <c r="H20" s="707" t="str">
        <f>Intv_Sum_Ann_TO!B1</f>
        <v>Cryo - Ouputs Summary</v>
      </c>
      <c r="I20" s="707"/>
      <c r="J20" s="707"/>
      <c r="K20" s="707"/>
      <c r="L20" s="707"/>
      <c r="M20" s="707"/>
      <c r="N20" s="707"/>
      <c r="O20" s="707"/>
      <c r="P20" s="707"/>
    </row>
    <row r="21" spans="2:16" outlineLevel="1" x14ac:dyDescent="0.2">
      <c r="F21" s="706" t="s">
        <v>799</v>
      </c>
      <c r="G21" s="706"/>
      <c r="H21" s="707" t="str">
        <f>Intv_Sum_1_Ann_TO!B1</f>
        <v>Cryo - Cost Summary</v>
      </c>
      <c r="I21" s="707"/>
      <c r="J21" s="707"/>
      <c r="K21" s="707"/>
      <c r="L21" s="707"/>
      <c r="M21" s="707"/>
      <c r="N21" s="707"/>
      <c r="O21" s="707"/>
      <c r="P21" s="707"/>
    </row>
    <row r="22" spans="2:16" outlineLevel="1" x14ac:dyDescent="0.2">
      <c r="F22" s="706" t="s">
        <v>1944</v>
      </c>
      <c r="G22" s="706"/>
      <c r="H22" s="707" t="str">
        <f>Intv_2_Sum_Ann_TO!B1</f>
        <v>LEEP - Ouptputs Summary</v>
      </c>
      <c r="I22" s="707"/>
      <c r="J22" s="707"/>
      <c r="K22" s="707"/>
      <c r="L22" s="707"/>
      <c r="M22" s="707"/>
      <c r="N22" s="707"/>
      <c r="O22" s="707"/>
      <c r="P22" s="707"/>
    </row>
    <row r="23" spans="2:16" outlineLevel="1" x14ac:dyDescent="0.2">
      <c r="F23" s="706" t="s">
        <v>1945</v>
      </c>
      <c r="G23" s="706"/>
      <c r="H23" s="707" t="str">
        <f>Intv_2_Sum_1_Ann_TO!B1</f>
        <v>LEEP - Cost Summary</v>
      </c>
      <c r="I23" s="707"/>
      <c r="J23" s="707"/>
      <c r="K23" s="707"/>
      <c r="L23" s="707"/>
      <c r="M23" s="707"/>
      <c r="N23" s="707"/>
      <c r="O23" s="707"/>
      <c r="P23" s="707"/>
    </row>
    <row r="24" spans="2:16" outlineLevel="1" x14ac:dyDescent="0.2">
      <c r="F24" s="706" t="s">
        <v>1946</v>
      </c>
      <c r="G24" s="706"/>
      <c r="H24" s="707" t="str">
        <f>Intv_5_Sum_Ann_TO!B1</f>
        <v>Surgery - Outputs Summary</v>
      </c>
      <c r="I24" s="707"/>
      <c r="J24" s="707"/>
      <c r="K24" s="707"/>
      <c r="L24" s="707"/>
      <c r="M24" s="707"/>
      <c r="N24" s="707"/>
      <c r="O24" s="707"/>
      <c r="P24" s="707"/>
    </row>
    <row r="25" spans="2:16" outlineLevel="1" x14ac:dyDescent="0.2">
      <c r="F25" s="706" t="s">
        <v>1947</v>
      </c>
      <c r="G25" s="706"/>
      <c r="H25" s="707" t="str">
        <f>Intv_5_Sum_1_Ann_TO!B1</f>
        <v>Surgery - Cost Summary</v>
      </c>
      <c r="I25" s="707"/>
      <c r="J25" s="707"/>
      <c r="K25" s="707"/>
      <c r="L25" s="707"/>
      <c r="M25" s="707"/>
      <c r="N25" s="707"/>
      <c r="O25" s="707"/>
      <c r="P25" s="707"/>
    </row>
    <row r="26" spans="2:16" outlineLevel="1" x14ac:dyDescent="0.2">
      <c r="F26" s="706" t="s">
        <v>1948</v>
      </c>
      <c r="G26" s="706"/>
      <c r="H26" s="707" t="str">
        <f>Intv_3_Sum_Ann_TO!B1</f>
        <v>Chemotherapy - Outputs Summary</v>
      </c>
      <c r="I26" s="707"/>
      <c r="J26" s="707"/>
      <c r="K26" s="707"/>
      <c r="L26" s="707"/>
      <c r="M26" s="707"/>
      <c r="N26" s="707"/>
      <c r="O26" s="707"/>
      <c r="P26" s="707"/>
    </row>
    <row r="27" spans="2:16" outlineLevel="1" x14ac:dyDescent="0.2">
      <c r="F27" s="706" t="s">
        <v>1949</v>
      </c>
      <c r="G27" s="706"/>
      <c r="H27" s="707" t="str">
        <f>Intv_3_Sum_1_Ann_TO!B1</f>
        <v>Chemotherapy - Cost Summary</v>
      </c>
      <c r="I27" s="707"/>
      <c r="J27" s="707"/>
      <c r="K27" s="707"/>
      <c r="L27" s="707"/>
      <c r="M27" s="707"/>
      <c r="N27" s="707"/>
      <c r="O27" s="707"/>
      <c r="P27" s="707"/>
    </row>
    <row r="28" spans="2:16" outlineLevel="1" x14ac:dyDescent="0.2">
      <c r="F28" s="706" t="s">
        <v>1950</v>
      </c>
      <c r="G28" s="706"/>
      <c r="H28" s="707" t="str">
        <f>Intv_4_Sum_Ann_TO!B1</f>
        <v>Radiotherapy - Outputs Summary</v>
      </c>
      <c r="I28" s="707"/>
      <c r="J28" s="707"/>
      <c r="K28" s="707"/>
      <c r="L28" s="707"/>
      <c r="M28" s="707"/>
      <c r="N28" s="707"/>
      <c r="O28" s="707"/>
      <c r="P28" s="707"/>
    </row>
    <row r="29" spans="2:16" outlineLevel="1" x14ac:dyDescent="0.2">
      <c r="F29" s="706" t="s">
        <v>1951</v>
      </c>
      <c r="G29" s="706"/>
      <c r="H29" s="707" t="str">
        <f>Intv_4_Sum_1_Ann_TO!B1</f>
        <v>Radiotherapy - Cost Summary</v>
      </c>
      <c r="I29" s="707"/>
      <c r="J29" s="707"/>
      <c r="K29" s="707"/>
      <c r="L29" s="707"/>
      <c r="M29" s="707"/>
      <c r="N29" s="707"/>
      <c r="O29" s="707"/>
      <c r="P29" s="707"/>
    </row>
    <row r="30" spans="2:16" outlineLevel="1" x14ac:dyDescent="0.2">
      <c r="F30" s="706" t="s">
        <v>1975</v>
      </c>
      <c r="G30" s="706"/>
      <c r="H30" s="707" t="str">
        <f>Intv_6_Sum_Ann_TO!B1</f>
        <v>Palliative Outpatient - Outputs Summary</v>
      </c>
      <c r="I30" s="707"/>
      <c r="J30" s="707"/>
      <c r="K30" s="707"/>
      <c r="L30" s="707"/>
      <c r="M30" s="707"/>
      <c r="N30" s="707"/>
      <c r="O30" s="707"/>
      <c r="P30" s="707"/>
    </row>
    <row r="31" spans="2:16" outlineLevel="1" x14ac:dyDescent="0.2">
      <c r="F31" s="706" t="s">
        <v>1976</v>
      </c>
      <c r="G31" s="706"/>
      <c r="H31" s="707" t="str">
        <f>Intv_6_Sum_1_Ann_TO!B1</f>
        <v>Palliative Outpatient - Cost Summary</v>
      </c>
      <c r="I31" s="707"/>
      <c r="J31" s="707"/>
      <c r="K31" s="707"/>
      <c r="L31" s="707"/>
      <c r="M31" s="707"/>
      <c r="N31" s="707"/>
      <c r="O31" s="707"/>
      <c r="P31" s="707"/>
    </row>
    <row r="32" spans="2:16" ht="19.149999999999999" customHeight="1" x14ac:dyDescent="0.2">
      <c r="B32" s="709">
        <v>2</v>
      </c>
      <c r="C32" s="709"/>
      <c r="D32" s="710" t="str">
        <f>Cust_SC!C9</f>
        <v>Country Setup</v>
      </c>
      <c r="E32" s="710"/>
      <c r="F32" s="710"/>
      <c r="G32" s="710"/>
      <c r="H32" s="710"/>
      <c r="I32" s="710"/>
      <c r="J32" s="710"/>
      <c r="K32" s="710"/>
      <c r="L32" s="710"/>
      <c r="M32" s="710"/>
      <c r="N32" s="710"/>
      <c r="O32" s="710"/>
      <c r="P32" s="710"/>
    </row>
    <row r="33" spans="2:16" outlineLevel="1" x14ac:dyDescent="0.2">
      <c r="F33" s="706" t="s">
        <v>67</v>
      </c>
      <c r="G33" s="706"/>
      <c r="H33" s="707" t="str">
        <f>Team_BA!B1</f>
        <v>Planning &amp; Costing Team Information</v>
      </c>
      <c r="I33" s="707"/>
      <c r="J33" s="707"/>
      <c r="K33" s="707"/>
      <c r="L33" s="707"/>
      <c r="M33" s="707"/>
      <c r="N33" s="707"/>
      <c r="O33" s="707"/>
      <c r="P33" s="707"/>
    </row>
    <row r="34" spans="2:16" outlineLevel="1" x14ac:dyDescent="0.2">
      <c r="F34" s="706" t="s">
        <v>263</v>
      </c>
      <c r="G34" s="706"/>
      <c r="H34" s="707" t="str">
        <f>Labels_BA!B1</f>
        <v>Custom Labels</v>
      </c>
      <c r="I34" s="707"/>
      <c r="J34" s="707"/>
      <c r="K34" s="707"/>
      <c r="L34" s="707"/>
      <c r="M34" s="707"/>
      <c r="N34" s="707"/>
      <c r="O34" s="707"/>
      <c r="P34" s="707"/>
    </row>
    <row r="35" spans="2:16" ht="12.75" hidden="1" customHeight="1" outlineLevel="2" x14ac:dyDescent="0.2">
      <c r="H35" s="332" t="s">
        <v>69</v>
      </c>
      <c r="I35" s="708" t="str">
        <f>TOC_Hdg_80</f>
        <v>Country Name Label</v>
      </c>
      <c r="J35" s="708"/>
      <c r="K35" s="708"/>
      <c r="L35" s="708"/>
      <c r="M35" s="708"/>
      <c r="N35" s="708"/>
      <c r="O35" s="708"/>
      <c r="P35" s="708"/>
    </row>
    <row r="36" spans="2:16" ht="12.75" hidden="1" customHeight="1" outlineLevel="2" x14ac:dyDescent="0.2">
      <c r="H36" s="332" t="s">
        <v>69</v>
      </c>
      <c r="I36" s="708" t="str">
        <f>TOC_Hdg_78</f>
        <v>Sub-National Level Name Labels</v>
      </c>
      <c r="J36" s="708"/>
      <c r="K36" s="708"/>
      <c r="L36" s="708"/>
      <c r="M36" s="708"/>
      <c r="N36" s="708"/>
      <c r="O36" s="708"/>
      <c r="P36" s="708"/>
    </row>
    <row r="37" spans="2:16" ht="12.75" hidden="1" customHeight="1" outlineLevel="2" x14ac:dyDescent="0.2">
      <c r="H37" s="332" t="s">
        <v>69</v>
      </c>
      <c r="I37" s="708" t="str">
        <f>TOC_Hdg_85</f>
        <v>Facility Type Name Labels</v>
      </c>
      <c r="J37" s="708"/>
      <c r="K37" s="708"/>
      <c r="L37" s="708"/>
      <c r="M37" s="708"/>
      <c r="N37" s="708"/>
      <c r="O37" s="708"/>
      <c r="P37" s="708"/>
    </row>
    <row r="38" spans="2:16" ht="12.75" hidden="1" customHeight="1" outlineLevel="2" x14ac:dyDescent="0.2">
      <c r="H38" s="332" t="s">
        <v>69</v>
      </c>
      <c r="I38" s="708" t="str">
        <f>TOC_Hdg_86</f>
        <v>Population Segment and Category (Sub-Segment) Name Labels</v>
      </c>
      <c r="J38" s="708"/>
      <c r="K38" s="708"/>
      <c r="L38" s="708"/>
      <c r="M38" s="708"/>
      <c r="N38" s="708"/>
      <c r="O38" s="708"/>
      <c r="P38" s="708"/>
    </row>
    <row r="39" spans="2:16" outlineLevel="1" x14ac:dyDescent="0.2">
      <c r="F39" s="706" t="s">
        <v>264</v>
      </c>
      <c r="G39" s="706"/>
      <c r="H39" s="707" t="str">
        <f>TS_BA!B1</f>
        <v>Planning Period</v>
      </c>
      <c r="I39" s="707"/>
      <c r="J39" s="707"/>
      <c r="K39" s="707"/>
      <c r="L39" s="707"/>
      <c r="M39" s="707"/>
      <c r="N39" s="707"/>
      <c r="O39" s="707"/>
      <c r="P39" s="707"/>
    </row>
    <row r="40" spans="2:16" ht="19.149999999999999" customHeight="1" x14ac:dyDescent="0.2">
      <c r="B40" s="709">
        <v>3</v>
      </c>
      <c r="C40" s="709"/>
      <c r="D40" s="710" t="str">
        <f>Assumptions_SC!C9</f>
        <v>Assumptions</v>
      </c>
      <c r="E40" s="710"/>
      <c r="F40" s="710"/>
      <c r="G40" s="710"/>
      <c r="H40" s="710"/>
      <c r="I40" s="710"/>
      <c r="J40" s="710"/>
      <c r="K40" s="710"/>
      <c r="L40" s="710"/>
      <c r="M40" s="710"/>
      <c r="N40" s="710"/>
      <c r="O40" s="710"/>
      <c r="P40" s="710"/>
    </row>
    <row r="41" spans="2:16" ht="15" x14ac:dyDescent="0.2">
      <c r="D41" s="712" t="s">
        <v>1879</v>
      </c>
      <c r="E41" s="712"/>
      <c r="F41" s="713" t="str">
        <f>Gen_Assump_SSC!C9</f>
        <v>General Assumptions</v>
      </c>
      <c r="G41" s="713"/>
      <c r="H41" s="713"/>
      <c r="I41" s="713"/>
      <c r="J41" s="713"/>
      <c r="K41" s="713"/>
      <c r="L41" s="713"/>
      <c r="M41" s="713"/>
      <c r="N41" s="713"/>
      <c r="O41" s="713"/>
      <c r="P41" s="713"/>
    </row>
    <row r="42" spans="2:16" outlineLevel="1" x14ac:dyDescent="0.2">
      <c r="F42" s="706" t="s">
        <v>67</v>
      </c>
      <c r="G42" s="706"/>
      <c r="H42" s="707" t="str">
        <f>Plac_Start_Facs_BA!B1</f>
        <v>Program Rollout Plan</v>
      </c>
      <c r="I42" s="707"/>
      <c r="J42" s="707"/>
      <c r="K42" s="707"/>
      <c r="L42" s="707"/>
      <c r="M42" s="707"/>
      <c r="N42" s="707"/>
      <c r="O42" s="707"/>
      <c r="P42" s="707"/>
    </row>
    <row r="43" spans="2:16" ht="12.75" hidden="1" customHeight="1" outlineLevel="2" x14ac:dyDescent="0.2">
      <c r="H43" s="332" t="s">
        <v>69</v>
      </c>
      <c r="I43" s="708" t="str">
        <f>TOC_Hdg_7</f>
        <v>Provinces, Districts, and Program Start Years - Assumptions</v>
      </c>
      <c r="J43" s="708"/>
      <c r="K43" s="708"/>
      <c r="L43" s="708"/>
      <c r="M43" s="708"/>
      <c r="N43" s="708"/>
      <c r="O43" s="708"/>
      <c r="P43" s="708"/>
    </row>
    <row r="44" spans="2:16" ht="12.75" hidden="1" customHeight="1" outlineLevel="2" x14ac:dyDescent="0.2">
      <c r="H44" s="332" t="s">
        <v>69</v>
      </c>
      <c r="I44" s="708" t="str">
        <f>TOC_Hdg_133</f>
        <v>Province Names</v>
      </c>
      <c r="J44" s="708"/>
      <c r="K44" s="708"/>
      <c r="L44" s="708"/>
      <c r="M44" s="708"/>
      <c r="N44" s="708"/>
      <c r="O44" s="708"/>
      <c r="P44" s="708"/>
    </row>
    <row r="45" spans="2:16" ht="12.75" hidden="1" customHeight="1" outlineLevel="2" x14ac:dyDescent="0.2">
      <c r="H45" s="332" t="s">
        <v>69</v>
      </c>
      <c r="I45" s="708" t="str">
        <f>TOC_Hdg_134</f>
        <v># of Districts</v>
      </c>
      <c r="J45" s="708"/>
      <c r="K45" s="708"/>
      <c r="L45" s="708"/>
      <c r="M45" s="708"/>
      <c r="N45" s="708"/>
      <c r="O45" s="708"/>
      <c r="P45" s="708"/>
    </row>
    <row r="46" spans="2:16" ht="12.75" hidden="1" customHeight="1" outlineLevel="2" x14ac:dyDescent="0.2">
      <c r="H46" s="332" t="s">
        <v>69</v>
      </c>
      <c r="I46" s="708" t="str">
        <f>TOC_Hdg_135</f>
        <v>Program Start Year</v>
      </c>
      <c r="J46" s="708"/>
      <c r="K46" s="708"/>
      <c r="L46" s="708"/>
      <c r="M46" s="708"/>
      <c r="N46" s="708"/>
      <c r="O46" s="708"/>
      <c r="P46" s="708"/>
    </row>
    <row r="47" spans="2:16" outlineLevel="1" x14ac:dyDescent="0.2">
      <c r="F47" s="706" t="s">
        <v>263</v>
      </c>
      <c r="G47" s="706"/>
      <c r="H47" s="707" t="str">
        <f>Reg_Pop_Ann_TA!B1</f>
        <v>Critical Assumptions</v>
      </c>
      <c r="I47" s="707"/>
      <c r="J47" s="707"/>
      <c r="K47" s="707"/>
      <c r="L47" s="707"/>
      <c r="M47" s="707"/>
      <c r="N47" s="707"/>
      <c r="O47" s="707"/>
      <c r="P47" s="707"/>
    </row>
    <row r="48" spans="2:16" ht="12.75" hidden="1" customHeight="1" outlineLevel="2" x14ac:dyDescent="0.2">
      <c r="H48" s="332" t="s">
        <v>69</v>
      </c>
      <c r="I48" s="708" t="str">
        <f>TOC_Hdg_128</f>
        <v>Predicted Demand for Screening</v>
      </c>
      <c r="J48" s="708"/>
      <c r="K48" s="708"/>
      <c r="L48" s="708"/>
      <c r="M48" s="708"/>
      <c r="N48" s="708"/>
      <c r="O48" s="708"/>
      <c r="P48" s="708"/>
    </row>
    <row r="49" spans="4:16" ht="12.75" hidden="1" customHeight="1" outlineLevel="2" x14ac:dyDescent="0.2">
      <c r="H49" s="332" t="s">
        <v>69</v>
      </c>
      <c r="I49" s="708" t="str">
        <f>TOC_Hdg_124</f>
        <v>Basic Initial Screening Method Distribution Assumptions</v>
      </c>
      <c r="J49" s="708"/>
      <c r="K49" s="708"/>
      <c r="L49" s="708"/>
      <c r="M49" s="708"/>
      <c r="N49" s="708"/>
      <c r="O49" s="708"/>
      <c r="P49" s="708"/>
    </row>
    <row r="50" spans="4:16" ht="12.75" hidden="1" customHeight="1" outlineLevel="2" x14ac:dyDescent="0.2">
      <c r="H50" s="332" t="s">
        <v>69</v>
      </c>
      <c r="I50" s="708" t="str">
        <f>TOC_Hdg_129</f>
        <v>Epidemiology Assumptions</v>
      </c>
      <c r="J50" s="708"/>
      <c r="K50" s="708"/>
      <c r="L50" s="708"/>
      <c r="M50" s="708"/>
      <c r="N50" s="708"/>
      <c r="O50" s="708"/>
      <c r="P50" s="708"/>
    </row>
    <row r="51" spans="4:16" ht="12.75" hidden="1" customHeight="1" outlineLevel="2" x14ac:dyDescent="0.2">
      <c r="H51" s="332" t="s">
        <v>69</v>
      </c>
      <c r="I51" s="708" t="str">
        <f>TOC_Hdg_130</f>
        <v xml:space="preserve">Basic Referral Assumptions </v>
      </c>
      <c r="J51" s="708"/>
      <c r="K51" s="708"/>
      <c r="L51" s="708"/>
      <c r="M51" s="708"/>
      <c r="N51" s="708"/>
      <c r="O51" s="708"/>
      <c r="P51" s="708"/>
    </row>
    <row r="52" spans="4:16" ht="12.75" hidden="1" customHeight="1" outlineLevel="2" x14ac:dyDescent="0.2">
      <c r="H52" s="332" t="s">
        <v>69</v>
      </c>
      <c r="I52" s="708" t="str">
        <f>TOC_Hdg_131</f>
        <v>Basic Re-Screening Timing Assumptions</v>
      </c>
      <c r="J52" s="708"/>
      <c r="K52" s="708"/>
      <c r="L52" s="708"/>
      <c r="M52" s="708"/>
      <c r="N52" s="708"/>
      <c r="O52" s="708"/>
      <c r="P52" s="708"/>
    </row>
    <row r="53" spans="4:16" ht="12.75" hidden="1" customHeight="1" outlineLevel="2" x14ac:dyDescent="0.2">
      <c r="H53" s="332" t="s">
        <v>69</v>
      </c>
      <c r="I53" s="708" t="str">
        <f>TOC_Hdg_132</f>
        <v>Annual Population Counts by  Province</v>
      </c>
      <c r="J53" s="708"/>
      <c r="K53" s="708"/>
      <c r="L53" s="708"/>
      <c r="M53" s="708"/>
      <c r="N53" s="708"/>
      <c r="O53" s="708"/>
      <c r="P53" s="708"/>
    </row>
    <row r="54" spans="4:16" outlineLevel="1" x14ac:dyDescent="0.2">
      <c r="F54" s="706" t="s">
        <v>264</v>
      </c>
      <c r="G54" s="706"/>
      <c r="H54" s="707" t="str">
        <f>Econ_Ann_TA!B1</f>
        <v>Economic Assumptions</v>
      </c>
      <c r="I54" s="707"/>
      <c r="J54" s="707"/>
      <c r="K54" s="707"/>
      <c r="L54" s="707"/>
      <c r="M54" s="707"/>
      <c r="N54" s="707"/>
      <c r="O54" s="707"/>
      <c r="P54" s="707"/>
    </row>
    <row r="55" spans="4:16" outlineLevel="1" x14ac:dyDescent="0.2">
      <c r="F55" s="706" t="s">
        <v>265</v>
      </c>
      <c r="G55" s="706"/>
      <c r="H55" s="707" t="str">
        <f>Price_List_BA!B1</f>
        <v>Pricing Assumptions</v>
      </c>
      <c r="I55" s="707"/>
      <c r="J55" s="707"/>
      <c r="K55" s="707"/>
      <c r="L55" s="707"/>
      <c r="M55" s="707"/>
      <c r="N55" s="707"/>
      <c r="O55" s="707"/>
      <c r="P55" s="707"/>
    </row>
    <row r="56" spans="4:16" ht="12.75" hidden="1" customHeight="1" outlineLevel="2" x14ac:dyDescent="0.2">
      <c r="H56" s="332" t="s">
        <v>69</v>
      </c>
      <c r="I56" s="708" t="str">
        <f>TOC_Hdg_79</f>
        <v>Prices - Assumptions</v>
      </c>
      <c r="J56" s="708"/>
      <c r="K56" s="708"/>
      <c r="L56" s="708"/>
      <c r="M56" s="708"/>
      <c r="N56" s="708"/>
      <c r="O56" s="708"/>
      <c r="P56" s="708"/>
    </row>
    <row r="57" spans="4:16" ht="12.75" hidden="1" customHeight="1" outlineLevel="2" x14ac:dyDescent="0.2">
      <c r="H57" s="332" t="s">
        <v>69</v>
      </c>
      <c r="I57" s="708" t="str">
        <f>TOC_Hdg_127</f>
        <v>Facility Personnel Price List</v>
      </c>
      <c r="J57" s="708"/>
      <c r="K57" s="708"/>
      <c r="L57" s="708"/>
      <c r="M57" s="708"/>
      <c r="N57" s="708"/>
      <c r="O57" s="708"/>
      <c r="P57" s="708"/>
    </row>
    <row r="58" spans="4:16" ht="12.75" hidden="1" customHeight="1" outlineLevel="2" x14ac:dyDescent="0.2">
      <c r="H58" s="332" t="s">
        <v>69</v>
      </c>
      <c r="I58" s="708" t="str">
        <f>TOC_Hdg_27</f>
        <v>Equipment Price List</v>
      </c>
      <c r="J58" s="708"/>
      <c r="K58" s="708"/>
      <c r="L58" s="708"/>
      <c r="M58" s="708"/>
      <c r="N58" s="708"/>
      <c r="O58" s="708"/>
      <c r="P58" s="708"/>
    </row>
    <row r="59" spans="4:16" ht="12.75" hidden="1" customHeight="1" outlineLevel="2" x14ac:dyDescent="0.2">
      <c r="H59" s="332" t="s">
        <v>69</v>
      </c>
      <c r="I59" s="708" t="str">
        <f>TOC_Hdg_28</f>
        <v>Supply Price List</v>
      </c>
      <c r="J59" s="708"/>
      <c r="K59" s="708"/>
      <c r="L59" s="708"/>
      <c r="M59" s="708"/>
      <c r="N59" s="708"/>
      <c r="O59" s="708"/>
      <c r="P59" s="708"/>
    </row>
    <row r="60" spans="4:16" ht="12.75" hidden="1" customHeight="1" outlineLevel="2" x14ac:dyDescent="0.2">
      <c r="H60" s="332" t="s">
        <v>69</v>
      </c>
      <c r="I60" s="708" t="str">
        <f>TOC_Hdg_29</f>
        <v>Lab Tests &amp; Other Direct Costs (ODC) Price List</v>
      </c>
      <c r="J60" s="708"/>
      <c r="K60" s="708"/>
      <c r="L60" s="708"/>
      <c r="M60" s="708"/>
      <c r="N60" s="708"/>
      <c r="O60" s="708"/>
      <c r="P60" s="708"/>
    </row>
    <row r="61" spans="4:16" ht="15" x14ac:dyDescent="0.2">
      <c r="D61" s="712" t="s">
        <v>1881</v>
      </c>
      <c r="E61" s="712"/>
      <c r="F61" s="713" t="str">
        <f>Svc_Assump_SSC!C9</f>
        <v>Service Assumptions</v>
      </c>
      <c r="G61" s="713"/>
      <c r="H61" s="713"/>
      <c r="I61" s="713"/>
      <c r="J61" s="713"/>
      <c r="K61" s="713"/>
      <c r="L61" s="713"/>
      <c r="M61" s="713"/>
      <c r="N61" s="713"/>
      <c r="O61" s="713"/>
      <c r="P61" s="713"/>
    </row>
    <row r="62" spans="4:16" outlineLevel="1" x14ac:dyDescent="0.2">
      <c r="F62" s="706" t="s">
        <v>67</v>
      </c>
      <c r="G62" s="706"/>
      <c r="H62" s="707" t="str">
        <f>Screen_BA!B1</f>
        <v>Screening Services - Assumptions</v>
      </c>
      <c r="I62" s="707"/>
      <c r="J62" s="707"/>
      <c r="K62" s="707"/>
      <c r="L62" s="707"/>
      <c r="M62" s="707"/>
      <c r="N62" s="707"/>
      <c r="O62" s="707"/>
      <c r="P62" s="707"/>
    </row>
    <row r="63" spans="4:16" outlineLevel="1" x14ac:dyDescent="0.2">
      <c r="F63" s="706" t="s">
        <v>263</v>
      </c>
      <c r="G63" s="706"/>
      <c r="H63" s="707" t="str">
        <f>Screen_Ann_TA!B1</f>
        <v>Screening Services- Annual Assumptions</v>
      </c>
      <c r="I63" s="707"/>
      <c r="J63" s="707"/>
      <c r="K63" s="707"/>
      <c r="L63" s="707"/>
      <c r="M63" s="707"/>
      <c r="N63" s="707"/>
      <c r="O63" s="707"/>
      <c r="P63" s="707"/>
    </row>
    <row r="64" spans="4:16" outlineLevel="1" x14ac:dyDescent="0.2">
      <c r="F64" s="706" t="s">
        <v>264</v>
      </c>
      <c r="G64" s="706"/>
      <c r="H64" s="707" t="str">
        <f>Diag_BA!B1</f>
        <v>Diagnostic Services - Assumptions</v>
      </c>
      <c r="I64" s="707"/>
      <c r="J64" s="707"/>
      <c r="K64" s="707"/>
      <c r="L64" s="707"/>
      <c r="M64" s="707"/>
      <c r="N64" s="707"/>
      <c r="O64" s="707"/>
      <c r="P64" s="707"/>
    </row>
    <row r="65" spans="4:16" outlineLevel="1" x14ac:dyDescent="0.2">
      <c r="F65" s="706" t="s">
        <v>265</v>
      </c>
      <c r="G65" s="706"/>
      <c r="H65" s="707" t="str">
        <f>Diag_Ann_TA!B1</f>
        <v>Diagnostic Services - Annual Assumptions</v>
      </c>
      <c r="I65" s="707"/>
      <c r="J65" s="707"/>
      <c r="K65" s="707"/>
      <c r="L65" s="707"/>
      <c r="M65" s="707"/>
      <c r="N65" s="707"/>
      <c r="O65" s="707"/>
      <c r="P65" s="707"/>
    </row>
    <row r="66" spans="4:16" outlineLevel="1" x14ac:dyDescent="0.2">
      <c r="F66" s="706" t="s">
        <v>266</v>
      </c>
      <c r="G66" s="706"/>
      <c r="H66" s="707" t="str">
        <f>Intv_BA!B1</f>
        <v>Intervention Services - Assumptions</v>
      </c>
      <c r="I66" s="707"/>
      <c r="J66" s="707"/>
      <c r="K66" s="707"/>
      <c r="L66" s="707"/>
      <c r="M66" s="707"/>
      <c r="N66" s="707"/>
      <c r="O66" s="707"/>
      <c r="P66" s="707"/>
    </row>
    <row r="67" spans="4:16" ht="12.75" hidden="1" customHeight="1" outlineLevel="2" x14ac:dyDescent="0.2">
      <c r="H67" s="332" t="s">
        <v>69</v>
      </c>
      <c r="I67" s="708" t="str">
        <f>TOC_Hdg_35</f>
        <v>Cryotherapy - Same Visit</v>
      </c>
      <c r="J67" s="708"/>
      <c r="K67" s="708"/>
      <c r="L67" s="708"/>
      <c r="M67" s="708"/>
      <c r="N67" s="708"/>
      <c r="O67" s="708"/>
      <c r="P67" s="708"/>
    </row>
    <row r="68" spans="4:16" ht="12.75" hidden="1" customHeight="1" outlineLevel="2" x14ac:dyDescent="0.2">
      <c r="H68" s="332" t="s">
        <v>69</v>
      </c>
      <c r="I68" s="708" t="str">
        <f>TOC_Hdg_51</f>
        <v>Loop Electrosurgical Excision Procedure  with BIOP-H</v>
      </c>
      <c r="J68" s="708"/>
      <c r="K68" s="708"/>
      <c r="L68" s="708"/>
      <c r="M68" s="708"/>
      <c r="N68" s="708"/>
      <c r="O68" s="708"/>
      <c r="P68" s="708"/>
    </row>
    <row r="69" spans="4:16" ht="12.75" hidden="1" customHeight="1" outlineLevel="2" x14ac:dyDescent="0.2">
      <c r="H69" s="332" t="s">
        <v>69</v>
      </c>
      <c r="I69" s="708" t="str">
        <f>TOC_Hdg_55</f>
        <v>Chemotherapy</v>
      </c>
      <c r="J69" s="708"/>
      <c r="K69" s="708"/>
      <c r="L69" s="708"/>
      <c r="M69" s="708"/>
      <c r="N69" s="708"/>
      <c r="O69" s="708"/>
      <c r="P69" s="708"/>
    </row>
    <row r="70" spans="4:16" ht="12.75" hidden="1" customHeight="1" outlineLevel="2" x14ac:dyDescent="0.2">
      <c r="H70" s="332" t="s">
        <v>69</v>
      </c>
      <c r="I70" s="708" t="str">
        <f>TOC_Hdg_59</f>
        <v>Radiotherapy</v>
      </c>
      <c r="J70" s="708"/>
      <c r="K70" s="708"/>
      <c r="L70" s="708"/>
      <c r="M70" s="708"/>
      <c r="N70" s="708"/>
      <c r="O70" s="708"/>
      <c r="P70" s="708"/>
    </row>
    <row r="71" spans="4:16" ht="12.75" hidden="1" customHeight="1" outlineLevel="2" x14ac:dyDescent="0.2">
      <c r="H71" s="332" t="s">
        <v>69</v>
      </c>
      <c r="I71" s="708" t="str">
        <f>TOC_Hdg_63</f>
        <v>Surgery (Radical Hysterectomy plus Stump Removal)</v>
      </c>
      <c r="J71" s="708"/>
      <c r="K71" s="708"/>
      <c r="L71" s="708"/>
      <c r="M71" s="708"/>
      <c r="N71" s="708"/>
      <c r="O71" s="708"/>
      <c r="P71" s="708"/>
    </row>
    <row r="72" spans="4:16" ht="12.75" hidden="1" customHeight="1" outlineLevel="2" x14ac:dyDescent="0.2">
      <c r="H72" s="332" t="s">
        <v>69</v>
      </c>
      <c r="I72" s="708" t="str">
        <f>TOC_Hdg_67</f>
        <v>Palliative Care</v>
      </c>
      <c r="J72" s="708"/>
      <c r="K72" s="708"/>
      <c r="L72" s="708"/>
      <c r="M72" s="708"/>
      <c r="N72" s="708"/>
      <c r="O72" s="708"/>
      <c r="P72" s="708"/>
    </row>
    <row r="73" spans="4:16" outlineLevel="1" x14ac:dyDescent="0.2">
      <c r="F73" s="706" t="s">
        <v>267</v>
      </c>
      <c r="G73" s="706"/>
      <c r="H73" s="707" t="str">
        <f>Intv_Ann_TA!B1</f>
        <v>Intervention Services- Annual Assumptions</v>
      </c>
      <c r="I73" s="707"/>
      <c r="J73" s="707"/>
      <c r="K73" s="707"/>
      <c r="L73" s="707"/>
      <c r="M73" s="707"/>
      <c r="N73" s="707"/>
      <c r="O73" s="707"/>
      <c r="P73" s="707"/>
    </row>
    <row r="74" spans="4:16" ht="12.75" hidden="1" customHeight="1" outlineLevel="2" x14ac:dyDescent="0.2">
      <c r="H74" s="332" t="s">
        <v>69</v>
      </c>
      <c r="I74" s="708" t="str">
        <f>TOC_Hdg_36</f>
        <v>Intervention Services - Annual Assumptions</v>
      </c>
      <c r="J74" s="708"/>
      <c r="K74" s="708"/>
      <c r="L74" s="708"/>
      <c r="M74" s="708"/>
      <c r="N74" s="708"/>
      <c r="O74" s="708"/>
      <c r="P74" s="708"/>
    </row>
    <row r="75" spans="4:16" ht="12.75" hidden="1" customHeight="1" outlineLevel="2" x14ac:dyDescent="0.2">
      <c r="H75" s="332" t="s">
        <v>69</v>
      </c>
      <c r="I75" s="708" t="str">
        <f>TOC_Hdg_52</f>
        <v>Intervention Services - Annual Assumptions</v>
      </c>
      <c r="J75" s="708"/>
      <c r="K75" s="708"/>
      <c r="L75" s="708"/>
      <c r="M75" s="708"/>
      <c r="N75" s="708"/>
      <c r="O75" s="708"/>
      <c r="P75" s="708"/>
    </row>
    <row r="76" spans="4:16" ht="12.75" hidden="1" customHeight="1" outlineLevel="2" x14ac:dyDescent="0.2">
      <c r="H76" s="332" t="s">
        <v>69</v>
      </c>
      <c r="I76" s="708" t="str">
        <f>TOC_Hdg_64</f>
        <v>Intervention Services - Annual Assumptions</v>
      </c>
      <c r="J76" s="708"/>
      <c r="K76" s="708"/>
      <c r="L76" s="708"/>
      <c r="M76" s="708"/>
      <c r="N76" s="708"/>
      <c r="O76" s="708"/>
      <c r="P76" s="708"/>
    </row>
    <row r="77" spans="4:16" ht="12.75" hidden="1" customHeight="1" outlineLevel="2" x14ac:dyDescent="0.2">
      <c r="H77" s="332" t="s">
        <v>69</v>
      </c>
      <c r="I77" s="708" t="str">
        <f>TOC_Hdg_56</f>
        <v>Intervention Services - Annual Assumptions</v>
      </c>
      <c r="J77" s="708"/>
      <c r="K77" s="708"/>
      <c r="L77" s="708"/>
      <c r="M77" s="708"/>
      <c r="N77" s="708"/>
      <c r="O77" s="708"/>
      <c r="P77" s="708"/>
    </row>
    <row r="78" spans="4:16" ht="12.75" hidden="1" customHeight="1" outlineLevel="2" x14ac:dyDescent="0.2">
      <c r="H78" s="332" t="s">
        <v>69</v>
      </c>
      <c r="I78" s="708" t="str">
        <f>TOC_Hdg_60</f>
        <v>Intervention Services - Annual Assumptions</v>
      </c>
      <c r="J78" s="708"/>
      <c r="K78" s="708"/>
      <c r="L78" s="708"/>
      <c r="M78" s="708"/>
      <c r="N78" s="708"/>
      <c r="O78" s="708"/>
      <c r="P78" s="708"/>
    </row>
    <row r="79" spans="4:16" ht="12.75" hidden="1" customHeight="1" outlineLevel="2" x14ac:dyDescent="0.2">
      <c r="H79" s="332" t="s">
        <v>69</v>
      </c>
      <c r="I79" s="708" t="str">
        <f>TOC_Hdg_68</f>
        <v>Intervention Services - Annual Assumptions</v>
      </c>
      <c r="J79" s="708"/>
      <c r="K79" s="708"/>
      <c r="L79" s="708"/>
      <c r="M79" s="708"/>
      <c r="N79" s="708"/>
      <c r="O79" s="708"/>
      <c r="P79" s="708"/>
    </row>
    <row r="80" spans="4:16" ht="15" x14ac:dyDescent="0.2">
      <c r="D80" s="712" t="s">
        <v>1919</v>
      </c>
      <c r="E80" s="712"/>
      <c r="F80" s="713" t="str">
        <f>Ann_Ass_SSC!C9</f>
        <v>Other Assumptions</v>
      </c>
      <c r="G80" s="713"/>
      <c r="H80" s="713"/>
      <c r="I80" s="713"/>
      <c r="J80" s="713"/>
      <c r="K80" s="713"/>
      <c r="L80" s="713"/>
      <c r="M80" s="713"/>
      <c r="N80" s="713"/>
      <c r="O80" s="713"/>
      <c r="P80" s="713"/>
    </row>
    <row r="81" spans="2:16" outlineLevel="1" x14ac:dyDescent="0.2">
      <c r="F81" s="706" t="s">
        <v>67</v>
      </c>
      <c r="G81" s="706"/>
      <c r="H81" s="707" t="str">
        <f>Oth_Ann_TA!B1</f>
        <v>Other Costs - Annual Assumptions</v>
      </c>
      <c r="I81" s="707"/>
      <c r="J81" s="707"/>
      <c r="K81" s="707"/>
      <c r="L81" s="707"/>
      <c r="M81" s="707"/>
      <c r="N81" s="707"/>
      <c r="O81" s="707"/>
      <c r="P81" s="707"/>
    </row>
    <row r="82" spans="2:16" ht="12.75" hidden="1" customHeight="1" outlineLevel="2" x14ac:dyDescent="0.2">
      <c r="H82" s="332" t="s">
        <v>69</v>
      </c>
      <c r="I82" s="708" t="str">
        <f>TOC_Hdg_14</f>
        <v>Microplanning - Assumptions</v>
      </c>
      <c r="J82" s="708"/>
      <c r="K82" s="708"/>
      <c r="L82" s="708"/>
      <c r="M82" s="708"/>
      <c r="N82" s="708"/>
      <c r="O82" s="708"/>
      <c r="P82" s="708"/>
    </row>
    <row r="83" spans="2:16" ht="12.75" hidden="1" customHeight="1" outlineLevel="2" x14ac:dyDescent="0.2">
      <c r="H83" s="332" t="s">
        <v>69</v>
      </c>
      <c r="I83" s="708" t="str">
        <f>TOC_Hdg_17</f>
        <v>Training - Assumptions</v>
      </c>
      <c r="J83" s="708"/>
      <c r="K83" s="708"/>
      <c r="L83" s="708"/>
      <c r="M83" s="708"/>
      <c r="N83" s="708"/>
      <c r="O83" s="708"/>
      <c r="P83" s="708"/>
    </row>
    <row r="84" spans="2:16" ht="12.75" hidden="1" customHeight="1" outlineLevel="2" x14ac:dyDescent="0.2">
      <c r="H84" s="332" t="s">
        <v>69</v>
      </c>
      <c r="I84" s="708" t="str">
        <f>TOC_Hdg_20</f>
        <v>Social Mobilization and Communication</v>
      </c>
      <c r="J84" s="708"/>
      <c r="K84" s="708"/>
      <c r="L84" s="708"/>
      <c r="M84" s="708"/>
      <c r="N84" s="708"/>
      <c r="O84" s="708"/>
      <c r="P84" s="708"/>
    </row>
    <row r="85" spans="2:16" ht="12.75" hidden="1" customHeight="1" outlineLevel="2" x14ac:dyDescent="0.2">
      <c r="H85" s="332" t="s">
        <v>69</v>
      </c>
      <c r="I85" s="708" t="str">
        <f>TOC_Hdg_25</f>
        <v>Supervision, Monitoring, and Evaluation - Assumptions</v>
      </c>
      <c r="J85" s="708"/>
      <c r="K85" s="708"/>
      <c r="L85" s="708"/>
      <c r="M85" s="708"/>
      <c r="N85" s="708"/>
      <c r="O85" s="708"/>
      <c r="P85" s="708"/>
    </row>
    <row r="86" spans="2:16" ht="12.75" hidden="1" customHeight="1" outlineLevel="2" x14ac:dyDescent="0.2">
      <c r="H86" s="332" t="s">
        <v>69</v>
      </c>
      <c r="I86" s="708" t="str">
        <f>TOC_Hdg_43</f>
        <v>Other Costs Recurrent and Capital Goods - Assumptions</v>
      </c>
      <c r="J86" s="708"/>
      <c r="K86" s="708"/>
      <c r="L86" s="708"/>
      <c r="M86" s="708"/>
      <c r="N86" s="708"/>
      <c r="O86" s="708"/>
      <c r="P86" s="708"/>
    </row>
    <row r="87" spans="2:16" ht="19.149999999999999" customHeight="1" x14ac:dyDescent="0.2">
      <c r="B87" s="709">
        <v>4</v>
      </c>
      <c r="C87" s="709"/>
      <c r="D87" s="710" t="str">
        <f>Outputs_SC!C9</f>
        <v>Outputs</v>
      </c>
      <c r="E87" s="710"/>
      <c r="F87" s="710"/>
      <c r="G87" s="710"/>
      <c r="H87" s="710"/>
      <c r="I87" s="710"/>
      <c r="J87" s="710"/>
      <c r="K87" s="710"/>
      <c r="L87" s="710"/>
      <c r="M87" s="710"/>
      <c r="N87" s="710"/>
      <c r="O87" s="710"/>
      <c r="P87" s="710"/>
    </row>
    <row r="88" spans="2:16" ht="15" x14ac:dyDescent="0.2">
      <c r="D88" s="712" t="s">
        <v>1872</v>
      </c>
      <c r="E88" s="712"/>
      <c r="F88" s="713" t="str">
        <f>Raw_Outputs_SSC!C9</f>
        <v>Raw Outputs</v>
      </c>
      <c r="G88" s="713"/>
      <c r="H88" s="713"/>
      <c r="I88" s="713"/>
      <c r="J88" s="713"/>
      <c r="K88" s="713"/>
      <c r="L88" s="713"/>
      <c r="M88" s="713"/>
      <c r="N88" s="713"/>
      <c r="O88" s="713"/>
      <c r="P88" s="713"/>
    </row>
    <row r="89" spans="2:16" outlineLevel="1" x14ac:dyDescent="0.2">
      <c r="F89" s="706" t="s">
        <v>67</v>
      </c>
      <c r="G89" s="706"/>
      <c r="H89" s="707" t="str">
        <f>Reg_Pop_Ann_TO!B1</f>
        <v>Regional Population Annual Outputs</v>
      </c>
      <c r="I89" s="707"/>
      <c r="J89" s="707"/>
      <c r="K89" s="707"/>
      <c r="L89" s="707"/>
      <c r="M89" s="707"/>
      <c r="N89" s="707"/>
      <c r="O89" s="707"/>
      <c r="P89" s="707"/>
    </row>
    <row r="90" spans="2:16" ht="12.75" hidden="1" customHeight="1" outlineLevel="2" x14ac:dyDescent="0.2">
      <c r="H90" s="332" t="s">
        <v>69</v>
      </c>
      <c r="I90" s="708" t="str">
        <f>TOC_Hdg_12</f>
        <v>Province - Outputs</v>
      </c>
      <c r="J90" s="708"/>
      <c r="K90" s="708"/>
      <c r="L90" s="708"/>
      <c r="M90" s="708"/>
      <c r="N90" s="708"/>
      <c r="O90" s="708"/>
      <c r="P90" s="708"/>
    </row>
    <row r="91" spans="2:16" ht="12.75" hidden="1" customHeight="1" outlineLevel="2" x14ac:dyDescent="0.2">
      <c r="H91" s="332" t="s">
        <v>69</v>
      </c>
      <c r="I91" s="708" t="str">
        <f>TOC_Hdg_23</f>
        <v>Population - Outputs</v>
      </c>
      <c r="J91" s="708"/>
      <c r="K91" s="708"/>
      <c r="L91" s="708"/>
      <c r="M91" s="708"/>
      <c r="N91" s="708"/>
      <c r="O91" s="708"/>
      <c r="P91" s="708"/>
    </row>
    <row r="92" spans="2:16" outlineLevel="1" x14ac:dyDescent="0.2">
      <c r="F92" s="706" t="s">
        <v>263</v>
      </c>
      <c r="G92" s="706"/>
      <c r="H92" s="707" t="str">
        <f>Screen_Ann_TO!B1</f>
        <v>Screening Annual Outputs</v>
      </c>
      <c r="I92" s="707"/>
      <c r="J92" s="707"/>
      <c r="K92" s="707"/>
      <c r="L92" s="707"/>
      <c r="M92" s="707"/>
      <c r="N92" s="707"/>
      <c r="O92" s="707"/>
      <c r="P92" s="707"/>
    </row>
    <row r="93" spans="2:16" outlineLevel="1" x14ac:dyDescent="0.2">
      <c r="F93" s="706" t="s">
        <v>264</v>
      </c>
      <c r="G93" s="706"/>
      <c r="H93" s="707" t="str">
        <f>Diag_Ann_TO!B1</f>
        <v>Diagnostics Annual Outputs</v>
      </c>
      <c r="I93" s="707"/>
      <c r="J93" s="707"/>
      <c r="K93" s="707"/>
      <c r="L93" s="707"/>
      <c r="M93" s="707"/>
      <c r="N93" s="707"/>
      <c r="O93" s="707"/>
      <c r="P93" s="707"/>
    </row>
    <row r="94" spans="2:16" outlineLevel="1" x14ac:dyDescent="0.2">
      <c r="F94" s="706" t="s">
        <v>265</v>
      </c>
      <c r="G94" s="706"/>
      <c r="H94" s="707" t="str">
        <f>Intv_Ann_TO!B1</f>
        <v>Intervention Annual Outputs</v>
      </c>
      <c r="I94" s="707"/>
      <c r="J94" s="707"/>
      <c r="K94" s="707"/>
      <c r="L94" s="707"/>
      <c r="M94" s="707"/>
      <c r="N94" s="707"/>
      <c r="O94" s="707"/>
      <c r="P94" s="707"/>
    </row>
    <row r="95" spans="2:16" ht="12.75" hidden="1" customHeight="1" outlineLevel="2" x14ac:dyDescent="0.2">
      <c r="H95" s="332" t="s">
        <v>69</v>
      </c>
      <c r="I95" s="708" t="str">
        <f>TOC_Hdg_37</f>
        <v>Cryotherapy - Same Visit</v>
      </c>
      <c r="J95" s="708"/>
      <c r="K95" s="708"/>
      <c r="L95" s="708"/>
      <c r="M95" s="708"/>
      <c r="N95" s="708"/>
      <c r="O95" s="708"/>
      <c r="P95" s="708"/>
    </row>
    <row r="96" spans="2:16" ht="12.75" hidden="1" customHeight="1" outlineLevel="2" x14ac:dyDescent="0.2">
      <c r="H96" s="332" t="s">
        <v>69</v>
      </c>
      <c r="I96" s="708" t="str">
        <f>TOC_Hdg_53</f>
        <v>Loop Electrosurgical Excision Procedure  with BIOP-H</v>
      </c>
      <c r="J96" s="708"/>
      <c r="K96" s="708"/>
      <c r="L96" s="708"/>
      <c r="M96" s="708"/>
      <c r="N96" s="708"/>
      <c r="O96" s="708"/>
      <c r="P96" s="708"/>
    </row>
    <row r="97" spans="2:16" ht="12.75" hidden="1" customHeight="1" outlineLevel="2" x14ac:dyDescent="0.2">
      <c r="H97" s="332" t="s">
        <v>69</v>
      </c>
      <c r="I97" s="708" t="str">
        <f>TOC_Hdg_65</f>
        <v>Surgery (Radical Hysterectomy plus Stump Removal)</v>
      </c>
      <c r="J97" s="708"/>
      <c r="K97" s="708"/>
      <c r="L97" s="708"/>
      <c r="M97" s="708"/>
      <c r="N97" s="708"/>
      <c r="O97" s="708"/>
      <c r="P97" s="708"/>
    </row>
    <row r="98" spans="2:16" ht="12.75" hidden="1" customHeight="1" outlineLevel="2" x14ac:dyDescent="0.2">
      <c r="H98" s="332" t="s">
        <v>69</v>
      </c>
      <c r="I98" s="708" t="str">
        <f>TOC_Hdg_57</f>
        <v>Chemotherapy</v>
      </c>
      <c r="J98" s="708"/>
      <c r="K98" s="708"/>
      <c r="L98" s="708"/>
      <c r="M98" s="708"/>
      <c r="N98" s="708"/>
      <c r="O98" s="708"/>
      <c r="P98" s="708"/>
    </row>
    <row r="99" spans="2:16" ht="12.75" hidden="1" customHeight="1" outlineLevel="2" x14ac:dyDescent="0.2">
      <c r="H99" s="332" t="s">
        <v>69</v>
      </c>
      <c r="I99" s="708" t="str">
        <f>TOC_Hdg_61</f>
        <v>Radiotherapy</v>
      </c>
      <c r="J99" s="708"/>
      <c r="K99" s="708"/>
      <c r="L99" s="708"/>
      <c r="M99" s="708"/>
      <c r="N99" s="708"/>
      <c r="O99" s="708"/>
      <c r="P99" s="708"/>
    </row>
    <row r="100" spans="2:16" ht="12.75" hidden="1" customHeight="1" outlineLevel="2" x14ac:dyDescent="0.2">
      <c r="H100" s="332" t="s">
        <v>69</v>
      </c>
      <c r="I100" s="708" t="str">
        <f>TOC_Hdg_69</f>
        <v>Palliative Care</v>
      </c>
      <c r="J100" s="708"/>
      <c r="K100" s="708"/>
      <c r="L100" s="708"/>
      <c r="M100" s="708"/>
      <c r="N100" s="708"/>
      <c r="O100" s="708"/>
      <c r="P100" s="708"/>
    </row>
    <row r="101" spans="2:16" outlineLevel="1" x14ac:dyDescent="0.2">
      <c r="F101" s="706" t="s">
        <v>266</v>
      </c>
      <c r="G101" s="706"/>
      <c r="H101" s="707" t="str">
        <f>Oth_Ann_TO!B1</f>
        <v>Other Costs - Annual Outputs</v>
      </c>
      <c r="I101" s="707"/>
      <c r="J101" s="707"/>
      <c r="K101" s="707"/>
      <c r="L101" s="707"/>
      <c r="M101" s="707"/>
      <c r="N101" s="707"/>
      <c r="O101" s="707"/>
      <c r="P101" s="707"/>
    </row>
    <row r="102" spans="2:16" ht="12.75" hidden="1" customHeight="1" outlineLevel="2" x14ac:dyDescent="0.2">
      <c r="H102" s="332" t="s">
        <v>69</v>
      </c>
      <c r="I102" s="708" t="str">
        <f>TOC_Hdg_15</f>
        <v>Microplanning - Outputs</v>
      </c>
      <c r="J102" s="708"/>
      <c r="K102" s="708"/>
      <c r="L102" s="708"/>
      <c r="M102" s="708"/>
      <c r="N102" s="708"/>
      <c r="O102" s="708"/>
      <c r="P102" s="708"/>
    </row>
    <row r="103" spans="2:16" ht="12.75" hidden="1" customHeight="1" outlineLevel="2" x14ac:dyDescent="0.2">
      <c r="H103" s="332" t="s">
        <v>69</v>
      </c>
      <c r="I103" s="708" t="str">
        <f>TOC_Hdg_18</f>
        <v>Training - Outputs</v>
      </c>
      <c r="J103" s="708"/>
      <c r="K103" s="708"/>
      <c r="L103" s="708"/>
      <c r="M103" s="708"/>
      <c r="N103" s="708"/>
      <c r="O103" s="708"/>
      <c r="P103" s="708"/>
    </row>
    <row r="104" spans="2:16" ht="12.75" hidden="1" customHeight="1" outlineLevel="2" x14ac:dyDescent="0.2">
      <c r="H104" s="332" t="s">
        <v>69</v>
      </c>
      <c r="I104" s="708" t="str">
        <f>TOC_Hdg_22</f>
        <v>Communication - Summary</v>
      </c>
      <c r="J104" s="708"/>
      <c r="K104" s="708"/>
      <c r="L104" s="708"/>
      <c r="M104" s="708"/>
      <c r="N104" s="708"/>
      <c r="O104" s="708"/>
      <c r="P104" s="708"/>
    </row>
    <row r="105" spans="2:16" ht="12.75" hidden="1" customHeight="1" outlineLevel="2" x14ac:dyDescent="0.2">
      <c r="H105" s="332" t="s">
        <v>69</v>
      </c>
      <c r="I105" s="708" t="str">
        <f>TOC_Hdg_41</f>
        <v>Supervision, Monitoring, and Evaluation - Summary</v>
      </c>
      <c r="J105" s="708"/>
      <c r="K105" s="708"/>
      <c r="L105" s="708"/>
      <c r="M105" s="708"/>
      <c r="N105" s="708"/>
      <c r="O105" s="708"/>
      <c r="P105" s="708"/>
    </row>
    <row r="106" spans="2:16" ht="12.75" hidden="1" customHeight="1" outlineLevel="2" x14ac:dyDescent="0.2">
      <c r="H106" s="332" t="s">
        <v>69</v>
      </c>
      <c r="I106" s="708" t="str">
        <f>TOC_Hdg_45</f>
        <v>Other Costs - Summary</v>
      </c>
      <c r="J106" s="708"/>
      <c r="K106" s="708"/>
      <c r="L106" s="708"/>
      <c r="M106" s="708"/>
      <c r="N106" s="708"/>
      <c r="O106" s="708"/>
      <c r="P106" s="708"/>
    </row>
    <row r="107" spans="2:16" ht="12.75" hidden="1" customHeight="1" outlineLevel="2" x14ac:dyDescent="0.2">
      <c r="H107" s="332" t="s">
        <v>69</v>
      </c>
      <c r="I107" s="708" t="str">
        <f>TOC_Hdg_21</f>
        <v>Communication - Outputs</v>
      </c>
      <c r="J107" s="708"/>
      <c r="K107" s="708"/>
      <c r="L107" s="708"/>
      <c r="M107" s="708"/>
      <c r="N107" s="708"/>
      <c r="O107" s="708"/>
      <c r="P107" s="708"/>
    </row>
    <row r="108" spans="2:16" ht="12.75" hidden="1" customHeight="1" outlineLevel="2" x14ac:dyDescent="0.2">
      <c r="H108" s="332" t="s">
        <v>69</v>
      </c>
      <c r="I108" s="708" t="str">
        <f>TOC_Hdg_26</f>
        <v>Supervision, Monitoring, and Evaluation - Outputs</v>
      </c>
      <c r="J108" s="708"/>
      <c r="K108" s="708"/>
      <c r="L108" s="708"/>
      <c r="M108" s="708"/>
      <c r="N108" s="708"/>
      <c r="O108" s="708"/>
      <c r="P108" s="708"/>
    </row>
    <row r="109" spans="2:16" ht="12.75" hidden="1" customHeight="1" outlineLevel="2" x14ac:dyDescent="0.2">
      <c r="H109" s="332" t="s">
        <v>69</v>
      </c>
      <c r="I109" s="708" t="str">
        <f>TOC_Hdg_44</f>
        <v>Other Costs - Outputs</v>
      </c>
      <c r="J109" s="708"/>
      <c r="K109" s="708"/>
      <c r="L109" s="708"/>
      <c r="M109" s="708"/>
      <c r="N109" s="708"/>
      <c r="O109" s="708"/>
      <c r="P109" s="708"/>
    </row>
    <row r="110" spans="2:16" ht="19.149999999999999" customHeight="1" x14ac:dyDescent="0.2">
      <c r="B110" s="709">
        <v>5</v>
      </c>
      <c r="C110" s="709"/>
      <c r="D110" s="710" t="str">
        <f>PLUG_INS_SC!C9</f>
        <v>Plug-Ins</v>
      </c>
      <c r="E110" s="710"/>
      <c r="F110" s="710"/>
      <c r="G110" s="710"/>
      <c r="H110" s="710"/>
      <c r="I110" s="710"/>
      <c r="J110" s="710"/>
      <c r="K110" s="710"/>
      <c r="L110" s="710"/>
      <c r="M110" s="710"/>
      <c r="N110" s="710"/>
      <c r="O110" s="710"/>
      <c r="P110" s="710"/>
    </row>
    <row r="111" spans="2:16" outlineLevel="1" x14ac:dyDescent="0.2">
      <c r="F111" s="706" t="s">
        <v>67</v>
      </c>
      <c r="G111" s="706"/>
      <c r="H111" s="707" t="str">
        <f>PLUG_IN_1_P_MS!B1</f>
        <v>Plug-in #1: Service UNIT Capacity and Staffing Requirements Estimator</v>
      </c>
      <c r="I111" s="707"/>
      <c r="J111" s="707"/>
      <c r="K111" s="707"/>
      <c r="L111" s="707"/>
      <c r="M111" s="707"/>
      <c r="N111" s="707"/>
      <c r="O111" s="707"/>
      <c r="P111" s="707"/>
    </row>
    <row r="112" spans="2:16" outlineLevel="1" x14ac:dyDescent="0.2">
      <c r="F112" s="706" t="s">
        <v>263</v>
      </c>
      <c r="G112" s="706"/>
      <c r="H112" s="707" t="str">
        <f>PLUG_IN_2_P_MS!B1</f>
        <v>Plug-in #2: Effect of Demand on Current Assumed Capacity</v>
      </c>
      <c r="I112" s="707"/>
      <c r="J112" s="707"/>
      <c r="K112" s="707"/>
      <c r="L112" s="707"/>
      <c r="M112" s="707"/>
      <c r="N112" s="707"/>
      <c r="O112" s="707"/>
      <c r="P112" s="707"/>
    </row>
    <row r="113" spans="2:16" outlineLevel="1" x14ac:dyDescent="0.2">
      <c r="F113" s="706" t="s">
        <v>264</v>
      </c>
      <c r="G113" s="706"/>
      <c r="H113" s="707" t="str">
        <f>PLUG_IN_3_TRAIN_BA!B1</f>
        <v>Plug-in #3: Training Programme Cost Estimator</v>
      </c>
      <c r="I113" s="707"/>
      <c r="J113" s="707"/>
      <c r="K113" s="707"/>
      <c r="L113" s="707"/>
      <c r="M113" s="707"/>
      <c r="N113" s="707"/>
      <c r="O113" s="707"/>
      <c r="P113" s="707"/>
    </row>
    <row r="114" spans="2:16" ht="12.75" hidden="1" customHeight="1" outlineLevel="2" x14ac:dyDescent="0.2">
      <c r="H114" s="332" t="s">
        <v>69</v>
      </c>
      <c r="I114" s="708" t="str">
        <f>TOC_Hdg_108</f>
        <v>Curriculum Development Workshop - National</v>
      </c>
      <c r="J114" s="708"/>
      <c r="K114" s="708"/>
      <c r="L114" s="708"/>
      <c r="M114" s="708"/>
      <c r="N114" s="708"/>
      <c r="O114" s="708"/>
      <c r="P114" s="708"/>
    </row>
    <row r="115" spans="2:16" ht="12.75" hidden="1" customHeight="1" outlineLevel="2" x14ac:dyDescent="0.2">
      <c r="H115" s="332" t="s">
        <v>69</v>
      </c>
      <c r="I115" s="708" t="str">
        <f>TOC_Hdg_109</f>
        <v>Training of Trainers Workshop - National Level</v>
      </c>
      <c r="J115" s="708"/>
      <c r="K115" s="708"/>
      <c r="L115" s="708"/>
      <c r="M115" s="708"/>
      <c r="N115" s="708"/>
      <c r="O115" s="708"/>
      <c r="P115" s="708"/>
    </row>
    <row r="116" spans="2:16" ht="12.75" hidden="1" customHeight="1" outlineLevel="2" x14ac:dyDescent="0.2">
      <c r="H116" s="332" t="s">
        <v>69</v>
      </c>
      <c r="I116" s="708" t="str">
        <f>TOC_Hdg_111</f>
        <v>Training of Service Providers - VIA Only</v>
      </c>
      <c r="J116" s="708"/>
      <c r="K116" s="708"/>
      <c r="L116" s="708"/>
      <c r="M116" s="708"/>
      <c r="N116" s="708"/>
      <c r="O116" s="708"/>
      <c r="P116" s="708"/>
    </row>
    <row r="117" spans="2:16" ht="12.75" hidden="1" customHeight="1" outlineLevel="2" x14ac:dyDescent="0.2">
      <c r="H117" s="332" t="s">
        <v>69</v>
      </c>
      <c r="I117" s="708" t="str">
        <f>TOC_Hdg_113</f>
        <v>Training of Service Providers - VIA and CRYO</v>
      </c>
      <c r="J117" s="708"/>
      <c r="K117" s="708"/>
      <c r="L117" s="708"/>
      <c r="M117" s="708"/>
      <c r="N117" s="708"/>
      <c r="O117" s="708"/>
      <c r="P117" s="708"/>
    </row>
    <row r="118" spans="2:16" outlineLevel="1" x14ac:dyDescent="0.2">
      <c r="F118" s="706" t="s">
        <v>265</v>
      </c>
      <c r="G118" s="706"/>
      <c r="H118" s="707" t="str">
        <f>PLUG_IN_4_MEET_BA!B1</f>
        <v>Plug-in #4: Meeting Cost Estimator - Assumptions</v>
      </c>
      <c r="I118" s="707"/>
      <c r="J118" s="707"/>
      <c r="K118" s="707"/>
      <c r="L118" s="707"/>
      <c r="M118" s="707"/>
      <c r="N118" s="707"/>
      <c r="O118" s="707"/>
      <c r="P118" s="707"/>
    </row>
    <row r="119" spans="2:16" ht="12.75" hidden="1" customHeight="1" outlineLevel="2" x14ac:dyDescent="0.2">
      <c r="H119" s="332" t="s">
        <v>69</v>
      </c>
      <c r="I119" s="708" t="str">
        <f>TOC_Hdg_115</f>
        <v>Sensitization Meeting</v>
      </c>
      <c r="J119" s="708"/>
      <c r="K119" s="708"/>
      <c r="L119" s="708"/>
      <c r="M119" s="708"/>
      <c r="N119" s="708"/>
      <c r="O119" s="708"/>
      <c r="P119" s="708"/>
    </row>
    <row r="120" spans="2:16" ht="12.75" hidden="1" customHeight="1" outlineLevel="2" x14ac:dyDescent="0.2">
      <c r="H120" s="332" t="s">
        <v>69</v>
      </c>
      <c r="I120" s="708" t="str">
        <f>TOC_Hdg_121</f>
        <v>Microplanning Meeting</v>
      </c>
      <c r="J120" s="708"/>
      <c r="K120" s="708"/>
      <c r="L120" s="708"/>
      <c r="M120" s="708"/>
      <c r="N120" s="708"/>
      <c r="O120" s="708"/>
      <c r="P120" s="708"/>
    </row>
    <row r="121" spans="2:16" ht="12.75" hidden="1" customHeight="1" outlineLevel="2" x14ac:dyDescent="0.2">
      <c r="H121" s="332" t="s">
        <v>69</v>
      </c>
      <c r="I121" s="708" t="str">
        <f>TOC_Hdg_118</f>
        <v>Community Mobilization Meeting</v>
      </c>
      <c r="J121" s="708"/>
      <c r="K121" s="708"/>
      <c r="L121" s="708"/>
      <c r="M121" s="708"/>
      <c r="N121" s="708"/>
      <c r="O121" s="708"/>
      <c r="P121" s="708"/>
    </row>
    <row r="122" spans="2:16" outlineLevel="1" x14ac:dyDescent="0.2">
      <c r="F122" s="706" t="s">
        <v>266</v>
      </c>
      <c r="G122" s="706"/>
      <c r="H122" s="707" t="str">
        <f>'PLUG-IN_4_MEET_BO'!B1</f>
        <v>Plug-in #4: Meeting Cost Estimator - Outputs</v>
      </c>
      <c r="I122" s="707"/>
      <c r="J122" s="707"/>
      <c r="K122" s="707"/>
      <c r="L122" s="707"/>
      <c r="M122" s="707"/>
      <c r="N122" s="707"/>
      <c r="O122" s="707"/>
      <c r="P122" s="707"/>
    </row>
    <row r="123" spans="2:16" ht="12.75" hidden="1" customHeight="1" outlineLevel="2" x14ac:dyDescent="0.2">
      <c r="H123" s="332" t="s">
        <v>69</v>
      </c>
      <c r="I123" s="708" t="str">
        <f>TOC_Hdg_116</f>
        <v>Meeting Cost - Outputs</v>
      </c>
      <c r="J123" s="708"/>
      <c r="K123" s="708"/>
      <c r="L123" s="708"/>
      <c r="M123" s="708"/>
      <c r="N123" s="708"/>
      <c r="O123" s="708"/>
      <c r="P123" s="708"/>
    </row>
    <row r="124" spans="2:16" ht="12.75" hidden="1" customHeight="1" outlineLevel="2" x14ac:dyDescent="0.2">
      <c r="H124" s="332" t="s">
        <v>69</v>
      </c>
      <c r="I124" s="708" t="str">
        <f>TOC_Hdg_122</f>
        <v>Meeting Cost - Outputs</v>
      </c>
      <c r="J124" s="708"/>
      <c r="K124" s="708"/>
      <c r="L124" s="708"/>
      <c r="M124" s="708"/>
      <c r="N124" s="708"/>
      <c r="O124" s="708"/>
      <c r="P124" s="708"/>
    </row>
    <row r="125" spans="2:16" ht="12.75" hidden="1" customHeight="1" outlineLevel="2" x14ac:dyDescent="0.2">
      <c r="H125" s="332" t="s">
        <v>69</v>
      </c>
      <c r="I125" s="708" t="str">
        <f>TOC_Hdg_119</f>
        <v>Meeting Cost - Outputs</v>
      </c>
      <c r="J125" s="708"/>
      <c r="K125" s="708"/>
      <c r="L125" s="708"/>
      <c r="M125" s="708"/>
      <c r="N125" s="708"/>
      <c r="O125" s="708"/>
      <c r="P125" s="708"/>
    </row>
    <row r="126" spans="2:16" ht="19.149999999999999" customHeight="1" x14ac:dyDescent="0.2">
      <c r="B126" s="709">
        <v>6</v>
      </c>
      <c r="C126" s="709"/>
      <c r="D126" s="710" t="str">
        <f>App_SC!C9</f>
        <v>Appendices</v>
      </c>
      <c r="E126" s="710"/>
      <c r="F126" s="710"/>
      <c r="G126" s="710"/>
      <c r="H126" s="710"/>
      <c r="I126" s="710"/>
      <c r="J126" s="710"/>
      <c r="K126" s="710"/>
      <c r="L126" s="710"/>
      <c r="M126" s="710"/>
      <c r="N126" s="710"/>
      <c r="O126" s="710"/>
      <c r="P126" s="710"/>
    </row>
    <row r="127" spans="2:16" ht="15" x14ac:dyDescent="0.2">
      <c r="D127" s="712" t="s">
        <v>1997</v>
      </c>
      <c r="E127" s="712"/>
      <c r="F127" s="713" t="str">
        <f>Chks_SSC!C9</f>
        <v>Checks</v>
      </c>
      <c r="G127" s="713"/>
      <c r="H127" s="713"/>
      <c r="I127" s="713"/>
      <c r="J127" s="713"/>
      <c r="K127" s="713"/>
      <c r="L127" s="713"/>
      <c r="M127" s="713"/>
      <c r="N127" s="713"/>
      <c r="O127" s="713"/>
      <c r="P127" s="713"/>
    </row>
    <row r="128" spans="2:16" outlineLevel="1" x14ac:dyDescent="0.2">
      <c r="F128" s="706" t="s">
        <v>67</v>
      </c>
      <c r="G128" s="706"/>
      <c r="H128" s="707" t="str">
        <f>Chks_BO!B1</f>
        <v>Checks</v>
      </c>
      <c r="I128" s="707"/>
      <c r="J128" s="707"/>
      <c r="K128" s="707"/>
      <c r="L128" s="707"/>
      <c r="M128" s="707"/>
      <c r="N128" s="707"/>
      <c r="O128" s="707"/>
      <c r="P128" s="707"/>
    </row>
    <row r="129" spans="2:16" ht="12.75" hidden="1" customHeight="1" outlineLevel="2" x14ac:dyDescent="0.2">
      <c r="H129" s="332" t="s">
        <v>69</v>
      </c>
      <c r="I129" s="708" t="str">
        <f>TOC_Hdg_1</f>
        <v>Error Checks</v>
      </c>
      <c r="J129" s="708"/>
      <c r="K129" s="708"/>
      <c r="L129" s="708"/>
      <c r="M129" s="708"/>
      <c r="N129" s="708"/>
      <c r="O129" s="708"/>
      <c r="P129" s="708"/>
    </row>
    <row r="130" spans="2:16" ht="12.75" hidden="1" customHeight="1" outlineLevel="2" x14ac:dyDescent="0.2">
      <c r="H130" s="332" t="s">
        <v>69</v>
      </c>
      <c r="I130" s="708" t="str">
        <f>TOC_Hdg_2</f>
        <v>Sensitivity Checks</v>
      </c>
      <c r="J130" s="708"/>
      <c r="K130" s="708"/>
      <c r="L130" s="708"/>
      <c r="M130" s="708"/>
      <c r="N130" s="708"/>
      <c r="O130" s="708"/>
      <c r="P130" s="708"/>
    </row>
    <row r="131" spans="2:16" ht="12.75" hidden="1" customHeight="1" outlineLevel="2" x14ac:dyDescent="0.2">
      <c r="H131" s="332" t="s">
        <v>69</v>
      </c>
      <c r="I131" s="708" t="str">
        <f>TOC_Hdg_3</f>
        <v>Alert Checks</v>
      </c>
      <c r="J131" s="708"/>
      <c r="K131" s="708"/>
      <c r="L131" s="708"/>
      <c r="M131" s="708"/>
      <c r="N131" s="708"/>
      <c r="O131" s="708"/>
      <c r="P131" s="708"/>
    </row>
    <row r="132" spans="2:16" ht="19.149999999999999" customHeight="1" x14ac:dyDescent="0.2">
      <c r="B132" s="709">
        <v>7</v>
      </c>
      <c r="C132" s="709"/>
      <c r="D132" s="710" t="str">
        <f>Overview_SC!C9</f>
        <v>Overview</v>
      </c>
      <c r="E132" s="710"/>
      <c r="F132" s="710"/>
      <c r="G132" s="710"/>
      <c r="H132" s="710"/>
      <c r="I132" s="710"/>
      <c r="J132" s="710"/>
      <c r="K132" s="710"/>
      <c r="L132" s="710"/>
      <c r="M132" s="710"/>
      <c r="N132" s="710"/>
      <c r="O132" s="710"/>
      <c r="P132" s="710"/>
    </row>
    <row r="133" spans="2:16" ht="15" x14ac:dyDescent="0.2">
      <c r="D133" s="712" t="s">
        <v>1993</v>
      </c>
      <c r="E133" s="712"/>
      <c r="F133" s="713" t="str">
        <f>Notes_SSC!C9</f>
        <v>Notes</v>
      </c>
      <c r="G133" s="713"/>
      <c r="H133" s="713"/>
      <c r="I133" s="713"/>
      <c r="J133" s="713"/>
      <c r="K133" s="713"/>
      <c r="L133" s="713"/>
      <c r="M133" s="713"/>
      <c r="N133" s="713"/>
      <c r="O133" s="713"/>
      <c r="P133" s="713"/>
    </row>
    <row r="134" spans="2:16" outlineLevel="1" x14ac:dyDescent="0.2">
      <c r="F134" s="706" t="s">
        <v>67</v>
      </c>
      <c r="G134" s="706"/>
      <c r="H134" s="707" t="str">
        <f>Notes_BO!B1</f>
        <v>Notes</v>
      </c>
      <c r="I134" s="707"/>
      <c r="J134" s="707"/>
      <c r="K134" s="707"/>
      <c r="L134" s="707"/>
      <c r="M134" s="707"/>
      <c r="N134" s="707"/>
      <c r="O134" s="707"/>
      <c r="P134" s="707"/>
    </row>
    <row r="135" spans="2:16" outlineLevel="1" x14ac:dyDescent="0.2">
      <c r="F135" s="706" t="s">
        <v>263</v>
      </c>
      <c r="G135" s="706"/>
      <c r="H135" s="707" t="str">
        <f>Glossary_P_BO!B1</f>
        <v>Glossary</v>
      </c>
      <c r="I135" s="707"/>
      <c r="J135" s="707"/>
      <c r="K135" s="707"/>
      <c r="L135" s="707"/>
      <c r="M135" s="707"/>
      <c r="N135" s="707"/>
      <c r="O135" s="707"/>
      <c r="P135" s="707"/>
    </row>
    <row r="136" spans="2:16" ht="15" x14ac:dyDescent="0.2">
      <c r="D136" s="712" t="s">
        <v>1995</v>
      </c>
      <c r="E136" s="712"/>
      <c r="F136" s="713" t="str">
        <f>Keys_SSC!C9</f>
        <v>Keys</v>
      </c>
      <c r="G136" s="713"/>
      <c r="H136" s="713"/>
      <c r="I136" s="713"/>
      <c r="J136" s="713"/>
      <c r="K136" s="713"/>
      <c r="L136" s="713"/>
      <c r="M136" s="713"/>
      <c r="N136" s="713"/>
      <c r="O136" s="713"/>
      <c r="P136" s="713"/>
    </row>
    <row r="137" spans="2:16" outlineLevel="1" x14ac:dyDescent="0.2">
      <c r="F137" s="706" t="s">
        <v>67</v>
      </c>
      <c r="G137" s="706"/>
      <c r="H137" s="707" t="str">
        <f>Keys_BO!B1</f>
        <v>Keys</v>
      </c>
      <c r="I137" s="707"/>
      <c r="J137" s="707"/>
      <c r="K137" s="707"/>
      <c r="L137" s="707"/>
      <c r="M137" s="707"/>
      <c r="N137" s="707"/>
      <c r="O137" s="707"/>
      <c r="P137" s="707"/>
    </row>
    <row r="138" spans="2:16" ht="12.75" hidden="1" customHeight="1" outlineLevel="2" x14ac:dyDescent="0.2">
      <c r="H138" s="332" t="s">
        <v>69</v>
      </c>
      <c r="I138" s="708" t="str">
        <f>TOC_Hdg_82</f>
        <v>Formats &amp; Styles Key</v>
      </c>
      <c r="J138" s="708"/>
      <c r="K138" s="708"/>
      <c r="L138" s="708"/>
      <c r="M138" s="708"/>
      <c r="N138" s="708"/>
      <c r="O138" s="708"/>
      <c r="P138" s="708"/>
    </row>
    <row r="139" spans="2:16" ht="12.75" hidden="1" customHeight="1" outlineLevel="2" x14ac:dyDescent="0.2">
      <c r="H139" s="332" t="s">
        <v>69</v>
      </c>
      <c r="I139" s="708" t="str">
        <f>TOC_Hdg_83</f>
        <v>Sheet Naming Key</v>
      </c>
      <c r="J139" s="708"/>
      <c r="K139" s="708"/>
      <c r="L139" s="708"/>
      <c r="M139" s="708"/>
      <c r="N139" s="708"/>
      <c r="O139" s="708"/>
      <c r="P139" s="708"/>
    </row>
    <row r="140" spans="2:16" ht="12.75" hidden="1" customHeight="1" outlineLevel="2" x14ac:dyDescent="0.2">
      <c r="H140" s="332" t="s">
        <v>69</v>
      </c>
      <c r="I140" s="708" t="str">
        <f>TOC_Hdg_84</f>
        <v>Range Naming Key</v>
      </c>
      <c r="J140" s="708"/>
      <c r="K140" s="708"/>
      <c r="L140" s="708"/>
      <c r="M140" s="708"/>
      <c r="N140" s="708"/>
      <c r="O140" s="708"/>
      <c r="P140" s="708"/>
    </row>
  </sheetData>
  <mergeCells count="193">
    <mergeCell ref="B132:C132"/>
    <mergeCell ref="D132:P132"/>
    <mergeCell ref="D133:E133"/>
    <mergeCell ref="F133:P133"/>
    <mergeCell ref="D136:E136"/>
    <mergeCell ref="F136:P136"/>
    <mergeCell ref="F128:G128"/>
    <mergeCell ref="H128:P128"/>
    <mergeCell ref="I130:P130"/>
    <mergeCell ref="F135:G135"/>
    <mergeCell ref="H135:P135"/>
    <mergeCell ref="F134:G134"/>
    <mergeCell ref="H134:P134"/>
    <mergeCell ref="I138:P138"/>
    <mergeCell ref="I139:P139"/>
    <mergeCell ref="F137:G137"/>
    <mergeCell ref="H137:P137"/>
    <mergeCell ref="I140:P140"/>
    <mergeCell ref="I114:P114"/>
    <mergeCell ref="F118:G118"/>
    <mergeCell ref="H118:P118"/>
    <mergeCell ref="F122:G122"/>
    <mergeCell ref="H122:P122"/>
    <mergeCell ref="I131:P131"/>
    <mergeCell ref="I129:P129"/>
    <mergeCell ref="H62:P62"/>
    <mergeCell ref="I67:P67"/>
    <mergeCell ref="F73:G73"/>
    <mergeCell ref="H73:P73"/>
    <mergeCell ref="D80:E80"/>
    <mergeCell ref="F80:P80"/>
    <mergeCell ref="B126:C126"/>
    <mergeCell ref="D126:P126"/>
    <mergeCell ref="D127:E127"/>
    <mergeCell ref="F127:P127"/>
    <mergeCell ref="B87:C87"/>
    <mergeCell ref="D87:P87"/>
    <mergeCell ref="F92:G92"/>
    <mergeCell ref="H92:P92"/>
    <mergeCell ref="F93:G93"/>
    <mergeCell ref="H93:P93"/>
    <mergeCell ref="F94:G94"/>
    <mergeCell ref="H94:P94"/>
    <mergeCell ref="B110:C110"/>
    <mergeCell ref="H26:P26"/>
    <mergeCell ref="F25:G25"/>
    <mergeCell ref="H25:P25"/>
    <mergeCell ref="F18:G18"/>
    <mergeCell ref="H18:P18"/>
    <mergeCell ref="F19:G19"/>
    <mergeCell ref="H19:P19"/>
    <mergeCell ref="D61:E61"/>
    <mergeCell ref="F61:P61"/>
    <mergeCell ref="D88:E88"/>
    <mergeCell ref="F88:P88"/>
    <mergeCell ref="F89:G89"/>
    <mergeCell ref="H89:P89"/>
    <mergeCell ref="I97:P97"/>
    <mergeCell ref="I99:P99"/>
    <mergeCell ref="I98:P98"/>
    <mergeCell ref="I74:P74"/>
    <mergeCell ref="I107:P107"/>
    <mergeCell ref="I119:P119"/>
    <mergeCell ref="I123:P123"/>
    <mergeCell ref="I102:P102"/>
    <mergeCell ref="F111:G111"/>
    <mergeCell ref="H111:P111"/>
    <mergeCell ref="F101:G101"/>
    <mergeCell ref="H101:P101"/>
    <mergeCell ref="I104:P104"/>
    <mergeCell ref="D110:P110"/>
    <mergeCell ref="I103:P103"/>
    <mergeCell ref="I109:P109"/>
    <mergeCell ref="I96:P96"/>
    <mergeCell ref="I69:P69"/>
    <mergeCell ref="I70:P70"/>
    <mergeCell ref="I76:P76"/>
    <mergeCell ref="I50:P50"/>
    <mergeCell ref="I106:P106"/>
    <mergeCell ref="I68:P68"/>
    <mergeCell ref="F81:G81"/>
    <mergeCell ref="H81:P81"/>
    <mergeCell ref="I82:P82"/>
    <mergeCell ref="F64:G64"/>
    <mergeCell ref="H64:P64"/>
    <mergeCell ref="I57:P57"/>
    <mergeCell ref="F63:G63"/>
    <mergeCell ref="H63:P63"/>
    <mergeCell ref="I83:P83"/>
    <mergeCell ref="I84:P84"/>
    <mergeCell ref="I90:P90"/>
    <mergeCell ref="I95:P95"/>
    <mergeCell ref="I91:P91"/>
    <mergeCell ref="I56:P56"/>
    <mergeCell ref="F54:G54"/>
    <mergeCell ref="H54:P54"/>
    <mergeCell ref="F62:G62"/>
    <mergeCell ref="B3:I3"/>
    <mergeCell ref="I10:P10"/>
    <mergeCell ref="I11:P11"/>
    <mergeCell ref="I12:P12"/>
    <mergeCell ref="I13:P13"/>
    <mergeCell ref="I14:P14"/>
    <mergeCell ref="F17:G17"/>
    <mergeCell ref="H17:P17"/>
    <mergeCell ref="F55:G55"/>
    <mergeCell ref="H55:P55"/>
    <mergeCell ref="D41:E41"/>
    <mergeCell ref="F41:P41"/>
    <mergeCell ref="F42:G42"/>
    <mergeCell ref="H42:P42"/>
    <mergeCell ref="I43:P43"/>
    <mergeCell ref="F47:G47"/>
    <mergeCell ref="H47:P47"/>
    <mergeCell ref="I44:P44"/>
    <mergeCell ref="I45:P45"/>
    <mergeCell ref="F16:G16"/>
    <mergeCell ref="H16:P16"/>
    <mergeCell ref="B32:C32"/>
    <mergeCell ref="D32:P32"/>
    <mergeCell ref="I35:P35"/>
    <mergeCell ref="I48:P48"/>
    <mergeCell ref="I49:P49"/>
    <mergeCell ref="I53:P53"/>
    <mergeCell ref="I59:P59"/>
    <mergeCell ref="F20:G20"/>
    <mergeCell ref="H20:P20"/>
    <mergeCell ref="F21:G21"/>
    <mergeCell ref="H21:P21"/>
    <mergeCell ref="B8:C8"/>
    <mergeCell ref="D8:P8"/>
    <mergeCell ref="F9:G9"/>
    <mergeCell ref="H9:P9"/>
    <mergeCell ref="F39:G39"/>
    <mergeCell ref="H39:P39"/>
    <mergeCell ref="B40:C40"/>
    <mergeCell ref="D40:P40"/>
    <mergeCell ref="I36:P36"/>
    <mergeCell ref="I37:P37"/>
    <mergeCell ref="I38:P38"/>
    <mergeCell ref="F33:G33"/>
    <mergeCell ref="H33:P33"/>
    <mergeCell ref="F28:G28"/>
    <mergeCell ref="H28:P28"/>
    <mergeCell ref="F26:G26"/>
    <mergeCell ref="H30:P30"/>
    <mergeCell ref="F112:G112"/>
    <mergeCell ref="H112:P112"/>
    <mergeCell ref="I100:P100"/>
    <mergeCell ref="F24:G24"/>
    <mergeCell ref="H24:P24"/>
    <mergeCell ref="F23:G23"/>
    <mergeCell ref="H23:P23"/>
    <mergeCell ref="I15:P15"/>
    <mergeCell ref="F22:G22"/>
    <mergeCell ref="H22:P22"/>
    <mergeCell ref="I108:P108"/>
    <mergeCell ref="I46:P46"/>
    <mergeCell ref="I71:P71"/>
    <mergeCell ref="I72:P72"/>
    <mergeCell ref="I51:P51"/>
    <mergeCell ref="I85:P85"/>
    <mergeCell ref="I86:P86"/>
    <mergeCell ref="I52:P52"/>
    <mergeCell ref="I75:P75"/>
    <mergeCell ref="I78:P78"/>
    <mergeCell ref="I79:P79"/>
    <mergeCell ref="I77:P77"/>
    <mergeCell ref="I58:P58"/>
    <mergeCell ref="F27:G27"/>
    <mergeCell ref="H27:P27"/>
    <mergeCell ref="F65:G65"/>
    <mergeCell ref="H65:P65"/>
    <mergeCell ref="F66:G66"/>
    <mergeCell ref="H66:P66"/>
    <mergeCell ref="I60:P60"/>
    <mergeCell ref="I125:P125"/>
    <mergeCell ref="I124:P124"/>
    <mergeCell ref="I105:P105"/>
    <mergeCell ref="I121:P121"/>
    <mergeCell ref="I115:P115"/>
    <mergeCell ref="I116:P116"/>
    <mergeCell ref="I117:P117"/>
    <mergeCell ref="I120:P120"/>
    <mergeCell ref="F113:G113"/>
    <mergeCell ref="H113:P113"/>
    <mergeCell ref="F31:G31"/>
    <mergeCell ref="H31:P31"/>
    <mergeCell ref="F29:G29"/>
    <mergeCell ref="H29:P29"/>
    <mergeCell ref="F34:G34"/>
    <mergeCell ref="H34:P34"/>
    <mergeCell ref="F30:G30"/>
  </mergeCells>
  <hyperlinks>
    <hyperlink ref="A6" location="$A$7" tooltip="Go to Top of Sheet" display="$A$7"/>
    <hyperlink ref="B8" location="HL_Sheet_Main_76" tooltip="Go to Current Scenario Summary Sheets" display="HL_Sheet_Main_76"/>
    <hyperlink ref="D8" location="HL_Sheet_Main_76" tooltip="Go to Current Scenario Summary Sheets" display="HL_Sheet_Main_76"/>
    <hyperlink ref="F9" location="HL_Sheet_Main_30" tooltip="Go to Programme Cost Summaries" display="HL_Sheet_Main_30"/>
    <hyperlink ref="H9" location="HL_Sheet_Main_30" tooltip="Go to Programme Cost Summaries" display="HL_Sheet_Main_30"/>
    <hyperlink ref="H10" location="HL_TOC_48" tooltip="Go to Introduction and Recurrent Costs ( Excludes Service Delivery Capital Expenditures)" display="HL_TOC_48"/>
    <hyperlink ref="I10" location="HL_TOC_48" tooltip="Go to Introduction and Recurrent Costs ( Excludes Service Delivery Capital Expenditures)" display="HL_TOC_48"/>
    <hyperlink ref="H11" location="HL_TOC_39" tooltip="Go to Service Delivery Costs" display="HL_TOC_39"/>
    <hyperlink ref="I11" location="HL_TOC_39" tooltip="Go to Service Delivery Costs" display="HL_TOC_39"/>
    <hyperlink ref="H12" location="HL_TOC_40" tooltip="Go to Programme (Non-Service Delivery) Costs - By Activity Category" display="HL_TOC_40"/>
    <hyperlink ref="I12" location="HL_TOC_40" tooltip="Go to Programme (Non-Service Delivery) Costs - By Activity Category" display="HL_TOC_40"/>
    <hyperlink ref="H13" location="HL_TOC_50" tooltip="Go to Initial Investment Costs" display="HL_TOC_50"/>
    <hyperlink ref="I13" location="HL_TOC_50" tooltip="Go to Initial Investment Costs" display="HL_TOC_50"/>
    <hyperlink ref="H14" location="HL_TOC_46" tooltip="Go to Programme Costs - Introduction Costs" display="HL_TOC_46"/>
    <hyperlink ref="I14" location="HL_TOC_46" tooltip="Go to Programme Costs - Introduction Costs" display="HL_TOC_46"/>
    <hyperlink ref="H15" location="HL_TOC_47" tooltip="Go to Recurrent Costs - Outputs" display="HL_TOC_47"/>
    <hyperlink ref="I15" location="HL_TOC_47" tooltip="Go to Recurrent Costs - Outputs" display="HL_TOC_47"/>
    <hyperlink ref="F16" location="HL_Sheet_Main_75" tooltip="Go to VIA - Outputs Summary" display="HL_Sheet_Main_75"/>
    <hyperlink ref="H16" location="HL_Sheet_Main_75" tooltip="Go to VIA - Outputs Summary" display="HL_Sheet_Main_75"/>
    <hyperlink ref="F17" location="HL_Sheet_Main_77" tooltip="Go to VIA - Cost Summary" display="HL_Sheet_Main_77"/>
    <hyperlink ref="H17" location="HL_Sheet_Main_77" tooltip="Go to VIA - Cost Summary" display="HL_Sheet_Main_77"/>
    <hyperlink ref="F18" location="HL_Sheet_Main_78" tooltip="Go to Diagnostic - Outputs Summary" display="HL_Sheet_Main_78"/>
    <hyperlink ref="H18" location="HL_Sheet_Main_78" tooltip="Go to Diagnostic - Outputs Summary" display="HL_Sheet_Main_78"/>
    <hyperlink ref="F19" location="HL_Sheet_Main_79" tooltip="Go to Diagnostics- Cost Summary" display="HL_Sheet_Main_79"/>
    <hyperlink ref="H19" location="HL_Sheet_Main_79" tooltip="Go to Diagnostics- Cost Summary" display="HL_Sheet_Main_79"/>
    <hyperlink ref="F20" location="HL_Sheet_Main_80" tooltip="Go to Cryo - Ouputs Summary" display="HL_Sheet_Main_80"/>
    <hyperlink ref="H20" location="HL_Sheet_Main_80" tooltip="Go to Cryo - Ouputs Summary" display="HL_Sheet_Main_80"/>
    <hyperlink ref="F21" location="HL_Sheet_Main_86" tooltip="Go to Cryo - Cost Summary" display="HL_Sheet_Main_86"/>
    <hyperlink ref="H21" location="HL_Sheet_Main_86" tooltip="Go to Cryo - Cost Summary" display="HL_Sheet_Main_86"/>
    <hyperlink ref="F22" location="HL_Sheet_Main_81" tooltip="Go to LEEP - Ouptputs Summary" display="HL_Sheet_Main_81"/>
    <hyperlink ref="H22" location="HL_Sheet_Main_81" tooltip="Go to LEEP - Ouptputs Summary" display="HL_Sheet_Main_81"/>
    <hyperlink ref="F23" location="HL_Sheet_Main_87" tooltip="Go to LEEP - Cost Summary" display="HL_Sheet_Main_87"/>
    <hyperlink ref="H23" location="HL_Sheet_Main_87" tooltip="Go to LEEP - Cost Summary" display="HL_Sheet_Main_87"/>
    <hyperlink ref="F24" location="HL_Sheet_Main_84" tooltip="Go to Surgery - Outputs Summary" display="HL_Sheet_Main_84"/>
    <hyperlink ref="H24" location="HL_Sheet_Main_84" tooltip="Go to Surgery - Outputs Summary" display="HL_Sheet_Main_84"/>
    <hyperlink ref="F25" location="HL_Sheet_Main_90" tooltip="Go to Surgery - Cost Summary" display="HL_Sheet_Main_90"/>
    <hyperlink ref="H25" location="HL_Sheet_Main_90" tooltip="Go to Surgery - Cost Summary" display="HL_Sheet_Main_90"/>
    <hyperlink ref="F26" location="HL_Sheet_Main_82" tooltip="Go to Chemotherapy - Outputs Summary" display="HL_Sheet_Main_82"/>
    <hyperlink ref="H26" location="HL_Sheet_Main_82" tooltip="Go to Chemotherapy - Outputs Summary" display="HL_Sheet_Main_82"/>
    <hyperlink ref="F27" location="HL_Sheet_Main_88" tooltip="Go to Chemotherapy - Cost Summary" display="HL_Sheet_Main_88"/>
    <hyperlink ref="H27" location="HL_Sheet_Main_88" tooltip="Go to Chemotherapy - Cost Summary" display="HL_Sheet_Main_88"/>
    <hyperlink ref="F28" location="HL_Sheet_Main_83" tooltip="Go to Radiotherapy - Outputs Summary" display="HL_Sheet_Main_83"/>
    <hyperlink ref="H28" location="HL_Sheet_Main_83" tooltip="Go to Radiotherapy - Outputs Summary" display="HL_Sheet_Main_83"/>
    <hyperlink ref="F29" location="HL_Sheet_Main_89" tooltip="Go to Radiotherapy - Cost Summary" display="HL_Sheet_Main_89"/>
    <hyperlink ref="H29" location="HL_Sheet_Main_89" tooltip="Go to Radiotherapy - Cost Summary" display="HL_Sheet_Main_89"/>
    <hyperlink ref="F30" location="HL_Sheet_Main_85" tooltip="Go to Palliative Outpatient - Outputs Summary" display="HL_Sheet_Main_85"/>
    <hyperlink ref="H30" location="HL_Sheet_Main_85" tooltip="Go to Palliative Outpatient - Outputs Summary" display="HL_Sheet_Main_85"/>
    <hyperlink ref="F31" location="HL_Sheet_Main_91" tooltip="Go to Palliative Outpatient - Cost Summary" display="HL_Sheet_Main_91"/>
    <hyperlink ref="H31" location="HL_Sheet_Main_91" tooltip="Go to Palliative Outpatient - Cost Summary" display="HL_Sheet_Main_91"/>
    <hyperlink ref="B32" location="HL_Sheet_Main_3" tooltip="Go to Country Setup" display="HL_Sheet_Main_3"/>
    <hyperlink ref="D32" location="HL_Sheet_Main_3" tooltip="Go to Country Setup" display="HL_Sheet_Main_3"/>
    <hyperlink ref="F33" location="HL_Sheet_Main_45" tooltip="Go to Planning &amp; Costing Team Information" display="HL_Sheet_Main_45"/>
    <hyperlink ref="H33" location="HL_Sheet_Main_45" tooltip="Go to Planning &amp; Costing Team Information" display="HL_Sheet_Main_45"/>
    <hyperlink ref="F34" location="HL_Sheet_Main_35" tooltip="Go to Custom Labels" display="HL_Sheet_Main_35"/>
    <hyperlink ref="H34" location="HL_Sheet_Main_35" tooltip="Go to Custom Labels" display="HL_Sheet_Main_35"/>
    <hyperlink ref="H35" location="HL_TOC_80" tooltip="Go to Country Name Label" display="HL_TOC_80"/>
    <hyperlink ref="I35" location="HL_TOC_80" tooltip="Go to Country Name Label" display="HL_TOC_80"/>
    <hyperlink ref="H36" location="HL_TOC_78" tooltip="Go to Sub-National Level Name Labels" display="HL_TOC_78"/>
    <hyperlink ref="I36" location="HL_TOC_78" tooltip="Go to Sub-National Level Name Labels" display="HL_TOC_78"/>
    <hyperlink ref="H37" location="HL_TOC_85" tooltip="Go to Facility Type Name Labels" display="HL_TOC_85"/>
    <hyperlink ref="I37" location="HL_TOC_85" tooltip="Go to Facility Type Name Labels" display="HL_TOC_85"/>
    <hyperlink ref="H38" location="HL_TOC_86" tooltip="Go to Population Segment and Category (Sub-Segment) Name Labels" display="HL_TOC_86"/>
    <hyperlink ref="I38" location="HL_TOC_86" tooltip="Go to Population Segment and Category (Sub-Segment) Name Labels" display="HL_TOC_86"/>
    <hyperlink ref="F39" location="HL_Sheet_Main_8" tooltip="Go to Planning Period" display="HL_Sheet_Main_8"/>
    <hyperlink ref="H39" location="HL_Sheet_Main_8" tooltip="Go to Planning Period" display="HL_Sheet_Main_8"/>
    <hyperlink ref="B40" location="HL_Sheet_Main_49" tooltip="Go to Assumptions" display="HL_Sheet_Main_49"/>
    <hyperlink ref="D40" location="HL_Sheet_Main_49" tooltip="Go to Assumptions" display="HL_Sheet_Main_49"/>
    <hyperlink ref="D41" location="HL_Sheet_Main_50" tooltip="Go to General Assumptions" display="HL_Sheet_Main_50"/>
    <hyperlink ref="F41" location="HL_Sheet_Main_50" tooltip="Go to General Assumptions" display="HL_Sheet_Main_50"/>
    <hyperlink ref="F42" location="HL_Sheet_Main_12" tooltip="Go to Program Rollout Plan" display="HL_Sheet_Main_12"/>
    <hyperlink ref="H42" location="HL_Sheet_Main_12" tooltip="Go to Program Rollout Plan" display="HL_Sheet_Main_12"/>
    <hyperlink ref="H43" location="HL_TOC_7" tooltip="Go to Provinces, Districts, and Program Start Years - Assumptions" display="HL_TOC_7"/>
    <hyperlink ref="I43" location="HL_TOC_7" tooltip="Go to Provinces, Districts, and Program Start Years - Assumptions" display="HL_TOC_7"/>
    <hyperlink ref="H44" location="HL_TOC_133" tooltip="Go to Province Names" display="HL_TOC_133"/>
    <hyperlink ref="I44" location="HL_TOC_133" tooltip="Go to Province Names" display="HL_TOC_133"/>
    <hyperlink ref="H45" location="HL_TOC_134" tooltip="Go to # of Districts" display="HL_TOC_134"/>
    <hyperlink ref="I45" location="HL_TOC_134" tooltip="Go to # of Districts" display="HL_TOC_134"/>
    <hyperlink ref="H46" location="HL_TOC_135" tooltip="Go to Program Start Year" display="HL_TOC_135"/>
    <hyperlink ref="I46" location="HL_TOC_135" tooltip="Go to Program Start Year" display="HL_TOC_135"/>
    <hyperlink ref="F47" location="HL_Sheet_Main_11" tooltip="Go to Critical Assumptions" display="HL_Sheet_Main_11"/>
    <hyperlink ref="H47" location="HL_Sheet_Main_11" tooltip="Go to Critical Assumptions" display="HL_Sheet_Main_11"/>
    <hyperlink ref="H48" location="HL_TOC_128" tooltip="Go to Predicted Demand for Screening" display="HL_TOC_128"/>
    <hyperlink ref="I48" location="HL_TOC_128" tooltip="Go to Predicted Demand for Screening" display="HL_TOC_128"/>
    <hyperlink ref="H49" location="HL_TOC_124" tooltip="Go to Basic Initial Screening Method Distribution Assumptions" display="HL_TOC_124"/>
    <hyperlink ref="I49" location="HL_TOC_124" tooltip="Go to Basic Initial Screening Method Distribution Assumptions" display="HL_TOC_124"/>
    <hyperlink ref="H50" location="HL_TOC_129" tooltip="Go to Epidemiology Assumptions" display="HL_TOC_129"/>
    <hyperlink ref="I50" location="HL_TOC_129" tooltip="Go to Epidemiology Assumptions" display="HL_TOC_129"/>
    <hyperlink ref="H51" location="HL_TOC_130" tooltip="Go to Basic Referral Assumptions " display="HL_TOC_130"/>
    <hyperlink ref="I51" location="HL_TOC_130" tooltip="Go to Basic Referral Assumptions " display="HL_TOC_130"/>
    <hyperlink ref="H52" location="HL_TOC_131" tooltip="Go to Basic Re-Screening Timing Assumptions" display="HL_TOC_131"/>
    <hyperlink ref="I52" location="HL_TOC_131" tooltip="Go to Basic Re-Screening Timing Assumptions" display="HL_TOC_131"/>
    <hyperlink ref="H53" location="HL_TOC_132" tooltip="Go to Annual Population Counts by  Province" display="HL_TOC_132"/>
    <hyperlink ref="I53" location="HL_TOC_132" tooltip="Go to Annual Population Counts by  Province" display="HL_TOC_132"/>
    <hyperlink ref="F54" location="HL_Sheet_Main_40" tooltip="Go to Economic Assumptions" display="HL_Sheet_Main_40"/>
    <hyperlink ref="H54" location="HL_Sheet_Main_40" tooltip="Go to Economic Assumptions" display="HL_Sheet_Main_40"/>
    <hyperlink ref="F55" location="HL_Sheet_Main_48" tooltip="Go to Pricing Assumptions" display="HL_Sheet_Main_48"/>
    <hyperlink ref="H55" location="HL_Sheet_Main_48" tooltip="Go to Pricing Assumptions" display="HL_Sheet_Main_48"/>
    <hyperlink ref="H56" location="HL_TOC_79" tooltip="Go to Prices - Assumptions" display="HL_TOC_79"/>
    <hyperlink ref="I56" location="HL_TOC_79" tooltip="Go to Prices - Assumptions" display="HL_TOC_79"/>
    <hyperlink ref="H57" location="HL_TOC_127" tooltip="Go to Facility Personnel Price List" display="HL_TOC_127"/>
    <hyperlink ref="I57" location="HL_TOC_127" tooltip="Go to Facility Personnel Price List" display="HL_TOC_127"/>
    <hyperlink ref="H58" location="HL_TOC_27" tooltip="Go to Equipment Price List" display="HL_TOC_27"/>
    <hyperlink ref="I58" location="HL_TOC_27" tooltip="Go to Equipment Price List" display="HL_TOC_27"/>
    <hyperlink ref="H59" location="HL_TOC_28" tooltip="Go to Supply Price List" display="HL_TOC_28"/>
    <hyperlink ref="I59" location="HL_TOC_28" tooltip="Go to Supply Price List" display="HL_TOC_28"/>
    <hyperlink ref="H60" location="HL_TOC_29" tooltip="Go to Lab Tests &amp; Other Direct Costs (ODC) Price List" display="HL_TOC_29"/>
    <hyperlink ref="I60" location="HL_TOC_29" tooltip="Go to Lab Tests &amp; Other Direct Costs (ODC) Price List" display="HL_TOC_29"/>
    <hyperlink ref="D61" location="HL_Sheet_Main_38" tooltip="Go to Service Assumptions" display="HL_Sheet_Main_38"/>
    <hyperlink ref="F61" location="HL_Sheet_Main_38" tooltip="Go to Service Assumptions" display="HL_Sheet_Main_38"/>
    <hyperlink ref="F62" location="HL_Sheet_Main_14" tooltip="Go to Screening Services - Assumptions" display="HL_Sheet_Main_14"/>
    <hyperlink ref="H62" location="HL_Sheet_Main_14" tooltip="Go to Screening Services - Assumptions" display="HL_Sheet_Main_14"/>
    <hyperlink ref="F63" location="HL_Sheet_Main_18" tooltip="Go to Screening Services- Annual Assumptions" display="HL_Sheet_Main_18"/>
    <hyperlink ref="H63" location="HL_Sheet_Main_18" tooltip="Go to Screening Services- Annual Assumptions" display="HL_Sheet_Main_18"/>
    <hyperlink ref="F64" location="HL_Sheet_Main_22" tooltip="Go to Diagnostic Services - Assumptions" display="HL_Sheet_Main_22"/>
    <hyperlink ref="H64" location="HL_Sheet_Main_22" tooltip="Go to Diagnostic Services - Assumptions" display="HL_Sheet_Main_22"/>
    <hyperlink ref="F65" location="HL_Sheet_Main_23" tooltip="Go to Diagnostic Services - Annual Assumptions" display="HL_Sheet_Main_23"/>
    <hyperlink ref="H65" location="HL_Sheet_Main_23" tooltip="Go to Diagnostic Services - Annual Assumptions" display="HL_Sheet_Main_23"/>
    <hyperlink ref="F66" location="HL_Sheet_Main_26" tooltip="Go to Intervention Services - Assumptions" display="HL_Sheet_Main_26"/>
    <hyperlink ref="H66" location="HL_Sheet_Main_26" tooltip="Go to Intervention Services - Assumptions" display="HL_Sheet_Main_26"/>
    <hyperlink ref="H67" location="HL_TOC_35" tooltip="Go to Cryotherapy - Same Visit" display="HL_TOC_35"/>
    <hyperlink ref="I67" location="HL_TOC_35" tooltip="Go to Cryotherapy - Same Visit" display="HL_TOC_35"/>
    <hyperlink ref="H68" location="HL_TOC_51" tooltip="Go to Loop Electrosurgical Excision Procedure  with BIOP-H" display="HL_TOC_51"/>
    <hyperlink ref="I68" location="HL_TOC_51" tooltip="Go to Loop Electrosurgical Excision Procedure  with BIOP-H" display="HL_TOC_51"/>
    <hyperlink ref="H69" location="HL_TOC_55" tooltip="Go to Chemotherapy" display="HL_TOC_55"/>
    <hyperlink ref="I69" location="HL_TOC_55" tooltip="Go to Chemotherapy" display="HL_TOC_55"/>
    <hyperlink ref="H70" location="HL_TOC_59" tooltip="Go to Radiotherapy" display="HL_TOC_59"/>
    <hyperlink ref="I70" location="HL_TOC_59" tooltip="Go to Radiotherapy" display="HL_TOC_59"/>
    <hyperlink ref="H71" location="HL_TOC_63" tooltip="Go to Surgery (Radical Hysterectomy plus Stump Removal)" display="HL_TOC_63"/>
    <hyperlink ref="I71" location="HL_TOC_63" tooltip="Go to Surgery (Radical Hysterectomy plus Stump Removal)" display="HL_TOC_63"/>
    <hyperlink ref="H72" location="HL_TOC_67" tooltip="Go to Palliative Care" display="HL_TOC_67"/>
    <hyperlink ref="I72" location="HL_TOC_67" tooltip="Go to Palliative Care" display="HL_TOC_67"/>
    <hyperlink ref="F73" location="HL_Sheet_Main_27" tooltip="Go to Intervention Services- Annual Assumptions" display="HL_Sheet_Main_27"/>
    <hyperlink ref="H73" location="HL_Sheet_Main_27" tooltip="Go to Intervention Services- Annual Assumptions" display="HL_Sheet_Main_27"/>
    <hyperlink ref="H74" location="HL_TOC_36" tooltip="Go to Intervention Services - Annual Assumptions" display="HL_TOC_36"/>
    <hyperlink ref="I74" location="HL_TOC_36" tooltip="Go to Intervention Services - Annual Assumptions" display="HL_TOC_36"/>
    <hyperlink ref="H75" location="HL_TOC_52" tooltip="Go to Intervention Services - Annual Assumptions" display="HL_TOC_52"/>
    <hyperlink ref="I75" location="HL_TOC_52" tooltip="Go to Intervention Services - Annual Assumptions" display="HL_TOC_52"/>
    <hyperlink ref="H76" location="HL_TOC_64" tooltip="Go to Intervention Services - Annual Assumptions" display="HL_TOC_64"/>
    <hyperlink ref="I76" location="HL_TOC_64" tooltip="Go to Intervention Services - Annual Assumptions" display="HL_TOC_64"/>
    <hyperlink ref="H77" location="HL_TOC_56" tooltip="Go to Intervention Services - Annual Assumptions" display="HL_TOC_56"/>
    <hyperlink ref="I77" location="HL_TOC_56" tooltip="Go to Intervention Services - Annual Assumptions" display="HL_TOC_56"/>
    <hyperlink ref="H78" location="HL_TOC_60" tooltip="Go to Intervention Services - Annual Assumptions" display="HL_TOC_60"/>
    <hyperlink ref="I78" location="HL_TOC_60" tooltip="Go to Intervention Services - Annual Assumptions" display="HL_TOC_60"/>
    <hyperlink ref="H79" location="HL_TOC_68" tooltip="Go to Intervention Services - Annual Assumptions" display="HL_TOC_68"/>
    <hyperlink ref="I79" location="HL_TOC_68" tooltip="Go to Intervention Services - Annual Assumptions" display="HL_TOC_68"/>
    <hyperlink ref="D80" location="HL_Sheet_Main_33" tooltip="Go to Other Assumptions" display="HL_Sheet_Main_33"/>
    <hyperlink ref="F80" location="HL_Sheet_Main_33" tooltip="Go to Other Assumptions" display="HL_Sheet_Main_33"/>
    <hyperlink ref="F81" location="HL_Sheet_Main_19" tooltip="Go to Other Costs - Annual Assumptions" display="HL_Sheet_Main_19"/>
    <hyperlink ref="H81" location="HL_Sheet_Main_19" tooltip="Go to Other Costs - Annual Assumptions" display="HL_Sheet_Main_19"/>
    <hyperlink ref="H82" location="HL_TOC_14" tooltip="Go to Microplanning - Assumptions" display="HL_TOC_14"/>
    <hyperlink ref="I82" location="HL_TOC_14" tooltip="Go to Microplanning - Assumptions" display="HL_TOC_14"/>
    <hyperlink ref="H83" location="HL_TOC_17" tooltip="Go to Training - Assumptions" display="HL_TOC_17"/>
    <hyperlink ref="I83" location="HL_TOC_17" tooltip="Go to Training - Assumptions" display="HL_TOC_17"/>
    <hyperlink ref="H84" location="HL_TOC_20" tooltip="Go to Social Mobilization and Communication" display="HL_TOC_20"/>
    <hyperlink ref="I84" location="HL_TOC_20" tooltip="Go to Social Mobilization and Communication" display="HL_TOC_20"/>
    <hyperlink ref="H85" location="HL_TOC_25" tooltip="Go to Supervision, Monitoring, and Evaluation - Assumptions" display="HL_TOC_25"/>
    <hyperlink ref="I85" location="HL_TOC_25" tooltip="Go to Supervision, Monitoring, and Evaluation - Assumptions" display="HL_TOC_25"/>
    <hyperlink ref="H86" location="HL_TOC_43" tooltip="Go to Other Costs Recurrent and Capital Goods - Assumptions" display="HL_TOC_43"/>
    <hyperlink ref="I86" location="HL_TOC_43" tooltip="Go to Other Costs Recurrent and Capital Goods - Assumptions" display="HL_TOC_43"/>
    <hyperlink ref="B87" location="HL_Sheet_Main_34" tooltip="Go to Outputs" display="HL_Sheet_Main_34"/>
    <hyperlink ref="D87" location="HL_Sheet_Main_34" tooltip="Go to Outputs" display="HL_Sheet_Main_34"/>
    <hyperlink ref="D88" location="HL_Sheet_Main_54" tooltip="Go to Raw Outputs" display="HL_Sheet_Main_54"/>
    <hyperlink ref="F88" location="HL_Sheet_Main_54" tooltip="Go to Raw Outputs" display="HL_Sheet_Main_54"/>
    <hyperlink ref="F89" location="HL_Sheet_Main_17" tooltip="Go to Regional Population Annual Outputs" display="HL_Sheet_Main_17"/>
    <hyperlink ref="H89" location="HL_Sheet_Main_17" tooltip="Go to Regional Population Annual Outputs" display="HL_Sheet_Main_17"/>
    <hyperlink ref="H90" location="HL_TOC_12" tooltip="Go to Province - Outputs" display="HL_TOC_12"/>
    <hyperlink ref="I90" location="HL_TOC_12" tooltip="Go to Province - Outputs" display="HL_TOC_12"/>
    <hyperlink ref="H91" location="HL_TOC_23" tooltip="Go to Population - Outputs" display="HL_TOC_23"/>
    <hyperlink ref="I91" location="HL_TOC_23" tooltip="Go to Population - Outputs" display="HL_TOC_23"/>
    <hyperlink ref="F92" location="HL_Sheet_Main_16" tooltip="Go to Screening Annual Outputs" display="HL_Sheet_Main_16"/>
    <hyperlink ref="H92" location="HL_Sheet_Main_16" tooltip="Go to Screening Annual Outputs" display="HL_Sheet_Main_16"/>
    <hyperlink ref="F93" location="HL_Sheet_Main_24" tooltip="Go to Diagnostics Annual Outputs" display="HL_Sheet_Main_24"/>
    <hyperlink ref="H93" location="HL_Sheet_Main_24" tooltip="Go to Diagnostics Annual Outputs" display="HL_Sheet_Main_24"/>
    <hyperlink ref="F94" location="HL_Sheet_Main_28" tooltip="Go to Intervention Annual Outputs" display="HL_Sheet_Main_28"/>
    <hyperlink ref="H94" location="HL_Sheet_Main_28" tooltip="Go to Intervention Annual Outputs" display="HL_Sheet_Main_28"/>
    <hyperlink ref="H95" location="HL_TOC_37" tooltip="Go to Cryotherapy - Same Visit" display="HL_TOC_37"/>
    <hyperlink ref="I95" location="HL_TOC_37" tooltip="Go to Cryotherapy - Same Visit" display="HL_TOC_37"/>
    <hyperlink ref="H96" location="HL_TOC_53" tooltip="Go to Loop Electrosurgical Excision Procedure  with BIOP-H" display="HL_TOC_53"/>
    <hyperlink ref="I96" location="HL_TOC_53" tooltip="Go to Loop Electrosurgical Excision Procedure  with BIOP-H" display="HL_TOC_53"/>
    <hyperlink ref="H97" location="HL_TOC_65" tooltip="Go to Surgery (Radical Hysterectomy plus Stump Removal)" display="HL_TOC_65"/>
    <hyperlink ref="I97" location="HL_TOC_65" tooltip="Go to Surgery (Radical Hysterectomy plus Stump Removal)" display="HL_TOC_65"/>
    <hyperlink ref="H98" location="HL_TOC_57" tooltip="Go to Chemotherapy" display="HL_TOC_57"/>
    <hyperlink ref="I98" location="HL_TOC_57" tooltip="Go to Chemotherapy" display="HL_TOC_57"/>
    <hyperlink ref="H99" location="HL_TOC_61" tooltip="Go to Radiotherapy" display="HL_TOC_61"/>
    <hyperlink ref="I99" location="HL_TOC_61" tooltip="Go to Radiotherapy" display="HL_TOC_61"/>
    <hyperlink ref="H100" location="HL_TOC_69" tooltip="Go to Palliative Care" display="HL_TOC_69"/>
    <hyperlink ref="I100" location="HL_TOC_69" tooltip="Go to Palliative Care" display="HL_TOC_69"/>
    <hyperlink ref="F101" location="HL_Sheet_Main_20" tooltip="Go to Other Costs - Annual Outputs" display="HL_Sheet_Main_20"/>
    <hyperlink ref="H101" location="HL_Sheet_Main_20" tooltip="Go to Other Costs - Annual Outputs" display="HL_Sheet_Main_20"/>
    <hyperlink ref="H102" location="HL_TOC_15" tooltip="Go to Microplanning - Outputs" display="HL_TOC_15"/>
    <hyperlink ref="I102" location="HL_TOC_15" tooltip="Go to Microplanning - Outputs" display="HL_TOC_15"/>
    <hyperlink ref="H103" location="HL_TOC_18" tooltip="Go to Training - Outputs" display="HL_TOC_18"/>
    <hyperlink ref="I103" location="HL_TOC_18" tooltip="Go to Training - Outputs" display="HL_TOC_18"/>
    <hyperlink ref="H104" location="HL_TOC_22" tooltip="Go to Communication - Summary" display="HL_TOC_22"/>
    <hyperlink ref="I104" location="HL_TOC_22" tooltip="Go to Communication - Summary" display="HL_TOC_22"/>
    <hyperlink ref="H105" location="HL_TOC_41" tooltip="Go to Supervision, Monitoring, and Evaluation - Summary" display="HL_TOC_41"/>
    <hyperlink ref="I105" location="HL_TOC_41" tooltip="Go to Supervision, Monitoring, and Evaluation - Summary" display="HL_TOC_41"/>
    <hyperlink ref="H106" location="HL_TOC_45" tooltip="Go to Other Costs - Summary" display="HL_TOC_45"/>
    <hyperlink ref="I106" location="HL_TOC_45" tooltip="Go to Other Costs - Summary" display="HL_TOC_45"/>
    <hyperlink ref="H107" location="HL_TOC_21" tooltip="Go to Communication - Outputs" display="HL_TOC_21"/>
    <hyperlink ref="I107" location="HL_TOC_21" tooltip="Go to Communication - Outputs" display="HL_TOC_21"/>
    <hyperlink ref="H108" location="HL_TOC_26" tooltip="Go to Supervision, Monitoring, and Evaluation - Outputs" display="HL_TOC_26"/>
    <hyperlink ref="I108" location="HL_TOC_26" tooltip="Go to Supervision, Monitoring, and Evaluation - Outputs" display="HL_TOC_26"/>
    <hyperlink ref="H109" location="HL_TOC_44" tooltip="Go to Other Costs - Outputs" display="HL_TOC_44"/>
    <hyperlink ref="I109" location="HL_TOC_44" tooltip="Go to Other Costs - Outputs" display="HL_TOC_44"/>
    <hyperlink ref="B110" location="HL_Sheet_Main_43" tooltip="Go to Plug-Ins" display="HL_Sheet_Main_43"/>
    <hyperlink ref="D110" location="HL_Sheet_Main_43" tooltip="Go to Plug-Ins" display="HL_Sheet_Main_43"/>
    <hyperlink ref="F111" location="HL_Sheet_Main_60" tooltip="Go to Plug-in #1: Service UNIT Capacity and Staffing Requirements Estimator" display="HL_Sheet_Main_60"/>
    <hyperlink ref="H111" location="HL_Sheet_Main_60" tooltip="Go to Plug-in #1: Service UNIT Capacity and Staffing Requirements Estimator" display="HL_Sheet_Main_60"/>
    <hyperlink ref="F112" location="HL_Sheet_Main_61" tooltip="Go to Plug-in #2: Effect of Demand on Current Assumed Capacity" display="HL_Sheet_Main_61"/>
    <hyperlink ref="H112" location="HL_Sheet_Main_61" tooltip="Go to Plug-in #2: Effect of Demand on Current Assumed Capacity" display="HL_Sheet_Main_61"/>
    <hyperlink ref="F113" location="HL_Sheet_Main_53" tooltip="Go to Plug-in #3: Training Programme Cost Estimator" display="HL_Sheet_Main_53"/>
    <hyperlink ref="H113" location="HL_Sheet_Main_53" tooltip="Go to Plug-in #3: Training Programme Cost Estimator" display="HL_Sheet_Main_53"/>
    <hyperlink ref="H114" location="HL_TOC_108" tooltip="Go to Curriculum Development Workshop - National" display="HL_TOC_108"/>
    <hyperlink ref="I114" location="HL_TOC_108" tooltip="Go to Curriculum Development Workshop - National" display="HL_TOC_108"/>
    <hyperlink ref="H115" location="HL_TOC_109" tooltip="Go to Training of Trainers Workshop - National Level" display="HL_TOC_109"/>
    <hyperlink ref="I115" location="HL_TOC_109" tooltip="Go to Training of Trainers Workshop - National Level" display="HL_TOC_109"/>
    <hyperlink ref="H116" location="HL_TOC_111" tooltip="Go to Training of Service Providers - VIA Only" display="HL_TOC_111"/>
    <hyperlink ref="I116" location="HL_TOC_111" tooltip="Go to Training of Service Providers - VIA Only" display="HL_TOC_111"/>
    <hyperlink ref="H117" location="HL_TOC_113" tooltip="Go to Training of Service Providers - VIA and CRYO" display="HL_TOC_113"/>
    <hyperlink ref="I117" location="HL_TOC_113" tooltip="Go to Training of Service Providers - VIA and CRYO" display="HL_TOC_113"/>
    <hyperlink ref="F118" location="HL_Sheet_Main_68" tooltip="Go to Plug-in #4: Meeting Cost Estimator - Assumptions" display="HL_Sheet_Main_68"/>
    <hyperlink ref="H118" location="HL_Sheet_Main_68" tooltip="Go to Plug-in #4: Meeting Cost Estimator - Assumptions" display="HL_Sheet_Main_68"/>
    <hyperlink ref="H119" location="HL_TOC_115" tooltip="Go to Sensitization Meeting" display="HL_TOC_115"/>
    <hyperlink ref="I119" location="HL_TOC_115" tooltip="Go to Sensitization Meeting" display="HL_TOC_115"/>
    <hyperlink ref="H120" location="HL_TOC_121" tooltip="Go to Microplanning Meeting" display="HL_TOC_121"/>
    <hyperlink ref="I120" location="HL_TOC_121" tooltip="Go to Microplanning Meeting" display="HL_TOC_121"/>
    <hyperlink ref="H121" location="HL_TOC_118" tooltip="Go to Community Mobilization Meeting" display="HL_TOC_118"/>
    <hyperlink ref="I121" location="HL_TOC_118" tooltip="Go to Community Mobilization Meeting" display="HL_TOC_118"/>
    <hyperlink ref="F122" location="HL_Sheet_Main_66" tooltip="Go to Plug-in #4: Meeting Cost Estimator - Outputs" display="HL_Sheet_Main_66"/>
    <hyperlink ref="H122" location="HL_Sheet_Main_66" tooltip="Go to Plug-in #4: Meeting Cost Estimator - Outputs" display="HL_Sheet_Main_66"/>
    <hyperlink ref="H123" location="HL_TOC_116" tooltip="Go to Meeting Cost - Outputs" display="HL_TOC_116"/>
    <hyperlink ref="I123" location="HL_TOC_116" tooltip="Go to Meeting Cost - Outputs" display="HL_TOC_116"/>
    <hyperlink ref="H124" location="HL_TOC_122" tooltip="Go to Meeting Cost - Outputs" display="HL_TOC_122"/>
    <hyperlink ref="I124" location="HL_TOC_122" tooltip="Go to Meeting Cost - Outputs" display="HL_TOC_122"/>
    <hyperlink ref="H125" location="HL_TOC_119" tooltip="Go to Meeting Cost - Outputs" display="HL_TOC_119"/>
    <hyperlink ref="I125" location="HL_TOC_119" tooltip="Go to Meeting Cost - Outputs" display="HL_TOC_119"/>
    <hyperlink ref="B126" location="HL_Sheet_Main_5" tooltip="Go to Appendices" display="HL_Sheet_Main_5"/>
    <hyperlink ref="D126" location="HL_Sheet_Main_5" tooltip="Go to Appendices" display="HL_Sheet_Main_5"/>
    <hyperlink ref="D127" location="HL_Sheet_Main_6" tooltip="Go to Checks" display="HL_Sheet_Main_6"/>
    <hyperlink ref="F127" location="HL_Sheet_Main_6" tooltip="Go to Checks" display="HL_Sheet_Main_6"/>
    <hyperlink ref="F128" location="HL_Sheet_Main_7" tooltip="Go to Checks" display="HL_Sheet_Main_7"/>
    <hyperlink ref="H128" location="HL_Sheet_Main_7" tooltip="Go to Checks" display="HL_Sheet_Main_7"/>
    <hyperlink ref="H129" location="HL_TOC_1" tooltip="Go to Error Checks" display="HL_TOC_1"/>
    <hyperlink ref="I129" location="HL_TOC_1" tooltip="Go to Error Checks" display="HL_TOC_1"/>
    <hyperlink ref="H130" location="HL_TOC_2" tooltip="Go to Sensitivity Checks" display="HL_TOC_2"/>
    <hyperlink ref="I130" location="HL_TOC_2" tooltip="Go to Sensitivity Checks" display="HL_TOC_2"/>
    <hyperlink ref="H131" location="HL_TOC_3" tooltip="Go to Alert Checks" display="HL_TOC_3"/>
    <hyperlink ref="I131" location="HL_TOC_3" tooltip="Go to Alert Checks" display="HL_TOC_3"/>
    <hyperlink ref="B132" location="HL_Sheet_Main_55" tooltip="Go to Overview" display="HL_Sheet_Main_55"/>
    <hyperlink ref="D132" location="HL_Sheet_Main_55" tooltip="Go to Overview" display="HL_Sheet_Main_55"/>
    <hyperlink ref="D133" location="HL_Sheet_Main_56" tooltip="Go to Notes" display="HL_Sheet_Main_56"/>
    <hyperlink ref="F133" location="HL_Sheet_Main_56" tooltip="Go to Notes" display="HL_Sheet_Main_56"/>
    <hyperlink ref="F134" location="HL_Sheet_Main_57" tooltip="Go to Notes" display="HL_Sheet_Main_57"/>
    <hyperlink ref="H134" location="HL_Sheet_Main_57" tooltip="Go to Notes" display="HL_Sheet_Main_57"/>
    <hyperlink ref="F135" location="HL_Sheet_Main_59" tooltip="Go to Glossary" display="HL_Sheet_Main_59"/>
    <hyperlink ref="H135" location="HL_Sheet_Main_59" tooltip="Go to Glossary" display="HL_Sheet_Main_59"/>
    <hyperlink ref="D136" location="HL_Sheet_Main_58" tooltip="Go to Keys" display="HL_Sheet_Main_58"/>
    <hyperlink ref="F136" location="HL_Sheet_Main_58" tooltip="Go to Keys" display="HL_Sheet_Main_58"/>
    <hyperlink ref="F137" location="HL_Sheet_Main_46" tooltip="Go to Keys" display="HL_Sheet_Main_46"/>
    <hyperlink ref="H137" location="HL_Sheet_Main_46" tooltip="Go to Keys" display="HL_Sheet_Main_46"/>
    <hyperlink ref="H138" location="HL_TOC_82" tooltip="Go to Formats &amp; Styles Key" display="HL_TOC_82"/>
    <hyperlink ref="I138" location="HL_TOC_82" tooltip="Go to Formats &amp; Styles Key" display="HL_TOC_82"/>
    <hyperlink ref="H139" location="HL_TOC_83" tooltip="Go to Sheet Naming Key" display="HL_TOC_83"/>
    <hyperlink ref="I139" location="HL_TOC_83" tooltip="Go to Sheet Naming Key" display="HL_TOC_83"/>
    <hyperlink ref="H140" location="HL_TOC_84" tooltip="Go to Range Naming Key" display="HL_TOC_84"/>
    <hyperlink ref="I140" location="HL_TOC_84" tooltip="Go to Range Naming Key" display="HL_TOC_84"/>
    <hyperlink ref="B3" location="'Cover'!A1" tooltip="Go to Cover Sheet" display="'Cover'!A1"/>
  </hyperlinks>
  <pageMargins left="0.39370078740157499" right="0.39370078740157499" top="0.59055118110236204" bottom="0.98425196850393704" header="0" footer="0.31496062992126"/>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C9:H38"/>
  <sheetViews>
    <sheetView showGridLines="0" zoomScaleNormal="100" workbookViewId="0">
      <selection activeCell="D19" sqref="D19"/>
    </sheetView>
  </sheetViews>
  <sheetFormatPr defaultColWidth="11.7109375" defaultRowHeight="12.75" x14ac:dyDescent="0.2"/>
  <cols>
    <col min="3" max="6" width="3.7109375" customWidth="1"/>
  </cols>
  <sheetData>
    <row r="9" spans="3:7" ht="23.25" x14ac:dyDescent="0.2">
      <c r="C9" s="333" t="s">
        <v>1920</v>
      </c>
    </row>
    <row r="10" spans="3:7" ht="21" x14ac:dyDescent="0.2">
      <c r="C10" s="35" t="s">
        <v>66</v>
      </c>
    </row>
    <row r="11" spans="3:7" ht="18.75" x14ac:dyDescent="0.2">
      <c r="C11" s="334" t="str">
        <f>Model_Name</f>
        <v>Zambia C4P* - Screening &amp; Treatment Tool</v>
      </c>
    </row>
    <row r="12" spans="3:7" x14ac:dyDescent="0.2">
      <c r="C12" s="702" t="s">
        <v>2</v>
      </c>
      <c r="D12" s="702"/>
      <c r="E12" s="702"/>
      <c r="F12" s="702"/>
      <c r="G12" s="702"/>
    </row>
    <row r="13" spans="3:7" x14ac:dyDescent="0.2">
      <c r="C13" s="337" t="s">
        <v>6</v>
      </c>
      <c r="D13" s="324" t="s">
        <v>7</v>
      </c>
    </row>
    <row r="17" spans="3:8" ht="15" x14ac:dyDescent="0.2">
      <c r="C17" s="54" t="s">
        <v>5</v>
      </c>
    </row>
    <row r="18" spans="3:8" s="322" customFormat="1" ht="15" x14ac:dyDescent="0.2">
      <c r="C18" s="54" t="s">
        <v>1989</v>
      </c>
    </row>
    <row r="19" spans="3:8" s="322" customFormat="1" ht="15" x14ac:dyDescent="0.2">
      <c r="C19" s="54"/>
      <c r="D19" s="644" t="str">
        <f>Out_Ann_TO!B1</f>
        <v>Programme Cost Summaries</v>
      </c>
    </row>
    <row r="20" spans="3:8" s="322" customFormat="1" ht="15" x14ac:dyDescent="0.2">
      <c r="C20" s="54" t="s">
        <v>658</v>
      </c>
    </row>
    <row r="21" spans="3:8" x14ac:dyDescent="0.2">
      <c r="D21" s="627" t="s">
        <v>1929</v>
      </c>
    </row>
    <row r="22" spans="3:8" x14ac:dyDescent="0.2">
      <c r="D22" s="627" t="s">
        <v>1930</v>
      </c>
    </row>
    <row r="23" spans="3:8" ht="15" x14ac:dyDescent="0.2">
      <c r="C23" s="259" t="s">
        <v>1971</v>
      </c>
    </row>
    <row r="24" spans="3:8" x14ac:dyDescent="0.2">
      <c r="D24" s="644" t="s">
        <v>1973</v>
      </c>
      <c r="E24" s="644"/>
      <c r="F24" s="644"/>
      <c r="G24" s="644"/>
      <c r="H24" s="644"/>
    </row>
    <row r="25" spans="3:8" x14ac:dyDescent="0.2">
      <c r="D25" s="644" t="s">
        <v>1974</v>
      </c>
      <c r="E25" s="644"/>
      <c r="F25" s="644"/>
      <c r="G25" s="644"/>
      <c r="H25" s="644"/>
    </row>
    <row r="26" spans="3:8" ht="15" x14ac:dyDescent="0.2">
      <c r="C26" s="259" t="s">
        <v>1972</v>
      </c>
    </row>
    <row r="27" spans="3:8" x14ac:dyDescent="0.2">
      <c r="D27" s="644" t="s">
        <v>1977</v>
      </c>
      <c r="E27" s="644"/>
      <c r="F27" s="644"/>
      <c r="G27" s="644"/>
    </row>
    <row r="28" spans="3:8" x14ac:dyDescent="0.2">
      <c r="D28" s="644" t="s">
        <v>1978</v>
      </c>
      <c r="E28" s="644"/>
      <c r="F28" s="644"/>
      <c r="G28" s="644"/>
    </row>
    <row r="29" spans="3:8" x14ac:dyDescent="0.2">
      <c r="D29" s="644" t="s">
        <v>1979</v>
      </c>
      <c r="E29" s="644"/>
      <c r="F29" s="644"/>
      <c r="G29" s="644"/>
    </row>
    <row r="30" spans="3:8" x14ac:dyDescent="0.2">
      <c r="D30" s="644" t="s">
        <v>1980</v>
      </c>
      <c r="E30" s="644"/>
      <c r="F30" s="644"/>
      <c r="G30" s="644"/>
    </row>
    <row r="31" spans="3:8" x14ac:dyDescent="0.2">
      <c r="D31" s="644" t="s">
        <v>1981</v>
      </c>
      <c r="E31" s="644"/>
      <c r="F31" s="644"/>
      <c r="G31" s="644"/>
    </row>
    <row r="32" spans="3:8" x14ac:dyDescent="0.2">
      <c r="D32" s="644" t="s">
        <v>1982</v>
      </c>
      <c r="E32" s="644"/>
      <c r="F32" s="644"/>
      <c r="G32" s="644"/>
    </row>
    <row r="33" spans="4:7" x14ac:dyDescent="0.2">
      <c r="D33" s="644" t="s">
        <v>1983</v>
      </c>
      <c r="E33" s="644"/>
      <c r="F33" s="644"/>
      <c r="G33" s="644"/>
    </row>
    <row r="34" spans="4:7" x14ac:dyDescent="0.2">
      <c r="D34" s="644" t="s">
        <v>1984</v>
      </c>
      <c r="E34" s="644"/>
      <c r="F34" s="644"/>
      <c r="G34" s="644"/>
    </row>
    <row r="35" spans="4:7" x14ac:dyDescent="0.2">
      <c r="D35" s="644" t="s">
        <v>1985</v>
      </c>
      <c r="E35" s="644"/>
      <c r="F35" s="644"/>
      <c r="G35" s="644"/>
    </row>
    <row r="36" spans="4:7" x14ac:dyDescent="0.2">
      <c r="D36" s="644" t="s">
        <v>1986</v>
      </c>
      <c r="E36" s="644"/>
      <c r="F36" s="644"/>
      <c r="G36" s="644"/>
    </row>
    <row r="37" spans="4:7" x14ac:dyDescent="0.2">
      <c r="D37" s="644" t="s">
        <v>1987</v>
      </c>
      <c r="E37" s="644"/>
      <c r="F37" s="644"/>
      <c r="G37" s="644"/>
    </row>
    <row r="38" spans="4:7" x14ac:dyDescent="0.2">
      <c r="D38" s="644" t="s">
        <v>1988</v>
      </c>
      <c r="E38" s="644"/>
      <c r="F38" s="644"/>
      <c r="G38" s="644"/>
    </row>
  </sheetData>
  <mergeCells count="1">
    <mergeCell ref="C12:G12"/>
  </mergeCells>
  <hyperlinks>
    <hyperlink ref="D21" location="Screen_Sum_Ann_TO!A1" display="Screening Summary"/>
    <hyperlink ref="D22" location="Screen_Sum_1_Ann_TO!A1" display="Screening Summary - Costs"/>
    <hyperlink ref="D24" location="Screen_Sum_Ann_TO!A1" display="Screen_Sum_Ann_TO!A1"/>
    <hyperlink ref="D25" location="Diag_Sum_1_Ann_TO!A1" display="Diag_Sum_1_Ann_TO!A1"/>
    <hyperlink ref="D24:G24" location="Diag_Sum_Ann_TO!A1" display="Diag_Sum_Ann_TO!A1"/>
    <hyperlink ref="D27" location="Intv_Sum_Ann_TO!A1" display="Intv_Sum_Ann_TO!A1"/>
    <hyperlink ref="D28" location="Intv_Sum_1_Ann_TO!A1" display="Intv_Sum_1_Ann_TO!A1"/>
    <hyperlink ref="D29" location="Intv_2_Sum_Ann_TO!A1" display="Intv_2_Sum_Ann_TO!A1"/>
    <hyperlink ref="D30" location="Intv_2_Sum_1_Ann_TO!A1" display="Intv_2_Sum_1_Ann_TO!A1"/>
    <hyperlink ref="D31" location="Intv_5_Sum_Ann_TO!A1" display="Intv_5_Sum_Ann_TO!A1"/>
    <hyperlink ref="D32" location="Intv_5_Sum_1_Ann_TO!A1" display="Intv_5_Sum_1_Ann_TO!A1"/>
    <hyperlink ref="D13" location="HL_Sheet_Main_30" tooltip="Go to Next Sheet" display="HL_Sheet_Main_30"/>
    <hyperlink ref="D33" location="Intv_3_Sum_Ann_TO!A1" display="Intv_3_Sum_Ann_TO!A1"/>
    <hyperlink ref="D34" location="Intv_3_Sum_1_Ann_TO!A1" display="Intv_3_Sum_1_Ann_TO!A1"/>
    <hyperlink ref="D35" location="Intv_4_Sum_Ann_TO!A1" display="Intv_4_Sum_Ann_TO!A1"/>
    <hyperlink ref="D36" location="Intv_4_Sum_1_Ann_TO!A1" display="Intv_4_Sum_1_Ann_TO!A1"/>
    <hyperlink ref="D37" location="Intv_6_Sum_Ann_TO!A1" display="Intv_6_Sum_Ann_TO!A1"/>
    <hyperlink ref="D38" location="Intv_6_Sum_1_Ann_TO!A1" display="Intv_6_Sum_1_Ann_TO!A1"/>
    <hyperlink ref="D19" location="Out_Ann_TO!A1" display="Out_Ann_TO!A1"/>
    <hyperlink ref="C13" location="HL_Sheet_Main_2" tooltip="Go to Previous Sheet" display="HL_Sheet_Main_2"/>
    <hyperlink ref="C12" location="HL_Home" tooltip="Go to Table of Contents" display="HL_Home"/>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rgb="FF0070C0"/>
    <pageSetUpPr autoPageBreaks="0"/>
  </sheetPr>
  <dimension ref="A1:O482"/>
  <sheetViews>
    <sheetView showGridLines="0" zoomScaleNormal="100" workbookViewId="0">
      <pane ySplit="9" topLeftCell="A78" activePane="bottomLeft" state="frozen"/>
      <selection activeCell="R20" sqref="R20"/>
      <selection pane="bottomLeft" activeCell="I96" sqref="I96"/>
    </sheetView>
  </sheetViews>
  <sheetFormatPr defaultColWidth="11.7109375" defaultRowHeight="12.75" outlineLevelRow="3" outlineLevelCol="1" x14ac:dyDescent="0.2"/>
  <cols>
    <col min="1" max="1" width="2.85546875" style="49" customWidth="1"/>
    <col min="2" max="2" width="5.85546875" style="49" customWidth="1"/>
    <col min="3" max="4" width="3.85546875" style="49" customWidth="1"/>
    <col min="5" max="5" width="3.7109375" style="49" customWidth="1"/>
    <col min="6" max="6" width="17.5703125" style="49" customWidth="1"/>
    <col min="7" max="7" width="14.7109375" style="49" customWidth="1"/>
    <col min="8" max="8" width="15.7109375" style="49" customWidth="1"/>
    <col min="9" max="9" width="15.5703125" style="49" bestFit="1" customWidth="1"/>
    <col min="10" max="12" width="16.28515625" style="49" customWidth="1" outlineLevel="1"/>
    <col min="13" max="13" width="17.42578125" style="49" customWidth="1" outlineLevel="1"/>
    <col min="14" max="14" width="22" style="49" customWidth="1" outlineLevel="1"/>
    <col min="15" max="15" width="11.7109375" style="49" outlineLevel="1"/>
    <col min="16" max="16384" width="11.7109375" style="49"/>
  </cols>
  <sheetData>
    <row r="1" spans="1:15" ht="23.25" x14ac:dyDescent="0.2">
      <c r="A1" s="422"/>
      <c r="B1" s="100" t="s">
        <v>637</v>
      </c>
      <c r="K1"/>
      <c r="L1"/>
      <c r="M1"/>
      <c r="N1"/>
    </row>
    <row r="2" spans="1:15" ht="18.75" x14ac:dyDescent="0.2">
      <c r="B2" s="101" t="str">
        <f>Model_Name</f>
        <v>Zambia C4P* - Screening &amp; Treatment Tool</v>
      </c>
      <c r="K2"/>
      <c r="L2"/>
      <c r="M2"/>
      <c r="N2"/>
    </row>
    <row r="3" spans="1:15" ht="26.1" customHeight="1" x14ac:dyDescent="0.2">
      <c r="B3" s="716" t="s">
        <v>2</v>
      </c>
      <c r="C3" s="716"/>
      <c r="D3" s="716"/>
      <c r="E3" s="716"/>
      <c r="F3" s="716"/>
      <c r="K3"/>
      <c r="L3"/>
      <c r="M3"/>
      <c r="N3"/>
    </row>
    <row r="4" spans="1:15" x14ac:dyDescent="0.2">
      <c r="A4" s="102" t="s">
        <v>4</v>
      </c>
      <c r="B4" s="343" t="s">
        <v>6</v>
      </c>
      <c r="C4" s="344" t="s">
        <v>7</v>
      </c>
      <c r="D4" s="345" t="s">
        <v>27</v>
      </c>
      <c r="E4" s="346" t="s">
        <v>28</v>
      </c>
      <c r="F4" s="347" t="s">
        <v>29</v>
      </c>
    </row>
    <row r="5" spans="1:15" s="327" customFormat="1" x14ac:dyDescent="0.2">
      <c r="B5" s="199" t="str">
        <f>"Year Ending "&amp;INDEX(LU_TS_Mth_Names,DD_TS_Fin_Yr_End_Mth)</f>
        <v>Year Ending December</v>
      </c>
      <c r="C5" s="231"/>
      <c r="D5" s="231"/>
      <c r="E5" s="231"/>
      <c r="F5" s="231"/>
      <c r="G5" s="231"/>
      <c r="H5" s="231"/>
      <c r="I5" s="231"/>
      <c r="J5" s="454">
        <f t="shared" ref="J5:O5" si="0">J9</f>
        <v>2015</v>
      </c>
      <c r="K5" s="454">
        <f t="shared" si="0"/>
        <v>2016</v>
      </c>
      <c r="L5" s="454">
        <f t="shared" si="0"/>
        <v>2017</v>
      </c>
      <c r="M5" s="454">
        <f t="shared" si="0"/>
        <v>2018</v>
      </c>
      <c r="N5" s="454">
        <f t="shared" si="0"/>
        <v>2019</v>
      </c>
      <c r="O5" s="454">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426" t="s">
        <v>723</v>
      </c>
    </row>
    <row r="13" spans="1:15" s="327" customFormat="1" x14ac:dyDescent="0.2"/>
    <row r="14" spans="1:15" s="327" customFormat="1" ht="21.95" customHeight="1" x14ac:dyDescent="0.2">
      <c r="C14" s="216" t="s">
        <v>724</v>
      </c>
      <c r="H14" s="213">
        <v>1</v>
      </c>
      <c r="I14" s="214"/>
    </row>
    <row r="15" spans="1:15" s="327" customFormat="1" x14ac:dyDescent="0.2"/>
    <row r="16" spans="1:15" s="327" customFormat="1" ht="15.75" x14ac:dyDescent="0.2">
      <c r="C16" s="26" t="str">
        <f>"Financial Costs ("&amp;INDEX(LU_Total_Costs_Denom,DD_TS_Denom)&amp;")"</f>
        <v>Financial Costs (USD)</v>
      </c>
      <c r="I16" s="230" t="str">
        <f>"TOTAL ("&amp;INDEX(LU_Total_Costs_Denom,DD_TS_Denom)&amp;")"</f>
        <v>TOTAL (USD)</v>
      </c>
    </row>
    <row r="17" spans="4:15" s="327" customFormat="1" outlineLevel="1" x14ac:dyDescent="0.2">
      <c r="I17" s="215" t="s">
        <v>415</v>
      </c>
    </row>
    <row r="18" spans="4:15" s="327" customFormat="1" ht="15" outlineLevel="2" x14ac:dyDescent="0.2">
      <c r="D18" s="679" t="str">
        <f>"Programme Introduction Costs ("&amp;INDEX(LU_Total_Costs_Denom,DD_TS_Denom)&amp;")"</f>
        <v>Programme Introduction Costs (USD)</v>
      </c>
      <c r="J18" s="198"/>
      <c r="K18" s="198"/>
      <c r="L18" s="198"/>
      <c r="M18" s="198"/>
      <c r="N18" s="198"/>
      <c r="O18" s="198"/>
    </row>
    <row r="19" spans="4:15" s="327" customFormat="1" outlineLevel="2" x14ac:dyDescent="0.2">
      <c r="D19" s="660" t="str">
        <f>D339</f>
        <v>Total Microplanning</v>
      </c>
      <c r="I19" s="25">
        <f>SUM(J19:O19)</f>
        <v>210000</v>
      </c>
      <c r="J19" s="5">
        <f t="shared" ref="J19:O19" si="4">J339*IFERROR(INDEX(J$54:J$55,DD_Total_Costs_Curr)/INDEX(J$54:J$55,$H$58),0)</f>
        <v>35000</v>
      </c>
      <c r="K19" s="5">
        <f t="shared" si="4"/>
        <v>35000</v>
      </c>
      <c r="L19" s="5">
        <f t="shared" si="4"/>
        <v>35000</v>
      </c>
      <c r="M19" s="5">
        <f t="shared" si="4"/>
        <v>35000</v>
      </c>
      <c r="N19" s="5">
        <f t="shared" si="4"/>
        <v>35000</v>
      </c>
      <c r="O19" s="5">
        <f t="shared" si="4"/>
        <v>35000</v>
      </c>
    </row>
    <row r="20" spans="4:15" s="327" customFormat="1" outlineLevel="2" x14ac:dyDescent="0.2">
      <c r="D20" s="660" t="str">
        <f>D349</f>
        <v>Total Training</v>
      </c>
      <c r="I20" s="25">
        <f>SUM(J20:O20)</f>
        <v>0</v>
      </c>
      <c r="J20" s="5">
        <f t="shared" ref="J20:O20" si="5">J349*IFERROR(INDEX(J$54:J$55,DD_Total_Costs_Curr)/INDEX(J$54:J$55,$H$58),0)</f>
        <v>0</v>
      </c>
      <c r="K20" s="5">
        <f t="shared" si="5"/>
        <v>0</v>
      </c>
      <c r="L20" s="5">
        <f t="shared" si="5"/>
        <v>0</v>
      </c>
      <c r="M20" s="5">
        <f t="shared" si="5"/>
        <v>0</v>
      </c>
      <c r="N20" s="5">
        <f t="shared" si="5"/>
        <v>0</v>
      </c>
      <c r="O20" s="5">
        <f t="shared" si="5"/>
        <v>0</v>
      </c>
    </row>
    <row r="21" spans="4:15" s="327" customFormat="1" outlineLevel="2" x14ac:dyDescent="0.2">
      <c r="D21" s="660" t="str">
        <f>D354</f>
        <v>Total Social Mobilization &amp; IEC</v>
      </c>
      <c r="I21" s="25">
        <f>SUM(J21:O21)</f>
        <v>4502400</v>
      </c>
      <c r="J21" s="5">
        <f t="shared" ref="J21:O21" si="6">J354*IFERROR(INDEX(J$54:J$55,DD_Total_Costs_Curr)/INDEX(J$54:J$55,$H$58),0)</f>
        <v>750400</v>
      </c>
      <c r="K21" s="5">
        <f t="shared" si="6"/>
        <v>750400</v>
      </c>
      <c r="L21" s="5">
        <f t="shared" si="6"/>
        <v>750400</v>
      </c>
      <c r="M21" s="5">
        <f t="shared" si="6"/>
        <v>750400</v>
      </c>
      <c r="N21" s="5">
        <f t="shared" si="6"/>
        <v>750400</v>
      </c>
      <c r="O21" s="5">
        <f t="shared" si="6"/>
        <v>750400</v>
      </c>
    </row>
    <row r="22" spans="4:15" s="327" customFormat="1" outlineLevel="1" x14ac:dyDescent="0.2">
      <c r="D22" s="659" t="str">
        <f>"Total "&amp;D18</f>
        <v>Total Programme Introduction Costs (USD)</v>
      </c>
      <c r="I22" s="25">
        <f t="shared" ref="I22:O22" si="7">SUM(I19:I21)</f>
        <v>4712400</v>
      </c>
      <c r="J22" s="25">
        <f t="shared" si="7"/>
        <v>785400</v>
      </c>
      <c r="K22" s="25">
        <f t="shared" si="7"/>
        <v>785400</v>
      </c>
      <c r="L22" s="25">
        <f t="shared" si="7"/>
        <v>785400</v>
      </c>
      <c r="M22" s="25">
        <f t="shared" si="7"/>
        <v>785400</v>
      </c>
      <c r="N22" s="25">
        <f t="shared" si="7"/>
        <v>785400</v>
      </c>
      <c r="O22" s="25">
        <f t="shared" si="7"/>
        <v>785400</v>
      </c>
    </row>
    <row r="23" spans="4:15" s="327" customFormat="1" ht="7.5" customHeight="1" outlineLevel="1" x14ac:dyDescent="0.2"/>
    <row r="24" spans="4:15" s="327" customFormat="1" ht="15" outlineLevel="2" x14ac:dyDescent="0.2">
      <c r="D24" s="679" t="str">
        <f>"Programme Recurrent Costs ("&amp;INDEX(LU_Total_Costs_Denom,DD_TS_Denom)&amp;")"</f>
        <v>Programme Recurrent Costs (USD)</v>
      </c>
      <c r="I24" s="215" t="s">
        <v>415</v>
      </c>
      <c r="J24" s="198"/>
      <c r="K24" s="198"/>
      <c r="L24" s="198"/>
      <c r="M24" s="198"/>
      <c r="N24" s="198"/>
      <c r="O24" s="198"/>
    </row>
    <row r="25" spans="4:15" s="327" customFormat="1" outlineLevel="2" x14ac:dyDescent="0.2">
      <c r="D25" s="660" t="str">
        <f>D408</f>
        <v>Total Community-Based Mobilization and Communication</v>
      </c>
      <c r="I25" s="25">
        <f>SUM(J25:O25)</f>
        <v>1200000</v>
      </c>
      <c r="J25" s="5">
        <f t="shared" ref="J25:O25" si="8">J408*IFERROR(INDEX(J$54:J$55,DD_Total_Costs_Curr)/INDEX(J$54:J$55,$H$59),0)</f>
        <v>200000</v>
      </c>
      <c r="K25" s="5">
        <f t="shared" si="8"/>
        <v>200000</v>
      </c>
      <c r="L25" s="5">
        <f t="shared" si="8"/>
        <v>200000</v>
      </c>
      <c r="M25" s="5">
        <f t="shared" si="8"/>
        <v>200000</v>
      </c>
      <c r="N25" s="5">
        <f t="shared" si="8"/>
        <v>200000</v>
      </c>
      <c r="O25" s="5">
        <f t="shared" si="8"/>
        <v>200000</v>
      </c>
    </row>
    <row r="26" spans="4:15" s="327" customFormat="1" outlineLevel="2" x14ac:dyDescent="0.2">
      <c r="D26" s="660" t="str">
        <f>D419</f>
        <v>Total Service Delivery Costs (Recurrent) - excludes CapEx</v>
      </c>
      <c r="I26" s="25">
        <f ca="1">SUM(J26:O26)</f>
        <v>4052559.1231034403</v>
      </c>
      <c r="J26" s="5">
        <f t="shared" ref="J26:O26" ca="1" si="9">J419*IFERROR(INDEX(J$54:J$55,DD_Total_Costs_Curr)/INDEX(J$54:J$55,$H$59),0)</f>
        <v>675419.64063057338</v>
      </c>
      <c r="K26" s="5">
        <f t="shared" ca="1" si="9"/>
        <v>675419.64063057338</v>
      </c>
      <c r="L26" s="5">
        <f t="shared" ca="1" si="9"/>
        <v>675419.64063057338</v>
      </c>
      <c r="M26" s="5">
        <f t="shared" ca="1" si="9"/>
        <v>675419.64063057338</v>
      </c>
      <c r="N26" s="5">
        <f t="shared" ca="1" si="9"/>
        <v>675440.28029057337</v>
      </c>
      <c r="O26" s="5">
        <f t="shared" ca="1" si="9"/>
        <v>675440.28029057337</v>
      </c>
    </row>
    <row r="27" spans="4:15" s="327" customFormat="1" outlineLevel="2" x14ac:dyDescent="0.2">
      <c r="D27" s="660" t="str">
        <f>D425</f>
        <v>Total Supervision, Monitoring and Evaluation</v>
      </c>
      <c r="I27" s="25">
        <f ca="1">SUM(J27:O27)</f>
        <v>66800</v>
      </c>
      <c r="J27" s="5">
        <f t="shared" ref="J27:O27" ca="1" si="10">J425*IFERROR(INDEX(J$54:J$55,DD_Total_Costs_Curr)/INDEX(J$54:J$55,$H$59),0)</f>
        <v>12800</v>
      </c>
      <c r="K27" s="5">
        <f t="shared" ca="1" si="10"/>
        <v>12800</v>
      </c>
      <c r="L27" s="5">
        <f t="shared" ca="1" si="10"/>
        <v>12800</v>
      </c>
      <c r="M27" s="5">
        <f t="shared" ca="1" si="10"/>
        <v>12800</v>
      </c>
      <c r="N27" s="5">
        <f t="shared" ca="1" si="10"/>
        <v>12800</v>
      </c>
      <c r="O27" s="5">
        <f t="shared" ca="1" si="10"/>
        <v>2800</v>
      </c>
    </row>
    <row r="28" spans="4:15" s="327" customFormat="1" outlineLevel="2" x14ac:dyDescent="0.2">
      <c r="D28" s="660" t="str">
        <f>D429</f>
        <v>Total Other Costs</v>
      </c>
      <c r="I28" s="25">
        <f>SUM(J28:O28)</f>
        <v>0</v>
      </c>
      <c r="J28" s="5">
        <f t="shared" ref="J28:O28" si="11">J429*IFERROR(INDEX(J$54:J$55,DD_Total_Costs_Curr)/INDEX(J$54:J$55,$H$59),0)</f>
        <v>0</v>
      </c>
      <c r="K28" s="5">
        <f t="shared" si="11"/>
        <v>0</v>
      </c>
      <c r="L28" s="5">
        <f t="shared" si="11"/>
        <v>0</v>
      </c>
      <c r="M28" s="5">
        <f t="shared" si="11"/>
        <v>0</v>
      </c>
      <c r="N28" s="5">
        <f t="shared" si="11"/>
        <v>0</v>
      </c>
      <c r="O28" s="5">
        <f t="shared" si="11"/>
        <v>0</v>
      </c>
    </row>
    <row r="29" spans="4:15" s="327" customFormat="1" outlineLevel="1" x14ac:dyDescent="0.2">
      <c r="D29" s="659" t="str">
        <f>"Total "&amp;D24</f>
        <v>Total Programme Recurrent Costs (USD)</v>
      </c>
      <c r="I29" s="25">
        <f t="shared" ref="I29:O29" ca="1" si="12">SUM(I25:I28)</f>
        <v>5319359.1231034398</v>
      </c>
      <c r="J29" s="25">
        <f t="shared" ca="1" si="12"/>
        <v>888219.64063057338</v>
      </c>
      <c r="K29" s="25">
        <f t="shared" ca="1" si="12"/>
        <v>888219.64063057338</v>
      </c>
      <c r="L29" s="25">
        <f t="shared" ca="1" si="12"/>
        <v>888219.64063057338</v>
      </c>
      <c r="M29" s="25">
        <f t="shared" ca="1" si="12"/>
        <v>888219.64063057338</v>
      </c>
      <c r="N29" s="25">
        <f t="shared" ca="1" si="12"/>
        <v>888240.28029057337</v>
      </c>
      <c r="O29" s="25">
        <f t="shared" ca="1" si="12"/>
        <v>878240.28029057337</v>
      </c>
    </row>
    <row r="30" spans="4:15" s="327" customFormat="1" ht="5.25" customHeight="1" outlineLevel="1" x14ac:dyDescent="0.2"/>
    <row r="31" spans="4:15" s="327" customFormat="1" outlineLevel="1" x14ac:dyDescent="0.2"/>
    <row r="32" spans="4:15" s="327" customFormat="1" x14ac:dyDescent="0.2">
      <c r="D32" s="659" t="str">
        <f>"Total "&amp;C16</f>
        <v>Total Financial Costs (USD)</v>
      </c>
      <c r="I32" s="25">
        <f ca="1">SUM(J32:O32)</f>
        <v>10031759.123103442</v>
      </c>
      <c r="J32" s="25">
        <f t="shared" ref="J32:O32" ca="1" si="13">J22+J29</f>
        <v>1673619.6406305735</v>
      </c>
      <c r="K32" s="25">
        <f t="shared" ca="1" si="13"/>
        <v>1673619.6406305735</v>
      </c>
      <c r="L32" s="25">
        <f t="shared" ca="1" si="13"/>
        <v>1673619.6406305735</v>
      </c>
      <c r="M32" s="25">
        <f t="shared" ca="1" si="13"/>
        <v>1673619.6406305735</v>
      </c>
      <c r="N32" s="25">
        <f t="shared" ca="1" si="13"/>
        <v>1673640.2802905734</v>
      </c>
      <c r="O32" s="25">
        <f t="shared" ca="1" si="13"/>
        <v>1663640.2802905734</v>
      </c>
    </row>
    <row r="33" spans="3:15" s="327" customFormat="1" x14ac:dyDescent="0.2"/>
    <row r="34" spans="3:15" s="327" customFormat="1" ht="13.5" customHeight="1" x14ac:dyDescent="0.2">
      <c r="C34" s="26" t="str">
        <f>"Economic Costs ("&amp;INDEX(LU_Total_Costs_Denom,DD_TS_Denom)&amp;")"</f>
        <v>Economic Costs (USD)</v>
      </c>
      <c r="I34" s="230" t="str">
        <f>"TOTAL ("&amp;INDEX(LU_Total_Costs_Denom,DD_TS_Denom)&amp;")"</f>
        <v>TOTAL (USD)</v>
      </c>
    </row>
    <row r="35" spans="3:15" s="327" customFormat="1" outlineLevel="1" x14ac:dyDescent="0.2"/>
    <row r="36" spans="3:15" s="327" customFormat="1" ht="15" outlineLevel="2" x14ac:dyDescent="0.2">
      <c r="D36" s="679" t="str">
        <f>"Programme Introduction Costs ("&amp;INDEX(LU_Total_Costs_Denom,DD_TS_Denom)&amp;")"</f>
        <v>Programme Introduction Costs (USD)</v>
      </c>
      <c r="I36" s="228" t="s">
        <v>415</v>
      </c>
      <c r="J36" s="198"/>
      <c r="K36" s="198"/>
      <c r="L36" s="198"/>
      <c r="M36" s="198"/>
      <c r="N36" s="198"/>
      <c r="O36" s="198"/>
    </row>
    <row r="37" spans="3:15" s="327" customFormat="1" outlineLevel="2" x14ac:dyDescent="0.2">
      <c r="D37" s="660" t="str">
        <f>D367</f>
        <v>Total Microplanning</v>
      </c>
      <c r="I37" s="25">
        <f>SUM(J37:O37)</f>
        <v>315000</v>
      </c>
      <c r="J37" s="5">
        <f t="shared" ref="J37:O37" si="14">J367*IFERROR(INDEX(J$54:J$55,DD_Total_Costs_Curr)/INDEX(J$54:J$55,$H$58),0)</f>
        <v>52500</v>
      </c>
      <c r="K37" s="5">
        <f t="shared" si="14"/>
        <v>52500</v>
      </c>
      <c r="L37" s="5">
        <f t="shared" si="14"/>
        <v>52500</v>
      </c>
      <c r="M37" s="5">
        <f t="shared" si="14"/>
        <v>52500</v>
      </c>
      <c r="N37" s="5">
        <f t="shared" si="14"/>
        <v>52500</v>
      </c>
      <c r="O37" s="5">
        <f t="shared" si="14"/>
        <v>52500</v>
      </c>
    </row>
    <row r="38" spans="3:15" s="327" customFormat="1" outlineLevel="2" x14ac:dyDescent="0.2">
      <c r="D38" s="660" t="str">
        <f>D377</f>
        <v>Total Training</v>
      </c>
      <c r="I38" s="25">
        <f>SUM(J38:O38)</f>
        <v>0</v>
      </c>
      <c r="J38" s="5">
        <f t="shared" ref="J38:O38" si="15">J377*IFERROR(INDEX(J$54:J$55,DD_Total_Costs_Curr)/INDEX(J$54:J$55,$H$58),0)</f>
        <v>0</v>
      </c>
      <c r="K38" s="5">
        <f t="shared" si="15"/>
        <v>0</v>
      </c>
      <c r="L38" s="5">
        <f t="shared" si="15"/>
        <v>0</v>
      </c>
      <c r="M38" s="5">
        <f t="shared" si="15"/>
        <v>0</v>
      </c>
      <c r="N38" s="5">
        <f t="shared" si="15"/>
        <v>0</v>
      </c>
      <c r="O38" s="5">
        <f t="shared" si="15"/>
        <v>0</v>
      </c>
    </row>
    <row r="39" spans="3:15" s="327" customFormat="1" outlineLevel="2" x14ac:dyDescent="0.2">
      <c r="D39" s="660" t="str">
        <f>D382</f>
        <v>Total Social Mobilization &amp; IEC</v>
      </c>
      <c r="I39" s="25">
        <f>SUM(J39:O39)</f>
        <v>5745600</v>
      </c>
      <c r="J39" s="5">
        <f t="shared" ref="J39:O39" si="16">J382*IFERROR(INDEX(J$54:J$55,DD_Total_Costs_Curr)/INDEX(J$54:J$55,$H$58),0)</f>
        <v>957600</v>
      </c>
      <c r="K39" s="5">
        <f t="shared" si="16"/>
        <v>957600</v>
      </c>
      <c r="L39" s="5">
        <f t="shared" si="16"/>
        <v>957600</v>
      </c>
      <c r="M39" s="5">
        <f t="shared" si="16"/>
        <v>957600</v>
      </c>
      <c r="N39" s="5">
        <f t="shared" si="16"/>
        <v>957600</v>
      </c>
      <c r="O39" s="5">
        <f t="shared" si="16"/>
        <v>957600</v>
      </c>
    </row>
    <row r="40" spans="3:15" s="327" customFormat="1" outlineLevel="1" x14ac:dyDescent="0.2">
      <c r="D40" s="659" t="str">
        <f>"Total "&amp;D36</f>
        <v>Total Programme Introduction Costs (USD)</v>
      </c>
      <c r="I40" s="25">
        <f t="shared" ref="I40:O40" si="17">SUM(I37:I39)</f>
        <v>6060600</v>
      </c>
      <c r="J40" s="25">
        <f t="shared" si="17"/>
        <v>1010100</v>
      </c>
      <c r="K40" s="25">
        <f t="shared" si="17"/>
        <v>1010100</v>
      </c>
      <c r="L40" s="25">
        <f t="shared" si="17"/>
        <v>1010100</v>
      </c>
      <c r="M40" s="25">
        <f t="shared" si="17"/>
        <v>1010100</v>
      </c>
      <c r="N40" s="25">
        <f t="shared" si="17"/>
        <v>1010100</v>
      </c>
      <c r="O40" s="25">
        <f t="shared" si="17"/>
        <v>1010100</v>
      </c>
    </row>
    <row r="41" spans="3:15" s="327" customFormat="1" ht="5.25" customHeight="1" outlineLevel="1" x14ac:dyDescent="0.2"/>
    <row r="42" spans="3:15" s="327" customFormat="1" ht="15" outlineLevel="2" x14ac:dyDescent="0.2">
      <c r="D42" s="679" t="str">
        <f>"Programme Recurrent Costs ("&amp;INDEX(LU_Total_Costs_Denom,DD_TS_Denom)&amp;")"</f>
        <v>Programme Recurrent Costs (USD)</v>
      </c>
      <c r="J42" s="198"/>
      <c r="K42" s="198"/>
      <c r="L42" s="198"/>
      <c r="M42" s="198"/>
      <c r="N42" s="198"/>
      <c r="O42" s="198"/>
    </row>
    <row r="43" spans="3:15" s="327" customFormat="1" outlineLevel="2" x14ac:dyDescent="0.2">
      <c r="D43" s="660" t="str">
        <f>D437</f>
        <v>Total Social Mobilization &amp; IEC (Continuing)</v>
      </c>
      <c r="I43" s="25">
        <f>SUM(J43:O43)</f>
        <v>1500000</v>
      </c>
      <c r="J43" s="5">
        <f t="shared" ref="J43:O43" si="18">J437*IFERROR(INDEX(J$54:J$55,DD_Total_Costs_Curr)/INDEX(J$54:J$55,$H$59),0)</f>
        <v>250000</v>
      </c>
      <c r="K43" s="5">
        <f t="shared" si="18"/>
        <v>250000</v>
      </c>
      <c r="L43" s="5">
        <f t="shared" si="18"/>
        <v>250000</v>
      </c>
      <c r="M43" s="5">
        <f t="shared" si="18"/>
        <v>250000</v>
      </c>
      <c r="N43" s="5">
        <f t="shared" si="18"/>
        <v>250000</v>
      </c>
      <c r="O43" s="5">
        <f t="shared" si="18"/>
        <v>250000</v>
      </c>
    </row>
    <row r="44" spans="3:15" s="327" customFormat="1" outlineLevel="2" x14ac:dyDescent="0.2">
      <c r="D44" s="660" t="str">
        <f>D448</f>
        <v>Total Service Delivery Costs (Recurrent) - Excludes CapEx</v>
      </c>
      <c r="I44" s="25">
        <f ca="1">SUM(J44:O44)</f>
        <v>5579744.5302224029</v>
      </c>
      <c r="J44" s="5">
        <f t="shared" ref="J44:O44" ca="1" si="19">J448*IFERROR(INDEX(J$54:J$55,DD_Total_Costs_Curr)/INDEX(J$54:J$55,$H$59),0)</f>
        <v>929873.8572668694</v>
      </c>
      <c r="K44" s="5">
        <f t="shared" ca="1" si="19"/>
        <v>929873.8572668694</v>
      </c>
      <c r="L44" s="5">
        <f t="shared" ca="1" si="19"/>
        <v>929873.8572668694</v>
      </c>
      <c r="M44" s="5">
        <f t="shared" ca="1" si="19"/>
        <v>929873.8572668694</v>
      </c>
      <c r="N44" s="5">
        <f t="shared" ca="1" si="19"/>
        <v>930124.5505774623</v>
      </c>
      <c r="O44" s="5">
        <f t="shared" ca="1" si="19"/>
        <v>930124.5505774623</v>
      </c>
    </row>
    <row r="45" spans="3:15" s="327" customFormat="1" outlineLevel="2" x14ac:dyDescent="0.2">
      <c r="D45" s="660" t="str">
        <f>D454</f>
        <v>Total Supervision, Monitoring and Evaluation</v>
      </c>
      <c r="I45" s="25">
        <f ca="1">SUM(J45:O45)</f>
        <v>96600</v>
      </c>
      <c r="J45" s="5">
        <f t="shared" ref="J45:O45" ca="1" si="20">J454*IFERROR(INDEX(J$54:J$55,DD_Total_Costs_Curr)/INDEX(J$54:J$55,$H$59),0)</f>
        <v>18600</v>
      </c>
      <c r="K45" s="5">
        <f t="shared" ca="1" si="20"/>
        <v>18600</v>
      </c>
      <c r="L45" s="5">
        <f t="shared" ca="1" si="20"/>
        <v>18600</v>
      </c>
      <c r="M45" s="5">
        <f t="shared" ca="1" si="20"/>
        <v>18600</v>
      </c>
      <c r="N45" s="5">
        <f t="shared" ca="1" si="20"/>
        <v>18600</v>
      </c>
      <c r="O45" s="5">
        <f t="shared" ca="1" si="20"/>
        <v>3600</v>
      </c>
    </row>
    <row r="46" spans="3:15" s="327" customFormat="1" outlineLevel="2" x14ac:dyDescent="0.2">
      <c r="D46" s="660" t="str">
        <f>D458</f>
        <v>Total Other Costs</v>
      </c>
      <c r="I46" s="25">
        <f>SUM(J46:O46)</f>
        <v>0</v>
      </c>
      <c r="J46" s="5">
        <f t="shared" ref="J46:O46" si="21">J458*IFERROR(INDEX(J$54:J$55,DD_Total_Costs_Curr)/INDEX(J$54:J$55,$H$59),0)</f>
        <v>0</v>
      </c>
      <c r="K46" s="5">
        <f t="shared" si="21"/>
        <v>0</v>
      </c>
      <c r="L46" s="5">
        <f t="shared" si="21"/>
        <v>0</v>
      </c>
      <c r="M46" s="5">
        <f t="shared" si="21"/>
        <v>0</v>
      </c>
      <c r="N46" s="5">
        <f t="shared" si="21"/>
        <v>0</v>
      </c>
      <c r="O46" s="5">
        <f t="shared" si="21"/>
        <v>0</v>
      </c>
    </row>
    <row r="47" spans="3:15" s="327" customFormat="1" outlineLevel="1" x14ac:dyDescent="0.2">
      <c r="D47" s="659" t="str">
        <f>"Total "&amp;D42</f>
        <v>Total Programme Recurrent Costs (USD)</v>
      </c>
      <c r="I47" s="25">
        <f t="shared" ref="I47:O47" ca="1" si="22">SUM(I43:I46)</f>
        <v>7176344.5302224029</v>
      </c>
      <c r="J47" s="25">
        <f t="shared" ca="1" si="22"/>
        <v>1198473.8572668694</v>
      </c>
      <c r="K47" s="25">
        <f t="shared" ca="1" si="22"/>
        <v>1198473.8572668694</v>
      </c>
      <c r="L47" s="25">
        <f t="shared" ca="1" si="22"/>
        <v>1198473.8572668694</v>
      </c>
      <c r="M47" s="25">
        <f t="shared" ca="1" si="22"/>
        <v>1198473.8572668694</v>
      </c>
      <c r="N47" s="25">
        <f t="shared" ca="1" si="22"/>
        <v>1198724.5505774622</v>
      </c>
      <c r="O47" s="25">
        <f t="shared" ca="1" si="22"/>
        <v>1183724.5505774622</v>
      </c>
    </row>
    <row r="48" spans="3:15" s="327" customFormat="1" outlineLevel="1" x14ac:dyDescent="0.2"/>
    <row r="49" spans="2:15" s="327" customFormat="1" x14ac:dyDescent="0.2">
      <c r="D49" s="659" t="str">
        <f>"Total "&amp;C34</f>
        <v>Total Economic Costs (USD)</v>
      </c>
      <c r="I49" s="25">
        <f ca="1">SUM(J49:O49)</f>
        <v>13236944.530222401</v>
      </c>
      <c r="J49" s="25">
        <f t="shared" ref="J49:O49" ca="1" si="23">J40+J47</f>
        <v>2208573.8572668694</v>
      </c>
      <c r="K49" s="25">
        <f t="shared" ca="1" si="23"/>
        <v>2208573.8572668694</v>
      </c>
      <c r="L49" s="25">
        <f t="shared" ca="1" si="23"/>
        <v>2208573.8572668694</v>
      </c>
      <c r="M49" s="25">
        <f t="shared" ca="1" si="23"/>
        <v>2208573.8572668694</v>
      </c>
      <c r="N49" s="25">
        <f t="shared" ca="1" si="23"/>
        <v>2208824.5505774622</v>
      </c>
      <c r="O49" s="25">
        <f t="shared" ca="1" si="23"/>
        <v>2193824.5505774622</v>
      </c>
    </row>
    <row r="50" spans="2:15" s="327" customFormat="1" x14ac:dyDescent="0.2"/>
    <row r="51" spans="2:15" s="327" customFormat="1" x14ac:dyDescent="0.2">
      <c r="C51" s="680" t="s">
        <v>722</v>
      </c>
    </row>
    <row r="52" spans="2:15" s="327" customFormat="1" hidden="1" outlineLevel="1" x14ac:dyDescent="0.2"/>
    <row r="53" spans="2:15" s="327" customFormat="1" ht="15" hidden="1" outlineLevel="1" x14ac:dyDescent="0.2">
      <c r="D53" s="658" t="s">
        <v>167</v>
      </c>
    </row>
    <row r="54" spans="2:15" s="327" customFormat="1" hidden="1" outlineLevel="1" x14ac:dyDescent="0.2">
      <c r="D54" s="660" t="str">
        <f>Econ_Ann_TA!D13</f>
        <v>USD</v>
      </c>
      <c r="J54" s="65">
        <f>Econ_Ann_TA!J13</f>
        <v>1</v>
      </c>
      <c r="K54" s="65">
        <f>Econ_Ann_TA!K13</f>
        <v>1</v>
      </c>
      <c r="L54" s="65">
        <f>Econ_Ann_TA!L13</f>
        <v>1</v>
      </c>
      <c r="M54" s="65">
        <f>Econ_Ann_TA!M13</f>
        <v>1</v>
      </c>
      <c r="N54" s="65">
        <f>Econ_Ann_TA!N13</f>
        <v>1</v>
      </c>
      <c r="O54" s="65">
        <f>Econ_Ann_TA!O13</f>
        <v>1</v>
      </c>
    </row>
    <row r="55" spans="2:15" s="327" customFormat="1" hidden="1" outlineLevel="1" x14ac:dyDescent="0.2">
      <c r="D55" s="660" t="str">
        <f>Econ_Ann_TA!D14</f>
        <v>ZMW</v>
      </c>
      <c r="J55" s="65">
        <f>Econ_Ann_TA!J14</f>
        <v>10.971399999999999</v>
      </c>
      <c r="K55" s="65">
        <f>Econ_Ann_TA!K14</f>
        <v>10.971399999999999</v>
      </c>
      <c r="L55" s="65">
        <f>Econ_Ann_TA!L14</f>
        <v>10.971399999999999</v>
      </c>
      <c r="M55" s="65">
        <f>Econ_Ann_TA!M14</f>
        <v>10.971399999999999</v>
      </c>
      <c r="N55" s="65">
        <f>Econ_Ann_TA!N14</f>
        <v>10.971399999999999</v>
      </c>
      <c r="O55" s="65">
        <f>Econ_Ann_TA!O14</f>
        <v>10.971399999999999</v>
      </c>
    </row>
    <row r="56" spans="2:15" s="327" customFormat="1" hidden="1" outlineLevel="1" x14ac:dyDescent="0.2"/>
    <row r="57" spans="2:15" s="327" customFormat="1" ht="15" hidden="1" outlineLevel="1" x14ac:dyDescent="0.2">
      <c r="D57" s="658" t="s">
        <v>259</v>
      </c>
      <c r="H57" s="72" t="s">
        <v>234</v>
      </c>
    </row>
    <row r="58" spans="2:15" s="327" customFormat="1" hidden="1" outlineLevel="1" x14ac:dyDescent="0.2">
      <c r="D58" s="660" t="str">
        <f>D18</f>
        <v>Programme Introduction Costs (USD)</v>
      </c>
      <c r="H58" s="341">
        <f>H328</f>
        <v>1</v>
      </c>
    </row>
    <row r="59" spans="2:15" s="327" customFormat="1" hidden="1" outlineLevel="1" x14ac:dyDescent="0.2">
      <c r="D59" s="660" t="str">
        <f>D24</f>
        <v>Programme Recurrent Costs (USD)</v>
      </c>
      <c r="H59" s="341">
        <f>H402</f>
        <v>1</v>
      </c>
    </row>
    <row r="60" spans="2:15" s="327" customFormat="1" collapsed="1" x14ac:dyDescent="0.2"/>
    <row r="61" spans="2:15" s="327" customFormat="1" x14ac:dyDescent="0.2"/>
    <row r="62" spans="2:15" s="327" customFormat="1" ht="18.75" x14ac:dyDescent="0.2">
      <c r="B62" s="426" t="s">
        <v>640</v>
      </c>
    </row>
    <row r="63" spans="2:15" s="327" customFormat="1" x14ac:dyDescent="0.2"/>
    <row r="64" spans="2:15" s="327" customFormat="1" ht="15.75" customHeight="1" x14ac:dyDescent="0.2">
      <c r="C64" s="330" t="s">
        <v>724</v>
      </c>
      <c r="H64" s="64">
        <v>1</v>
      </c>
    </row>
    <row r="65" spans="3:15" s="327" customFormat="1" x14ac:dyDescent="0.2"/>
    <row r="66" spans="3:15" s="327" customFormat="1" ht="15.75" outlineLevel="1" x14ac:dyDescent="0.2">
      <c r="C66" s="330" t="s">
        <v>636</v>
      </c>
      <c r="I66" s="228" t="s">
        <v>657</v>
      </c>
    </row>
    <row r="67" spans="3:15" s="327" customFormat="1" outlineLevel="1" x14ac:dyDescent="0.2">
      <c r="I67" s="682" t="s">
        <v>657</v>
      </c>
      <c r="J67" s="196"/>
      <c r="K67" s="196"/>
      <c r="L67" s="196"/>
      <c r="M67" s="196"/>
      <c r="N67" s="196"/>
      <c r="O67" s="196"/>
    </row>
    <row r="68" spans="3:15" s="327" customFormat="1" ht="15" outlineLevel="2" x14ac:dyDescent="0.2">
      <c r="D68" s="622" t="s">
        <v>658</v>
      </c>
    </row>
    <row r="69" spans="3:15" s="327" customFormat="1" outlineLevel="3" x14ac:dyDescent="0.2">
      <c r="D69" s="660" t="str">
        <f>Screen_Ann_TO!H283</f>
        <v>VIA</v>
      </c>
      <c r="I69" s="25">
        <f ca="1">SUM(J69:O69)</f>
        <v>509112</v>
      </c>
      <c r="J69" s="5">
        <f ca="1">Screen_Ann_TO!J283</f>
        <v>84852</v>
      </c>
      <c r="K69" s="5">
        <f ca="1">Screen_Ann_TO!K283</f>
        <v>84852</v>
      </c>
      <c r="L69" s="5">
        <f ca="1">Screen_Ann_TO!L283</f>
        <v>84852</v>
      </c>
      <c r="M69" s="5">
        <f ca="1">Screen_Ann_TO!M283</f>
        <v>84852</v>
      </c>
      <c r="N69" s="5">
        <f ca="1">Screen_Ann_TO!N283</f>
        <v>84852</v>
      </c>
      <c r="O69" s="5">
        <f ca="1">Screen_Ann_TO!O283</f>
        <v>84852</v>
      </c>
    </row>
    <row r="70" spans="3:15" s="327" customFormat="1" outlineLevel="1" x14ac:dyDescent="0.2">
      <c r="D70" s="659" t="str">
        <f>"Total # "&amp;D68</f>
        <v>Total # Screening</v>
      </c>
      <c r="I70" s="25">
        <f ca="1">SUM(J70:O70)</f>
        <v>509112</v>
      </c>
      <c r="J70" s="5">
        <f t="shared" ref="J70:O70" ca="1" si="24">SUM(J69:J69)</f>
        <v>84852</v>
      </c>
      <c r="K70" s="5">
        <f t="shared" ca="1" si="24"/>
        <v>84852</v>
      </c>
      <c r="L70" s="5">
        <f t="shared" ca="1" si="24"/>
        <v>84852</v>
      </c>
      <c r="M70" s="5">
        <f t="shared" ca="1" si="24"/>
        <v>84852</v>
      </c>
      <c r="N70" s="5">
        <f t="shared" ca="1" si="24"/>
        <v>84852</v>
      </c>
      <c r="O70" s="5">
        <f t="shared" ca="1" si="24"/>
        <v>84852</v>
      </c>
    </row>
    <row r="71" spans="3:15" s="327" customFormat="1" ht="6.6" customHeight="1" outlineLevel="1" x14ac:dyDescent="0.2"/>
    <row r="72" spans="3:15" s="327" customFormat="1" ht="15" outlineLevel="2" x14ac:dyDescent="0.2">
      <c r="D72" s="622" t="s">
        <v>659</v>
      </c>
    </row>
    <row r="73" spans="3:15" s="327" customFormat="1" outlineLevel="3" x14ac:dyDescent="0.2">
      <c r="D73" s="660" t="str">
        <f>Diag_Ann_TO!H291</f>
        <v>BIOP-H</v>
      </c>
      <c r="I73" s="25">
        <f ca="1">SUM(J73:O73)</f>
        <v>2550</v>
      </c>
      <c r="J73" s="5">
        <f ca="1">Diag_Ann_TO!J291</f>
        <v>425</v>
      </c>
      <c r="K73" s="5">
        <f ca="1">Diag_Ann_TO!K291</f>
        <v>425</v>
      </c>
      <c r="L73" s="5">
        <f ca="1">Diag_Ann_TO!L291</f>
        <v>425</v>
      </c>
      <c r="M73" s="5">
        <f ca="1">Diag_Ann_TO!M291</f>
        <v>425</v>
      </c>
      <c r="N73" s="5">
        <f ca="1">Diag_Ann_TO!N291</f>
        <v>425</v>
      </c>
      <c r="O73" s="5">
        <f ca="1">Diag_Ann_TO!O291</f>
        <v>425</v>
      </c>
    </row>
    <row r="74" spans="3:15" s="327" customFormat="1" outlineLevel="1" x14ac:dyDescent="0.2">
      <c r="D74" s="659" t="str">
        <f>"Total # "&amp;D72</f>
        <v>Total # Diagnostic</v>
      </c>
      <c r="I74" s="25">
        <f ca="1">SUM(J74:O74)</f>
        <v>2550</v>
      </c>
      <c r="J74" s="5">
        <f t="shared" ref="J74:O74" ca="1" si="25">SUM(J73:J73)</f>
        <v>425</v>
      </c>
      <c r="K74" s="5">
        <f t="shared" ca="1" si="25"/>
        <v>425</v>
      </c>
      <c r="L74" s="5">
        <f t="shared" ca="1" si="25"/>
        <v>425</v>
      </c>
      <c r="M74" s="5">
        <f t="shared" ca="1" si="25"/>
        <v>425</v>
      </c>
      <c r="N74" s="5">
        <f t="shared" ca="1" si="25"/>
        <v>425</v>
      </c>
      <c r="O74" s="5">
        <f t="shared" ca="1" si="25"/>
        <v>425</v>
      </c>
    </row>
    <row r="75" spans="3:15" s="327" customFormat="1" ht="6.6" customHeight="1" outlineLevel="1" x14ac:dyDescent="0.2"/>
    <row r="76" spans="3:15" s="327" customFormat="1" ht="15" outlineLevel="2" x14ac:dyDescent="0.2">
      <c r="D76" s="622" t="s">
        <v>783</v>
      </c>
    </row>
    <row r="77" spans="3:15" s="327" customFormat="1" outlineLevel="3" x14ac:dyDescent="0.2">
      <c r="D77" s="660" t="str">
        <f>Intv_Ann_TO!H297</f>
        <v>Cryo -SV</v>
      </c>
      <c r="I77" s="25">
        <f ca="1">SUM(J77:O77)</f>
        <v>51246</v>
      </c>
      <c r="J77" s="5">
        <f ca="1">Intv_Ann_TO!J297</f>
        <v>8541</v>
      </c>
      <c r="K77" s="5">
        <f ca="1">Intv_Ann_TO!K297</f>
        <v>8541</v>
      </c>
      <c r="L77" s="5">
        <f ca="1">Intv_Ann_TO!L297</f>
        <v>8541</v>
      </c>
      <c r="M77" s="5">
        <f ca="1">Intv_Ann_TO!M297</f>
        <v>8541</v>
      </c>
      <c r="N77" s="5">
        <f ca="1">Intv_Ann_TO!N297</f>
        <v>8541</v>
      </c>
      <c r="O77" s="5">
        <f ca="1">Intv_Ann_TO!O297</f>
        <v>8541</v>
      </c>
    </row>
    <row r="78" spans="3:15" s="327" customFormat="1" outlineLevel="3" x14ac:dyDescent="0.2">
      <c r="D78" s="660" t="str">
        <f>Intv_Ann_TO!H704</f>
        <v>LEEP with BIOP-H</v>
      </c>
      <c r="I78" s="25">
        <f ca="1">SUM(J78:O78)</f>
        <v>16032</v>
      </c>
      <c r="J78" s="5">
        <f ca="1">Intv_Ann_TO!J704</f>
        <v>2672</v>
      </c>
      <c r="K78" s="5">
        <f ca="1">Intv_Ann_TO!K704</f>
        <v>2672</v>
      </c>
      <c r="L78" s="5">
        <f ca="1">Intv_Ann_TO!L704</f>
        <v>2672</v>
      </c>
      <c r="M78" s="5">
        <f ca="1">Intv_Ann_TO!M704</f>
        <v>2672</v>
      </c>
      <c r="N78" s="5">
        <f ca="1">Intv_Ann_TO!N704</f>
        <v>2672</v>
      </c>
      <c r="O78" s="5">
        <f ca="1">Intv_Ann_TO!O704</f>
        <v>2672</v>
      </c>
    </row>
    <row r="79" spans="3:15" s="327" customFormat="1" outlineLevel="1" x14ac:dyDescent="0.2">
      <c r="D79" s="659" t="str">
        <f>"Total # "&amp;D76</f>
        <v>Total # PreCxCa</v>
      </c>
      <c r="I79" s="25">
        <f ca="1">SUM(J79:O79)</f>
        <v>67278</v>
      </c>
      <c r="J79" s="5">
        <f t="shared" ref="J79:O79" ca="1" si="26">SUM(J77:J78)</f>
        <v>11213</v>
      </c>
      <c r="K79" s="5">
        <f t="shared" ca="1" si="26"/>
        <v>11213</v>
      </c>
      <c r="L79" s="5">
        <f t="shared" ca="1" si="26"/>
        <v>11213</v>
      </c>
      <c r="M79" s="5">
        <f t="shared" ca="1" si="26"/>
        <v>11213</v>
      </c>
      <c r="N79" s="5">
        <f t="shared" ca="1" si="26"/>
        <v>11213</v>
      </c>
      <c r="O79" s="5">
        <f t="shared" ca="1" si="26"/>
        <v>11213</v>
      </c>
    </row>
    <row r="80" spans="3:15" s="327" customFormat="1" ht="6.6" customHeight="1" outlineLevel="1" x14ac:dyDescent="0.2"/>
    <row r="81" spans="3:15" s="327" customFormat="1" ht="15" outlineLevel="2" x14ac:dyDescent="0.2">
      <c r="D81" s="622" t="s">
        <v>784</v>
      </c>
    </row>
    <row r="82" spans="3:15" s="327" customFormat="1" outlineLevel="3" x14ac:dyDescent="0.2">
      <c r="D82" s="660" t="str">
        <f>Intv_Ann_TO!H1518</f>
        <v>Chemo</v>
      </c>
      <c r="I82" s="25">
        <f ca="1">SUM(J82:O82)</f>
        <v>2268</v>
      </c>
      <c r="J82" s="5">
        <f ca="1">Intv_Ann_TO!J1518</f>
        <v>378</v>
      </c>
      <c r="K82" s="5">
        <f ca="1">Intv_Ann_TO!K1518</f>
        <v>378</v>
      </c>
      <c r="L82" s="5">
        <f ca="1">Intv_Ann_TO!L1518</f>
        <v>378</v>
      </c>
      <c r="M82" s="5">
        <f ca="1">Intv_Ann_TO!M1518</f>
        <v>378</v>
      </c>
      <c r="N82" s="5">
        <f ca="1">Intv_Ann_TO!N1518</f>
        <v>378</v>
      </c>
      <c r="O82" s="5">
        <f ca="1">Intv_Ann_TO!O1518</f>
        <v>378</v>
      </c>
    </row>
    <row r="83" spans="3:15" s="327" customFormat="1" outlineLevel="3" x14ac:dyDescent="0.2">
      <c r="D83" s="660" t="str">
        <f>Intv_Ann_TO!H1925</f>
        <v>RADIO</v>
      </c>
      <c r="I83" s="25">
        <f ca="1">SUM(J83:O83)</f>
        <v>1370</v>
      </c>
      <c r="J83" s="5">
        <f ca="1">Intv_Ann_TO!J1925</f>
        <v>228</v>
      </c>
      <c r="K83" s="5">
        <f ca="1">Intv_Ann_TO!K1925</f>
        <v>228</v>
      </c>
      <c r="L83" s="5">
        <f ca="1">Intv_Ann_TO!L1925</f>
        <v>228</v>
      </c>
      <c r="M83" s="5">
        <f ca="1">Intv_Ann_TO!M1925</f>
        <v>228</v>
      </c>
      <c r="N83" s="5">
        <f ca="1">Intv_Ann_TO!N1925</f>
        <v>229</v>
      </c>
      <c r="O83" s="5">
        <f ca="1">Intv_Ann_TO!O1925</f>
        <v>229</v>
      </c>
    </row>
    <row r="84" spans="3:15" s="327" customFormat="1" outlineLevel="3" x14ac:dyDescent="0.2">
      <c r="D84" s="660" t="str">
        <f>Intv_Ann_TO!H1111</f>
        <v>SURG</v>
      </c>
      <c r="I84" s="25">
        <f ca="1">SUM(J84:O84)</f>
        <v>0</v>
      </c>
      <c r="J84" s="5">
        <f ca="1">Intv_Ann_TO!J1111</f>
        <v>0</v>
      </c>
      <c r="K84" s="5">
        <f ca="1">Intv_Ann_TO!K1111</f>
        <v>0</v>
      </c>
      <c r="L84" s="5">
        <f ca="1">Intv_Ann_TO!L1111</f>
        <v>0</v>
      </c>
      <c r="M84" s="5">
        <f ca="1">Intv_Ann_TO!M1111</f>
        <v>0</v>
      </c>
      <c r="N84" s="5">
        <f ca="1">Intv_Ann_TO!N1111</f>
        <v>0</v>
      </c>
      <c r="O84" s="5">
        <f ca="1">Intv_Ann_TO!O1111</f>
        <v>0</v>
      </c>
    </row>
    <row r="85" spans="3:15" s="327" customFormat="1" outlineLevel="3" x14ac:dyDescent="0.2">
      <c r="D85" s="660" t="str">
        <f>Intv_Ann_TO!H2332</f>
        <v>PALL</v>
      </c>
      <c r="I85" s="25">
        <f ca="1">SUM(J85:O85)</f>
        <v>1368</v>
      </c>
      <c r="J85" s="5">
        <f ca="1">Intv_Ann_TO!J2332</f>
        <v>228</v>
      </c>
      <c r="K85" s="5">
        <f ca="1">Intv_Ann_TO!K2332</f>
        <v>228</v>
      </c>
      <c r="L85" s="5">
        <f ca="1">Intv_Ann_TO!L2332</f>
        <v>228</v>
      </c>
      <c r="M85" s="5">
        <f ca="1">Intv_Ann_TO!M2332</f>
        <v>228</v>
      </c>
      <c r="N85" s="5">
        <f ca="1">Intv_Ann_TO!N2332</f>
        <v>228</v>
      </c>
      <c r="O85" s="5">
        <f ca="1">Intv_Ann_TO!O2332</f>
        <v>228</v>
      </c>
    </row>
    <row r="86" spans="3:15" s="327" customFormat="1" outlineLevel="1" x14ac:dyDescent="0.2">
      <c r="D86" s="659" t="str">
        <f>"Total # "&amp;D81</f>
        <v>Total # CxCa</v>
      </c>
      <c r="I86" s="25">
        <f ca="1">SUM(J86:O86)</f>
        <v>5006</v>
      </c>
      <c r="J86" s="5">
        <f t="shared" ref="J86:O86" ca="1" si="27">SUM(J82:J85)</f>
        <v>834</v>
      </c>
      <c r="K86" s="5">
        <f t="shared" ca="1" si="27"/>
        <v>834</v>
      </c>
      <c r="L86" s="5">
        <f t="shared" ca="1" si="27"/>
        <v>834</v>
      </c>
      <c r="M86" s="5">
        <f t="shared" ca="1" si="27"/>
        <v>834</v>
      </c>
      <c r="N86" s="5">
        <f t="shared" ca="1" si="27"/>
        <v>835</v>
      </c>
      <c r="O86" s="5">
        <f t="shared" ca="1" si="27"/>
        <v>835</v>
      </c>
    </row>
    <row r="87" spans="3:15" s="327" customFormat="1" ht="6.6" customHeight="1" outlineLevel="1" x14ac:dyDescent="0.2"/>
    <row r="88" spans="3:15" s="327" customFormat="1" ht="15" outlineLevel="1" x14ac:dyDescent="0.2">
      <c r="D88" s="658" t="s">
        <v>684</v>
      </c>
      <c r="I88" s="5">
        <f ca="1">SUM(J88:O88)</f>
        <v>583946</v>
      </c>
      <c r="J88" s="25">
        <f t="shared" ref="J88:O88" ca="1" si="28">SUM(J70,J74,J79,J86)</f>
        <v>97324</v>
      </c>
      <c r="K88" s="25">
        <f t="shared" ca="1" si="28"/>
        <v>97324</v>
      </c>
      <c r="L88" s="25">
        <f t="shared" ca="1" si="28"/>
        <v>97324</v>
      </c>
      <c r="M88" s="25">
        <f t="shared" ca="1" si="28"/>
        <v>97324</v>
      </c>
      <c r="N88" s="25">
        <f t="shared" ca="1" si="28"/>
        <v>97325</v>
      </c>
      <c r="O88" s="25">
        <f t="shared" ca="1" si="28"/>
        <v>97325</v>
      </c>
    </row>
    <row r="89" spans="3:15" s="327" customFormat="1" outlineLevel="1" x14ac:dyDescent="0.2"/>
    <row r="90" spans="3:15" s="327" customFormat="1" ht="15.75" x14ac:dyDescent="0.2">
      <c r="C90" s="26" t="str">
        <f>"Financial Costs (including Capital Expenditures) ("&amp;INDEX(LU_Serv_Denom,DD_TS_Denom)&amp;")"</f>
        <v>Financial Costs (including Capital Expenditures) (USD)</v>
      </c>
      <c r="I90" s="230" t="str">
        <f>"TOTAL ("&amp;INDEX(LU_Serv_Denom,DD_TS_Denom)&amp;")"</f>
        <v>TOTAL (USD)</v>
      </c>
      <c r="J90" s="623">
        <f t="shared" ref="J90:O90" si="29">J$5</f>
        <v>2015</v>
      </c>
      <c r="K90" s="623">
        <f t="shared" si="29"/>
        <v>2016</v>
      </c>
      <c r="L90" s="623">
        <f t="shared" si="29"/>
        <v>2017</v>
      </c>
      <c r="M90" s="623">
        <f t="shared" si="29"/>
        <v>2018</v>
      </c>
      <c r="N90" s="623">
        <f t="shared" si="29"/>
        <v>2019</v>
      </c>
      <c r="O90" s="623">
        <f t="shared" si="29"/>
        <v>2020</v>
      </c>
    </row>
    <row r="91" spans="3:15" s="327" customFormat="1" ht="15" outlineLevel="1" x14ac:dyDescent="0.2">
      <c r="D91" s="679" t="str">
        <f>D68 &amp;" Services" &amp;" ("&amp;INDEX(LU_Serv_Denom,DD_TS_Denom)&amp;")"</f>
        <v>Screening Services (USD)</v>
      </c>
    </row>
    <row r="92" spans="3:15" s="327" customFormat="1" outlineLevel="2" x14ac:dyDescent="0.2">
      <c r="D92" s="660" t="str">
        <f>Screen_Ann_TO!H393</f>
        <v>VIA</v>
      </c>
      <c r="I92" s="25" t="str">
        <f>Screen_Ann_TO!H393</f>
        <v>VIA</v>
      </c>
      <c r="J92" s="5">
        <f ca="1">Screen_Ann_TO!J393*IFERROR(INDEX(J$141:J$142,DD_Serv_Curr)/INDEX(J$141:J$142,$I147),0)</f>
        <v>83335.928896240002</v>
      </c>
      <c r="K92" s="5">
        <f ca="1">Screen_Ann_TO!K393*IFERROR(INDEX(K$141:K$142,DD_Serv_Curr)/INDEX(K$141:K$142,$I147),0)</f>
        <v>83335.928896240002</v>
      </c>
      <c r="L92" s="5">
        <f ca="1">Screen_Ann_TO!L393*IFERROR(INDEX(L$141:L$142,DD_Serv_Curr)/INDEX(L$141:L$142,$I147),0)</f>
        <v>83335.928896240002</v>
      </c>
      <c r="M92" s="5">
        <f ca="1">Screen_Ann_TO!M393*IFERROR(INDEX(M$141:M$142,DD_Serv_Curr)/INDEX(M$141:M$142,$I147),0)</f>
        <v>83335.928896240002</v>
      </c>
      <c r="N92" s="5">
        <f ca="1">Screen_Ann_TO!N393*IFERROR(INDEX(N$141:N$142,DD_Serv_Curr)/INDEX(N$141:N$142,$I147),0)</f>
        <v>83335.928896240002</v>
      </c>
      <c r="O92" s="5">
        <f ca="1">Screen_Ann_TO!O393*IFERROR(INDEX(O$141:O$142,DD_Serv_Curr)/INDEX(O$141:O$142,$I147),0)</f>
        <v>83335.928896240002</v>
      </c>
    </row>
    <row r="93" spans="3:15" s="327" customFormat="1" outlineLevel="1" x14ac:dyDescent="0.2">
      <c r="D93" s="659" t="str">
        <f>"Total "&amp;D91</f>
        <v>Total Screening Services (USD)</v>
      </c>
      <c r="I93" s="25">
        <f ca="1">SUM(J93:O93)</f>
        <v>500015.57337744004</v>
      </c>
      <c r="J93" s="25">
        <f t="shared" ref="J93:O93" ca="1" si="30">SUM(J92:J92)</f>
        <v>83335.928896240002</v>
      </c>
      <c r="K93" s="25">
        <f t="shared" ca="1" si="30"/>
        <v>83335.928896240002</v>
      </c>
      <c r="L93" s="25">
        <f t="shared" ca="1" si="30"/>
        <v>83335.928896240002</v>
      </c>
      <c r="M93" s="25">
        <f t="shared" ca="1" si="30"/>
        <v>83335.928896240002</v>
      </c>
      <c r="N93" s="25">
        <f t="shared" ca="1" si="30"/>
        <v>83335.928896240002</v>
      </c>
      <c r="O93" s="25">
        <f t="shared" ca="1" si="30"/>
        <v>83335.928896240002</v>
      </c>
    </row>
    <row r="94" spans="3:15" s="327" customFormat="1" ht="6.6" customHeight="1" outlineLevel="1" x14ac:dyDescent="0.2"/>
    <row r="95" spans="3:15" s="327" customFormat="1" ht="15" outlineLevel="1" x14ac:dyDescent="0.2">
      <c r="D95" s="679" t="str">
        <f>D72 &amp;" Services" &amp;" ("&amp;INDEX(LU_Serv_Denom,DD_TS_Denom)&amp;")"</f>
        <v>Diagnostic Services (USD)</v>
      </c>
    </row>
    <row r="96" spans="3:15" s="327" customFormat="1" outlineLevel="3" x14ac:dyDescent="0.2">
      <c r="D96" s="660" t="str">
        <f>Diag_Ann_TO!H400</f>
        <v>BIOP-H</v>
      </c>
      <c r="I96" s="25">
        <f ca="1">SUM(J96:O96)</f>
        <v>32102.60799</v>
      </c>
      <c r="J96" s="5">
        <f ca="1">Diag_Ann_TO!J400*IFERROR(INDEX(J$141:J$142,DD_Serv_Curr)/INDEX(J$141:J$142,$I151),0)</f>
        <v>5500.4346649999998</v>
      </c>
      <c r="K96" s="5">
        <f ca="1">Diag_Ann_TO!K400*IFERROR(INDEX(K$141:K$142,DD_Serv_Curr)/INDEX(K$141:K$142,$I151),0)</f>
        <v>5320.4346649999998</v>
      </c>
      <c r="L96" s="5">
        <f ca="1">Diag_Ann_TO!L400*IFERROR(INDEX(L$141:L$142,DD_Serv_Curr)/INDEX(L$141:L$142,$I151),0)</f>
        <v>5320.4346649999998</v>
      </c>
      <c r="M96" s="5">
        <f ca="1">Diag_Ann_TO!M400*IFERROR(INDEX(M$141:M$142,DD_Serv_Curr)/INDEX(M$141:M$142,$I151),0)</f>
        <v>5320.4346649999998</v>
      </c>
      <c r="N96" s="5">
        <f ca="1">Diag_Ann_TO!N400*IFERROR(INDEX(N$141:N$142,DD_Serv_Curr)/INDEX(N$141:N$142,$I151),0)</f>
        <v>5320.4346649999998</v>
      </c>
      <c r="O96" s="5">
        <f ca="1">Diag_Ann_TO!O400*IFERROR(INDEX(O$141:O$142,DD_Serv_Curr)/INDEX(O$141:O$142,$I151),0)</f>
        <v>5320.4346649999998</v>
      </c>
    </row>
    <row r="97" spans="4:15" s="327" customFormat="1" outlineLevel="1" x14ac:dyDescent="0.2">
      <c r="D97" s="659" t="str">
        <f>"Total "&amp;D95</f>
        <v>Total Diagnostic Services (USD)</v>
      </c>
      <c r="I97" s="25">
        <f ca="1">SUM(J97:O97)</f>
        <v>32102.60799</v>
      </c>
      <c r="J97" s="25">
        <f t="shared" ref="J97:O97" ca="1" si="31">SUM(J96:J96)</f>
        <v>5500.4346649999998</v>
      </c>
      <c r="K97" s="25">
        <f t="shared" ca="1" si="31"/>
        <v>5320.4346649999998</v>
      </c>
      <c r="L97" s="25">
        <f t="shared" ca="1" si="31"/>
        <v>5320.4346649999998</v>
      </c>
      <c r="M97" s="25">
        <f t="shared" ca="1" si="31"/>
        <v>5320.4346649999998</v>
      </c>
      <c r="N97" s="25">
        <f t="shared" ca="1" si="31"/>
        <v>5320.4346649999998</v>
      </c>
      <c r="O97" s="25">
        <f t="shared" ca="1" si="31"/>
        <v>5320.4346649999998</v>
      </c>
    </row>
    <row r="98" spans="4:15" s="327" customFormat="1" ht="6.6" customHeight="1" outlineLevel="1" x14ac:dyDescent="0.2"/>
    <row r="99" spans="4:15" s="327" customFormat="1" ht="15" outlineLevel="1" x14ac:dyDescent="0.2">
      <c r="D99" s="679" t="str">
        <f>D76 &amp;" Services" &amp;" ("&amp;INDEX(LU_Serv_Denom,DD_TS_Denom)&amp;")"</f>
        <v>PreCxCa Services (USD)</v>
      </c>
    </row>
    <row r="100" spans="4:15" s="327" customFormat="1" outlineLevel="3" x14ac:dyDescent="0.2">
      <c r="D100" s="660" t="str">
        <f>Intv_Ann_TO!D407</f>
        <v>Total Fin Costs [incl. Capex] (NonAnnualized) (USD)</v>
      </c>
      <c r="I100" s="25" t="str">
        <f>Intv_Ann_TO!H407</f>
        <v>Cryo -SV</v>
      </c>
      <c r="J100" s="5">
        <f ca="1">Intv_Ann_TO!J407*IFERROR(INDEX(J$141:J$142,DD_Serv_Curr)/INDEX(J$141:J$142,$I155),0)</f>
        <v>335995.33100000006</v>
      </c>
      <c r="K100" s="5">
        <f ca="1">Intv_Ann_TO!K407*IFERROR(INDEX(K$141:K$142,DD_Serv_Curr)/INDEX(K$141:K$142,$I155),0)</f>
        <v>320495.33100000006</v>
      </c>
      <c r="L100" s="5">
        <f ca="1">Intv_Ann_TO!L407*IFERROR(INDEX(L$141:L$142,DD_Serv_Curr)/INDEX(L$141:L$142,$I155),0)</f>
        <v>320495.33100000006</v>
      </c>
      <c r="M100" s="5">
        <f ca="1">Intv_Ann_TO!M407*IFERROR(INDEX(M$141:M$142,DD_Serv_Curr)/INDEX(M$141:M$142,$I155),0)</f>
        <v>320495.33100000006</v>
      </c>
      <c r="N100" s="5">
        <f ca="1">Intv_Ann_TO!N407*IFERROR(INDEX(N$141:N$142,DD_Serv_Curr)/INDEX(N$141:N$142,$I155),0)</f>
        <v>320495.33100000006</v>
      </c>
      <c r="O100" s="5">
        <f ca="1">Intv_Ann_TO!O407*IFERROR(INDEX(O$141:O$142,DD_Serv_Curr)/INDEX(O$141:O$142,$I155),0)</f>
        <v>320495.33100000006</v>
      </c>
    </row>
    <row r="101" spans="4:15" s="327" customFormat="1" outlineLevel="3" x14ac:dyDescent="0.2">
      <c r="D101" s="660" t="str">
        <f>Intv_Ann_TO!D814</f>
        <v>Total Fin Costs [incl. Capex] (NonAnnualized) (USD)</v>
      </c>
      <c r="I101" s="25" t="str">
        <f>Intv_Ann_TO!H814</f>
        <v>LEEP with BIOP-H</v>
      </c>
      <c r="J101" s="5">
        <f ca="1">Intv_Ann_TO!J814*IFERROR(INDEX(J$141:J$142,DD_Serv_Curr)/INDEX(J$141:J$142,$I156),0)</f>
        <v>348976.70247733331</v>
      </c>
      <c r="K101" s="5">
        <f ca="1">Intv_Ann_TO!K814*IFERROR(INDEX(K$141:K$142,DD_Serv_Curr)/INDEX(K$141:K$142,$I156),0)</f>
        <v>200242.70247733331</v>
      </c>
      <c r="L101" s="5">
        <f ca="1">Intv_Ann_TO!L814*IFERROR(INDEX(L$141:L$142,DD_Serv_Curr)/INDEX(L$141:L$142,$I156),0)</f>
        <v>200242.70247733331</v>
      </c>
      <c r="M101" s="5">
        <f ca="1">Intv_Ann_TO!M814*IFERROR(INDEX(M$141:M$142,DD_Serv_Curr)/INDEX(M$141:M$142,$I156),0)</f>
        <v>200242.70247733331</v>
      </c>
      <c r="N101" s="5">
        <f ca="1">Intv_Ann_TO!N814*IFERROR(INDEX(N$141:N$142,DD_Serv_Curr)/INDEX(N$141:N$142,$I156),0)</f>
        <v>200242.70247733331</v>
      </c>
      <c r="O101" s="5">
        <f ca="1">Intv_Ann_TO!O814*IFERROR(INDEX(O$141:O$142,DD_Serv_Curr)/INDEX(O$141:O$142,$I156),0)</f>
        <v>200242.70247733331</v>
      </c>
    </row>
    <row r="102" spans="4:15" s="327" customFormat="1" outlineLevel="1" x14ac:dyDescent="0.2">
      <c r="D102" s="659" t="str">
        <f>"Total "&amp;D99</f>
        <v>Total PreCxCa Services (USD)</v>
      </c>
      <c r="I102" s="25">
        <f ca="1">SUM(J102:O102)</f>
        <v>3288662.2008640002</v>
      </c>
      <c r="J102" s="25">
        <f t="shared" ref="J102:O102" ca="1" si="32">SUM(J100:J101)</f>
        <v>684972.03347733337</v>
      </c>
      <c r="K102" s="25">
        <f t="shared" ca="1" si="32"/>
        <v>520738.03347733337</v>
      </c>
      <c r="L102" s="25">
        <f t="shared" ca="1" si="32"/>
        <v>520738.03347733337</v>
      </c>
      <c r="M102" s="25">
        <f t="shared" ca="1" si="32"/>
        <v>520738.03347733337</v>
      </c>
      <c r="N102" s="25">
        <f t="shared" ca="1" si="32"/>
        <v>520738.03347733337</v>
      </c>
      <c r="O102" s="25">
        <f t="shared" ca="1" si="32"/>
        <v>520738.03347733337</v>
      </c>
    </row>
    <row r="103" spans="4:15" s="327" customFormat="1" ht="6.6" customHeight="1" outlineLevel="1" x14ac:dyDescent="0.2"/>
    <row r="104" spans="4:15" s="327" customFormat="1" ht="15" outlineLevel="1" x14ac:dyDescent="0.2">
      <c r="D104" s="679" t="str">
        <f>D81 &amp;" Services" &amp;" ("&amp;INDEX(LU_Serv_Denom,DD_TS_Denom)&amp;")"</f>
        <v>CxCa Services (USD)</v>
      </c>
    </row>
    <row r="105" spans="4:15" s="327" customFormat="1" outlineLevel="3" x14ac:dyDescent="0.2">
      <c r="D105" s="660" t="str">
        <f>Intv_Ann_TO!D1628</f>
        <v>Total Fin Costs [incl. Capex] (NonAnnualized) (USD)</v>
      </c>
      <c r="I105" s="25" t="str">
        <f>Intv_Ann_TO!H1628</f>
        <v>Chemo</v>
      </c>
      <c r="J105" s="5">
        <f ca="1">Intv_Ann_TO!J1628*IFERROR(INDEX(J$141:J$142,DD_Serv_Curr)/INDEX(J$141:J$142,$I160),0)</f>
        <v>30928.904999999999</v>
      </c>
      <c r="K105" s="5">
        <f ca="1">Intv_Ann_TO!K1628*IFERROR(INDEX(K$141:K$142,DD_Serv_Curr)/INDEX(K$141:K$142,$I160),0)</f>
        <v>30928.904999999999</v>
      </c>
      <c r="L105" s="5">
        <f ca="1">Intv_Ann_TO!L1628*IFERROR(INDEX(L$141:L$142,DD_Serv_Curr)/INDEX(L$141:L$142,$I160),0)</f>
        <v>30928.904999999999</v>
      </c>
      <c r="M105" s="5">
        <f ca="1">Intv_Ann_TO!M1628*IFERROR(INDEX(M$141:M$142,DD_Serv_Curr)/INDEX(M$141:M$142,$I160),0)</f>
        <v>30928.904999999999</v>
      </c>
      <c r="N105" s="5">
        <f ca="1">Intv_Ann_TO!N1628*IFERROR(INDEX(N$141:N$142,DD_Serv_Curr)/INDEX(N$141:N$142,$I160),0)</f>
        <v>30928.904999999999</v>
      </c>
      <c r="O105" s="5">
        <f ca="1">Intv_Ann_TO!O1628*IFERROR(INDEX(O$141:O$142,DD_Serv_Curr)/INDEX(O$141:O$142,$I160),0)</f>
        <v>30928.904999999999</v>
      </c>
    </row>
    <row r="106" spans="4:15" s="327" customFormat="1" outlineLevel="3" x14ac:dyDescent="0.2">
      <c r="D106" s="660" t="str">
        <f>Intv_Ann_TO!D2035</f>
        <v>Total Fin Costs [incl. Capex] (NonAnnualized) (USD)</v>
      </c>
      <c r="I106" s="25" t="str">
        <f>Intv_Ann_TO!H2035</f>
        <v>RADIO</v>
      </c>
      <c r="J106" s="5">
        <f ca="1">Intv_Ann_TO!J2035*IFERROR(INDEX(J$141:J$142,DD_Serv_Curr)/INDEX(J$141:J$142,$I161),0)</f>
        <v>754705.84247999999</v>
      </c>
      <c r="K106" s="5">
        <f ca="1">Intv_Ann_TO!K2035*IFERROR(INDEX(K$141:K$142,DD_Serv_Curr)/INDEX(K$141:K$142,$I161),0)</f>
        <v>4705.8424800000003</v>
      </c>
      <c r="L106" s="5">
        <f ca="1">Intv_Ann_TO!L2035*IFERROR(INDEX(L$141:L$142,DD_Serv_Curr)/INDEX(L$141:L$142,$I161),0)</f>
        <v>4705.8424800000003</v>
      </c>
      <c r="M106" s="5">
        <f ca="1">Intv_Ann_TO!M2035*IFERROR(INDEX(M$141:M$142,DD_Serv_Curr)/INDEX(M$141:M$142,$I161),0)</f>
        <v>4705.8424800000003</v>
      </c>
      <c r="N106" s="5">
        <f ca="1">Intv_Ann_TO!N2035*IFERROR(INDEX(N$141:N$142,DD_Serv_Curr)/INDEX(N$141:N$142,$I161),0)</f>
        <v>1504726.48214</v>
      </c>
      <c r="O106" s="5">
        <f ca="1">Intv_Ann_TO!O2035*IFERROR(INDEX(O$141:O$142,DD_Serv_Curr)/INDEX(O$141:O$142,$I161),0)</f>
        <v>4726.4821400000001</v>
      </c>
    </row>
    <row r="107" spans="4:15" s="327" customFormat="1" outlineLevel="3" x14ac:dyDescent="0.2">
      <c r="D107" s="660" t="str">
        <f>Intv_Ann_TO!D1221</f>
        <v>Total Fin Costs [incl. Capex] (NonAnnualized) (USD)</v>
      </c>
      <c r="I107" s="25" t="str">
        <f>Intv_Ann_TO!H1221</f>
        <v>SURG</v>
      </c>
      <c r="J107" s="5">
        <f ca="1">Intv_Ann_TO!J1221*IFERROR(INDEX(J$141:J$142,DD_Serv_Curr)/INDEX(J$141:J$142,$I162),0)</f>
        <v>0</v>
      </c>
      <c r="K107" s="5">
        <f ca="1">Intv_Ann_TO!K1221*IFERROR(INDEX(K$141:K$142,DD_Serv_Curr)/INDEX(K$141:K$142,$I162),0)</f>
        <v>0</v>
      </c>
      <c r="L107" s="5">
        <f ca="1">Intv_Ann_TO!L1221*IFERROR(INDEX(L$141:L$142,DD_Serv_Curr)/INDEX(L$141:L$142,$I162),0)</f>
        <v>0</v>
      </c>
      <c r="M107" s="5">
        <f ca="1">Intv_Ann_TO!M1221*IFERROR(INDEX(M$141:M$142,DD_Serv_Curr)/INDEX(M$141:M$142,$I162),0)</f>
        <v>0</v>
      </c>
      <c r="N107" s="5">
        <f ca="1">Intv_Ann_TO!N1221*IFERROR(INDEX(N$141:N$142,DD_Serv_Curr)/INDEX(N$141:N$142,$I162),0)</f>
        <v>0</v>
      </c>
      <c r="O107" s="5">
        <f ca="1">Intv_Ann_TO!O1221*IFERROR(INDEX(O$141:O$142,DD_Serv_Curr)/INDEX(O$141:O$142,$I162),0)</f>
        <v>0</v>
      </c>
    </row>
    <row r="108" spans="4:15" s="327" customFormat="1" outlineLevel="3" x14ac:dyDescent="0.2">
      <c r="D108" s="660" t="str">
        <f>Intv_Ann_TO!D2442</f>
        <v>Total Fin Costs [incl. Capex] (NonAnnualized) (USD)</v>
      </c>
      <c r="I108" s="25" t="str">
        <f>Intv_Ann_TO!H2442</f>
        <v>PALL</v>
      </c>
      <c r="J108" s="5">
        <f ca="1">Intv_Ann_TO!J2442*IFERROR(INDEX(J$141:J$142,DD_Serv_Curr)/INDEX(J$141:J$142,$I163),0)</f>
        <v>56328.746112000001</v>
      </c>
      <c r="K108" s="5">
        <f ca="1">Intv_Ann_TO!K2442*IFERROR(INDEX(K$141:K$142,DD_Serv_Curr)/INDEX(K$141:K$142,$I163),0)</f>
        <v>56328.746112000001</v>
      </c>
      <c r="L108" s="5">
        <f ca="1">Intv_Ann_TO!L2442*IFERROR(INDEX(L$141:L$142,DD_Serv_Curr)/INDEX(L$141:L$142,$I163),0)</f>
        <v>56328.746112000001</v>
      </c>
      <c r="M108" s="5">
        <f ca="1">Intv_Ann_TO!M2442*IFERROR(INDEX(M$141:M$142,DD_Serv_Curr)/INDEX(M$141:M$142,$I163),0)</f>
        <v>56328.746112000001</v>
      </c>
      <c r="N108" s="5">
        <f ca="1">Intv_Ann_TO!N2442*IFERROR(INDEX(N$141:N$142,DD_Serv_Curr)/INDEX(N$141:N$142,$I163),0)</f>
        <v>56328.746112000001</v>
      </c>
      <c r="O108" s="5">
        <f ca="1">Intv_Ann_TO!O2442*IFERROR(INDEX(O$141:O$142,DD_Serv_Curr)/INDEX(O$141:O$142,$I163),0)</f>
        <v>56328.746112000001</v>
      </c>
    </row>
    <row r="109" spans="4:15" s="327" customFormat="1" outlineLevel="1" x14ac:dyDescent="0.2">
      <c r="D109" s="659" t="str">
        <f>"Total "&amp;D104</f>
        <v>Total CxCa Services (USD)</v>
      </c>
      <c r="I109" s="25">
        <f ca="1">SUM(J109:O109)</f>
        <v>2801822.2408719999</v>
      </c>
      <c r="J109" s="25">
        <f t="shared" ref="J109:O109" ca="1" si="33">SUM(J105:J108)</f>
        <v>841963.49359199998</v>
      </c>
      <c r="K109" s="25">
        <f t="shared" ca="1" si="33"/>
        <v>91963.493591999999</v>
      </c>
      <c r="L109" s="25">
        <f t="shared" ca="1" si="33"/>
        <v>91963.493591999999</v>
      </c>
      <c r="M109" s="25">
        <f t="shared" ca="1" si="33"/>
        <v>91963.493591999999</v>
      </c>
      <c r="N109" s="25">
        <f t="shared" ca="1" si="33"/>
        <v>1591984.133252</v>
      </c>
      <c r="O109" s="25">
        <f t="shared" ca="1" si="33"/>
        <v>91984.133252</v>
      </c>
    </row>
    <row r="110" spans="4:15" s="327" customFormat="1" ht="6.6" customHeight="1" outlineLevel="1" x14ac:dyDescent="0.2"/>
    <row r="111" spans="4:15" s="327" customFormat="1" x14ac:dyDescent="0.2">
      <c r="D111" s="659" t="str">
        <f>"Total "&amp;C90</f>
        <v>Total Financial Costs (including Capital Expenditures) (USD)</v>
      </c>
      <c r="I111" s="5">
        <f ca="1">SUM(J111:O111)</f>
        <v>6622602.6231034417</v>
      </c>
      <c r="J111" s="25">
        <f t="shared" ref="J111:O111" ca="1" si="34">SUM(J93,J97,J102,J109)</f>
        <v>1615771.8906305735</v>
      </c>
      <c r="K111" s="25">
        <f t="shared" ca="1" si="34"/>
        <v>701357.89063057338</v>
      </c>
      <c r="L111" s="25">
        <f t="shared" ca="1" si="34"/>
        <v>701357.89063057338</v>
      </c>
      <c r="M111" s="25">
        <f t="shared" ca="1" si="34"/>
        <v>701357.89063057338</v>
      </c>
      <c r="N111" s="25">
        <f t="shared" ca="1" si="34"/>
        <v>2201378.5302905734</v>
      </c>
      <c r="O111" s="25">
        <f t="shared" ca="1" si="34"/>
        <v>701378.53029057337</v>
      </c>
    </row>
    <row r="112" spans="4:15" s="327" customFormat="1" x14ac:dyDescent="0.2"/>
    <row r="113" spans="3:15" s="327" customFormat="1" ht="15.75" x14ac:dyDescent="0.2">
      <c r="C113" s="26" t="str">
        <f>"Economic Costs (including Capital Expenditures) ("&amp;INDEX(LU_Serv_Denom,DD_TS_Denom)&amp;")"</f>
        <v>Economic Costs (including Capital Expenditures) (USD)</v>
      </c>
      <c r="I113" s="230" t="str">
        <f>"TOTAL ("&amp;INDEX(LU_Serv_Denom,DD_TS_Denom)&amp;")"</f>
        <v>TOTAL (USD)</v>
      </c>
    </row>
    <row r="114" spans="3:15" s="327" customFormat="1" outlineLevel="1" x14ac:dyDescent="0.2"/>
    <row r="115" spans="3:15" s="327" customFormat="1" ht="15" outlineLevel="1" x14ac:dyDescent="0.2">
      <c r="D115" s="679" t="str">
        <f>"Service Delivery (including CapEx - Annualized) ("&amp;INDEX(LU_Serv_Denom,DD_TS_Denom)&amp;")"</f>
        <v>Service Delivery (including CapEx - Annualized) (USD)</v>
      </c>
      <c r="I115" s="682" t="s">
        <v>415</v>
      </c>
      <c r="J115" s="198"/>
      <c r="K115" s="198"/>
      <c r="L115" s="198"/>
      <c r="M115" s="198"/>
      <c r="N115" s="198"/>
      <c r="O115" s="198"/>
    </row>
    <row r="116" spans="3:15" s="327" customFormat="1" ht="15" outlineLevel="2" x14ac:dyDescent="0.2">
      <c r="D116" s="646" t="str">
        <f>D68</f>
        <v>Screening</v>
      </c>
    </row>
    <row r="117" spans="3:15" s="327" customFormat="1" outlineLevel="2" x14ac:dyDescent="0.2">
      <c r="D117" s="660" t="str">
        <f>Screen_Ann_TO!H394</f>
        <v>VIA</v>
      </c>
      <c r="I117" s="25">
        <f ca="1">SUM(J117:O117)</f>
        <v>1272362.6167596285</v>
      </c>
      <c r="J117" s="5">
        <f ca="1">Screen_Ann_TO!J394*IFERROR(INDEX(J$141:J$142,DD_Serv_Curr)/INDEX(J$141:J$142,$I147),0)</f>
        <v>212060.43612660479</v>
      </c>
      <c r="K117" s="5">
        <f ca="1">Screen_Ann_TO!K394*IFERROR(INDEX(K$141:K$142,DD_Serv_Curr)/INDEX(K$141:K$142,$I147),0)</f>
        <v>212060.43612660479</v>
      </c>
      <c r="L117" s="5">
        <f ca="1">Screen_Ann_TO!L394*IFERROR(INDEX(L$141:L$142,DD_Serv_Curr)/INDEX(L$141:L$142,$I147),0)</f>
        <v>212060.43612660479</v>
      </c>
      <c r="M117" s="5">
        <f ca="1">Screen_Ann_TO!M394*IFERROR(INDEX(M$141:M$142,DD_Serv_Curr)/INDEX(M$141:M$142,$I147),0)</f>
        <v>212060.43612660479</v>
      </c>
      <c r="N117" s="5">
        <f ca="1">Screen_Ann_TO!N394*IFERROR(INDEX(N$141:N$142,DD_Serv_Curr)/INDEX(N$141:N$142,$I147),0)</f>
        <v>212060.43612660479</v>
      </c>
      <c r="O117" s="5">
        <f ca="1">Screen_Ann_TO!O394*IFERROR(INDEX(O$141:O$142,DD_Serv_Curr)/INDEX(O$141:O$142,$I147),0)</f>
        <v>212060.43612660479</v>
      </c>
    </row>
    <row r="118" spans="3:15" s="327" customFormat="1" outlineLevel="1" x14ac:dyDescent="0.2">
      <c r="D118" s="659" t="str">
        <f>"Total "&amp;D116</f>
        <v>Total Screening</v>
      </c>
      <c r="I118" s="5">
        <f ca="1">SUM(J118:O118)</f>
        <v>1272362.6167596285</v>
      </c>
      <c r="J118" s="14">
        <f t="shared" ref="J118:O118" ca="1" si="35">SUM(J117:J117)</f>
        <v>212060.43612660479</v>
      </c>
      <c r="K118" s="14">
        <f t="shared" ca="1" si="35"/>
        <v>212060.43612660479</v>
      </c>
      <c r="L118" s="14">
        <f t="shared" ca="1" si="35"/>
        <v>212060.43612660479</v>
      </c>
      <c r="M118" s="14">
        <f t="shared" ca="1" si="35"/>
        <v>212060.43612660479</v>
      </c>
      <c r="N118" s="14">
        <f t="shared" ca="1" si="35"/>
        <v>212060.43612660479</v>
      </c>
      <c r="O118" s="14">
        <f t="shared" ca="1" si="35"/>
        <v>212060.43612660479</v>
      </c>
    </row>
    <row r="119" spans="3:15" s="327" customFormat="1" ht="6.6" customHeight="1" outlineLevel="1" x14ac:dyDescent="0.2"/>
    <row r="120" spans="3:15" s="327" customFormat="1" ht="15" outlineLevel="2" x14ac:dyDescent="0.2">
      <c r="D120" s="646" t="str">
        <f>D72</f>
        <v>Diagnostic</v>
      </c>
    </row>
    <row r="121" spans="3:15" s="327" customFormat="1" outlineLevel="2" x14ac:dyDescent="0.2">
      <c r="D121" s="660" t="str">
        <f>Diag_Ann_TO!H401</f>
        <v>BIOP-H</v>
      </c>
      <c r="I121" s="25">
        <f ca="1">SUM(J121:O121)</f>
        <v>43185.180444308091</v>
      </c>
      <c r="J121" s="5">
        <f ca="1">Diag_Ann_TO!J401*IFERROR(INDEX(J$141:J$142,DD_Serv_Curr)/INDEX(J$141:J$142,$I151),0)</f>
        <v>7197.5300740513485</v>
      </c>
      <c r="K121" s="5">
        <f ca="1">Diag_Ann_TO!K401*IFERROR(INDEX(K$141:K$142,DD_Serv_Curr)/INDEX(K$141:K$142,$I151),0)</f>
        <v>7197.5300740513485</v>
      </c>
      <c r="L121" s="5">
        <f ca="1">Diag_Ann_TO!L401*IFERROR(INDEX(L$141:L$142,DD_Serv_Curr)/INDEX(L$141:L$142,$I151),0)</f>
        <v>7197.5300740513485</v>
      </c>
      <c r="M121" s="5">
        <f ca="1">Diag_Ann_TO!M401*IFERROR(INDEX(M$141:M$142,DD_Serv_Curr)/INDEX(M$141:M$142,$I151),0)</f>
        <v>7197.5300740513485</v>
      </c>
      <c r="N121" s="5">
        <f ca="1">Diag_Ann_TO!N401*IFERROR(INDEX(N$141:N$142,DD_Serv_Curr)/INDEX(N$141:N$142,$I151),0)</f>
        <v>7197.5300740513485</v>
      </c>
      <c r="O121" s="5">
        <f ca="1">Diag_Ann_TO!O401*IFERROR(INDEX(O$141:O$142,DD_Serv_Curr)/INDEX(O$141:O$142,$I151),0)</f>
        <v>7197.5300740513485</v>
      </c>
    </row>
    <row r="122" spans="3:15" s="327" customFormat="1" outlineLevel="1" x14ac:dyDescent="0.2">
      <c r="D122" s="659" t="str">
        <f>"Total "&amp;D120</f>
        <v>Total Diagnostic</v>
      </c>
      <c r="I122" s="5">
        <f ca="1">SUM(J122:O122)</f>
        <v>43185.180444308091</v>
      </c>
      <c r="J122" s="14">
        <f t="shared" ref="J122:O122" ca="1" si="36">SUM(J121:J121)</f>
        <v>7197.5300740513485</v>
      </c>
      <c r="K122" s="14">
        <f t="shared" ca="1" si="36"/>
        <v>7197.5300740513485</v>
      </c>
      <c r="L122" s="14">
        <f t="shared" ca="1" si="36"/>
        <v>7197.5300740513485</v>
      </c>
      <c r="M122" s="14">
        <f t="shared" ca="1" si="36"/>
        <v>7197.5300740513485</v>
      </c>
      <c r="N122" s="14">
        <f t="shared" ca="1" si="36"/>
        <v>7197.5300740513485</v>
      </c>
      <c r="O122" s="14">
        <f t="shared" ca="1" si="36"/>
        <v>7197.5300740513485</v>
      </c>
    </row>
    <row r="123" spans="3:15" s="327" customFormat="1" ht="6.6" customHeight="1" outlineLevel="1" x14ac:dyDescent="0.2"/>
    <row r="124" spans="3:15" s="327" customFormat="1" ht="15" outlineLevel="2" x14ac:dyDescent="0.2">
      <c r="D124" s="646" t="str">
        <f>D76</f>
        <v>PreCxCa</v>
      </c>
    </row>
    <row r="125" spans="3:15" s="327" customFormat="1" outlineLevel="2" x14ac:dyDescent="0.2">
      <c r="D125" s="660" t="str">
        <f>Intv_Ann_TO!H412</f>
        <v>Cryo -SV</v>
      </c>
      <c r="I125" s="25">
        <f ca="1">SUM(J125:O125)</f>
        <v>1966378.9748280479</v>
      </c>
      <c r="J125" s="5">
        <f ca="1">Intv_Ann_TO!J412*IFERROR(INDEX(J$141:J$142,DD_Serv_Curr)/INDEX(J$141:J$142,$I155),0)</f>
        <v>327729.829138008</v>
      </c>
      <c r="K125" s="5">
        <f ca="1">Intv_Ann_TO!K412*IFERROR(INDEX(K$141:K$142,DD_Serv_Curr)/INDEX(K$141:K$142,$I155),0)</f>
        <v>327729.829138008</v>
      </c>
      <c r="L125" s="5">
        <f ca="1">Intv_Ann_TO!L412*IFERROR(INDEX(L$141:L$142,DD_Serv_Curr)/INDEX(L$141:L$142,$I155),0)</f>
        <v>327729.829138008</v>
      </c>
      <c r="M125" s="5">
        <f ca="1">Intv_Ann_TO!M412*IFERROR(INDEX(M$141:M$142,DD_Serv_Curr)/INDEX(M$141:M$142,$I155),0)</f>
        <v>327729.829138008</v>
      </c>
      <c r="N125" s="5">
        <f ca="1">Intv_Ann_TO!N412*IFERROR(INDEX(N$141:N$142,DD_Serv_Curr)/INDEX(N$141:N$142,$I155),0)</f>
        <v>327729.829138008</v>
      </c>
      <c r="O125" s="5">
        <f ca="1">Intv_Ann_TO!O412*IFERROR(INDEX(O$141:O$142,DD_Serv_Curr)/INDEX(O$141:O$142,$I155),0)</f>
        <v>327729.829138008</v>
      </c>
    </row>
    <row r="126" spans="3:15" s="327" customFormat="1" outlineLevel="2" x14ac:dyDescent="0.2">
      <c r="D126" s="660" t="str">
        <f>Intv_Ann_TO!H819</f>
        <v>LEEP with BIOP-H</v>
      </c>
      <c r="I126" s="25">
        <f ca="1">SUM(J126:O126)</f>
        <v>1641791.5613640058</v>
      </c>
      <c r="J126" s="5">
        <f ca="1">Intv_Ann_TO!J819*IFERROR(INDEX(J$141:J$142,DD_Serv_Curr)/INDEX(J$141:J$142,$I156),0)</f>
        <v>273631.92689400096</v>
      </c>
      <c r="K126" s="5">
        <f ca="1">Intv_Ann_TO!K819*IFERROR(INDEX(K$141:K$142,DD_Serv_Curr)/INDEX(K$141:K$142,$I156),0)</f>
        <v>273631.92689400096</v>
      </c>
      <c r="L126" s="5">
        <f ca="1">Intv_Ann_TO!L819*IFERROR(INDEX(L$141:L$142,DD_Serv_Curr)/INDEX(L$141:L$142,$I156),0)</f>
        <v>273631.92689400096</v>
      </c>
      <c r="M126" s="5">
        <f ca="1">Intv_Ann_TO!M819*IFERROR(INDEX(M$141:M$142,DD_Serv_Curr)/INDEX(M$141:M$142,$I156),0)</f>
        <v>273631.92689400096</v>
      </c>
      <c r="N126" s="5">
        <f ca="1">Intv_Ann_TO!N819*IFERROR(INDEX(N$141:N$142,DD_Serv_Curr)/INDEX(N$141:N$142,$I156),0)</f>
        <v>273631.92689400096</v>
      </c>
      <c r="O126" s="5">
        <f ca="1">Intv_Ann_TO!O819*IFERROR(INDEX(O$141:O$142,DD_Serv_Curr)/INDEX(O$141:O$142,$I156),0)</f>
        <v>273631.92689400096</v>
      </c>
    </row>
    <row r="127" spans="3:15" s="327" customFormat="1" outlineLevel="1" x14ac:dyDescent="0.2">
      <c r="D127" s="659" t="str">
        <f>"Total "&amp;D124</f>
        <v>Total PreCxCa</v>
      </c>
      <c r="I127" s="5">
        <f ca="1">SUM(J127:O127)</f>
        <v>3608170.536192053</v>
      </c>
      <c r="J127" s="14">
        <f t="shared" ref="J127:O127" ca="1" si="37">SUM(J125:J126)</f>
        <v>601361.75603200891</v>
      </c>
      <c r="K127" s="14">
        <f t="shared" ca="1" si="37"/>
        <v>601361.75603200891</v>
      </c>
      <c r="L127" s="14">
        <f t="shared" ca="1" si="37"/>
        <v>601361.75603200891</v>
      </c>
      <c r="M127" s="14">
        <f t="shared" ca="1" si="37"/>
        <v>601361.75603200891</v>
      </c>
      <c r="N127" s="14">
        <f t="shared" ca="1" si="37"/>
        <v>601361.75603200891</v>
      </c>
      <c r="O127" s="14">
        <f t="shared" ca="1" si="37"/>
        <v>601361.75603200891</v>
      </c>
    </row>
    <row r="128" spans="3:15" s="327" customFormat="1" ht="6.6" customHeight="1" outlineLevel="1" x14ac:dyDescent="0.2"/>
    <row r="129" spans="3:15" s="327" customFormat="1" ht="15" outlineLevel="2" x14ac:dyDescent="0.2">
      <c r="D129" s="646" t="str">
        <f>D81</f>
        <v>CxCa</v>
      </c>
    </row>
    <row r="130" spans="3:15" s="327" customFormat="1" outlineLevel="2" x14ac:dyDescent="0.2">
      <c r="D130" s="660" t="str">
        <f>Intv_Ann_TO!H1633</f>
        <v>Chemo</v>
      </c>
      <c r="I130" s="25">
        <f ca="1">SUM(J130:O130)</f>
        <v>297515.48323922977</v>
      </c>
      <c r="J130" s="5">
        <f ca="1">Intv_Ann_TO!J1633*IFERROR(INDEX(J$141:J$142,DD_Serv_Curr)/INDEX(J$141:J$142,$I160),0)</f>
        <v>49585.913873204969</v>
      </c>
      <c r="K130" s="5">
        <f ca="1">Intv_Ann_TO!K1633*IFERROR(INDEX(K$141:K$142,DD_Serv_Curr)/INDEX(K$141:K$142,$I160),0)</f>
        <v>49585.913873204969</v>
      </c>
      <c r="L130" s="5">
        <f ca="1">Intv_Ann_TO!L1633*IFERROR(INDEX(L$141:L$142,DD_Serv_Curr)/INDEX(L$141:L$142,$I160),0)</f>
        <v>49585.913873204969</v>
      </c>
      <c r="M130" s="5">
        <f ca="1">Intv_Ann_TO!M1633*IFERROR(INDEX(M$141:M$142,DD_Serv_Curr)/INDEX(M$141:M$142,$I160),0)</f>
        <v>49585.913873204969</v>
      </c>
      <c r="N130" s="5">
        <f ca="1">Intv_Ann_TO!N1633*IFERROR(INDEX(N$141:N$142,DD_Serv_Curr)/INDEX(N$141:N$142,$I160),0)</f>
        <v>49585.913873204961</v>
      </c>
      <c r="O130" s="5">
        <f ca="1">Intv_Ann_TO!O1633*IFERROR(INDEX(O$141:O$142,DD_Serv_Curr)/INDEX(O$141:O$142,$I160),0)</f>
        <v>49585.913873204961</v>
      </c>
    </row>
    <row r="131" spans="3:15" s="327" customFormat="1" outlineLevel="2" x14ac:dyDescent="0.2">
      <c r="D131" s="660" t="str">
        <f>Intv_Ann_TO!H2040</f>
        <v>RADIO</v>
      </c>
      <c r="I131" s="25">
        <f ca="1">SUM(J131:O131)</f>
        <v>1754081.5076731206</v>
      </c>
      <c r="J131" s="5">
        <f ca="1">Intv_Ann_TO!J2040*IFERROR(INDEX(J$141:J$142,DD_Serv_Curr)/INDEX(J$141:J$142,$I161),0)</f>
        <v>198221.24203126659</v>
      </c>
      <c r="K131" s="5">
        <f ca="1">Intv_Ann_TO!K2040*IFERROR(INDEX(K$141:K$142,DD_Serv_Curr)/INDEX(K$141:K$142,$I161),0)</f>
        <v>198221.24203126659</v>
      </c>
      <c r="L131" s="5">
        <f ca="1">Intv_Ann_TO!L2040*IFERROR(INDEX(L$141:L$142,DD_Serv_Curr)/INDEX(L$141:L$142,$I161),0)</f>
        <v>198221.24203126659</v>
      </c>
      <c r="M131" s="5">
        <f ca="1">Intv_Ann_TO!M2040*IFERROR(INDEX(M$141:M$142,DD_Serv_Curr)/INDEX(M$141:M$142,$I161),0)</f>
        <v>198221.24203126659</v>
      </c>
      <c r="N131" s="5">
        <f ca="1">Intv_Ann_TO!N2040*IFERROR(INDEX(N$141:N$142,DD_Serv_Curr)/INDEX(N$141:N$142,$I161),0)</f>
        <v>480598.26977402717</v>
      </c>
      <c r="O131" s="5">
        <f ca="1">Intv_Ann_TO!O2040*IFERROR(INDEX(O$141:O$142,DD_Serv_Curr)/INDEX(O$141:O$142,$I161),0)</f>
        <v>480598.26977402717</v>
      </c>
    </row>
    <row r="132" spans="3:15" s="327" customFormat="1" outlineLevel="2" x14ac:dyDescent="0.2">
      <c r="D132" s="660" t="str">
        <f>Intv_Ann_TO!H1226</f>
        <v>SURG</v>
      </c>
      <c r="I132" s="25">
        <f ca="1">SUM(J132:O132)</f>
        <v>0</v>
      </c>
      <c r="J132" s="5">
        <f ca="1">Intv_Ann_TO!J1226*IFERROR(INDEX(J$141:J$142,DD_Serv_Curr)/INDEX(J$141:J$142,$I162),0)</f>
        <v>0</v>
      </c>
      <c r="K132" s="5">
        <f ca="1">Intv_Ann_TO!K1226*IFERROR(INDEX(K$141:K$142,DD_Serv_Curr)/INDEX(K$141:K$142,$I162),0)</f>
        <v>0</v>
      </c>
      <c r="L132" s="5">
        <f ca="1">Intv_Ann_TO!L1226*IFERROR(INDEX(L$141:L$142,DD_Serv_Curr)/INDEX(L$141:L$142,$I162),0)</f>
        <v>0</v>
      </c>
      <c r="M132" s="5">
        <f ca="1">Intv_Ann_TO!M1226*IFERROR(INDEX(M$141:M$142,DD_Serv_Curr)/INDEX(M$141:M$142,$I162),0)</f>
        <v>0</v>
      </c>
      <c r="N132" s="5">
        <f ca="1">Intv_Ann_TO!N1226*IFERROR(INDEX(N$141:N$142,DD_Serv_Curr)/INDEX(N$141:N$142,$I162),0)</f>
        <v>0</v>
      </c>
      <c r="O132" s="5">
        <f ca="1">Intv_Ann_TO!O1226*IFERROR(INDEX(O$141:O$142,DD_Serv_Curr)/INDEX(O$141:O$142,$I162),0)</f>
        <v>0</v>
      </c>
    </row>
    <row r="133" spans="3:15" s="327" customFormat="1" outlineLevel="2" x14ac:dyDescent="0.2">
      <c r="D133" s="660" t="str">
        <f>Intv_Ann_TO!H2447</f>
        <v>PALL</v>
      </c>
      <c r="I133" s="25">
        <f ca="1">SUM(J133:O133)</f>
        <v>518992.15519680403</v>
      </c>
      <c r="J133" s="5">
        <f ca="1">Intv_Ann_TO!J2447*IFERROR(INDEX(J$141:J$142,DD_Serv_Curr)/INDEX(J$141:J$142,$I163),0)</f>
        <v>86498.692532800676</v>
      </c>
      <c r="K133" s="5">
        <f ca="1">Intv_Ann_TO!K2447*IFERROR(INDEX(K$141:K$142,DD_Serv_Curr)/INDEX(K$141:K$142,$I163),0)</f>
        <v>86498.692532800676</v>
      </c>
      <c r="L133" s="5">
        <f ca="1">Intv_Ann_TO!L2447*IFERROR(INDEX(L$141:L$142,DD_Serv_Curr)/INDEX(L$141:L$142,$I163),0)</f>
        <v>86498.692532800676</v>
      </c>
      <c r="M133" s="5">
        <f ca="1">Intv_Ann_TO!M2447*IFERROR(INDEX(M$141:M$142,DD_Serv_Curr)/INDEX(M$141:M$142,$I163),0)</f>
        <v>86498.692532800676</v>
      </c>
      <c r="N133" s="5">
        <f ca="1">Intv_Ann_TO!N2447*IFERROR(INDEX(N$141:N$142,DD_Serv_Curr)/INDEX(N$141:N$142,$I163),0)</f>
        <v>86498.692532800676</v>
      </c>
      <c r="O133" s="5">
        <f ca="1">Intv_Ann_TO!O2447*IFERROR(INDEX(O$141:O$142,DD_Serv_Curr)/INDEX(O$141:O$142,$I163),0)</f>
        <v>86498.692532800676</v>
      </c>
    </row>
    <row r="134" spans="3:15" s="327" customFormat="1" outlineLevel="1" x14ac:dyDescent="0.2">
      <c r="D134" s="659" t="str">
        <f>"Total "&amp;D129</f>
        <v>Total CxCa</v>
      </c>
      <c r="I134" s="5">
        <f ca="1">SUM(J134:O134)</f>
        <v>2570589.1461091544</v>
      </c>
      <c r="J134" s="14">
        <f t="shared" ref="J134:O134" ca="1" si="38">SUM(J130:J133)</f>
        <v>334305.84843727225</v>
      </c>
      <c r="K134" s="14">
        <f t="shared" ca="1" si="38"/>
        <v>334305.84843727225</v>
      </c>
      <c r="L134" s="14">
        <f t="shared" ca="1" si="38"/>
        <v>334305.84843727225</v>
      </c>
      <c r="M134" s="14">
        <f t="shared" ca="1" si="38"/>
        <v>334305.84843727225</v>
      </c>
      <c r="N134" s="14">
        <f t="shared" ca="1" si="38"/>
        <v>616682.87618003285</v>
      </c>
      <c r="O134" s="14">
        <f t="shared" ca="1" si="38"/>
        <v>616682.87618003285</v>
      </c>
    </row>
    <row r="135" spans="3:15" s="327" customFormat="1" ht="6.6" customHeight="1" outlineLevel="1" x14ac:dyDescent="0.2"/>
    <row r="136" spans="3:15" s="327" customFormat="1" x14ac:dyDescent="0.2">
      <c r="D136" s="659" t="str">
        <f>"Total "&amp;D115</f>
        <v>Total Service Delivery (including CapEx - Annualized) (USD)</v>
      </c>
      <c r="I136" s="5">
        <f ca="1">SUM(J136:O136)</f>
        <v>7494307.4795051459</v>
      </c>
      <c r="J136" s="25">
        <f t="shared" ref="J136:O136" ca="1" si="39">SUM(J118,J122,J127,J134)</f>
        <v>1154925.5706699374</v>
      </c>
      <c r="K136" s="25">
        <f t="shared" ca="1" si="39"/>
        <v>1154925.5706699374</v>
      </c>
      <c r="L136" s="25">
        <f t="shared" ca="1" si="39"/>
        <v>1154925.5706699374</v>
      </c>
      <c r="M136" s="25">
        <f t="shared" ca="1" si="39"/>
        <v>1154925.5706699374</v>
      </c>
      <c r="N136" s="25">
        <f t="shared" ca="1" si="39"/>
        <v>1437302.5984126979</v>
      </c>
      <c r="O136" s="25">
        <f t="shared" ca="1" si="39"/>
        <v>1437302.5984126979</v>
      </c>
    </row>
    <row r="137" spans="3:15" s="327" customFormat="1" x14ac:dyDescent="0.2"/>
    <row r="138" spans="3:15" s="327" customFormat="1" ht="15.75" x14ac:dyDescent="0.2">
      <c r="C138" s="330" t="s">
        <v>212</v>
      </c>
    </row>
    <row r="139" spans="3:15" s="327" customFormat="1" outlineLevel="1" x14ac:dyDescent="0.2"/>
    <row r="140" spans="3:15" s="327" customFormat="1" ht="15" outlineLevel="1" x14ac:dyDescent="0.2">
      <c r="D140" s="658" t="s">
        <v>167</v>
      </c>
    </row>
    <row r="141" spans="3:15" s="327" customFormat="1" outlineLevel="1" x14ac:dyDescent="0.2">
      <c r="D141" s="660" t="str">
        <f>Econ_Ann_TA!D13</f>
        <v>USD</v>
      </c>
      <c r="J141" s="65">
        <f>Econ_Ann_TA!J13</f>
        <v>1</v>
      </c>
      <c r="K141" s="65">
        <f>Econ_Ann_TA!K13</f>
        <v>1</v>
      </c>
      <c r="L141" s="65">
        <f>Econ_Ann_TA!L13</f>
        <v>1</v>
      </c>
      <c r="M141" s="65">
        <f>Econ_Ann_TA!M13</f>
        <v>1</v>
      </c>
      <c r="N141" s="65">
        <f>Econ_Ann_TA!N13</f>
        <v>1</v>
      </c>
      <c r="O141" s="65">
        <f>Econ_Ann_TA!O13</f>
        <v>1</v>
      </c>
    </row>
    <row r="142" spans="3:15" s="327" customFormat="1" outlineLevel="1" x14ac:dyDescent="0.2">
      <c r="D142" s="660" t="str">
        <f>Econ_Ann_TA!D14</f>
        <v>ZMW</v>
      </c>
      <c r="J142" s="65">
        <f>Econ_Ann_TA!J14</f>
        <v>10.971399999999999</v>
      </c>
      <c r="K142" s="65">
        <f>Econ_Ann_TA!K14</f>
        <v>10.971399999999999</v>
      </c>
      <c r="L142" s="65">
        <f>Econ_Ann_TA!L14</f>
        <v>10.971399999999999</v>
      </c>
      <c r="M142" s="65">
        <f>Econ_Ann_TA!M14</f>
        <v>10.971399999999999</v>
      </c>
      <c r="N142" s="65">
        <f>Econ_Ann_TA!N14</f>
        <v>10.971399999999999</v>
      </c>
      <c r="O142" s="65">
        <f>Econ_Ann_TA!O14</f>
        <v>10.971399999999999</v>
      </c>
    </row>
    <row r="143" spans="3:15" s="327" customFormat="1" x14ac:dyDescent="0.2"/>
    <row r="144" spans="3:15" s="327" customFormat="1" ht="15" x14ac:dyDescent="0.2">
      <c r="D144" s="658" t="s">
        <v>144</v>
      </c>
      <c r="H144" s="72" t="s">
        <v>213</v>
      </c>
      <c r="I144" s="72" t="s">
        <v>234</v>
      </c>
    </row>
    <row r="145" spans="3:9" s="327" customFormat="1" x14ac:dyDescent="0.2">
      <c r="C145" s="680" t="s">
        <v>722</v>
      </c>
    </row>
    <row r="146" spans="3:9" s="327" customFormat="1" ht="15" outlineLevel="1" x14ac:dyDescent="0.2">
      <c r="D146" s="646" t="str">
        <f>D68</f>
        <v>Screening</v>
      </c>
    </row>
    <row r="147" spans="3:9" s="327" customFormat="1" outlineLevel="1" x14ac:dyDescent="0.2">
      <c r="D147" s="660" t="str">
        <f>D92</f>
        <v>VIA</v>
      </c>
      <c r="H147" s="66" t="str">
        <f>Screen_BA!I157</f>
        <v>USD</v>
      </c>
      <c r="I147" s="341">
        <f>IFERROR(MATCH(H147,D$141:D$142,0),0)</f>
        <v>1</v>
      </c>
    </row>
    <row r="148" spans="3:9" s="327" customFormat="1" outlineLevel="1" x14ac:dyDescent="0.2">
      <c r="D148" s="660" t="str">
        <f>D146</f>
        <v>Screening</v>
      </c>
      <c r="H148" s="660"/>
      <c r="I148" s="14">
        <f>SUM(I147:I147)</f>
        <v>1</v>
      </c>
    </row>
    <row r="149" spans="3:9" s="327" customFormat="1" ht="6.6" customHeight="1" outlineLevel="1" x14ac:dyDescent="0.2"/>
    <row r="150" spans="3:9" s="327" customFormat="1" ht="15" outlineLevel="1" x14ac:dyDescent="0.2">
      <c r="D150" s="646" t="str">
        <f>D72</f>
        <v>Diagnostic</v>
      </c>
    </row>
    <row r="151" spans="3:9" s="327" customFormat="1" outlineLevel="1" x14ac:dyDescent="0.2">
      <c r="D151" s="660" t="str">
        <f>D96</f>
        <v>BIOP-H</v>
      </c>
      <c r="H151" s="66" t="str">
        <f>Diag_BA!I143</f>
        <v>USD</v>
      </c>
      <c r="I151" s="341">
        <f>IFERROR(MATCH(H151,D$141:D$142,0),0)</f>
        <v>1</v>
      </c>
    </row>
    <row r="152" spans="3:9" s="327" customFormat="1" outlineLevel="1" x14ac:dyDescent="0.2">
      <c r="D152" s="660" t="str">
        <f>D150</f>
        <v>Diagnostic</v>
      </c>
      <c r="H152" s="660"/>
      <c r="I152" s="14">
        <f>SUM(I151:I151)</f>
        <v>1</v>
      </c>
    </row>
    <row r="153" spans="3:9" s="327" customFormat="1" ht="6.6" customHeight="1" outlineLevel="1" x14ac:dyDescent="0.2"/>
    <row r="154" spans="3:9" s="327" customFormat="1" ht="15" outlineLevel="1" x14ac:dyDescent="0.2">
      <c r="D154" s="646" t="str">
        <f>D76</f>
        <v>PreCxCa</v>
      </c>
    </row>
    <row r="155" spans="3:9" s="327" customFormat="1" outlineLevel="1" x14ac:dyDescent="0.2">
      <c r="D155" s="660" t="str">
        <f>D100</f>
        <v>Total Fin Costs [incl. Capex] (NonAnnualized) (USD)</v>
      </c>
      <c r="H155" s="66" t="str">
        <f>Intv_BA!I181</f>
        <v>USD</v>
      </c>
      <c r="I155" s="341">
        <f>IFERROR(MATCH(H155,D$141:D$142,0),0)</f>
        <v>1</v>
      </c>
    </row>
    <row r="156" spans="3:9" s="327" customFormat="1" outlineLevel="1" x14ac:dyDescent="0.2">
      <c r="D156" s="660" t="str">
        <f>D101</f>
        <v>Total Fin Costs [incl. Capex] (NonAnnualized) (USD)</v>
      </c>
      <c r="H156" s="66" t="str">
        <f>Intv_BA!I774</f>
        <v>USD</v>
      </c>
      <c r="I156" s="341">
        <f>IFERROR(MATCH(H156,D$141:D$142,0),0)</f>
        <v>1</v>
      </c>
    </row>
    <row r="157" spans="3:9" s="327" customFormat="1" outlineLevel="1" x14ac:dyDescent="0.2">
      <c r="D157" s="660" t="str">
        <f>D154</f>
        <v>PreCxCa</v>
      </c>
      <c r="H157" s="660"/>
      <c r="I157" s="14">
        <f>SUM(I155:I156)</f>
        <v>2</v>
      </c>
    </row>
    <row r="158" spans="3:9" s="327" customFormat="1" ht="6.6" customHeight="1" outlineLevel="1" x14ac:dyDescent="0.2"/>
    <row r="159" spans="3:9" s="327" customFormat="1" ht="15" outlineLevel="1" x14ac:dyDescent="0.2">
      <c r="D159" s="646" t="str">
        <f>D81</f>
        <v>CxCa</v>
      </c>
    </row>
    <row r="160" spans="3:9" s="327" customFormat="1" outlineLevel="1" x14ac:dyDescent="0.2">
      <c r="D160" s="660" t="str">
        <f>D105</f>
        <v>Total Fin Costs [incl. Capex] (NonAnnualized) (USD)</v>
      </c>
      <c r="H160" s="66" t="str">
        <f>Intv_BA!I1361</f>
        <v>USD</v>
      </c>
      <c r="I160" s="341">
        <f>IFERROR(MATCH(H160,D$141:D$142,0),0)</f>
        <v>1</v>
      </c>
    </row>
    <row r="161" spans="2:15" s="327" customFormat="1" outlineLevel="1" x14ac:dyDescent="0.2">
      <c r="D161" s="660" t="str">
        <f>D106</f>
        <v>Total Fin Costs [incl. Capex] (NonAnnualized) (USD)</v>
      </c>
      <c r="H161" s="66" t="str">
        <f>Intv_BA!I1953</f>
        <v>USD</v>
      </c>
      <c r="I161" s="341">
        <f>IFERROR(MATCH(H161,D$141:D$142,0),0)</f>
        <v>1</v>
      </c>
    </row>
    <row r="162" spans="2:15" s="327" customFormat="1" outlineLevel="1" x14ac:dyDescent="0.2">
      <c r="D162" s="660" t="str">
        <f>D107</f>
        <v>Total Fin Costs [incl. Capex] (NonAnnualized) (USD)</v>
      </c>
      <c r="H162" s="66" t="str">
        <f>Intv_BA!I2545</f>
        <v>USD</v>
      </c>
      <c r="I162" s="341">
        <f>IFERROR(MATCH(H162,D$141:D$142,0),0)</f>
        <v>1</v>
      </c>
    </row>
    <row r="163" spans="2:15" s="327" customFormat="1" outlineLevel="1" x14ac:dyDescent="0.2">
      <c r="D163" s="660" t="str">
        <f>D108</f>
        <v>Total Fin Costs [incl. Capex] (NonAnnualized) (USD)</v>
      </c>
      <c r="H163" s="66" t="str">
        <f>Intv_BA!I3130</f>
        <v>USD</v>
      </c>
      <c r="I163" s="341">
        <f>IFERROR(MATCH(H163,D$141:D$142,0),0)</f>
        <v>1</v>
      </c>
    </row>
    <row r="164" spans="2:15" s="327" customFormat="1" outlineLevel="1" x14ac:dyDescent="0.2">
      <c r="D164" s="660" t="str">
        <f>D159</f>
        <v>CxCa</v>
      </c>
      <c r="H164" s="660"/>
      <c r="I164" s="14">
        <f>SUM(I160:I163)</f>
        <v>4</v>
      </c>
    </row>
    <row r="165" spans="2:15" s="327" customFormat="1" x14ac:dyDescent="0.2"/>
    <row r="166" spans="2:15" s="327" customFormat="1" x14ac:dyDescent="0.2"/>
    <row r="167" spans="2:15" s="327" customFormat="1" ht="18.75" x14ac:dyDescent="0.2">
      <c r="B167" s="426" t="s">
        <v>725</v>
      </c>
    </row>
    <row r="168" spans="2:15" s="327" customFormat="1" x14ac:dyDescent="0.2"/>
    <row r="169" spans="2:15" s="327" customFormat="1" ht="15.75" customHeight="1" x14ac:dyDescent="0.2">
      <c r="C169" s="330" t="s">
        <v>724</v>
      </c>
      <c r="H169" s="64">
        <v>1</v>
      </c>
    </row>
    <row r="170" spans="2:15" s="327" customFormat="1" x14ac:dyDescent="0.2"/>
    <row r="171" spans="2:15" s="327" customFormat="1" ht="15.75" x14ac:dyDescent="0.2">
      <c r="C171" s="26" t="str">
        <f>"Financial Costs Programme (Non-Service Delivery) ("&amp;INDEX(LU_Sum_Tbls_Denom,DD_TS_Denom)&amp;")"</f>
        <v>Financial Costs Programme (Non-Service Delivery) (USD)</v>
      </c>
      <c r="I171" s="230" t="str">
        <f>"TOTAL  ("&amp;INDEX(LU_Sum_Tbls_Denom,DD_TS_Denom)&amp;")"</f>
        <v>TOTAL  (USD)</v>
      </c>
    </row>
    <row r="172" spans="2:15" s="327" customFormat="1" outlineLevel="1" x14ac:dyDescent="0.2"/>
    <row r="173" spans="2:15" s="327" customFormat="1" ht="15" outlineLevel="1" x14ac:dyDescent="0.2">
      <c r="D173" s="658" t="s">
        <v>89</v>
      </c>
      <c r="I173" s="228" t="s">
        <v>415</v>
      </c>
      <c r="J173" s="198"/>
      <c r="K173" s="198"/>
      <c r="L173" s="198"/>
      <c r="M173" s="198"/>
      <c r="N173" s="198"/>
      <c r="O173" s="198"/>
    </row>
    <row r="174" spans="2:15" s="327" customFormat="1" outlineLevel="1" x14ac:dyDescent="0.2">
      <c r="D174" s="660" t="str">
        <f>Oth_Ann_TO!H29</f>
        <v>Microplanning</v>
      </c>
      <c r="I174" s="5">
        <f>SUM(J174:O174)</f>
        <v>210000</v>
      </c>
      <c r="J174" s="5">
        <f>Oth_Ann_TO!J29*IFERROR(INDEX(J$194:J$195,DD_Sum_Tbls_Curr)/INDEX(J$194:J$195,$H198),0)</f>
        <v>35000</v>
      </c>
      <c r="K174" s="5">
        <f>Oth_Ann_TO!K29*IFERROR(INDEX(K$194:K$195,DD_Sum_Tbls_Curr)/INDEX(K$194:K$195,$H198),0)</f>
        <v>35000</v>
      </c>
      <c r="L174" s="5">
        <f>Oth_Ann_TO!L29*IFERROR(INDEX(L$194:L$195,DD_Sum_Tbls_Curr)/INDEX(L$194:L$195,$H198),0)</f>
        <v>35000</v>
      </c>
      <c r="M174" s="5">
        <f>Oth_Ann_TO!M29*IFERROR(INDEX(M$194:M$195,DD_Sum_Tbls_Curr)/INDEX(M$194:M$195,$H198),0)</f>
        <v>35000</v>
      </c>
      <c r="N174" s="5">
        <f>Oth_Ann_TO!N29*IFERROR(INDEX(N$194:N$195,DD_Sum_Tbls_Curr)/INDEX(N$194:N$195,$H198),0)</f>
        <v>35000</v>
      </c>
      <c r="O174" s="5">
        <f>Oth_Ann_TO!O29*IFERROR(INDEX(O$194:O$195,DD_Sum_Tbls_Curr)/INDEX(O$194:O$195,$H198),0)</f>
        <v>35000</v>
      </c>
    </row>
    <row r="175" spans="2:15" s="327" customFormat="1" outlineLevel="1" x14ac:dyDescent="0.2">
      <c r="D175" s="660" t="str">
        <f>Oth_Ann_TO!H67</f>
        <v>Training</v>
      </c>
      <c r="I175" s="5">
        <f>SUM(J175:O175)</f>
        <v>600000</v>
      </c>
      <c r="J175" s="5">
        <f>Oth_Ann_TO!J67*IFERROR(INDEX(J$194:J$195,DD_Sum_Tbls_Curr)/INDEX(J$194:J$195,$H199),0)</f>
        <v>100000</v>
      </c>
      <c r="K175" s="5">
        <f>Oth_Ann_TO!K67*IFERROR(INDEX(K$194:K$195,DD_Sum_Tbls_Curr)/INDEX(K$194:K$195,$H199),0)</f>
        <v>100000</v>
      </c>
      <c r="L175" s="5">
        <f>Oth_Ann_TO!L67*IFERROR(INDEX(L$194:L$195,DD_Sum_Tbls_Curr)/INDEX(L$194:L$195,$H199),0)</f>
        <v>100000</v>
      </c>
      <c r="M175" s="5">
        <f>Oth_Ann_TO!M67*IFERROR(INDEX(M$194:M$195,DD_Sum_Tbls_Curr)/INDEX(M$194:M$195,$H199),0)</f>
        <v>100000</v>
      </c>
      <c r="N175" s="5">
        <f>Oth_Ann_TO!N67*IFERROR(INDEX(N$194:N$195,DD_Sum_Tbls_Curr)/INDEX(N$194:N$195,$H199),0)</f>
        <v>100000</v>
      </c>
      <c r="O175" s="5">
        <f>Oth_Ann_TO!O67*IFERROR(INDEX(O$194:O$195,DD_Sum_Tbls_Curr)/INDEX(O$194:O$195,$H199),0)</f>
        <v>100000</v>
      </c>
    </row>
    <row r="176" spans="2:15" s="327" customFormat="1" outlineLevel="1" x14ac:dyDescent="0.2">
      <c r="D176" s="660" t="str">
        <f>Oth_Ann_TO!H126</f>
        <v>Sensit/Mob&amp;Comm</v>
      </c>
      <c r="I176" s="5">
        <f>SUM(J176:O176)</f>
        <v>5702400</v>
      </c>
      <c r="J176" s="5">
        <f>Oth_Ann_TO!J126*IFERROR(INDEX(J$194:J$195,DD_Sum_Tbls_Curr)/INDEX(J$194:J$195,$H200),0)</f>
        <v>950400</v>
      </c>
      <c r="K176" s="5">
        <f>Oth_Ann_TO!K126*IFERROR(INDEX(K$194:K$195,DD_Sum_Tbls_Curr)/INDEX(K$194:K$195,$H200),0)</f>
        <v>950400</v>
      </c>
      <c r="L176" s="5">
        <f>Oth_Ann_TO!L126*IFERROR(INDEX(L$194:L$195,DD_Sum_Tbls_Curr)/INDEX(L$194:L$195,$H200),0)</f>
        <v>950400</v>
      </c>
      <c r="M176" s="5">
        <f>Oth_Ann_TO!M126*IFERROR(INDEX(M$194:M$195,DD_Sum_Tbls_Curr)/INDEX(M$194:M$195,$H200),0)</f>
        <v>950400</v>
      </c>
      <c r="N176" s="5">
        <f>Oth_Ann_TO!N126*IFERROR(INDEX(N$194:N$195,DD_Sum_Tbls_Curr)/INDEX(N$194:N$195,$H200),0)</f>
        <v>950400</v>
      </c>
      <c r="O176" s="5">
        <f>Oth_Ann_TO!O126*IFERROR(INDEX(O$194:O$195,DD_Sum_Tbls_Curr)/INDEX(O$194:O$195,$H200),0)</f>
        <v>950400</v>
      </c>
    </row>
    <row r="177" spans="3:15" s="327" customFormat="1" outlineLevel="1" x14ac:dyDescent="0.2">
      <c r="D177" s="660" t="str">
        <f>Oth_Ann_TO!H146</f>
        <v>SME</v>
      </c>
      <c r="I177" s="5">
        <f ca="1">SUM(J177:O177)</f>
        <v>66800</v>
      </c>
      <c r="J177" s="5">
        <f ca="1">Oth_Ann_TO!J146*IFERROR(INDEX(J$194:J$195,DD_Sum_Tbls_Curr)/INDEX(J$194:J$195,$H201),0)</f>
        <v>12800</v>
      </c>
      <c r="K177" s="5">
        <f ca="1">Oth_Ann_TO!K146*IFERROR(INDEX(K$194:K$195,DD_Sum_Tbls_Curr)/INDEX(K$194:K$195,$H201),0)</f>
        <v>12800</v>
      </c>
      <c r="L177" s="5">
        <f ca="1">Oth_Ann_TO!L146*IFERROR(INDEX(L$194:L$195,DD_Sum_Tbls_Curr)/INDEX(L$194:L$195,$H201),0)</f>
        <v>12800</v>
      </c>
      <c r="M177" s="5">
        <f ca="1">Oth_Ann_TO!M146*IFERROR(INDEX(M$194:M$195,DD_Sum_Tbls_Curr)/INDEX(M$194:M$195,$H201),0)</f>
        <v>12800</v>
      </c>
      <c r="N177" s="5">
        <f ca="1">Oth_Ann_TO!N146*IFERROR(INDEX(N$194:N$195,DD_Sum_Tbls_Curr)/INDEX(N$194:N$195,$H201),0)</f>
        <v>12800</v>
      </c>
      <c r="O177" s="5">
        <f ca="1">Oth_Ann_TO!O146*IFERROR(INDEX(O$194:O$195,DD_Sum_Tbls_Curr)/INDEX(O$194:O$195,$H201),0)</f>
        <v>2800</v>
      </c>
    </row>
    <row r="178" spans="3:15" s="327" customFormat="1" outlineLevel="1" x14ac:dyDescent="0.2">
      <c r="D178" s="660" t="str">
        <f>Oth_Ann_TO!H165</f>
        <v>Other Costs</v>
      </c>
      <c r="I178" s="5">
        <f>SUM(J178:O178)</f>
        <v>0</v>
      </c>
      <c r="J178" s="5">
        <f>Oth_Ann_TO!J165*IFERROR(INDEX(J$194:J$195,DD_Sum_Tbls_Curr)/INDEX(J$194:J$195,$H202),0)</f>
        <v>0</v>
      </c>
      <c r="K178" s="5">
        <f>Oth_Ann_TO!K165*IFERROR(INDEX(K$194:K$195,DD_Sum_Tbls_Curr)/INDEX(K$194:K$195,$H202),0)</f>
        <v>0</v>
      </c>
      <c r="L178" s="5">
        <f>Oth_Ann_TO!L165*IFERROR(INDEX(L$194:L$195,DD_Sum_Tbls_Curr)/INDEX(L$194:L$195,$H202),0)</f>
        <v>0</v>
      </c>
      <c r="M178" s="5">
        <f>Oth_Ann_TO!M165*IFERROR(INDEX(M$194:M$195,DD_Sum_Tbls_Curr)/INDEX(M$194:M$195,$H202),0)</f>
        <v>0</v>
      </c>
      <c r="N178" s="5">
        <f>Oth_Ann_TO!N165*IFERROR(INDEX(N$194:N$195,DD_Sum_Tbls_Curr)/INDEX(N$194:N$195,$H202),0)</f>
        <v>0</v>
      </c>
      <c r="O178" s="5">
        <f>Oth_Ann_TO!O165*IFERROR(INDEX(O$194:O$195,DD_Sum_Tbls_Curr)/INDEX(O$194:O$195,$H202),0)</f>
        <v>0</v>
      </c>
    </row>
    <row r="179" spans="3:15" s="327" customFormat="1" x14ac:dyDescent="0.2">
      <c r="D179" s="659" t="str">
        <f>"Total "&amp;C171</f>
        <v>Total Financial Costs Programme (Non-Service Delivery) (USD)</v>
      </c>
      <c r="I179" s="25">
        <f t="shared" ref="I179:O179" ca="1" si="40">SUM(I174:I178)</f>
        <v>6579200</v>
      </c>
      <c r="J179" s="25">
        <f t="shared" ca="1" si="40"/>
        <v>1098200</v>
      </c>
      <c r="K179" s="25">
        <f t="shared" ca="1" si="40"/>
        <v>1098200</v>
      </c>
      <c r="L179" s="25">
        <f t="shared" ca="1" si="40"/>
        <v>1098200</v>
      </c>
      <c r="M179" s="25">
        <f t="shared" ca="1" si="40"/>
        <v>1098200</v>
      </c>
      <c r="N179" s="25">
        <f t="shared" ca="1" si="40"/>
        <v>1098200</v>
      </c>
      <c r="O179" s="25">
        <f t="shared" ca="1" si="40"/>
        <v>1088200</v>
      </c>
    </row>
    <row r="180" spans="3:15" s="327" customFormat="1" x14ac:dyDescent="0.2"/>
    <row r="181" spans="3:15" s="327" customFormat="1" ht="15.75" x14ac:dyDescent="0.2">
      <c r="C181" s="26" t="str">
        <f>"Economic Costs Programme (Non-Service Delivery) ("&amp;INDEX(LU_Sum_Tbls_Denom,DD_TS_Denom)&amp;")"</f>
        <v>Economic Costs Programme (Non-Service Delivery) (USD)</v>
      </c>
      <c r="I181" s="230" t="str">
        <f>"TOTAL  ("&amp;INDEX(LU_Sum_Tbls_Denom,DD_TS_Denom)&amp;")"</f>
        <v>TOTAL  (USD)</v>
      </c>
    </row>
    <row r="182" spans="3:15" s="327" customFormat="1" outlineLevel="1" x14ac:dyDescent="0.2"/>
    <row r="183" spans="3:15" s="327" customFormat="1" ht="15" outlineLevel="1" x14ac:dyDescent="0.2">
      <c r="D183" s="658" t="s">
        <v>89</v>
      </c>
      <c r="I183" s="228" t="s">
        <v>415</v>
      </c>
      <c r="J183" s="196"/>
      <c r="K183" s="196"/>
      <c r="L183" s="196"/>
      <c r="M183" s="196"/>
      <c r="N183" s="196"/>
      <c r="O183" s="196"/>
    </row>
    <row r="184" spans="3:15" s="327" customFormat="1" outlineLevel="1" x14ac:dyDescent="0.2">
      <c r="D184" s="660" t="str">
        <f>Oth_Ann_TO!H38</f>
        <v>Microplanning</v>
      </c>
      <c r="I184" s="5">
        <f>SUM(J184:O184)</f>
        <v>315000</v>
      </c>
      <c r="J184" s="5">
        <f>Oth_Ann_TO!J38*IFERROR(INDEX(J$194:J$195,DD_Sum_Tbls_Curr)/INDEX(J$194:J$195,$H198),0)</f>
        <v>52500</v>
      </c>
      <c r="K184" s="5">
        <f>Oth_Ann_TO!K38*IFERROR(INDEX(K$194:K$195,DD_Sum_Tbls_Curr)/INDEX(K$194:K$195,$H198),0)</f>
        <v>52500</v>
      </c>
      <c r="L184" s="5">
        <f>Oth_Ann_TO!L38*IFERROR(INDEX(L$194:L$195,DD_Sum_Tbls_Curr)/INDEX(L$194:L$195,$H198),0)</f>
        <v>52500</v>
      </c>
      <c r="M184" s="5">
        <f>Oth_Ann_TO!M38*IFERROR(INDEX(M$194:M$195,DD_Sum_Tbls_Curr)/INDEX(M$194:M$195,$H198),0)</f>
        <v>52500</v>
      </c>
      <c r="N184" s="5">
        <f>Oth_Ann_TO!N38*IFERROR(INDEX(N$194:N$195,DD_Sum_Tbls_Curr)/INDEX(N$194:N$195,$H198),0)</f>
        <v>52500</v>
      </c>
      <c r="O184" s="5">
        <f>Oth_Ann_TO!O38*IFERROR(INDEX(O$194:O$195,DD_Sum_Tbls_Curr)/INDEX(O$194:O$195,$H198),0)</f>
        <v>52500</v>
      </c>
    </row>
    <row r="185" spans="3:15" s="327" customFormat="1" outlineLevel="1" x14ac:dyDescent="0.2">
      <c r="D185" s="660" t="str">
        <f>Oth_Ann_TO!H79</f>
        <v>Training</v>
      </c>
      <c r="I185" s="5">
        <f>SUM(J185:O185)</f>
        <v>900000</v>
      </c>
      <c r="J185" s="5">
        <f>Oth_Ann_TO!J79*IFERROR(INDEX(J$194:J$195,DD_Sum_Tbls_Curr)/INDEX(J$194:J$195,$H199),0)</f>
        <v>150000</v>
      </c>
      <c r="K185" s="5">
        <f>Oth_Ann_TO!K79*IFERROR(INDEX(K$194:K$195,DD_Sum_Tbls_Curr)/INDEX(K$194:K$195,$H199),0)</f>
        <v>150000</v>
      </c>
      <c r="L185" s="5">
        <f>Oth_Ann_TO!L79*IFERROR(INDEX(L$194:L$195,DD_Sum_Tbls_Curr)/INDEX(L$194:L$195,$H199),0)</f>
        <v>150000</v>
      </c>
      <c r="M185" s="5">
        <f>Oth_Ann_TO!M79*IFERROR(INDEX(M$194:M$195,DD_Sum_Tbls_Curr)/INDEX(M$194:M$195,$H199),0)</f>
        <v>150000</v>
      </c>
      <c r="N185" s="5">
        <f>Oth_Ann_TO!N79*IFERROR(INDEX(N$194:N$195,DD_Sum_Tbls_Curr)/INDEX(N$194:N$195,$H199),0)</f>
        <v>150000</v>
      </c>
      <c r="O185" s="5">
        <f>Oth_Ann_TO!O79*IFERROR(INDEX(O$194:O$195,DD_Sum_Tbls_Curr)/INDEX(O$194:O$195,$H199),0)</f>
        <v>150000</v>
      </c>
    </row>
    <row r="186" spans="3:15" s="327" customFormat="1" outlineLevel="1" x14ac:dyDescent="0.2">
      <c r="D186" s="660" t="str">
        <f>Oth_Ann_TO!H133</f>
        <v>Sensit/Mob&amp;Comm</v>
      </c>
      <c r="I186" s="5">
        <f>SUM(J186:O186)</f>
        <v>7245600</v>
      </c>
      <c r="J186" s="5">
        <f>Oth_Ann_TO!J133*IFERROR(INDEX(J$194:J$195,DD_Sum_Tbls_Curr)/INDEX(J$194:J$195,$H200),0)</f>
        <v>1207600</v>
      </c>
      <c r="K186" s="5">
        <f>Oth_Ann_TO!K133*IFERROR(INDEX(K$194:K$195,DD_Sum_Tbls_Curr)/INDEX(K$194:K$195,$H200),0)</f>
        <v>1207600</v>
      </c>
      <c r="L186" s="5">
        <f>Oth_Ann_TO!L133*IFERROR(INDEX(L$194:L$195,DD_Sum_Tbls_Curr)/INDEX(L$194:L$195,$H200),0)</f>
        <v>1207600</v>
      </c>
      <c r="M186" s="5">
        <f>Oth_Ann_TO!M133*IFERROR(INDEX(M$194:M$195,DD_Sum_Tbls_Curr)/INDEX(M$194:M$195,$H200),0)</f>
        <v>1207600</v>
      </c>
      <c r="N186" s="5">
        <f>Oth_Ann_TO!N133*IFERROR(INDEX(N$194:N$195,DD_Sum_Tbls_Curr)/INDEX(N$194:N$195,$H200),0)</f>
        <v>1207600</v>
      </c>
      <c r="O186" s="5">
        <f>Oth_Ann_TO!O133*IFERROR(INDEX(O$194:O$195,DD_Sum_Tbls_Curr)/INDEX(O$194:O$195,$H200),0)</f>
        <v>1207600</v>
      </c>
    </row>
    <row r="187" spans="3:15" s="327" customFormat="1" outlineLevel="1" x14ac:dyDescent="0.2">
      <c r="D187" s="660" t="str">
        <f>Oth_Ann_TO!H153</f>
        <v>SME</v>
      </c>
      <c r="I187" s="5">
        <f ca="1">SUM(J187:O187)</f>
        <v>96600</v>
      </c>
      <c r="J187" s="5">
        <f ca="1">Oth_Ann_TO!J153*IFERROR(INDEX(J$194:J$195,DD_Sum_Tbls_Curr)/INDEX(J$194:J$195,$H201),0)</f>
        <v>18600</v>
      </c>
      <c r="K187" s="5">
        <f ca="1">Oth_Ann_TO!K153*IFERROR(INDEX(K$194:K$195,DD_Sum_Tbls_Curr)/INDEX(K$194:K$195,$H201),0)</f>
        <v>18600</v>
      </c>
      <c r="L187" s="5">
        <f ca="1">Oth_Ann_TO!L153*IFERROR(INDEX(L$194:L$195,DD_Sum_Tbls_Curr)/INDEX(L$194:L$195,$H201),0)</f>
        <v>18600</v>
      </c>
      <c r="M187" s="5">
        <f ca="1">Oth_Ann_TO!M153*IFERROR(INDEX(M$194:M$195,DD_Sum_Tbls_Curr)/INDEX(M$194:M$195,$H201),0)</f>
        <v>18600</v>
      </c>
      <c r="N187" s="5">
        <f ca="1">Oth_Ann_TO!N153*IFERROR(INDEX(N$194:N$195,DD_Sum_Tbls_Curr)/INDEX(N$194:N$195,$H201),0)</f>
        <v>18600</v>
      </c>
      <c r="O187" s="5">
        <f ca="1">Oth_Ann_TO!O153*IFERROR(INDEX(O$194:O$195,DD_Sum_Tbls_Curr)/INDEX(O$194:O$195,$H201),0)</f>
        <v>3600</v>
      </c>
    </row>
    <row r="188" spans="3:15" s="327" customFormat="1" outlineLevel="1" x14ac:dyDescent="0.2">
      <c r="D188" s="660" t="str">
        <f>Oth_Ann_TO!H171</f>
        <v>Other Costs</v>
      </c>
      <c r="I188" s="5">
        <f>SUM(J188:O188)</f>
        <v>0</v>
      </c>
      <c r="J188" s="5">
        <f>Oth_Ann_TO!J171*IFERROR(INDEX(J$194:J$195,DD_Sum_Tbls_Curr)/INDEX(J$194:J$195,$H202),0)</f>
        <v>0</v>
      </c>
      <c r="K188" s="5">
        <f>Oth_Ann_TO!K171*IFERROR(INDEX(K$194:K$195,DD_Sum_Tbls_Curr)/INDEX(K$194:K$195,$H202),0)</f>
        <v>0</v>
      </c>
      <c r="L188" s="5">
        <f>Oth_Ann_TO!L171*IFERROR(INDEX(L$194:L$195,DD_Sum_Tbls_Curr)/INDEX(L$194:L$195,$H202),0)</f>
        <v>0</v>
      </c>
      <c r="M188" s="5">
        <f>Oth_Ann_TO!M171*IFERROR(INDEX(M$194:M$195,DD_Sum_Tbls_Curr)/INDEX(M$194:M$195,$H202),0)</f>
        <v>0</v>
      </c>
      <c r="N188" s="5">
        <f>Oth_Ann_TO!N171*IFERROR(INDEX(N$194:N$195,DD_Sum_Tbls_Curr)/INDEX(N$194:N$195,$H202),0)</f>
        <v>0</v>
      </c>
      <c r="O188" s="5">
        <f>Oth_Ann_TO!O171*IFERROR(INDEX(O$194:O$195,DD_Sum_Tbls_Curr)/INDEX(O$194:O$195,$H202),0)</f>
        <v>0</v>
      </c>
    </row>
    <row r="189" spans="3:15" s="327" customFormat="1" x14ac:dyDescent="0.2">
      <c r="D189" s="659" t="str">
        <f>"Total "&amp;C181</f>
        <v>Total Economic Costs Programme (Non-Service Delivery) (USD)</v>
      </c>
      <c r="I189" s="25">
        <f t="shared" ref="I189:O189" ca="1" si="41">SUM(I184:I188)</f>
        <v>8557200</v>
      </c>
      <c r="J189" s="25">
        <f t="shared" ca="1" si="41"/>
        <v>1428700</v>
      </c>
      <c r="K189" s="25">
        <f t="shared" ca="1" si="41"/>
        <v>1428700</v>
      </c>
      <c r="L189" s="25">
        <f t="shared" ca="1" si="41"/>
        <v>1428700</v>
      </c>
      <c r="M189" s="25">
        <f t="shared" ca="1" si="41"/>
        <v>1428700</v>
      </c>
      <c r="N189" s="25">
        <f t="shared" ca="1" si="41"/>
        <v>1428700</v>
      </c>
      <c r="O189" s="25">
        <f t="shared" ca="1" si="41"/>
        <v>1413700</v>
      </c>
    </row>
    <row r="190" spans="3:15" s="327" customFormat="1" x14ac:dyDescent="0.2"/>
    <row r="191" spans="3:15" s="327" customFormat="1" ht="15.75" x14ac:dyDescent="0.2">
      <c r="C191" s="330" t="s">
        <v>212</v>
      </c>
    </row>
    <row r="192" spans="3:15" s="327" customFormat="1" outlineLevel="1" x14ac:dyDescent="0.2"/>
    <row r="193" spans="2:15" s="327" customFormat="1" ht="15" outlineLevel="1" x14ac:dyDescent="0.2">
      <c r="D193" s="658" t="s">
        <v>167</v>
      </c>
    </row>
    <row r="194" spans="2:15" s="327" customFormat="1" outlineLevel="1" x14ac:dyDescent="0.2">
      <c r="D194" s="660" t="str">
        <f>Econ_Ann_TA!D13</f>
        <v>USD</v>
      </c>
      <c r="J194" s="65">
        <f>Econ_Ann_TA!J13</f>
        <v>1</v>
      </c>
      <c r="K194" s="65">
        <f>Econ_Ann_TA!K13</f>
        <v>1</v>
      </c>
      <c r="L194" s="65">
        <f>Econ_Ann_TA!L13</f>
        <v>1</v>
      </c>
      <c r="M194" s="65">
        <f>Econ_Ann_TA!M13</f>
        <v>1</v>
      </c>
      <c r="N194" s="65">
        <f>Econ_Ann_TA!N13</f>
        <v>1</v>
      </c>
      <c r="O194" s="65">
        <f>Econ_Ann_TA!O13</f>
        <v>1</v>
      </c>
    </row>
    <row r="195" spans="2:15" s="327" customFormat="1" outlineLevel="1" x14ac:dyDescent="0.2">
      <c r="D195" s="660" t="str">
        <f>Econ_Ann_TA!D14</f>
        <v>ZMW</v>
      </c>
      <c r="J195" s="65">
        <f>Econ_Ann_TA!J14</f>
        <v>10.971399999999999</v>
      </c>
      <c r="K195" s="65">
        <f>Econ_Ann_TA!K14</f>
        <v>10.971399999999999</v>
      </c>
      <c r="L195" s="65">
        <f>Econ_Ann_TA!L14</f>
        <v>10.971399999999999</v>
      </c>
      <c r="M195" s="65">
        <f>Econ_Ann_TA!M14</f>
        <v>10.971399999999999</v>
      </c>
      <c r="N195" s="65">
        <f>Econ_Ann_TA!N14</f>
        <v>10.971399999999999</v>
      </c>
      <c r="O195" s="65">
        <f>Econ_Ann_TA!O14</f>
        <v>10.971399999999999</v>
      </c>
    </row>
    <row r="196" spans="2:15" s="327" customFormat="1" outlineLevel="1" x14ac:dyDescent="0.2"/>
    <row r="197" spans="2:15" s="327" customFormat="1" ht="15" outlineLevel="1" x14ac:dyDescent="0.2">
      <c r="D197" s="646" t="str">
        <f t="shared" ref="D197:D202" si="42">D173</f>
        <v>Activity</v>
      </c>
      <c r="H197" s="72" t="s">
        <v>234</v>
      </c>
    </row>
    <row r="198" spans="2:15" s="327" customFormat="1" outlineLevel="1" x14ac:dyDescent="0.2">
      <c r="D198" s="660" t="str">
        <f t="shared" si="42"/>
        <v>Microplanning</v>
      </c>
      <c r="H198" s="341">
        <f>Oth_Ann_TA!H14</f>
        <v>1</v>
      </c>
    </row>
    <row r="199" spans="2:15" s="327" customFormat="1" outlineLevel="1" x14ac:dyDescent="0.2">
      <c r="D199" s="660" t="str">
        <f t="shared" si="42"/>
        <v>Training</v>
      </c>
      <c r="H199" s="341">
        <f>Oth_Ann_TA!H60</f>
        <v>1</v>
      </c>
    </row>
    <row r="200" spans="2:15" s="327" customFormat="1" outlineLevel="1" x14ac:dyDescent="0.2">
      <c r="D200" s="660" t="str">
        <f t="shared" si="42"/>
        <v>Sensit/Mob&amp;Comm</v>
      </c>
      <c r="H200" s="341">
        <f>Oth_Ann_TA!H105</f>
        <v>1</v>
      </c>
    </row>
    <row r="201" spans="2:15" s="327" customFormat="1" outlineLevel="1" x14ac:dyDescent="0.2">
      <c r="D201" s="660" t="str">
        <f t="shared" si="42"/>
        <v>SME</v>
      </c>
      <c r="H201" s="341">
        <f>Oth_Ann_TA!H188</f>
        <v>1</v>
      </c>
    </row>
    <row r="202" spans="2:15" s="327" customFormat="1" outlineLevel="1" x14ac:dyDescent="0.2">
      <c r="D202" s="660" t="str">
        <f t="shared" si="42"/>
        <v>Other Costs</v>
      </c>
      <c r="H202" s="341">
        <f>Oth_Ann_TA!H262</f>
        <v>1</v>
      </c>
    </row>
    <row r="203" spans="2:15" s="327" customFormat="1" x14ac:dyDescent="0.2"/>
    <row r="204" spans="2:15" s="327" customFormat="1" x14ac:dyDescent="0.2"/>
    <row r="205" spans="2:15" s="327" customFormat="1" ht="18.75" x14ac:dyDescent="0.2">
      <c r="B205" s="426" t="s">
        <v>688</v>
      </c>
    </row>
    <row r="206" spans="2:15" s="327" customFormat="1" x14ac:dyDescent="0.2"/>
    <row r="207" spans="2:15" s="327" customFormat="1" ht="15.75" customHeight="1" x14ac:dyDescent="0.2">
      <c r="C207" s="330" t="s">
        <v>724</v>
      </c>
      <c r="H207" s="64">
        <v>1</v>
      </c>
    </row>
    <row r="208" spans="2:15" s="327" customFormat="1" x14ac:dyDescent="0.2"/>
    <row r="209" spans="3:9" s="327" customFormat="1" ht="15.75" x14ac:dyDescent="0.2">
      <c r="C209" s="26" t="str">
        <f>"Financial Initial Investment ("&amp;INDEX(LU_Init_Inv_Denom,DD_TS_Denom)&amp;")"</f>
        <v>Financial Initial Investment (USD)</v>
      </c>
    </row>
    <row r="210" spans="3:9" s="327" customFormat="1" ht="15" x14ac:dyDescent="0.2">
      <c r="D210" s="646" t="str">
        <f>D219</f>
        <v>Total Programme Introduction Activities - Financial</v>
      </c>
      <c r="H210" s="5">
        <f>H219</f>
        <v>4712400</v>
      </c>
    </row>
    <row r="211" spans="3:9" s="327" customFormat="1" ht="15" x14ac:dyDescent="0.2">
      <c r="D211" s="646" t="str">
        <f>D231</f>
        <v>Total Equipt Investment for Service Delivery - Financial</v>
      </c>
      <c r="H211" s="5">
        <f>I231</f>
        <v>2545814</v>
      </c>
    </row>
    <row r="212" spans="3:9" s="327" customFormat="1" ht="15" x14ac:dyDescent="0.2">
      <c r="D212" s="679" t="str">
        <f>"TOTAL "&amp;C209</f>
        <v>TOTAL Financial Initial Investment (USD)</v>
      </c>
      <c r="H212" s="25">
        <f>SUM(H210:H211)</f>
        <v>7258214</v>
      </c>
    </row>
    <row r="213" spans="3:9" s="327" customFormat="1" outlineLevel="1" x14ac:dyDescent="0.2"/>
    <row r="214" spans="3:9" s="327" customFormat="1" outlineLevel="1" x14ac:dyDescent="0.2"/>
    <row r="215" spans="3:9" s="327" customFormat="1" ht="15" outlineLevel="1" x14ac:dyDescent="0.2">
      <c r="D215" s="658" t="s">
        <v>727</v>
      </c>
    </row>
    <row r="216" spans="3:9" s="327" customFormat="1" outlineLevel="2" x14ac:dyDescent="0.2">
      <c r="D216" s="660" t="str">
        <f>D272</f>
        <v>Total Microplanning</v>
      </c>
      <c r="H216" s="5">
        <f>SUM(J272:O272)</f>
        <v>210000</v>
      </c>
    </row>
    <row r="217" spans="3:9" s="327" customFormat="1" outlineLevel="2" x14ac:dyDescent="0.2">
      <c r="D217" s="660" t="str">
        <f>D273</f>
        <v>Total Training</v>
      </c>
      <c r="H217" s="5">
        <f>SUM(J273:O273)</f>
        <v>0</v>
      </c>
    </row>
    <row r="218" spans="3:9" s="327" customFormat="1" outlineLevel="2" x14ac:dyDescent="0.2">
      <c r="D218" s="660" t="str">
        <f>D274</f>
        <v>Total Social Mobilization &amp; IEC</v>
      </c>
      <c r="H218" s="5">
        <f>SUM(J274:O274)</f>
        <v>4502400</v>
      </c>
    </row>
    <row r="219" spans="3:9" s="327" customFormat="1" outlineLevel="1" x14ac:dyDescent="0.2">
      <c r="D219" s="659" t="str">
        <f>"Total "&amp;D215</f>
        <v>Total Programme Introduction Activities - Financial</v>
      </c>
      <c r="H219" s="25">
        <f>SUM(H216:H218)</f>
        <v>4712400</v>
      </c>
    </row>
    <row r="220" spans="3:9" s="327" customFormat="1" outlineLevel="1" x14ac:dyDescent="0.2"/>
    <row r="221" spans="3:9" s="327" customFormat="1" ht="15" outlineLevel="1" x14ac:dyDescent="0.2">
      <c r="D221" s="658" t="s">
        <v>728</v>
      </c>
    </row>
    <row r="222" spans="3:9" s="327" customFormat="1" ht="30" outlineLevel="2" x14ac:dyDescent="0.2">
      <c r="D222" s="717" t="s">
        <v>726</v>
      </c>
      <c r="E222" s="717"/>
      <c r="F222" s="717"/>
      <c r="G222" s="229" t="s">
        <v>627</v>
      </c>
      <c r="H222" s="229" t="s">
        <v>176</v>
      </c>
      <c r="I222" s="72" t="s">
        <v>118</v>
      </c>
    </row>
    <row r="223" spans="3:9" s="327" customFormat="1" outlineLevel="2" x14ac:dyDescent="0.2">
      <c r="D223" s="719" t="str">
        <f t="shared" ref="D223:D230" si="43">D278</f>
        <v>VIA</v>
      </c>
      <c r="E223" s="719"/>
      <c r="F223" s="719"/>
      <c r="G223" s="5">
        <f>Screen_BA!L122*IFERROR(INDEX(J$309:J$310,DD_Init_Inv_Curr)/INDEX(J$309:J$310,$I317),0)</f>
        <v>2628</v>
      </c>
      <c r="H223" s="5">
        <f t="shared" ref="H223:H230" si="44">INDEX(J260:O260,TS_Term)</f>
        <v>50</v>
      </c>
      <c r="I223" s="5">
        <f t="shared" ref="I223:I230" si="45">G223*H223/TS_Denom_Conv_Fact</f>
        <v>131400</v>
      </c>
    </row>
    <row r="224" spans="3:9" s="327" customFormat="1" outlineLevel="2" x14ac:dyDescent="0.2">
      <c r="D224" s="715" t="str">
        <f t="shared" si="43"/>
        <v>BIOP-H</v>
      </c>
      <c r="E224" s="715"/>
      <c r="F224" s="715"/>
      <c r="G224" s="5">
        <f>Diag_BA!L107*IFERROR(INDEX(J$309:J$310,DD_Init_Inv_Curr)/INDEX(J$309:J$310,$I318),0)</f>
        <v>45</v>
      </c>
      <c r="H224" s="5">
        <f t="shared" si="44"/>
        <v>4</v>
      </c>
      <c r="I224" s="5">
        <f t="shared" si="45"/>
        <v>180</v>
      </c>
    </row>
    <row r="225" spans="3:9" s="327" customFormat="1" outlineLevel="2" x14ac:dyDescent="0.2">
      <c r="D225" s="715" t="str">
        <f t="shared" si="43"/>
        <v>Total Fin Costs [incl. Capex] (NonAnnualized) (USD)</v>
      </c>
      <c r="E225" s="715"/>
      <c r="F225" s="715"/>
      <c r="G225" s="5">
        <f>Intv_BA!L139*IFERROR(INDEX(J$309:J$310,DD_Init_Inv_Curr)/INDEX(J$309:J$310,$I319),0)</f>
        <v>500</v>
      </c>
      <c r="H225" s="5">
        <f t="shared" si="44"/>
        <v>31</v>
      </c>
      <c r="I225" s="5">
        <f t="shared" si="45"/>
        <v>15500</v>
      </c>
    </row>
    <row r="226" spans="3:9" s="327" customFormat="1" outlineLevel="2" x14ac:dyDescent="0.2">
      <c r="D226" s="715" t="str">
        <f t="shared" si="43"/>
        <v>Total Fin Costs [incl. Capex] (NonAnnualized) (USD)</v>
      </c>
      <c r="E226" s="715"/>
      <c r="F226" s="715"/>
      <c r="G226" s="5">
        <f>Intv_BA!L735*IFERROR(INDEX(J$309:J$310,DD_Init_Inv_Curr)/INDEX(J$309:J$310,$I320),0)</f>
        <v>8263</v>
      </c>
      <c r="H226" s="5">
        <f t="shared" si="44"/>
        <v>18</v>
      </c>
      <c r="I226" s="5">
        <f t="shared" si="45"/>
        <v>148734</v>
      </c>
    </row>
    <row r="227" spans="3:9" s="327" customFormat="1" outlineLevel="2" x14ac:dyDescent="0.2">
      <c r="D227" s="715" t="str">
        <f t="shared" si="43"/>
        <v>Total Fin Costs [incl. Capex] (NonAnnualized) (USD)</v>
      </c>
      <c r="E227" s="715"/>
      <c r="F227" s="715"/>
      <c r="G227" s="5">
        <f>Intv_BA!L2501*IFERROR(INDEX(J$309:J$310,DD_Init_Inv_Curr)/INDEX(J$309:J$310,$I321),0)</f>
        <v>0</v>
      </c>
      <c r="H227" s="5">
        <f t="shared" si="44"/>
        <v>4</v>
      </c>
      <c r="I227" s="5">
        <f t="shared" si="45"/>
        <v>0</v>
      </c>
    </row>
    <row r="228" spans="3:9" s="327" customFormat="1" outlineLevel="2" x14ac:dyDescent="0.2">
      <c r="D228" s="715" t="str">
        <f t="shared" si="43"/>
        <v>Total Fin Costs [incl. Capex] (NonAnnualized) (USD)</v>
      </c>
      <c r="E228" s="715"/>
      <c r="F228" s="715"/>
      <c r="G228" s="5">
        <f>Intv_BA!L1316*IFERROR(INDEX(J$309:J$310,DD_Init_Inv_Curr)/INDEX(J$309:J$310,$I322),0)</f>
        <v>0</v>
      </c>
      <c r="H228" s="5">
        <f t="shared" si="44"/>
        <v>3</v>
      </c>
      <c r="I228" s="5">
        <f t="shared" si="45"/>
        <v>0</v>
      </c>
    </row>
    <row r="229" spans="3:9" s="327" customFormat="1" outlineLevel="2" x14ac:dyDescent="0.2">
      <c r="D229" s="715" t="str">
        <f t="shared" si="43"/>
        <v>Total Fin Costs [incl. Capex] (NonAnnualized) (USD)</v>
      </c>
      <c r="E229" s="715"/>
      <c r="F229" s="715"/>
      <c r="G229" s="5">
        <f>Intv_BA!L1911*IFERROR(INDEX(J$309:J$310,DD_Init_Inv_Curr)/INDEX(J$309:J$310,$I323),0)</f>
        <v>750000</v>
      </c>
      <c r="H229" s="5">
        <f t="shared" si="44"/>
        <v>3</v>
      </c>
      <c r="I229" s="5">
        <f t="shared" si="45"/>
        <v>2250000</v>
      </c>
    </row>
    <row r="230" spans="3:9" s="327" customFormat="1" outlineLevel="2" x14ac:dyDescent="0.2">
      <c r="D230" s="715" t="str">
        <f t="shared" si="43"/>
        <v>Total Fin Costs [incl. Capex] (NonAnnualized) (USD)</v>
      </c>
      <c r="E230" s="715"/>
      <c r="F230" s="715"/>
      <c r="G230" s="5">
        <f>Intv_BA!L3081*IFERROR(INDEX(J$309:J$310,DD_Init_Inv_Curr)/INDEX(J$309:J$310,$I324),0)</f>
        <v>0</v>
      </c>
      <c r="H230" s="5">
        <f t="shared" si="44"/>
        <v>51</v>
      </c>
      <c r="I230" s="5">
        <f t="shared" si="45"/>
        <v>0</v>
      </c>
    </row>
    <row r="231" spans="3:9" s="327" customFormat="1" outlineLevel="1" x14ac:dyDescent="0.2">
      <c r="D231" s="718" t="str">
        <f>"Total "&amp;D221</f>
        <v>Total Equipt Investment for Service Delivery - Financial</v>
      </c>
      <c r="E231" s="718"/>
      <c r="F231" s="718"/>
      <c r="G231" s="14"/>
      <c r="H231" s="14"/>
      <c r="I231" s="25">
        <f>SUM(I223:I230)</f>
        <v>2545814</v>
      </c>
    </row>
    <row r="232" spans="3:9" s="327" customFormat="1" outlineLevel="1" x14ac:dyDescent="0.2"/>
    <row r="233" spans="3:9" s="327" customFormat="1" ht="15.75" x14ac:dyDescent="0.2">
      <c r="C233" s="26" t="str">
        <f>"Economic Initial Investment ("&amp;INDEX(LU_Init_Inv_Denom,DD_TS_Denom)&amp;")"</f>
        <v>Economic Initial Investment (USD)</v>
      </c>
    </row>
    <row r="234" spans="3:9" s="327" customFormat="1" ht="15" x14ac:dyDescent="0.2">
      <c r="D234" s="646" t="str">
        <f>D242</f>
        <v>Total Programme Introduction Activities - Economic (USD)</v>
      </c>
      <c r="I234" s="5">
        <f>H242</f>
        <v>6060600</v>
      </c>
    </row>
    <row r="235" spans="3:9" s="327" customFormat="1" ht="15" x14ac:dyDescent="0.2">
      <c r="D235" s="646" t="str">
        <f>D254</f>
        <v>Total Equipt Investment for Service Delivery - Economic (USD)</v>
      </c>
      <c r="I235" s="5">
        <f>I254</f>
        <v>2545814</v>
      </c>
    </row>
    <row r="236" spans="3:9" s="327" customFormat="1" ht="15" x14ac:dyDescent="0.2">
      <c r="D236" s="679" t="str">
        <f>"TOTAL "&amp;C233</f>
        <v>TOTAL Economic Initial Investment (USD)</v>
      </c>
      <c r="I236" s="25">
        <f>SUM(I234:I235)</f>
        <v>8606414</v>
      </c>
    </row>
    <row r="237" spans="3:9" s="327" customFormat="1" x14ac:dyDescent="0.2"/>
    <row r="238" spans="3:9" s="327" customFormat="1" ht="15" outlineLevel="1" x14ac:dyDescent="0.2">
      <c r="D238" s="679" t="str">
        <f>"Programme Introduction Activities - Economic ("&amp;INDEX(LU_Init_Inv_Denom,DD_TS_Denom)&amp;")"</f>
        <v>Programme Introduction Activities - Economic (USD)</v>
      </c>
    </row>
    <row r="239" spans="3:9" s="327" customFormat="1" outlineLevel="2" x14ac:dyDescent="0.2">
      <c r="D239" s="660" t="str">
        <f>D272</f>
        <v>Total Microplanning</v>
      </c>
      <c r="H239" s="5">
        <f>SUM(J292:O292)</f>
        <v>315000</v>
      </c>
    </row>
    <row r="240" spans="3:9" s="327" customFormat="1" outlineLevel="2" x14ac:dyDescent="0.2">
      <c r="D240" s="660" t="str">
        <f>D273</f>
        <v>Total Training</v>
      </c>
      <c r="H240" s="5">
        <f>SUM(J293:O293)</f>
        <v>0</v>
      </c>
    </row>
    <row r="241" spans="4:9" s="327" customFormat="1" outlineLevel="2" x14ac:dyDescent="0.2">
      <c r="D241" s="660" t="str">
        <f>D274</f>
        <v>Total Social Mobilization &amp; IEC</v>
      </c>
      <c r="H241" s="5">
        <f>SUM(J294:O294)</f>
        <v>5745600</v>
      </c>
    </row>
    <row r="242" spans="4:9" s="327" customFormat="1" ht="15" outlineLevel="1" x14ac:dyDescent="0.2">
      <c r="D242" s="233" t="str">
        <f>"Total "&amp;D238</f>
        <v>Total Programme Introduction Activities - Economic (USD)</v>
      </c>
      <c r="H242" s="25">
        <f>SUM(H239:H241)</f>
        <v>6060600</v>
      </c>
    </row>
    <row r="243" spans="4:9" s="327" customFormat="1" outlineLevel="1" x14ac:dyDescent="0.2"/>
    <row r="244" spans="4:9" s="327" customFormat="1" ht="15" outlineLevel="1" x14ac:dyDescent="0.2">
      <c r="D244" s="679" t="str">
        <f>"Equipt Investment for Service Delivery - Economic ("&amp;INDEX(LU_Init_Inv_Denom,DD_TS_Denom)&amp;")"</f>
        <v>Equipt Investment for Service Delivery - Economic (USD)</v>
      </c>
    </row>
    <row r="245" spans="4:9" s="327" customFormat="1" ht="30" outlineLevel="2" x14ac:dyDescent="0.2">
      <c r="D245" s="717" t="s">
        <v>726</v>
      </c>
      <c r="E245" s="717"/>
      <c r="F245" s="717"/>
      <c r="G245" s="229" t="s">
        <v>627</v>
      </c>
      <c r="H245" s="229" t="s">
        <v>176</v>
      </c>
      <c r="I245" s="72" t="s">
        <v>119</v>
      </c>
    </row>
    <row r="246" spans="4:9" s="327" customFormat="1" outlineLevel="2" x14ac:dyDescent="0.2">
      <c r="D246" s="660" t="str">
        <f t="shared" ref="D246:D253" si="46">D278</f>
        <v>VIA</v>
      </c>
      <c r="G246" s="5">
        <f t="shared" ref="G246:G253" si="47">G223</f>
        <v>2628</v>
      </c>
      <c r="H246" s="5">
        <f t="shared" ref="H246:H253" si="48">INDEX(J260:O260,TS_Term)</f>
        <v>50</v>
      </c>
      <c r="I246" s="5">
        <f t="shared" ref="I246:I253" si="49">G223*H223/TS_Denom_Conv_Fact</f>
        <v>131400</v>
      </c>
    </row>
    <row r="247" spans="4:9" s="327" customFormat="1" outlineLevel="2" x14ac:dyDescent="0.2">
      <c r="D247" s="660" t="str">
        <f t="shared" si="46"/>
        <v>BIOP-H</v>
      </c>
      <c r="G247" s="5">
        <f t="shared" si="47"/>
        <v>45</v>
      </c>
      <c r="H247" s="5">
        <f t="shared" si="48"/>
        <v>4</v>
      </c>
      <c r="I247" s="5">
        <f t="shared" si="49"/>
        <v>180</v>
      </c>
    </row>
    <row r="248" spans="4:9" s="327" customFormat="1" outlineLevel="2" x14ac:dyDescent="0.2">
      <c r="D248" s="660" t="str">
        <f t="shared" si="46"/>
        <v>Total Fin Costs [incl. Capex] (NonAnnualized) (USD)</v>
      </c>
      <c r="G248" s="5">
        <f t="shared" si="47"/>
        <v>500</v>
      </c>
      <c r="H248" s="5">
        <f t="shared" si="48"/>
        <v>31</v>
      </c>
      <c r="I248" s="5">
        <f t="shared" si="49"/>
        <v>15500</v>
      </c>
    </row>
    <row r="249" spans="4:9" s="327" customFormat="1" outlineLevel="2" x14ac:dyDescent="0.2">
      <c r="D249" s="660" t="str">
        <f t="shared" si="46"/>
        <v>Total Fin Costs [incl. Capex] (NonAnnualized) (USD)</v>
      </c>
      <c r="G249" s="5">
        <f t="shared" si="47"/>
        <v>8263</v>
      </c>
      <c r="H249" s="5">
        <f t="shared" si="48"/>
        <v>18</v>
      </c>
      <c r="I249" s="5">
        <f t="shared" si="49"/>
        <v>148734</v>
      </c>
    </row>
    <row r="250" spans="4:9" s="327" customFormat="1" outlineLevel="2" x14ac:dyDescent="0.2">
      <c r="D250" s="660" t="str">
        <f t="shared" si="46"/>
        <v>Total Fin Costs [incl. Capex] (NonAnnualized) (USD)</v>
      </c>
      <c r="G250" s="5">
        <f t="shared" si="47"/>
        <v>0</v>
      </c>
      <c r="H250" s="5">
        <f t="shared" si="48"/>
        <v>4</v>
      </c>
      <c r="I250" s="5">
        <f t="shared" si="49"/>
        <v>0</v>
      </c>
    </row>
    <row r="251" spans="4:9" s="327" customFormat="1" outlineLevel="2" x14ac:dyDescent="0.2">
      <c r="D251" s="660" t="str">
        <f t="shared" si="46"/>
        <v>Total Fin Costs [incl. Capex] (NonAnnualized) (USD)</v>
      </c>
      <c r="G251" s="5">
        <f t="shared" si="47"/>
        <v>0</v>
      </c>
      <c r="H251" s="5">
        <f t="shared" si="48"/>
        <v>3</v>
      </c>
      <c r="I251" s="5">
        <f t="shared" si="49"/>
        <v>0</v>
      </c>
    </row>
    <row r="252" spans="4:9" s="327" customFormat="1" outlineLevel="2" x14ac:dyDescent="0.2">
      <c r="D252" s="660" t="str">
        <f t="shared" si="46"/>
        <v>Total Fin Costs [incl. Capex] (NonAnnualized) (USD)</v>
      </c>
      <c r="G252" s="5">
        <f t="shared" si="47"/>
        <v>750000</v>
      </c>
      <c r="H252" s="5">
        <f t="shared" si="48"/>
        <v>3</v>
      </c>
      <c r="I252" s="5">
        <f t="shared" si="49"/>
        <v>2250000</v>
      </c>
    </row>
    <row r="253" spans="4:9" s="327" customFormat="1" outlineLevel="2" x14ac:dyDescent="0.2">
      <c r="D253" s="660" t="str">
        <f t="shared" si="46"/>
        <v>Total Fin Costs [incl. Capex] (NonAnnualized) (USD)</v>
      </c>
      <c r="G253" s="5">
        <f t="shared" si="47"/>
        <v>0</v>
      </c>
      <c r="H253" s="5">
        <f t="shared" si="48"/>
        <v>51</v>
      </c>
      <c r="I253" s="5">
        <f t="shared" si="49"/>
        <v>0</v>
      </c>
    </row>
    <row r="254" spans="4:9" s="327" customFormat="1" ht="15" outlineLevel="1" x14ac:dyDescent="0.2">
      <c r="D254" s="679" t="str">
        <f>"Total "&amp;D244</f>
        <v>Total Equipt Investment for Service Delivery - Economic (USD)</v>
      </c>
      <c r="G254" s="5"/>
      <c r="H254" s="5"/>
      <c r="I254" s="25">
        <f>SUM(I246:I253)</f>
        <v>2545814</v>
      </c>
    </row>
    <row r="255" spans="4:9" s="327" customFormat="1" outlineLevel="1" x14ac:dyDescent="0.2"/>
    <row r="256" spans="4:9" s="327" customFormat="1" x14ac:dyDescent="0.2"/>
    <row r="257" spans="3:15" s="327" customFormat="1" ht="15.75" x14ac:dyDescent="0.2">
      <c r="C257" s="330" t="s">
        <v>177</v>
      </c>
    </row>
    <row r="258" spans="3:15" s="327" customFormat="1" outlineLevel="1" x14ac:dyDescent="0.2"/>
    <row r="259" spans="3:15" s="327" customFormat="1" ht="15" outlineLevel="1" x14ac:dyDescent="0.2">
      <c r="D259" s="658" t="s">
        <v>144</v>
      </c>
    </row>
    <row r="260" spans="3:15" s="327" customFormat="1" outlineLevel="1" x14ac:dyDescent="0.2">
      <c r="D260" s="660" t="str">
        <f>Screen_Ann_TO!D183</f>
        <v>Total Active Facilities (VIA)</v>
      </c>
      <c r="J260" s="5">
        <f>Screen_Ann_TO!J183</f>
        <v>50</v>
      </c>
      <c r="K260" s="5">
        <f>Screen_Ann_TO!K183</f>
        <v>50</v>
      </c>
      <c r="L260" s="5">
        <f>Screen_Ann_TO!L183</f>
        <v>50</v>
      </c>
      <c r="M260" s="5">
        <f>Screen_Ann_TO!M183</f>
        <v>50</v>
      </c>
      <c r="N260" s="5">
        <f>Screen_Ann_TO!N183</f>
        <v>50</v>
      </c>
      <c r="O260" s="5">
        <f>Screen_Ann_TO!O183</f>
        <v>50</v>
      </c>
    </row>
    <row r="261" spans="3:15" s="327" customFormat="1" outlineLevel="1" x14ac:dyDescent="0.2">
      <c r="D261" s="660" t="str">
        <f>Diag_Ann_TO!D199</f>
        <v>Total Active Facilities (BIOP-H)</v>
      </c>
      <c r="J261" s="5">
        <f>Diag_Ann_TO!J199</f>
        <v>4</v>
      </c>
      <c r="K261" s="5">
        <f>Diag_Ann_TO!K199</f>
        <v>4</v>
      </c>
      <c r="L261" s="5">
        <f>Diag_Ann_TO!L199</f>
        <v>4</v>
      </c>
      <c r="M261" s="5">
        <f>Diag_Ann_TO!M199</f>
        <v>4</v>
      </c>
      <c r="N261" s="5">
        <f>Diag_Ann_TO!N199</f>
        <v>4</v>
      </c>
      <c r="O261" s="5">
        <f>Diag_Ann_TO!O199</f>
        <v>4</v>
      </c>
    </row>
    <row r="262" spans="3:15" s="327" customFormat="1" outlineLevel="1" x14ac:dyDescent="0.2">
      <c r="D262" s="660" t="str">
        <f>Intv_Ann_TO!D202</f>
        <v>Total Active Facilities Offering Cryo -SV (Cryo -SV)</v>
      </c>
      <c r="J262" s="5">
        <f>Intv_Ann_TO!J202</f>
        <v>31</v>
      </c>
      <c r="K262" s="5">
        <f>Intv_Ann_TO!K202</f>
        <v>31</v>
      </c>
      <c r="L262" s="5">
        <f>Intv_Ann_TO!L202</f>
        <v>31</v>
      </c>
      <c r="M262" s="5">
        <f>Intv_Ann_TO!M202</f>
        <v>31</v>
      </c>
      <c r="N262" s="5">
        <f>Intv_Ann_TO!N202</f>
        <v>31</v>
      </c>
      <c r="O262" s="5">
        <f>Intv_Ann_TO!O202</f>
        <v>31</v>
      </c>
    </row>
    <row r="263" spans="3:15" s="327" customFormat="1" outlineLevel="1" x14ac:dyDescent="0.2">
      <c r="D263" s="660" t="str">
        <f>Intv_Ann_TO!D609</f>
        <v>Total Active Facilities Offering LEEP with BIOP-H (LEEP with BIOP-H)</v>
      </c>
      <c r="J263" s="5">
        <f>Intv_Ann_TO!J609</f>
        <v>18</v>
      </c>
      <c r="K263" s="5">
        <f>Intv_Ann_TO!K609</f>
        <v>18</v>
      </c>
      <c r="L263" s="5">
        <f>Intv_Ann_TO!L609</f>
        <v>18</v>
      </c>
      <c r="M263" s="5">
        <f>Intv_Ann_TO!M609</f>
        <v>18</v>
      </c>
      <c r="N263" s="5">
        <f>Intv_Ann_TO!N609</f>
        <v>18</v>
      </c>
      <c r="O263" s="5">
        <f>Intv_Ann_TO!O609</f>
        <v>18</v>
      </c>
    </row>
    <row r="264" spans="3:15" s="327" customFormat="1" outlineLevel="1" x14ac:dyDescent="0.2">
      <c r="D264" s="660" t="str">
        <f>Intv_Ann_TO!D1016</f>
        <v>Total Active Facilities Offering SURG (SURG)</v>
      </c>
      <c r="J264" s="5">
        <f>Intv_Ann_TO!J1016</f>
        <v>4</v>
      </c>
      <c r="K264" s="5">
        <f>Intv_Ann_TO!K1016</f>
        <v>4</v>
      </c>
      <c r="L264" s="5">
        <f>Intv_Ann_TO!L1016</f>
        <v>4</v>
      </c>
      <c r="M264" s="5">
        <f>Intv_Ann_TO!M1016</f>
        <v>4</v>
      </c>
      <c r="N264" s="5">
        <f>Intv_Ann_TO!N1016</f>
        <v>4</v>
      </c>
      <c r="O264" s="5">
        <f>Intv_Ann_TO!O1016</f>
        <v>4</v>
      </c>
    </row>
    <row r="265" spans="3:15" s="327" customFormat="1" outlineLevel="1" x14ac:dyDescent="0.2">
      <c r="D265" s="660" t="str">
        <f>Intv_Ann_TO!D1423</f>
        <v>Total Active Facilities Offering Chemo (Chemo)</v>
      </c>
      <c r="J265" s="5">
        <f>Intv_Ann_TO!J1423</f>
        <v>1</v>
      </c>
      <c r="K265" s="5">
        <f>Intv_Ann_TO!K1423</f>
        <v>1</v>
      </c>
      <c r="L265" s="5">
        <f>Intv_Ann_TO!L1423</f>
        <v>1</v>
      </c>
      <c r="M265" s="5">
        <f>Intv_Ann_TO!M1423</f>
        <v>1</v>
      </c>
      <c r="N265" s="5">
        <f>Intv_Ann_TO!N1423</f>
        <v>3</v>
      </c>
      <c r="O265" s="5">
        <f>Intv_Ann_TO!O1423</f>
        <v>3</v>
      </c>
    </row>
    <row r="266" spans="3:15" s="327" customFormat="1" outlineLevel="1" x14ac:dyDescent="0.2">
      <c r="D266" s="660" t="str">
        <f>Intv_Ann_TO!D1830</f>
        <v>Total Active Facilities Offering RADIO (RADIO)</v>
      </c>
      <c r="J266" s="5">
        <f>Intv_Ann_TO!J1830</f>
        <v>1</v>
      </c>
      <c r="K266" s="5">
        <f>Intv_Ann_TO!K1830</f>
        <v>1</v>
      </c>
      <c r="L266" s="5">
        <f>Intv_Ann_TO!L1830</f>
        <v>1</v>
      </c>
      <c r="M266" s="5">
        <f>Intv_Ann_TO!M1830</f>
        <v>1</v>
      </c>
      <c r="N266" s="5">
        <f>Intv_Ann_TO!N1830</f>
        <v>3</v>
      </c>
      <c r="O266" s="5">
        <f>Intv_Ann_TO!O1830</f>
        <v>3</v>
      </c>
    </row>
    <row r="267" spans="3:15" s="327" customFormat="1" outlineLevel="1" x14ac:dyDescent="0.2">
      <c r="D267" s="660" t="str">
        <f>Intv_Ann_TO!D2237</f>
        <v>Total Active Facilities Offering PALL (PALL)</v>
      </c>
      <c r="J267" s="5">
        <f>Intv_Ann_TO!J2237</f>
        <v>5</v>
      </c>
      <c r="K267" s="5">
        <f>Intv_Ann_TO!K2237</f>
        <v>15</v>
      </c>
      <c r="L267" s="5">
        <f>Intv_Ann_TO!L2237</f>
        <v>24</v>
      </c>
      <c r="M267" s="5">
        <f>Intv_Ann_TO!M2237</f>
        <v>33</v>
      </c>
      <c r="N267" s="5">
        <f>Intv_Ann_TO!N2237</f>
        <v>42</v>
      </c>
      <c r="O267" s="5">
        <f>Intv_Ann_TO!O2237</f>
        <v>51</v>
      </c>
    </row>
    <row r="268" spans="3:15" s="327" customFormat="1" x14ac:dyDescent="0.2"/>
    <row r="269" spans="3:15" s="327" customFormat="1" ht="15.75" x14ac:dyDescent="0.2">
      <c r="C269" s="26" t="str">
        <f>"Initial Investment by Activity and Year ("&amp;INDEX(LU_Init_Inv_Denom,DD_TS_Denom)&amp;")"</f>
        <v>Initial Investment by Activity and Year (USD)</v>
      </c>
    </row>
    <row r="270" spans="3:15" s="327" customFormat="1" ht="15.75" x14ac:dyDescent="0.2">
      <c r="D270" s="26" t="str">
        <f>"Financial Costs ("&amp;INDEX(LU_Init_Inv_Denom,DD_TS_Denom)&amp;")"</f>
        <v>Financial Costs (USD)</v>
      </c>
    </row>
    <row r="271" spans="3:15" s="327" customFormat="1" ht="15" outlineLevel="1" x14ac:dyDescent="0.2">
      <c r="D271" s="658" t="s">
        <v>89</v>
      </c>
      <c r="I271" s="228" t="s">
        <v>415</v>
      </c>
    </row>
    <row r="272" spans="3:15" s="327" customFormat="1" outlineLevel="1" x14ac:dyDescent="0.2">
      <c r="D272" s="660" t="str">
        <f>D339</f>
        <v>Total Microplanning</v>
      </c>
      <c r="I272" s="25">
        <f>SUM(J272:O272)</f>
        <v>210000</v>
      </c>
      <c r="J272" s="5">
        <f t="shared" ref="J272:O272" si="50">J339*IFERROR(INDEX(J$309:J$310,DD_Init_Inv_Curr)/INDEX(J$309:J$310,$H$314),0)</f>
        <v>35000</v>
      </c>
      <c r="K272" s="5">
        <f t="shared" si="50"/>
        <v>35000</v>
      </c>
      <c r="L272" s="5">
        <f t="shared" si="50"/>
        <v>35000</v>
      </c>
      <c r="M272" s="5">
        <f t="shared" si="50"/>
        <v>35000</v>
      </c>
      <c r="N272" s="5">
        <f t="shared" si="50"/>
        <v>35000</v>
      </c>
      <c r="O272" s="5">
        <f t="shared" si="50"/>
        <v>35000</v>
      </c>
    </row>
    <row r="273" spans="4:15" s="327" customFormat="1" outlineLevel="1" x14ac:dyDescent="0.2">
      <c r="D273" s="660" t="str">
        <f>D349</f>
        <v>Total Training</v>
      </c>
      <c r="I273" s="25">
        <f>SUM(J273:O273)</f>
        <v>0</v>
      </c>
      <c r="J273" s="5">
        <f t="shared" ref="J273:O273" si="51">J349*IFERROR(INDEX(J$309:J$310,DD_Init_Inv_Curr)/INDEX(J$309:J$310,$H$314),0)</f>
        <v>0</v>
      </c>
      <c r="K273" s="5">
        <f t="shared" si="51"/>
        <v>0</v>
      </c>
      <c r="L273" s="5">
        <f t="shared" si="51"/>
        <v>0</v>
      </c>
      <c r="M273" s="5">
        <f t="shared" si="51"/>
        <v>0</v>
      </c>
      <c r="N273" s="5">
        <f t="shared" si="51"/>
        <v>0</v>
      </c>
      <c r="O273" s="5">
        <f t="shared" si="51"/>
        <v>0</v>
      </c>
    </row>
    <row r="274" spans="4:15" s="327" customFormat="1" outlineLevel="1" x14ac:dyDescent="0.2">
      <c r="D274" s="660" t="str">
        <f>D354</f>
        <v>Total Social Mobilization &amp; IEC</v>
      </c>
      <c r="I274" s="25">
        <f>SUM(J274:O274)</f>
        <v>4502400</v>
      </c>
      <c r="J274" s="5">
        <f t="shared" ref="J274:O274" si="52">J354*IFERROR(INDEX(J$309:J$310,DD_Init_Inv_Curr)/INDEX(J$309:J$310,$H$314),0)</f>
        <v>750400</v>
      </c>
      <c r="K274" s="5">
        <f t="shared" si="52"/>
        <v>750400</v>
      </c>
      <c r="L274" s="5">
        <f t="shared" si="52"/>
        <v>750400</v>
      </c>
      <c r="M274" s="5">
        <f t="shared" si="52"/>
        <v>750400</v>
      </c>
      <c r="N274" s="5">
        <f t="shared" si="52"/>
        <v>750400</v>
      </c>
      <c r="O274" s="5">
        <f t="shared" si="52"/>
        <v>750400</v>
      </c>
    </row>
    <row r="275" spans="4:15" s="327" customFormat="1" x14ac:dyDescent="0.2">
      <c r="D275" s="659" t="str">
        <f>"Total "&amp;D270&amp;""</f>
        <v>Total Financial Costs (USD)</v>
      </c>
      <c r="I275" s="28">
        <f t="shared" ref="I275:O275" si="53">SUM(I272:I274)</f>
        <v>4712400</v>
      </c>
      <c r="J275" s="5">
        <f t="shared" si="53"/>
        <v>785400</v>
      </c>
      <c r="K275" s="5">
        <f t="shared" si="53"/>
        <v>785400</v>
      </c>
      <c r="L275" s="5">
        <f t="shared" si="53"/>
        <v>785400</v>
      </c>
      <c r="M275" s="5">
        <f t="shared" si="53"/>
        <v>785400</v>
      </c>
      <c r="N275" s="5">
        <f t="shared" si="53"/>
        <v>785400</v>
      </c>
      <c r="O275" s="5">
        <f t="shared" si="53"/>
        <v>785400</v>
      </c>
    </row>
    <row r="276" spans="4:15" s="327" customFormat="1" x14ac:dyDescent="0.2"/>
    <row r="277" spans="4:15" s="327" customFormat="1" ht="15" outlineLevel="1" x14ac:dyDescent="0.2">
      <c r="D277" s="658" t="s">
        <v>798</v>
      </c>
      <c r="I277" s="228" t="s">
        <v>415</v>
      </c>
    </row>
    <row r="278" spans="4:15" s="327" customFormat="1" outlineLevel="1" x14ac:dyDescent="0.2">
      <c r="D278" s="660" t="str">
        <f>Screen_Ann_TO!H393</f>
        <v>VIA</v>
      </c>
      <c r="I278" s="25" t="str">
        <f>Screen_Ann_TO!H393</f>
        <v>VIA</v>
      </c>
      <c r="J278" s="5">
        <f ca="1">Screen_Ann_TO!J393*IFERROR(INDEX(J$309:J$310,DD_Init_Inv_Curr)/INDEX(J$309:J$310,$I317),0)</f>
        <v>83335.928896240002</v>
      </c>
      <c r="K278" s="5">
        <f ca="1">Screen_Ann_TO!K393*IFERROR(INDEX(K$309:K$310,DD_Init_Inv_Curr)/INDEX(K$309:K$310,$I317),0)</f>
        <v>83335.928896240002</v>
      </c>
      <c r="L278" s="5">
        <f ca="1">Screen_Ann_TO!L393*IFERROR(INDEX(L$309:L$310,DD_Init_Inv_Curr)/INDEX(L$309:L$310,$I317),0)</f>
        <v>83335.928896240002</v>
      </c>
      <c r="M278" s="5">
        <f ca="1">Screen_Ann_TO!M393*IFERROR(INDEX(M$309:M$310,DD_Init_Inv_Curr)/INDEX(M$309:M$310,$I317),0)</f>
        <v>83335.928896240002</v>
      </c>
      <c r="N278" s="5">
        <f ca="1">Screen_Ann_TO!N393*IFERROR(INDEX(N$309:N$310,DD_Init_Inv_Curr)/INDEX(N$309:N$310,$I317),0)</f>
        <v>83335.928896240002</v>
      </c>
      <c r="O278" s="5">
        <f ca="1">Screen_Ann_TO!O393*IFERROR(INDEX(O$309:O$310,DD_Init_Inv_Curr)/INDEX(O$309:O$310,$I317),0)</f>
        <v>83335.928896240002</v>
      </c>
    </row>
    <row r="279" spans="4:15" s="327" customFormat="1" outlineLevel="1" x14ac:dyDescent="0.2">
      <c r="D279" s="660" t="str">
        <f>Diag_Ann_TO!H400</f>
        <v>BIOP-H</v>
      </c>
      <c r="I279" s="25" t="str">
        <f>Diag_Ann_TO!H400</f>
        <v>BIOP-H</v>
      </c>
      <c r="J279" s="5">
        <f ca="1">Diag_Ann_TO!J400*IFERROR(INDEX(J$309:J$310,DD_Init_Inv_Curr)/INDEX(J$309:J$310,$I318),0)</f>
        <v>5500.4346649999998</v>
      </c>
      <c r="K279" s="5">
        <f ca="1">Diag_Ann_TO!K400*IFERROR(INDEX(K$309:K$310,DD_Init_Inv_Curr)/INDEX(K$309:K$310,$I318),0)</f>
        <v>5320.4346649999998</v>
      </c>
      <c r="L279" s="5">
        <f ca="1">Diag_Ann_TO!L400*IFERROR(INDEX(L$309:L$310,DD_Init_Inv_Curr)/INDEX(L$309:L$310,$I318),0)</f>
        <v>5320.4346649999998</v>
      </c>
      <c r="M279" s="5">
        <f ca="1">Diag_Ann_TO!M400*IFERROR(INDEX(M$309:M$310,DD_Init_Inv_Curr)/INDEX(M$309:M$310,$I318),0)</f>
        <v>5320.4346649999998</v>
      </c>
      <c r="N279" s="5">
        <f ca="1">Diag_Ann_TO!N400*IFERROR(INDEX(N$309:N$310,DD_Init_Inv_Curr)/INDEX(N$309:N$310,$I318),0)</f>
        <v>5320.4346649999998</v>
      </c>
      <c r="O279" s="5">
        <f ca="1">Diag_Ann_TO!O400*IFERROR(INDEX(O$309:O$310,DD_Init_Inv_Curr)/INDEX(O$309:O$310,$I318),0)</f>
        <v>5320.4346649999998</v>
      </c>
    </row>
    <row r="280" spans="4:15" s="327" customFormat="1" outlineLevel="1" x14ac:dyDescent="0.2">
      <c r="D280" s="660" t="str">
        <f>Intv_Ann_TO!D407</f>
        <v>Total Fin Costs [incl. Capex] (NonAnnualized) (USD)</v>
      </c>
      <c r="I280" s="25" t="str">
        <f>Intv_Ann_TO!H407</f>
        <v>Cryo -SV</v>
      </c>
      <c r="J280" s="5">
        <f ca="1">Intv_Ann_TO!J407</f>
        <v>335995.33100000006</v>
      </c>
      <c r="K280" s="5">
        <f ca="1">Intv_Ann_TO!K407</f>
        <v>320495.33100000006</v>
      </c>
      <c r="L280" s="5">
        <f ca="1">Intv_Ann_TO!L407</f>
        <v>320495.33100000006</v>
      </c>
      <c r="M280" s="5">
        <f ca="1">Intv_Ann_TO!M407</f>
        <v>320495.33100000006</v>
      </c>
      <c r="N280" s="5">
        <f ca="1">Intv_Ann_TO!N407</f>
        <v>320495.33100000006</v>
      </c>
      <c r="O280" s="5">
        <f ca="1">Intv_Ann_TO!O407</f>
        <v>320495.33100000006</v>
      </c>
    </row>
    <row r="281" spans="4:15" s="327" customFormat="1" outlineLevel="1" x14ac:dyDescent="0.2">
      <c r="D281" s="660" t="str">
        <f>Intv_Ann_TO!D814</f>
        <v>Total Fin Costs [incl. Capex] (NonAnnualized) (USD)</v>
      </c>
      <c r="I281" s="25" t="str">
        <f>Intv_Ann_TO!H814</f>
        <v>LEEP with BIOP-H</v>
      </c>
      <c r="J281" s="5">
        <f ca="1">Intv_Ann_TO!J814</f>
        <v>348976.70247733331</v>
      </c>
      <c r="K281" s="5">
        <f ca="1">Intv_Ann_TO!K814</f>
        <v>200242.70247733331</v>
      </c>
      <c r="L281" s="5">
        <f ca="1">Intv_Ann_TO!L814</f>
        <v>200242.70247733331</v>
      </c>
      <c r="M281" s="5">
        <f ca="1">Intv_Ann_TO!M814</f>
        <v>200242.70247733331</v>
      </c>
      <c r="N281" s="5">
        <f ca="1">Intv_Ann_TO!N814</f>
        <v>200242.70247733331</v>
      </c>
      <c r="O281" s="5">
        <f ca="1">Intv_Ann_TO!O814</f>
        <v>200242.70247733331</v>
      </c>
    </row>
    <row r="282" spans="4:15" s="327" customFormat="1" outlineLevel="1" x14ac:dyDescent="0.2">
      <c r="D282" s="660" t="str">
        <f>Intv_Ann_TO!D1221</f>
        <v>Total Fin Costs [incl. Capex] (NonAnnualized) (USD)</v>
      </c>
      <c r="I282" s="25" t="str">
        <f>Intv_Ann_TO!H1221</f>
        <v>SURG</v>
      </c>
      <c r="J282" s="5">
        <f ca="1">Intv_Ann_TO!J1221</f>
        <v>0</v>
      </c>
      <c r="K282" s="5">
        <f ca="1">Intv_Ann_TO!K1221</f>
        <v>0</v>
      </c>
      <c r="L282" s="5">
        <f ca="1">Intv_Ann_TO!L1221</f>
        <v>0</v>
      </c>
      <c r="M282" s="5">
        <f ca="1">Intv_Ann_TO!M1221</f>
        <v>0</v>
      </c>
      <c r="N282" s="5">
        <f ca="1">Intv_Ann_TO!N1221</f>
        <v>0</v>
      </c>
      <c r="O282" s="5">
        <f ca="1">Intv_Ann_TO!O1221</f>
        <v>0</v>
      </c>
    </row>
    <row r="283" spans="4:15" s="327" customFormat="1" outlineLevel="1" x14ac:dyDescent="0.2">
      <c r="D283" s="660" t="str">
        <f>Intv_Ann_TO!D1628</f>
        <v>Total Fin Costs [incl. Capex] (NonAnnualized) (USD)</v>
      </c>
      <c r="I283" s="25" t="str">
        <f>Intv_Ann_TO!H1628</f>
        <v>Chemo</v>
      </c>
      <c r="J283" s="5">
        <f ca="1">Intv_Ann_TO!J1628</f>
        <v>30928.904999999999</v>
      </c>
      <c r="K283" s="5">
        <f ca="1">Intv_Ann_TO!K1628</f>
        <v>30928.904999999999</v>
      </c>
      <c r="L283" s="5">
        <f ca="1">Intv_Ann_TO!L1628</f>
        <v>30928.904999999999</v>
      </c>
      <c r="M283" s="5">
        <f ca="1">Intv_Ann_TO!M1628</f>
        <v>30928.904999999999</v>
      </c>
      <c r="N283" s="5">
        <f ca="1">Intv_Ann_TO!N1628</f>
        <v>30928.904999999999</v>
      </c>
      <c r="O283" s="5">
        <f ca="1">Intv_Ann_TO!O1628</f>
        <v>30928.904999999999</v>
      </c>
    </row>
    <row r="284" spans="4:15" s="327" customFormat="1" outlineLevel="1" x14ac:dyDescent="0.2">
      <c r="D284" s="660" t="str">
        <f>Intv_Ann_TO!D2035</f>
        <v>Total Fin Costs [incl. Capex] (NonAnnualized) (USD)</v>
      </c>
      <c r="I284" s="25" t="str">
        <f>Intv_Ann_TO!H2035</f>
        <v>RADIO</v>
      </c>
      <c r="J284" s="5">
        <f ca="1">Intv_Ann_TO!J2035</f>
        <v>754705.84247999999</v>
      </c>
      <c r="K284" s="5">
        <f ca="1">Intv_Ann_TO!K2035</f>
        <v>4705.8424800000003</v>
      </c>
      <c r="L284" s="5">
        <f ca="1">Intv_Ann_TO!L2035</f>
        <v>4705.8424800000003</v>
      </c>
      <c r="M284" s="5">
        <f ca="1">Intv_Ann_TO!M2035</f>
        <v>4705.8424800000003</v>
      </c>
      <c r="N284" s="5">
        <f ca="1">Intv_Ann_TO!N2035</f>
        <v>1504726.48214</v>
      </c>
      <c r="O284" s="5">
        <f ca="1">Intv_Ann_TO!O2035</f>
        <v>4726.4821400000001</v>
      </c>
    </row>
    <row r="285" spans="4:15" s="327" customFormat="1" outlineLevel="1" x14ac:dyDescent="0.2">
      <c r="D285" s="660" t="str">
        <f>Intv_Ann_TO!D2442</f>
        <v>Total Fin Costs [incl. Capex] (NonAnnualized) (USD)</v>
      </c>
      <c r="I285" s="25" t="str">
        <f>Intv_Ann_TO!H2442</f>
        <v>PALL</v>
      </c>
      <c r="J285" s="5">
        <f ca="1">Intv_Ann_TO!J2442</f>
        <v>56328.746112000001</v>
      </c>
      <c r="K285" s="5">
        <f ca="1">Intv_Ann_TO!K2442</f>
        <v>56328.746112000001</v>
      </c>
      <c r="L285" s="5">
        <f ca="1">Intv_Ann_TO!L2442</f>
        <v>56328.746112000001</v>
      </c>
      <c r="M285" s="5">
        <f ca="1">Intv_Ann_TO!M2442</f>
        <v>56328.746112000001</v>
      </c>
      <c r="N285" s="5">
        <f ca="1">Intv_Ann_TO!N2442</f>
        <v>56328.746112000001</v>
      </c>
      <c r="O285" s="5">
        <f ca="1">Intv_Ann_TO!O2442</f>
        <v>56328.746112000001</v>
      </c>
    </row>
    <row r="286" spans="4:15" s="327" customFormat="1" ht="15" x14ac:dyDescent="0.2">
      <c r="D286" s="679" t="str">
        <f>"Total "&amp;D277</f>
        <v>Total Services Equipment- Fin (Annualized)</v>
      </c>
      <c r="I286" s="25">
        <f t="shared" ref="I286:O286" si="54">SUM(I278:I285)</f>
        <v>0</v>
      </c>
      <c r="J286" s="14">
        <f t="shared" ca="1" si="54"/>
        <v>1615771.8906305733</v>
      </c>
      <c r="K286" s="14">
        <f t="shared" ca="1" si="54"/>
        <v>701357.89063057338</v>
      </c>
      <c r="L286" s="14">
        <f t="shared" ca="1" si="54"/>
        <v>701357.89063057338</v>
      </c>
      <c r="M286" s="14">
        <f t="shared" ca="1" si="54"/>
        <v>701357.89063057338</v>
      </c>
      <c r="N286" s="14">
        <f t="shared" ca="1" si="54"/>
        <v>2201378.5302905738</v>
      </c>
      <c r="O286" s="14">
        <f t="shared" ca="1" si="54"/>
        <v>701378.53029057337</v>
      </c>
    </row>
    <row r="287" spans="4:15" s="327" customFormat="1" x14ac:dyDescent="0.2"/>
    <row r="288" spans="4:15" s="327" customFormat="1" x14ac:dyDescent="0.2"/>
    <row r="289" spans="3:15" s="327" customFormat="1" ht="15.75" x14ac:dyDescent="0.2">
      <c r="C289" s="26" t="str">
        <f>"Initial Investment by Activity and Year ("&amp;INDEX(LU_Init_Inv_Denom,DD_TS_Denom)&amp;")"</f>
        <v>Initial Investment by Activity and Year (USD)</v>
      </c>
    </row>
    <row r="290" spans="3:15" s="327" customFormat="1" ht="15.75" x14ac:dyDescent="0.2">
      <c r="D290" s="26" t="str">
        <f>"Economic Costs ("&amp;INDEX(LU_Init_Inv_Denom,DD_TS_Denom)&amp;")"</f>
        <v>Economic Costs (USD)</v>
      </c>
    </row>
    <row r="291" spans="3:15" s="327" customFormat="1" ht="15" x14ac:dyDescent="0.2">
      <c r="D291" s="658" t="s">
        <v>656</v>
      </c>
      <c r="J291" s="196"/>
      <c r="K291" s="196"/>
      <c r="L291" s="196"/>
      <c r="M291" s="196"/>
      <c r="N291" s="196"/>
      <c r="O291" s="196"/>
    </row>
    <row r="292" spans="3:15" s="327" customFormat="1" outlineLevel="1" x14ac:dyDescent="0.2">
      <c r="D292" s="660" t="str">
        <f>D367</f>
        <v>Total Microplanning</v>
      </c>
      <c r="J292" s="5">
        <f t="shared" ref="J292:O292" si="55">J367*IFERROR(INDEX(J$309:J$310,DD_Init_Inv_Curr)/INDEX(J$309:J$310,$H$314),0)</f>
        <v>52500</v>
      </c>
      <c r="K292" s="5">
        <f t="shared" si="55"/>
        <v>52500</v>
      </c>
      <c r="L292" s="5">
        <f t="shared" si="55"/>
        <v>52500</v>
      </c>
      <c r="M292" s="5">
        <f t="shared" si="55"/>
        <v>52500</v>
      </c>
      <c r="N292" s="5">
        <f t="shared" si="55"/>
        <v>52500</v>
      </c>
      <c r="O292" s="5">
        <f t="shared" si="55"/>
        <v>52500</v>
      </c>
    </row>
    <row r="293" spans="3:15" s="327" customFormat="1" outlineLevel="1" x14ac:dyDescent="0.2">
      <c r="D293" s="660" t="str">
        <f>D377</f>
        <v>Total Training</v>
      </c>
      <c r="J293" s="5">
        <f t="shared" ref="J293:O293" si="56">J377*IFERROR(INDEX(J$309:J$310,DD_Init_Inv_Curr)/INDEX(J$309:J$310,$H$314),0)</f>
        <v>0</v>
      </c>
      <c r="K293" s="5">
        <f t="shared" si="56"/>
        <v>0</v>
      </c>
      <c r="L293" s="5">
        <f t="shared" si="56"/>
        <v>0</v>
      </c>
      <c r="M293" s="5">
        <f t="shared" si="56"/>
        <v>0</v>
      </c>
      <c r="N293" s="5">
        <f t="shared" si="56"/>
        <v>0</v>
      </c>
      <c r="O293" s="5">
        <f t="shared" si="56"/>
        <v>0</v>
      </c>
    </row>
    <row r="294" spans="3:15" s="327" customFormat="1" outlineLevel="1" x14ac:dyDescent="0.2">
      <c r="D294" s="660" t="str">
        <f>D382</f>
        <v>Total Social Mobilization &amp; IEC</v>
      </c>
      <c r="J294" s="5">
        <f t="shared" ref="J294:O294" si="57">J382*IFERROR(INDEX(J$309:J$310,DD_Init_Inv_Curr)/INDEX(J$309:J$310,$H$314),0)</f>
        <v>957600</v>
      </c>
      <c r="K294" s="5">
        <f t="shared" si="57"/>
        <v>957600</v>
      </c>
      <c r="L294" s="5">
        <f t="shared" si="57"/>
        <v>957600</v>
      </c>
      <c r="M294" s="5">
        <f t="shared" si="57"/>
        <v>957600</v>
      </c>
      <c r="N294" s="5">
        <f t="shared" si="57"/>
        <v>957600</v>
      </c>
      <c r="O294" s="5">
        <f t="shared" si="57"/>
        <v>957600</v>
      </c>
    </row>
    <row r="295" spans="3:15" s="327" customFormat="1" x14ac:dyDescent="0.2"/>
    <row r="296" spans="3:15" s="327" customFormat="1" ht="15" x14ac:dyDescent="0.2">
      <c r="D296" s="714" t="s">
        <v>735</v>
      </c>
      <c r="E296" s="714"/>
      <c r="F296" s="714"/>
      <c r="G296" s="714"/>
      <c r="H296" s="714"/>
    </row>
    <row r="297" spans="3:15" s="327" customFormat="1" outlineLevel="1" x14ac:dyDescent="0.2">
      <c r="D297" s="660" t="str">
        <f>Screen_Ann_TO!H394</f>
        <v>VIA</v>
      </c>
      <c r="J297" s="5">
        <f ca="1">Screen_Ann_TO!J394*IFERROR(INDEX(J$309:J$310,DD_Init_Inv_Curr)/INDEX(J$309:J$310,$I317),0)</f>
        <v>212060.43612660479</v>
      </c>
      <c r="K297" s="5">
        <f ca="1">Screen_Ann_TO!K394*IFERROR(INDEX(K$309:K$310,DD_Init_Inv_Curr)/INDEX(K$309:K$310,$I317),0)</f>
        <v>212060.43612660479</v>
      </c>
      <c r="L297" s="5">
        <f ca="1">Screen_Ann_TO!L394*IFERROR(INDEX(L$309:L$310,DD_Init_Inv_Curr)/INDEX(L$309:L$310,$I317),0)</f>
        <v>212060.43612660479</v>
      </c>
      <c r="M297" s="5">
        <f ca="1">Screen_Ann_TO!M394*IFERROR(INDEX(M$309:M$310,DD_Init_Inv_Curr)/INDEX(M$309:M$310,$I317),0)</f>
        <v>212060.43612660479</v>
      </c>
      <c r="N297" s="5">
        <f ca="1">Screen_Ann_TO!N394*IFERROR(INDEX(N$309:N$310,DD_Init_Inv_Curr)/INDEX(N$309:N$310,$I317),0)</f>
        <v>212060.43612660479</v>
      </c>
      <c r="O297" s="5">
        <f ca="1">Screen_Ann_TO!O394*IFERROR(INDEX(O$309:O$310,DD_Init_Inv_Curr)/INDEX(O$309:O$310,$I317),0)</f>
        <v>212060.43612660479</v>
      </c>
    </row>
    <row r="298" spans="3:15" s="327" customFormat="1" outlineLevel="1" x14ac:dyDescent="0.2">
      <c r="D298" s="660" t="str">
        <f>Diag_Ann_TO!H401</f>
        <v>BIOP-H</v>
      </c>
      <c r="J298" s="5">
        <f ca="1">Diag_Ann_TO!J401*IFERROR(INDEX(J$309:J$310,DD_Init_Inv_Curr)/INDEX(J$309:J$310,$I318),0)</f>
        <v>7197.5300740513485</v>
      </c>
      <c r="K298" s="5">
        <f ca="1">Diag_Ann_TO!K401*IFERROR(INDEX(K$309:K$310,DD_Init_Inv_Curr)/INDEX(K$309:K$310,$I318),0)</f>
        <v>7197.5300740513485</v>
      </c>
      <c r="L298" s="5">
        <f ca="1">Diag_Ann_TO!L401*IFERROR(INDEX(L$309:L$310,DD_Init_Inv_Curr)/INDEX(L$309:L$310,$I318),0)</f>
        <v>7197.5300740513485</v>
      </c>
      <c r="M298" s="5">
        <f ca="1">Diag_Ann_TO!M401*IFERROR(INDEX(M$309:M$310,DD_Init_Inv_Curr)/INDEX(M$309:M$310,$I318),0)</f>
        <v>7197.5300740513485</v>
      </c>
      <c r="N298" s="5">
        <f ca="1">Diag_Ann_TO!N401*IFERROR(INDEX(N$309:N$310,DD_Init_Inv_Curr)/INDEX(N$309:N$310,$I318),0)</f>
        <v>7197.5300740513485</v>
      </c>
      <c r="O298" s="5">
        <f ca="1">Diag_Ann_TO!O401*IFERROR(INDEX(O$309:O$310,DD_Init_Inv_Curr)/INDEX(O$309:O$310,$I318),0)</f>
        <v>7197.5300740513485</v>
      </c>
    </row>
    <row r="299" spans="3:15" s="327" customFormat="1" outlineLevel="1" x14ac:dyDescent="0.2">
      <c r="D299" s="660" t="str">
        <f>Intv_Ann_TO!H408</f>
        <v>Cryo -SV</v>
      </c>
      <c r="J299" s="5">
        <f ca="1">Intv_Ann_TO!J408*IFERROR(INDEX(J$309:J$310,DD_Init_Inv_Curr)/INDEX(J$309:J$310,$I319),0)</f>
        <v>324951.58100000006</v>
      </c>
      <c r="K299" s="5">
        <f ca="1">Intv_Ann_TO!K408*IFERROR(INDEX(K$309:K$310,DD_Init_Inv_Curr)/INDEX(K$309:K$310,$I319),0)</f>
        <v>324951.58100000006</v>
      </c>
      <c r="L299" s="5">
        <f ca="1">Intv_Ann_TO!L408*IFERROR(INDEX(L$309:L$310,DD_Init_Inv_Curr)/INDEX(L$309:L$310,$I319),0)</f>
        <v>324951.58100000006</v>
      </c>
      <c r="M299" s="5">
        <f ca="1">Intv_Ann_TO!M408*IFERROR(INDEX(M$309:M$310,DD_Init_Inv_Curr)/INDEX(M$309:M$310,$I319),0)</f>
        <v>324951.58100000006</v>
      </c>
      <c r="N299" s="5">
        <f ca="1">Intv_Ann_TO!N408*IFERROR(INDEX(N$309:N$310,DD_Init_Inv_Curr)/INDEX(N$309:N$310,$I319),0)</f>
        <v>324951.58100000006</v>
      </c>
      <c r="O299" s="5">
        <f ca="1">Intv_Ann_TO!O408*IFERROR(INDEX(O$309:O$310,DD_Init_Inv_Curr)/INDEX(O$309:O$310,$I319),0)</f>
        <v>324951.58100000006</v>
      </c>
    </row>
    <row r="300" spans="3:15" s="327" customFormat="1" outlineLevel="1" x14ac:dyDescent="0.2">
      <c r="D300" s="660" t="str">
        <f>Intv_Ann_TO!H815</f>
        <v>LEEP with BIOP-H</v>
      </c>
      <c r="J300" s="5">
        <f ca="1">Intv_Ann_TO!J815*IFERROR(INDEX(J$309:J$310,DD_Init_Inv_Curr)/INDEX(J$309:J$310,$I320),0)</f>
        <v>247363.3774773333</v>
      </c>
      <c r="K300" s="5">
        <f ca="1">Intv_Ann_TO!K815*IFERROR(INDEX(K$309:K$310,DD_Init_Inv_Curr)/INDEX(K$309:K$310,$I320),0)</f>
        <v>247363.3774773333</v>
      </c>
      <c r="L300" s="5">
        <f ca="1">Intv_Ann_TO!L815*IFERROR(INDEX(L$309:L$310,DD_Init_Inv_Curr)/INDEX(L$309:L$310,$I320),0)</f>
        <v>247363.3774773333</v>
      </c>
      <c r="M300" s="5">
        <f ca="1">Intv_Ann_TO!M815*IFERROR(INDEX(M$309:M$310,DD_Init_Inv_Curr)/INDEX(M$309:M$310,$I320),0)</f>
        <v>247363.3774773333</v>
      </c>
      <c r="N300" s="5">
        <f ca="1">Intv_Ann_TO!N815*IFERROR(INDEX(N$309:N$310,DD_Init_Inv_Curr)/INDEX(N$309:N$310,$I320),0)</f>
        <v>247363.3774773333</v>
      </c>
      <c r="O300" s="5">
        <f ca="1">Intv_Ann_TO!O815*IFERROR(INDEX(O$309:O$310,DD_Init_Inv_Curr)/INDEX(O$309:O$310,$I320),0)</f>
        <v>247363.3774773333</v>
      </c>
    </row>
    <row r="301" spans="3:15" s="327" customFormat="1" outlineLevel="1" x14ac:dyDescent="0.2">
      <c r="D301" s="660" t="str">
        <f>Intv_Ann_TO!H1222</f>
        <v>SURG</v>
      </c>
      <c r="J301" s="5">
        <f ca="1">Intv_Ann_TO!J1222*IFERROR(INDEX(J$309:J$310,DD_Init_Inv_Curr)/INDEX(J$309:J$310,$I321),0)</f>
        <v>0</v>
      </c>
      <c r="K301" s="5">
        <f ca="1">Intv_Ann_TO!K1222*IFERROR(INDEX(K$309:K$310,DD_Init_Inv_Curr)/INDEX(K$309:K$310,$I321),0)</f>
        <v>0</v>
      </c>
      <c r="L301" s="5">
        <f ca="1">Intv_Ann_TO!L1222*IFERROR(INDEX(L$309:L$310,DD_Init_Inv_Curr)/INDEX(L$309:L$310,$I321),0)</f>
        <v>0</v>
      </c>
      <c r="M301" s="5">
        <f ca="1">Intv_Ann_TO!M1222*IFERROR(INDEX(M$309:M$310,DD_Init_Inv_Curr)/INDEX(M$309:M$310,$I321),0)</f>
        <v>0</v>
      </c>
      <c r="N301" s="5">
        <f ca="1">Intv_Ann_TO!N1222*IFERROR(INDEX(N$309:N$310,DD_Init_Inv_Curr)/INDEX(N$309:N$310,$I321),0)</f>
        <v>0</v>
      </c>
      <c r="O301" s="5">
        <f ca="1">Intv_Ann_TO!O1222*IFERROR(INDEX(O$309:O$310,DD_Init_Inv_Curr)/INDEX(O$309:O$310,$I321),0)</f>
        <v>0</v>
      </c>
    </row>
    <row r="302" spans="3:15" s="327" customFormat="1" outlineLevel="1" x14ac:dyDescent="0.2">
      <c r="D302" s="660" t="str">
        <f>Intv_Ann_TO!H1629</f>
        <v>Chemo</v>
      </c>
      <c r="J302" s="5">
        <f ca="1">Intv_Ann_TO!J1629*IFERROR(INDEX(J$309:J$310,DD_Init_Inv_Curr)/INDEX(J$309:J$310,$I322),0)</f>
        <v>30928.904999999999</v>
      </c>
      <c r="K302" s="5">
        <f ca="1">Intv_Ann_TO!K1629*IFERROR(INDEX(K$309:K$310,DD_Init_Inv_Curr)/INDEX(K$309:K$310,$I322),0)</f>
        <v>30928.904999999999</v>
      </c>
      <c r="L302" s="5">
        <f ca="1">Intv_Ann_TO!L1629*IFERROR(INDEX(L$309:L$310,DD_Init_Inv_Curr)/INDEX(L$309:L$310,$I322),0)</f>
        <v>30928.904999999999</v>
      </c>
      <c r="M302" s="5">
        <f ca="1">Intv_Ann_TO!M1629*IFERROR(INDEX(M$309:M$310,DD_Init_Inv_Curr)/INDEX(M$309:M$310,$I322),0)</f>
        <v>30928.904999999999</v>
      </c>
      <c r="N302" s="5">
        <f ca="1">Intv_Ann_TO!N1629*IFERROR(INDEX(N$309:N$310,DD_Init_Inv_Curr)/INDEX(N$309:N$310,$I322),0)</f>
        <v>30928.904999999999</v>
      </c>
      <c r="O302" s="5">
        <f ca="1">Intv_Ann_TO!O1629*IFERROR(INDEX(O$309:O$310,DD_Init_Inv_Curr)/INDEX(O$309:O$310,$I322),0)</f>
        <v>30928.904999999999</v>
      </c>
    </row>
    <row r="303" spans="3:15" s="327" customFormat="1" outlineLevel="1" x14ac:dyDescent="0.2">
      <c r="D303" s="660" t="str">
        <f>Intv_Ann_TO!H2036</f>
        <v>RADIO</v>
      </c>
      <c r="J303" s="5">
        <f ca="1">Intv_Ann_TO!J2036*IFERROR(INDEX(J$309:J$310,DD_Init_Inv_Curr)/INDEX(J$309:J$310,$I323),0)</f>
        <v>130487.09248000001</v>
      </c>
      <c r="K303" s="5">
        <f ca="1">Intv_Ann_TO!K2036*IFERROR(INDEX(K$309:K$310,DD_Init_Inv_Curr)/INDEX(K$309:K$310,$I323),0)</f>
        <v>130487.09248000001</v>
      </c>
      <c r="L303" s="5">
        <f ca="1">Intv_Ann_TO!L2036*IFERROR(INDEX(L$309:L$310,DD_Init_Inv_Curr)/INDEX(L$309:L$310,$I323),0)</f>
        <v>130487.09248000001</v>
      </c>
      <c r="M303" s="5">
        <f ca="1">Intv_Ann_TO!M2036*IFERROR(INDEX(M$309:M$310,DD_Init_Inv_Curr)/INDEX(M$309:M$310,$I323),0)</f>
        <v>130487.09248000001</v>
      </c>
      <c r="N303" s="5">
        <f ca="1">Intv_Ann_TO!N2036*IFERROR(INDEX(N$309:N$310,DD_Init_Inv_Curr)/INDEX(N$309:N$310,$I323),0)</f>
        <v>382070.23213999998</v>
      </c>
      <c r="O303" s="5">
        <f ca="1">Intv_Ann_TO!O2036*IFERROR(INDEX(O$309:O$310,DD_Init_Inv_Curr)/INDEX(O$309:O$310,$I323),0)</f>
        <v>382070.23213999998</v>
      </c>
    </row>
    <row r="304" spans="3:15" s="327" customFormat="1" outlineLevel="1" x14ac:dyDescent="0.2">
      <c r="D304" s="660" t="str">
        <f>Intv_Ann_TO!H2443</f>
        <v>PALL</v>
      </c>
      <c r="J304" s="5">
        <f ca="1">Intv_Ann_TO!J2443*IFERROR(INDEX(J$309:J$310,DD_Init_Inv_Curr)/INDEX(J$309:J$310,$I324),0)</f>
        <v>56328.746112000001</v>
      </c>
      <c r="K304" s="5">
        <f ca="1">Intv_Ann_TO!K2443*IFERROR(INDEX(K$309:K$310,DD_Init_Inv_Curr)/INDEX(K$309:K$310,$I324),0)</f>
        <v>56328.746112000001</v>
      </c>
      <c r="L304" s="5">
        <f ca="1">Intv_Ann_TO!L2443*IFERROR(INDEX(L$309:L$310,DD_Init_Inv_Curr)/INDEX(L$309:L$310,$I324),0)</f>
        <v>56328.746112000001</v>
      </c>
      <c r="M304" s="5">
        <f ca="1">Intv_Ann_TO!M2443*IFERROR(INDEX(M$309:M$310,DD_Init_Inv_Curr)/INDEX(M$309:M$310,$I324),0)</f>
        <v>56328.746112000001</v>
      </c>
      <c r="N304" s="5">
        <f ca="1">Intv_Ann_TO!N2443*IFERROR(INDEX(N$309:N$310,DD_Init_Inv_Curr)/INDEX(N$309:N$310,$I324),0)</f>
        <v>56328.746112000001</v>
      </c>
      <c r="O304" s="5">
        <f ca="1">Intv_Ann_TO!O2443*IFERROR(INDEX(O$309:O$310,DD_Init_Inv_Curr)/INDEX(O$309:O$310,$I324),0)</f>
        <v>56328.746112000001</v>
      </c>
    </row>
    <row r="305" spans="3:15" s="327" customFormat="1" x14ac:dyDescent="0.2"/>
    <row r="306" spans="3:15" s="327" customFormat="1" ht="15.75" x14ac:dyDescent="0.2">
      <c r="C306" s="330" t="s">
        <v>1689</v>
      </c>
    </row>
    <row r="307" spans="3:15" s="327" customFormat="1" outlineLevel="1" x14ac:dyDescent="0.2"/>
    <row r="308" spans="3:15" s="327" customFormat="1" ht="15" outlineLevel="1" x14ac:dyDescent="0.2">
      <c r="D308" s="658" t="s">
        <v>167</v>
      </c>
    </row>
    <row r="309" spans="3:15" s="327" customFormat="1" outlineLevel="1" x14ac:dyDescent="0.2">
      <c r="D309" s="660" t="str">
        <f>Econ_Ann_TA!D13</f>
        <v>USD</v>
      </c>
      <c r="J309" s="65">
        <f>Econ_Ann_TA!J13</f>
        <v>1</v>
      </c>
      <c r="K309" s="65">
        <f>Econ_Ann_TA!K13</f>
        <v>1</v>
      </c>
      <c r="L309" s="65">
        <f>Econ_Ann_TA!L13</f>
        <v>1</v>
      </c>
      <c r="M309" s="65">
        <f>Econ_Ann_TA!M13</f>
        <v>1</v>
      </c>
      <c r="N309" s="65">
        <f>Econ_Ann_TA!N13</f>
        <v>1</v>
      </c>
      <c r="O309" s="65">
        <f>Econ_Ann_TA!O13</f>
        <v>1</v>
      </c>
    </row>
    <row r="310" spans="3:15" s="327" customFormat="1" outlineLevel="1" x14ac:dyDescent="0.2">
      <c r="D310" s="660" t="str">
        <f>Econ_Ann_TA!D14</f>
        <v>ZMW</v>
      </c>
      <c r="J310" s="65">
        <f>Econ_Ann_TA!J14</f>
        <v>10.971399999999999</v>
      </c>
      <c r="K310" s="65">
        <f>Econ_Ann_TA!K14</f>
        <v>10.971399999999999</v>
      </c>
      <c r="L310" s="65">
        <f>Econ_Ann_TA!L14</f>
        <v>10.971399999999999</v>
      </c>
      <c r="M310" s="65">
        <f>Econ_Ann_TA!M14</f>
        <v>10.971399999999999</v>
      </c>
      <c r="N310" s="65">
        <f>Econ_Ann_TA!N14</f>
        <v>10.971399999999999</v>
      </c>
      <c r="O310" s="65">
        <f>Econ_Ann_TA!O14</f>
        <v>10.971399999999999</v>
      </c>
    </row>
    <row r="311" spans="3:15" s="327" customFormat="1" outlineLevel="1" x14ac:dyDescent="0.2"/>
    <row r="312" spans="3:15" s="327" customFormat="1" ht="15" outlineLevel="1" x14ac:dyDescent="0.2">
      <c r="D312" s="660" t="str">
        <f>D271</f>
        <v>Activity</v>
      </c>
      <c r="H312" s="72" t="s">
        <v>234</v>
      </c>
    </row>
    <row r="313" spans="3:15" s="327" customFormat="1" ht="15" outlineLevel="1" collapsed="1" x14ac:dyDescent="0.2">
      <c r="D313" s="658" t="s">
        <v>89</v>
      </c>
      <c r="H313" s="72" t="s">
        <v>234</v>
      </c>
    </row>
    <row r="314" spans="3:15" s="327" customFormat="1" outlineLevel="1" x14ac:dyDescent="0.2">
      <c r="D314" s="680" t="s">
        <v>172</v>
      </c>
      <c r="H314" s="341">
        <f>H328</f>
        <v>1</v>
      </c>
    </row>
    <row r="315" spans="3:15" s="327" customFormat="1" outlineLevel="1" x14ac:dyDescent="0.2"/>
    <row r="316" spans="3:15" s="327" customFormat="1" ht="15" outlineLevel="1" x14ac:dyDescent="0.2">
      <c r="D316" s="646" t="str">
        <f>D259</f>
        <v>Service</v>
      </c>
      <c r="H316" s="72" t="s">
        <v>213</v>
      </c>
      <c r="I316" s="72" t="s">
        <v>234</v>
      </c>
    </row>
    <row r="317" spans="3:15" s="327" customFormat="1" outlineLevel="1" x14ac:dyDescent="0.2">
      <c r="D317" s="660" t="str">
        <f t="shared" ref="D317:D324" si="58">D278</f>
        <v>VIA</v>
      </c>
      <c r="H317" s="66" t="str">
        <f>Screen_BA!I157</f>
        <v>USD</v>
      </c>
      <c r="I317" s="341">
        <f t="shared" ref="I317:I324" si="59">IFERROR(MATCH(H317,$D$309:$D$310,0),0)</f>
        <v>1</v>
      </c>
    </row>
    <row r="318" spans="3:15" s="327" customFormat="1" outlineLevel="1" x14ac:dyDescent="0.2">
      <c r="D318" s="660" t="str">
        <f t="shared" si="58"/>
        <v>BIOP-H</v>
      </c>
      <c r="H318" s="66" t="str">
        <f>Diag_BA!I143</f>
        <v>USD</v>
      </c>
      <c r="I318" s="341">
        <f t="shared" si="59"/>
        <v>1</v>
      </c>
    </row>
    <row r="319" spans="3:15" s="327" customFormat="1" outlineLevel="1" x14ac:dyDescent="0.2">
      <c r="D319" s="660" t="str">
        <f t="shared" si="58"/>
        <v>Total Fin Costs [incl. Capex] (NonAnnualized) (USD)</v>
      </c>
      <c r="H319" s="66" t="str">
        <f>Intv_BA!I181</f>
        <v>USD</v>
      </c>
      <c r="I319" s="341">
        <f t="shared" si="59"/>
        <v>1</v>
      </c>
    </row>
    <row r="320" spans="3:15" s="327" customFormat="1" outlineLevel="1" x14ac:dyDescent="0.2">
      <c r="D320" s="660" t="str">
        <f t="shared" si="58"/>
        <v>Total Fin Costs [incl. Capex] (NonAnnualized) (USD)</v>
      </c>
      <c r="H320" s="66" t="str">
        <f>Intv_BA!I774</f>
        <v>USD</v>
      </c>
      <c r="I320" s="341">
        <f t="shared" si="59"/>
        <v>1</v>
      </c>
    </row>
    <row r="321" spans="2:15" s="327" customFormat="1" outlineLevel="1" x14ac:dyDescent="0.2">
      <c r="D321" s="660" t="str">
        <f t="shared" si="58"/>
        <v>Total Fin Costs [incl. Capex] (NonAnnualized) (USD)</v>
      </c>
      <c r="H321" s="66" t="str">
        <f>Intv_BA!I2545</f>
        <v>USD</v>
      </c>
      <c r="I321" s="341">
        <f t="shared" si="59"/>
        <v>1</v>
      </c>
    </row>
    <row r="322" spans="2:15" s="327" customFormat="1" outlineLevel="1" x14ac:dyDescent="0.2">
      <c r="D322" s="660" t="str">
        <f t="shared" si="58"/>
        <v>Total Fin Costs [incl. Capex] (NonAnnualized) (USD)</v>
      </c>
      <c r="H322" s="66" t="str">
        <f>Intv_BA!I1361</f>
        <v>USD</v>
      </c>
      <c r="I322" s="341">
        <f t="shared" si="59"/>
        <v>1</v>
      </c>
    </row>
    <row r="323" spans="2:15" s="327" customFormat="1" outlineLevel="1" x14ac:dyDescent="0.2">
      <c r="D323" s="660" t="str">
        <f t="shared" si="58"/>
        <v>Total Fin Costs [incl. Capex] (NonAnnualized) (USD)</v>
      </c>
      <c r="H323" s="66" t="str">
        <f>Intv_BA!I1953</f>
        <v>USD</v>
      </c>
      <c r="I323" s="341">
        <f t="shared" si="59"/>
        <v>1</v>
      </c>
    </row>
    <row r="324" spans="2:15" s="327" customFormat="1" outlineLevel="1" x14ac:dyDescent="0.2">
      <c r="D324" s="660" t="str">
        <f t="shared" si="58"/>
        <v>Total Fin Costs [incl. Capex] (NonAnnualized) (USD)</v>
      </c>
      <c r="H324" s="66" t="str">
        <f>Intv_BA!I3130</f>
        <v>USD</v>
      </c>
      <c r="I324" s="341">
        <f t="shared" si="59"/>
        <v>1</v>
      </c>
    </row>
    <row r="325" spans="2:15" s="327" customFormat="1" x14ac:dyDescent="0.2"/>
    <row r="326" spans="2:15" s="327" customFormat="1" ht="18.75" x14ac:dyDescent="0.2">
      <c r="B326" s="426" t="s">
        <v>635</v>
      </c>
    </row>
    <row r="327" spans="2:15" s="327" customFormat="1" x14ac:dyDescent="0.2"/>
    <row r="328" spans="2:15" s="327" customFormat="1" ht="15.75" customHeight="1" x14ac:dyDescent="0.2">
      <c r="C328" s="680" t="s">
        <v>213</v>
      </c>
      <c r="H328" s="64">
        <v>1</v>
      </c>
    </row>
    <row r="329" spans="2:15" s="327" customFormat="1" ht="5.25" customHeight="1" outlineLevel="2" x14ac:dyDescent="0.2"/>
    <row r="330" spans="2:15" s="327" customFormat="1" outlineLevel="2" x14ac:dyDescent="0.2">
      <c r="C330" s="680" t="s">
        <v>276</v>
      </c>
      <c r="I330" s="67">
        <f>Econ_Ann_TA!H26</f>
        <v>0.03</v>
      </c>
    </row>
    <row r="331" spans="2:15" s="327" customFormat="1" x14ac:dyDescent="0.2"/>
    <row r="332" spans="2:15" s="327" customFormat="1" ht="15.75" x14ac:dyDescent="0.2">
      <c r="C332" s="26" t="str">
        <f>"Financial Costs ("&amp;INDEX(LU_Intro_Costs_Denom,DD_TS_Denom)&amp;")"</f>
        <v>Financial Costs (USD)</v>
      </c>
    </row>
    <row r="333" spans="2:15" s="327" customFormat="1" x14ac:dyDescent="0.2">
      <c r="J333" s="196"/>
      <c r="K333" s="196"/>
      <c r="L333" s="196"/>
      <c r="M333" s="196"/>
      <c r="N333" s="196"/>
      <c r="O333" s="196"/>
    </row>
    <row r="334" spans="2:15" s="327" customFormat="1" ht="15" outlineLevel="2" x14ac:dyDescent="0.2">
      <c r="D334" s="658" t="s">
        <v>145</v>
      </c>
      <c r="J334" s="198"/>
      <c r="K334" s="198"/>
      <c r="L334" s="198"/>
      <c r="M334" s="198"/>
      <c r="N334" s="198"/>
      <c r="O334" s="198"/>
    </row>
    <row r="335" spans="2:15" s="327" customFormat="1" outlineLevel="2" x14ac:dyDescent="0.2">
      <c r="D335" s="660" t="str">
        <f>Oth_Ann_TO!D25</f>
        <v>National Programme Microplanning</v>
      </c>
      <c r="J335" s="5">
        <f>Oth_Ann_TO!J25*IFERROR(INDEX(J$391:J$392,DD_Intro_Costs_Curr)/INDEX(J$391:J$392,$H$395),0)</f>
        <v>5000</v>
      </c>
      <c r="K335" s="5">
        <f>Oth_Ann_TO!K25*IFERROR(INDEX(K$391:K$392,DD_Intro_Costs_Curr)/INDEX(K$391:K$392,$H$395),0)</f>
        <v>5000</v>
      </c>
      <c r="L335" s="5">
        <f>Oth_Ann_TO!L25*IFERROR(INDEX(L$391:L$392,DD_Intro_Costs_Curr)/INDEX(L$391:L$392,$H$395),0)</f>
        <v>5000</v>
      </c>
      <c r="M335" s="5">
        <f>Oth_Ann_TO!M25*IFERROR(INDEX(M$391:M$392,DD_Intro_Costs_Curr)/INDEX(M$391:M$392,$H$395),0)</f>
        <v>5000</v>
      </c>
      <c r="N335" s="5">
        <f>Oth_Ann_TO!N25*IFERROR(INDEX(N$391:N$392,DD_Intro_Costs_Curr)/INDEX(N$391:N$392,$H$395),0)</f>
        <v>5000</v>
      </c>
      <c r="O335" s="5">
        <f>Oth_Ann_TO!O25*IFERROR(INDEX(O$391:O$392,DD_Intro_Costs_Curr)/INDEX(O$391:O$392,$H$395),0)</f>
        <v>5000</v>
      </c>
    </row>
    <row r="336" spans="2:15" s="327" customFormat="1" outlineLevel="2" x14ac:dyDescent="0.2">
      <c r="D336" s="660" t="str">
        <f>Oth_Ann_TO!D26</f>
        <v>Provincial Programme Microplanning</v>
      </c>
      <c r="J336" s="5">
        <f>Oth_Ann_TO!J26*IFERROR(INDEX(J$391:J$392,DD_Intro_Costs_Curr)/INDEX(J$391:J$392,$H$395),0)</f>
        <v>30000</v>
      </c>
      <c r="K336" s="5">
        <f>Oth_Ann_TO!K26*IFERROR(INDEX(K$391:K$392,DD_Intro_Costs_Curr)/INDEX(K$391:K$392,$H$395),0)</f>
        <v>30000</v>
      </c>
      <c r="L336" s="5">
        <f>Oth_Ann_TO!L26*IFERROR(INDEX(L$391:L$392,DD_Intro_Costs_Curr)/INDEX(L$391:L$392,$H$395),0)</f>
        <v>30000</v>
      </c>
      <c r="M336" s="5">
        <f>Oth_Ann_TO!M26*IFERROR(INDEX(M$391:M$392,DD_Intro_Costs_Curr)/INDEX(M$391:M$392,$H$395),0)</f>
        <v>30000</v>
      </c>
      <c r="N336" s="5">
        <f>Oth_Ann_TO!N26*IFERROR(INDEX(N$391:N$392,DD_Intro_Costs_Curr)/INDEX(N$391:N$392,$H$395),0)</f>
        <v>30000</v>
      </c>
      <c r="O336" s="5">
        <f>Oth_Ann_TO!O26*IFERROR(INDEX(O$391:O$392,DD_Intro_Costs_Curr)/INDEX(O$391:O$392,$H$395),0)</f>
        <v>30000</v>
      </c>
    </row>
    <row r="337" spans="4:15" s="327" customFormat="1" outlineLevel="2" x14ac:dyDescent="0.2">
      <c r="D337" s="660">
        <f>Oth_Ann_TO!D27</f>
        <v>0</v>
      </c>
      <c r="J337" s="5">
        <f>Oth_Ann_TO!J27*IFERROR(INDEX(J$391:J$392,DD_Intro_Costs_Curr)/INDEX(J$391:J$392,$H$395),0)</f>
        <v>0</v>
      </c>
      <c r="K337" s="5">
        <f>Oth_Ann_TO!K27*IFERROR(INDEX(K$391:K$392,DD_Intro_Costs_Curr)/INDEX(K$391:K$392,$H$395),0)</f>
        <v>0</v>
      </c>
      <c r="L337" s="5">
        <f>Oth_Ann_TO!L27*IFERROR(INDEX(L$391:L$392,DD_Intro_Costs_Curr)/INDEX(L$391:L$392,$H$395),0)</f>
        <v>0</v>
      </c>
      <c r="M337" s="5">
        <f>Oth_Ann_TO!M27*IFERROR(INDEX(M$391:M$392,DD_Intro_Costs_Curr)/INDEX(M$391:M$392,$H$395),0)</f>
        <v>0</v>
      </c>
      <c r="N337" s="5">
        <f>Oth_Ann_TO!N27*IFERROR(INDEX(N$391:N$392,DD_Intro_Costs_Curr)/INDEX(N$391:N$392,$H$395),0)</f>
        <v>0</v>
      </c>
      <c r="O337" s="5">
        <f>Oth_Ann_TO!O27*IFERROR(INDEX(O$391:O$392,DD_Intro_Costs_Curr)/INDEX(O$391:O$392,$H$395),0)</f>
        <v>0</v>
      </c>
    </row>
    <row r="338" spans="4:15" s="327" customFormat="1" outlineLevel="2" x14ac:dyDescent="0.2">
      <c r="D338" s="660">
        <f>Oth_Ann_TO!D28</f>
        <v>0</v>
      </c>
      <c r="J338" s="5">
        <f>Oth_Ann_TO!J28*IFERROR(INDEX(J$391:J$392,DD_Intro_Costs_Curr)/INDEX(J$391:J$392,$H$395),0)</f>
        <v>0</v>
      </c>
      <c r="K338" s="5">
        <f>Oth_Ann_TO!K28*IFERROR(INDEX(K$391:K$392,DD_Intro_Costs_Curr)/INDEX(K$391:K$392,$H$395),0)</f>
        <v>0</v>
      </c>
      <c r="L338" s="5">
        <f>Oth_Ann_TO!L28*IFERROR(INDEX(L$391:L$392,DD_Intro_Costs_Curr)/INDEX(L$391:L$392,$H$395),0)</f>
        <v>0</v>
      </c>
      <c r="M338" s="5">
        <f>Oth_Ann_TO!M28*IFERROR(INDEX(M$391:M$392,DD_Intro_Costs_Curr)/INDEX(M$391:M$392,$H$395),0)</f>
        <v>0</v>
      </c>
      <c r="N338" s="5">
        <f>Oth_Ann_TO!N28*IFERROR(INDEX(N$391:N$392,DD_Intro_Costs_Curr)/INDEX(N$391:N$392,$H$395),0)</f>
        <v>0</v>
      </c>
      <c r="O338" s="5">
        <f>Oth_Ann_TO!O28*IFERROR(INDEX(O$391:O$392,DD_Intro_Costs_Curr)/INDEX(O$391:O$392,$H$395),0)</f>
        <v>0</v>
      </c>
    </row>
    <row r="339" spans="4:15" s="327" customFormat="1" x14ac:dyDescent="0.2">
      <c r="D339" s="659" t="str">
        <f>"Total "&amp;D334</f>
        <v>Total Microplanning</v>
      </c>
      <c r="J339" s="25">
        <f t="shared" ref="J339:O339" si="60">SUM(J335:J338)</f>
        <v>35000</v>
      </c>
      <c r="K339" s="25">
        <f t="shared" si="60"/>
        <v>35000</v>
      </c>
      <c r="L339" s="25">
        <f t="shared" si="60"/>
        <v>35000</v>
      </c>
      <c r="M339" s="25">
        <f t="shared" si="60"/>
        <v>35000</v>
      </c>
      <c r="N339" s="25">
        <f t="shared" si="60"/>
        <v>35000</v>
      </c>
      <c r="O339" s="25">
        <f t="shared" si="60"/>
        <v>35000</v>
      </c>
    </row>
    <row r="340" spans="4:15" s="327" customFormat="1" ht="14.1" customHeight="1" outlineLevel="2" x14ac:dyDescent="0.2"/>
    <row r="341" spans="4:15" s="327" customFormat="1" ht="15" outlineLevel="2" x14ac:dyDescent="0.2">
      <c r="D341" s="658" t="s">
        <v>146</v>
      </c>
      <c r="J341" s="198"/>
      <c r="K341" s="198"/>
      <c r="L341" s="198"/>
      <c r="M341" s="198"/>
      <c r="N341" s="198"/>
      <c r="O341" s="198"/>
    </row>
    <row r="342" spans="4:15" s="327" customFormat="1" outlineLevel="2" x14ac:dyDescent="0.2">
      <c r="D342" s="660" t="str">
        <f>Oth_Ann_TO!D60</f>
        <v>VIA and Cryotherapy Training</v>
      </c>
      <c r="J342" s="5">
        <f>Oth_Ann_TO!J60*IFERROR(INDEX(J$391:J$392,DD_Intro_Costs_Curr)/INDEX(J$391:J$392,$H$396),0)</f>
        <v>0</v>
      </c>
      <c r="K342" s="5">
        <f>Oth_Ann_TO!K60*IFERROR(INDEX(K$391:K$392,DD_Intro_Costs_Curr)/INDEX(K$391:K$392,$H$396),0)</f>
        <v>0</v>
      </c>
      <c r="L342" s="5">
        <f>Oth_Ann_TO!L60*IFERROR(INDEX(L$391:L$392,DD_Intro_Costs_Curr)/INDEX(L$391:L$392,$H$396),0)</f>
        <v>0</v>
      </c>
      <c r="M342" s="5">
        <f>Oth_Ann_TO!M60*IFERROR(INDEX(M$391:M$392,DD_Intro_Costs_Curr)/INDEX(M$391:M$392,$H$396),0)</f>
        <v>0</v>
      </c>
      <c r="N342" s="5">
        <f>Oth_Ann_TO!N60*IFERROR(INDEX(N$391:N$392,DD_Intro_Costs_Curr)/INDEX(N$391:N$392,$H$396),0)</f>
        <v>0</v>
      </c>
      <c r="O342" s="5">
        <f>Oth_Ann_TO!O60*IFERROR(INDEX(O$391:O$392,DD_Intro_Costs_Curr)/INDEX(O$391:O$392,$H$396),0)</f>
        <v>0</v>
      </c>
    </row>
    <row r="343" spans="4:15" s="327" customFormat="1" outlineLevel="2" x14ac:dyDescent="0.2">
      <c r="D343" s="660" t="str">
        <f>Oth_Ann_TO!D61</f>
        <v>LEEP Training</v>
      </c>
      <c r="J343" s="5">
        <f>Oth_Ann_TO!J61*IFERROR(INDEX(J$391:J$392,DD_Intro_Costs_Curr)/INDEX(J$391:J$392,$H$396),0)</f>
        <v>0</v>
      </c>
      <c r="K343" s="5">
        <f>Oth_Ann_TO!K61*IFERROR(INDEX(K$391:K$392,DD_Intro_Costs_Curr)/INDEX(K$391:K$392,$H$396),0)</f>
        <v>0</v>
      </c>
      <c r="L343" s="5">
        <f>Oth_Ann_TO!L61*IFERROR(INDEX(L$391:L$392,DD_Intro_Costs_Curr)/INDEX(L$391:L$392,$H$396),0)</f>
        <v>0</v>
      </c>
      <c r="M343" s="5">
        <f>Oth_Ann_TO!M61*IFERROR(INDEX(M$391:M$392,DD_Intro_Costs_Curr)/INDEX(M$391:M$392,$H$396),0)</f>
        <v>0</v>
      </c>
      <c r="N343" s="5">
        <f>Oth_Ann_TO!N61*IFERROR(INDEX(N$391:N$392,DD_Intro_Costs_Curr)/INDEX(N$391:N$392,$H$396),0)</f>
        <v>0</v>
      </c>
      <c r="O343" s="5">
        <f>Oth_Ann_TO!O61*IFERROR(INDEX(O$391:O$392,DD_Intro_Costs_Curr)/INDEX(O$391:O$392,$H$396),0)</f>
        <v>0</v>
      </c>
    </row>
    <row r="344" spans="4:15" s="327" customFormat="1" outlineLevel="2" x14ac:dyDescent="0.2">
      <c r="D344" s="660">
        <f>Oth_Ann_TO!D62</f>
        <v>0</v>
      </c>
      <c r="J344" s="5">
        <f>Oth_Ann_TO!J62*IFERROR(INDEX(J$391:J$392,DD_Intro_Costs_Curr)/INDEX(J$391:J$392,$H$396),0)</f>
        <v>0</v>
      </c>
      <c r="K344" s="5">
        <f>Oth_Ann_TO!K62*IFERROR(INDEX(K$391:K$392,DD_Intro_Costs_Curr)/INDEX(K$391:K$392,$H$396),0)</f>
        <v>0</v>
      </c>
      <c r="L344" s="5">
        <f>Oth_Ann_TO!L62*IFERROR(INDEX(L$391:L$392,DD_Intro_Costs_Curr)/INDEX(L$391:L$392,$H$396),0)</f>
        <v>0</v>
      </c>
      <c r="M344" s="5">
        <f>Oth_Ann_TO!M62*IFERROR(INDEX(M$391:M$392,DD_Intro_Costs_Curr)/INDEX(M$391:M$392,$H$396),0)</f>
        <v>0</v>
      </c>
      <c r="N344" s="5">
        <f>Oth_Ann_TO!N62*IFERROR(INDEX(N$391:N$392,DD_Intro_Costs_Curr)/INDEX(N$391:N$392,$H$396),0)</f>
        <v>0</v>
      </c>
      <c r="O344" s="5">
        <f>Oth_Ann_TO!O62*IFERROR(INDEX(O$391:O$392,DD_Intro_Costs_Curr)/INDEX(O$391:O$392,$H$396),0)</f>
        <v>0</v>
      </c>
    </row>
    <row r="345" spans="4:15" s="327" customFormat="1" outlineLevel="2" x14ac:dyDescent="0.2">
      <c r="D345" s="660">
        <f>Oth_Ann_TO!D63</f>
        <v>0</v>
      </c>
      <c r="J345" s="5">
        <f>Oth_Ann_TO!J63*IFERROR(INDEX(J$391:J$392,DD_Intro_Costs_Curr)/INDEX(J$391:J$392,$H$396),0)</f>
        <v>0</v>
      </c>
      <c r="K345" s="5">
        <f>Oth_Ann_TO!K63*IFERROR(INDEX(K$391:K$392,DD_Intro_Costs_Curr)/INDEX(K$391:K$392,$H$396),0)</f>
        <v>0</v>
      </c>
      <c r="L345" s="5">
        <f>Oth_Ann_TO!L63*IFERROR(INDEX(L$391:L$392,DD_Intro_Costs_Curr)/INDEX(L$391:L$392,$H$396),0)</f>
        <v>0</v>
      </c>
      <c r="M345" s="5">
        <f>Oth_Ann_TO!M63*IFERROR(INDEX(M$391:M$392,DD_Intro_Costs_Curr)/INDEX(M$391:M$392,$H$396),0)</f>
        <v>0</v>
      </c>
      <c r="N345" s="5">
        <f>Oth_Ann_TO!N63*IFERROR(INDEX(N$391:N$392,DD_Intro_Costs_Curr)/INDEX(N$391:N$392,$H$396),0)</f>
        <v>0</v>
      </c>
      <c r="O345" s="5">
        <f>Oth_Ann_TO!O63*IFERROR(INDEX(O$391:O$392,DD_Intro_Costs_Curr)/INDEX(O$391:O$392,$H$396),0)</f>
        <v>0</v>
      </c>
    </row>
    <row r="346" spans="4:15" s="327" customFormat="1" outlineLevel="2" x14ac:dyDescent="0.2">
      <c r="D346" s="660">
        <f>Oth_Ann_TO!D64</f>
        <v>0</v>
      </c>
      <c r="J346" s="5">
        <f>Oth_Ann_TO!J64*IFERROR(INDEX(J$391:J$392,DD_Intro_Costs_Curr)/INDEX(J$391:J$392,$H$396),0)</f>
        <v>0</v>
      </c>
      <c r="K346" s="5">
        <f>Oth_Ann_TO!K64*IFERROR(INDEX(K$391:K$392,DD_Intro_Costs_Curr)/INDEX(K$391:K$392,$H$396),0)</f>
        <v>0</v>
      </c>
      <c r="L346" s="5">
        <f>Oth_Ann_TO!L64*IFERROR(INDEX(L$391:L$392,DD_Intro_Costs_Curr)/INDEX(L$391:L$392,$H$396),0)</f>
        <v>0</v>
      </c>
      <c r="M346" s="5">
        <f>Oth_Ann_TO!M64*IFERROR(INDEX(M$391:M$392,DD_Intro_Costs_Curr)/INDEX(M$391:M$392,$H$396),0)</f>
        <v>0</v>
      </c>
      <c r="N346" s="5">
        <f>Oth_Ann_TO!N64*IFERROR(INDEX(N$391:N$392,DD_Intro_Costs_Curr)/INDEX(N$391:N$392,$H$396),0)</f>
        <v>0</v>
      </c>
      <c r="O346" s="5">
        <f>Oth_Ann_TO!O64*IFERROR(INDEX(O$391:O$392,DD_Intro_Costs_Curr)/INDEX(O$391:O$392,$H$396),0)</f>
        <v>0</v>
      </c>
    </row>
    <row r="347" spans="4:15" s="327" customFormat="1" outlineLevel="2" x14ac:dyDescent="0.2">
      <c r="D347" s="660">
        <f>Oth_Ann_TO!D65</f>
        <v>0</v>
      </c>
      <c r="J347" s="5">
        <f>Oth_Ann_TO!J65*IFERROR(INDEX(J$391:J$392,DD_Intro_Costs_Curr)/INDEX(J$391:J$392,$H$396),0)</f>
        <v>0</v>
      </c>
      <c r="K347" s="5">
        <f>Oth_Ann_TO!K65*IFERROR(INDEX(K$391:K$392,DD_Intro_Costs_Curr)/INDEX(K$391:K$392,$H$396),0)</f>
        <v>0</v>
      </c>
      <c r="L347" s="5">
        <f>Oth_Ann_TO!L65*IFERROR(INDEX(L$391:L$392,DD_Intro_Costs_Curr)/INDEX(L$391:L$392,$H$396),0)</f>
        <v>0</v>
      </c>
      <c r="M347" s="5">
        <f>Oth_Ann_TO!M65*IFERROR(INDEX(M$391:M$392,DD_Intro_Costs_Curr)/INDEX(M$391:M$392,$H$396),0)</f>
        <v>0</v>
      </c>
      <c r="N347" s="5">
        <f>Oth_Ann_TO!N65*IFERROR(INDEX(N$391:N$392,DD_Intro_Costs_Curr)/INDEX(N$391:N$392,$H$396),0)</f>
        <v>0</v>
      </c>
      <c r="O347" s="5">
        <f>Oth_Ann_TO!O65*IFERROR(INDEX(O$391:O$392,DD_Intro_Costs_Curr)/INDEX(O$391:O$392,$H$396),0)</f>
        <v>0</v>
      </c>
    </row>
    <row r="348" spans="4:15" s="327" customFormat="1" outlineLevel="2" x14ac:dyDescent="0.2">
      <c r="D348" s="660">
        <f>Oth_Ann_TO!D66</f>
        <v>0</v>
      </c>
      <c r="J348" s="5">
        <f>Oth_Ann_TO!J66*IFERROR(INDEX(J$391:J$392,DD_Intro_Costs_Curr)/INDEX(J$391:J$392,$H$396),0)</f>
        <v>0</v>
      </c>
      <c r="K348" s="5">
        <f>Oth_Ann_TO!K66*IFERROR(INDEX(K$391:K$392,DD_Intro_Costs_Curr)/INDEX(K$391:K$392,$H$396),0)</f>
        <v>0</v>
      </c>
      <c r="L348" s="5">
        <f>Oth_Ann_TO!L66*IFERROR(INDEX(L$391:L$392,DD_Intro_Costs_Curr)/INDEX(L$391:L$392,$H$396),0)</f>
        <v>0</v>
      </c>
      <c r="M348" s="5">
        <f>Oth_Ann_TO!M66*IFERROR(INDEX(M$391:M$392,DD_Intro_Costs_Curr)/INDEX(M$391:M$392,$H$396),0)</f>
        <v>0</v>
      </c>
      <c r="N348" s="5">
        <f>Oth_Ann_TO!N66*IFERROR(INDEX(N$391:N$392,DD_Intro_Costs_Curr)/INDEX(N$391:N$392,$H$396),0)</f>
        <v>0</v>
      </c>
      <c r="O348" s="5">
        <f>Oth_Ann_TO!O66*IFERROR(INDEX(O$391:O$392,DD_Intro_Costs_Curr)/INDEX(O$391:O$392,$H$396),0)</f>
        <v>0</v>
      </c>
    </row>
    <row r="349" spans="4:15" s="327" customFormat="1" x14ac:dyDescent="0.2">
      <c r="D349" s="659" t="str">
        <f>"Total "&amp;D341</f>
        <v>Total Training</v>
      </c>
      <c r="J349" s="25">
        <f t="shared" ref="J349:O349" si="61">SUM(J342:J348)</f>
        <v>0</v>
      </c>
      <c r="K349" s="25">
        <f t="shared" si="61"/>
        <v>0</v>
      </c>
      <c r="L349" s="25">
        <f t="shared" si="61"/>
        <v>0</v>
      </c>
      <c r="M349" s="25">
        <f t="shared" si="61"/>
        <v>0</v>
      </c>
      <c r="N349" s="25">
        <f t="shared" si="61"/>
        <v>0</v>
      </c>
      <c r="O349" s="25">
        <f t="shared" si="61"/>
        <v>0</v>
      </c>
    </row>
    <row r="350" spans="4:15" s="327" customFormat="1" ht="5.25" customHeight="1" outlineLevel="2" x14ac:dyDescent="0.2"/>
    <row r="351" spans="4:15" s="327" customFormat="1" ht="15" outlineLevel="2" x14ac:dyDescent="0.2">
      <c r="D351" s="658" t="s">
        <v>173</v>
      </c>
    </row>
    <row r="352" spans="4:15" s="327" customFormat="1" outlineLevel="2" x14ac:dyDescent="0.2">
      <c r="D352" s="660" t="str">
        <f>Oth_Ann_TO!D123</f>
        <v>Social Mobilization</v>
      </c>
      <c r="J352" s="5">
        <f>Oth_Ann_TO!J123*IFERROR(INDEX(J$391:J$392,DD_Intro_Costs_Curr)/INDEX(J$391:J$392,$H$397),0)</f>
        <v>750400</v>
      </c>
      <c r="K352" s="5">
        <f>Oth_Ann_TO!K123*IFERROR(INDEX(K$391:K$392,DD_Intro_Costs_Curr)/INDEX(K$391:K$392,$H$397),0)</f>
        <v>750400</v>
      </c>
      <c r="L352" s="5">
        <f>Oth_Ann_TO!L123*IFERROR(INDEX(L$391:L$392,DD_Intro_Costs_Curr)/INDEX(L$391:L$392,$H$397),0)</f>
        <v>750400</v>
      </c>
      <c r="M352" s="5">
        <f>Oth_Ann_TO!M123*IFERROR(INDEX(M$391:M$392,DD_Intro_Costs_Curr)/INDEX(M$391:M$392,$H$397),0)</f>
        <v>750400</v>
      </c>
      <c r="N352" s="5">
        <f>Oth_Ann_TO!N123*IFERROR(INDEX(N$391:N$392,DD_Intro_Costs_Curr)/INDEX(N$391:N$392,$H$397),0)</f>
        <v>750400</v>
      </c>
      <c r="O352" s="5">
        <f>Oth_Ann_TO!O123*IFERROR(INDEX(O$391:O$392,DD_Intro_Costs_Curr)/INDEX(O$391:O$392,$H$397),0)</f>
        <v>750400</v>
      </c>
    </row>
    <row r="353" spans="3:15" s="327" customFormat="1" outlineLevel="2" x14ac:dyDescent="0.2">
      <c r="D353" s="660" t="str">
        <f>Oth_Ann_TO!D124</f>
        <v>Initial Communication Support</v>
      </c>
      <c r="J353" s="5">
        <f>Oth_Ann_TO!J124</f>
        <v>0</v>
      </c>
      <c r="K353" s="5">
        <f>Oth_Ann_TO!K124</f>
        <v>0</v>
      </c>
      <c r="L353" s="5">
        <f>Oth_Ann_TO!L124</f>
        <v>0</v>
      </c>
      <c r="M353" s="5">
        <f>Oth_Ann_TO!M124</f>
        <v>0</v>
      </c>
      <c r="N353" s="5">
        <f>Oth_Ann_TO!N124</f>
        <v>0</v>
      </c>
      <c r="O353" s="5">
        <f>Oth_Ann_TO!O124</f>
        <v>0</v>
      </c>
    </row>
    <row r="354" spans="3:15" s="327" customFormat="1" x14ac:dyDescent="0.2">
      <c r="D354" s="659" t="str">
        <f>"Total "&amp;D351</f>
        <v>Total Social Mobilization &amp; IEC</v>
      </c>
      <c r="J354" s="5">
        <f t="shared" ref="J354:O354" si="62">SUM(J352:J353)</f>
        <v>750400</v>
      </c>
      <c r="K354" s="5">
        <f t="shared" si="62"/>
        <v>750400</v>
      </c>
      <c r="L354" s="5">
        <f t="shared" si="62"/>
        <v>750400</v>
      </c>
      <c r="M354" s="5">
        <f t="shared" si="62"/>
        <v>750400</v>
      </c>
      <c r="N354" s="5">
        <f t="shared" si="62"/>
        <v>750400</v>
      </c>
      <c r="O354" s="5">
        <f t="shared" si="62"/>
        <v>750400</v>
      </c>
    </row>
    <row r="355" spans="3:15" s="327" customFormat="1" ht="5.25" customHeight="1" outlineLevel="2" x14ac:dyDescent="0.2"/>
    <row r="356" spans="3:15" s="327" customFormat="1" x14ac:dyDescent="0.2">
      <c r="D356" s="659" t="str">
        <f>"All Introduction Costs ("&amp;INDEX(LU_Intro_Costs_Denom,DD_TS_Denom)&amp;")"</f>
        <v>All Introduction Costs (USD)</v>
      </c>
      <c r="J356" s="5">
        <f t="shared" ref="J356:O356" si="63">J339+J349+J354</f>
        <v>785400</v>
      </c>
      <c r="K356" s="5">
        <f t="shared" si="63"/>
        <v>785400</v>
      </c>
      <c r="L356" s="5">
        <f t="shared" si="63"/>
        <v>785400</v>
      </c>
      <c r="M356" s="5">
        <f t="shared" si="63"/>
        <v>785400</v>
      </c>
      <c r="N356" s="5">
        <f t="shared" si="63"/>
        <v>785400</v>
      </c>
      <c r="O356" s="5">
        <f t="shared" si="63"/>
        <v>785400</v>
      </c>
    </row>
    <row r="357" spans="3:15" s="327" customFormat="1" outlineLevel="2" x14ac:dyDescent="0.2">
      <c r="D357" s="680" t="s">
        <v>169</v>
      </c>
      <c r="J357" s="65">
        <f t="shared" ref="J357:O357" si="64">TS_Term</f>
        <v>6</v>
      </c>
      <c r="K357" s="65">
        <f t="shared" si="64"/>
        <v>6</v>
      </c>
      <c r="L357" s="65">
        <f t="shared" si="64"/>
        <v>6</v>
      </c>
      <c r="M357" s="65">
        <f t="shared" si="64"/>
        <v>6</v>
      </c>
      <c r="N357" s="65">
        <f t="shared" si="64"/>
        <v>6</v>
      </c>
      <c r="O357" s="65">
        <f t="shared" si="64"/>
        <v>6</v>
      </c>
    </row>
    <row r="358" spans="3:15" s="327" customFormat="1" x14ac:dyDescent="0.2">
      <c r="D358" s="659" t="str">
        <f>"Adjusted for Annual Depreciation ("&amp;INDEX(LU_Intro_Costs_Denom,DD_TS_Denom)&amp;")"</f>
        <v>Adjusted for Annual Depreciation (USD)</v>
      </c>
      <c r="J358" s="25">
        <f t="shared" ref="J358:O358" si="65">J356/J357</f>
        <v>130900</v>
      </c>
      <c r="K358" s="25">
        <f t="shared" si="65"/>
        <v>130900</v>
      </c>
      <c r="L358" s="25">
        <f t="shared" si="65"/>
        <v>130900</v>
      </c>
      <c r="M358" s="25">
        <f t="shared" si="65"/>
        <v>130900</v>
      </c>
      <c r="N358" s="25">
        <f t="shared" si="65"/>
        <v>130900</v>
      </c>
      <c r="O358" s="25">
        <f t="shared" si="65"/>
        <v>130900</v>
      </c>
    </row>
    <row r="359" spans="3:15" s="327" customFormat="1" x14ac:dyDescent="0.2"/>
    <row r="360" spans="3:15" s="327" customFormat="1" ht="15.75" x14ac:dyDescent="0.2">
      <c r="C360" s="26" t="str">
        <f>"Economic Costs ("&amp;INDEX(LU_Intro_Costs_Denom,DD_TS_Denom)&amp;")"</f>
        <v>Economic Costs (USD)</v>
      </c>
    </row>
    <row r="361" spans="3:15" s="327" customFormat="1" x14ac:dyDescent="0.2"/>
    <row r="362" spans="3:15" s="327" customFormat="1" ht="15" outlineLevel="2" x14ac:dyDescent="0.2">
      <c r="D362" s="658" t="s">
        <v>145</v>
      </c>
    </row>
    <row r="363" spans="3:15" s="327" customFormat="1" outlineLevel="2" x14ac:dyDescent="0.2">
      <c r="D363" s="660" t="str">
        <f>Oth_Ann_TO!D34</f>
        <v>National Programme Microplanning</v>
      </c>
      <c r="J363" s="5">
        <f>Oth_Ann_TO!J34*IFERROR(INDEX(J$391:J$392,DD_Intro_Costs_Curr)/INDEX(J$391:J$392,$H$395),0)</f>
        <v>7500</v>
      </c>
      <c r="K363" s="5">
        <f>Oth_Ann_TO!K34*IFERROR(INDEX(K$391:K$392,DD_Intro_Costs_Curr)/INDEX(K$391:K$392,$H$395),0)</f>
        <v>7500</v>
      </c>
      <c r="L363" s="5">
        <f>Oth_Ann_TO!L34*IFERROR(INDEX(L$391:L$392,DD_Intro_Costs_Curr)/INDEX(L$391:L$392,$H$395),0)</f>
        <v>7500</v>
      </c>
      <c r="M363" s="5">
        <f>Oth_Ann_TO!M34*IFERROR(INDEX(M$391:M$392,DD_Intro_Costs_Curr)/INDEX(M$391:M$392,$H$395),0)</f>
        <v>7500</v>
      </c>
      <c r="N363" s="5">
        <f>Oth_Ann_TO!N34*IFERROR(INDEX(N$391:N$392,DD_Intro_Costs_Curr)/INDEX(N$391:N$392,$H$395),0)</f>
        <v>7500</v>
      </c>
      <c r="O363" s="5">
        <f>Oth_Ann_TO!O34*IFERROR(INDEX(O$391:O$392,DD_Intro_Costs_Curr)/INDEX(O$391:O$392,$H$395),0)</f>
        <v>7500</v>
      </c>
    </row>
    <row r="364" spans="3:15" s="327" customFormat="1" outlineLevel="2" x14ac:dyDescent="0.2">
      <c r="D364" s="660" t="str">
        <f>Oth_Ann_TO!D35</f>
        <v>Provincial Programme Microplanning</v>
      </c>
      <c r="J364" s="5">
        <f>Oth_Ann_TO!J35*IFERROR(INDEX(J$391:J$392,DD_Intro_Costs_Curr)/INDEX(J$391:J$392,$H$395),0)</f>
        <v>45000</v>
      </c>
      <c r="K364" s="5">
        <f>Oth_Ann_TO!K35*IFERROR(INDEX(K$391:K$392,DD_Intro_Costs_Curr)/INDEX(K$391:K$392,$H$395),0)</f>
        <v>45000</v>
      </c>
      <c r="L364" s="5">
        <f>Oth_Ann_TO!L35*IFERROR(INDEX(L$391:L$392,DD_Intro_Costs_Curr)/INDEX(L$391:L$392,$H$395),0)</f>
        <v>45000</v>
      </c>
      <c r="M364" s="5">
        <f>Oth_Ann_TO!M35*IFERROR(INDEX(M$391:M$392,DD_Intro_Costs_Curr)/INDEX(M$391:M$392,$H$395),0)</f>
        <v>45000</v>
      </c>
      <c r="N364" s="5">
        <f>Oth_Ann_TO!N35*IFERROR(INDEX(N$391:N$392,DD_Intro_Costs_Curr)/INDEX(N$391:N$392,$H$395),0)</f>
        <v>45000</v>
      </c>
      <c r="O364" s="5">
        <f>Oth_Ann_TO!O35*IFERROR(INDEX(O$391:O$392,DD_Intro_Costs_Curr)/INDEX(O$391:O$392,$H$395),0)</f>
        <v>45000</v>
      </c>
    </row>
    <row r="365" spans="3:15" s="327" customFormat="1" outlineLevel="2" x14ac:dyDescent="0.2">
      <c r="D365" s="660">
        <f>Oth_Ann_TO!D36</f>
        <v>0</v>
      </c>
      <c r="J365" s="5">
        <f>Oth_Ann_TO!J36*IFERROR(INDEX(J$391:J$392,DD_Intro_Costs_Curr)/INDEX(J$391:J$392,$H$395),0)</f>
        <v>0</v>
      </c>
      <c r="K365" s="5">
        <f>Oth_Ann_TO!K36*IFERROR(INDEX(K$391:K$392,DD_Intro_Costs_Curr)/INDEX(K$391:K$392,$H$395),0)</f>
        <v>0</v>
      </c>
      <c r="L365" s="5">
        <f>Oth_Ann_TO!L36*IFERROR(INDEX(L$391:L$392,DD_Intro_Costs_Curr)/INDEX(L$391:L$392,$H$395),0)</f>
        <v>0</v>
      </c>
      <c r="M365" s="5">
        <f>Oth_Ann_TO!M36*IFERROR(INDEX(M$391:M$392,DD_Intro_Costs_Curr)/INDEX(M$391:M$392,$H$395),0)</f>
        <v>0</v>
      </c>
      <c r="N365" s="5">
        <f>Oth_Ann_TO!N36*IFERROR(INDEX(N$391:N$392,DD_Intro_Costs_Curr)/INDEX(N$391:N$392,$H$395),0)</f>
        <v>0</v>
      </c>
      <c r="O365" s="5">
        <f>Oth_Ann_TO!O36*IFERROR(INDEX(O$391:O$392,DD_Intro_Costs_Curr)/INDEX(O$391:O$392,$H$395),0)</f>
        <v>0</v>
      </c>
    </row>
    <row r="366" spans="3:15" s="327" customFormat="1" outlineLevel="2" x14ac:dyDescent="0.2">
      <c r="D366" s="660">
        <f>Oth_Ann_TO!D37</f>
        <v>0</v>
      </c>
      <c r="J366" s="5">
        <f>Oth_Ann_TO!J37*IFERROR(INDEX(J$391:J$392,DD_Intro_Costs_Curr)/INDEX(J$391:J$392,$H$395),0)</f>
        <v>0</v>
      </c>
      <c r="K366" s="5">
        <f>Oth_Ann_TO!K37*IFERROR(INDEX(K$391:K$392,DD_Intro_Costs_Curr)/INDEX(K$391:K$392,$H$395),0)</f>
        <v>0</v>
      </c>
      <c r="L366" s="5">
        <f>Oth_Ann_TO!L37*IFERROR(INDEX(L$391:L$392,DD_Intro_Costs_Curr)/INDEX(L$391:L$392,$H$395),0)</f>
        <v>0</v>
      </c>
      <c r="M366" s="5">
        <f>Oth_Ann_TO!M37*IFERROR(INDEX(M$391:M$392,DD_Intro_Costs_Curr)/INDEX(M$391:M$392,$H$395),0)</f>
        <v>0</v>
      </c>
      <c r="N366" s="5">
        <f>Oth_Ann_TO!N37*IFERROR(INDEX(N$391:N$392,DD_Intro_Costs_Curr)/INDEX(N$391:N$392,$H$395),0)</f>
        <v>0</v>
      </c>
      <c r="O366" s="5">
        <f>Oth_Ann_TO!O37*IFERROR(INDEX(O$391:O$392,DD_Intro_Costs_Curr)/INDEX(O$391:O$392,$H$395),0)</f>
        <v>0</v>
      </c>
    </row>
    <row r="367" spans="3:15" s="327" customFormat="1" x14ac:dyDescent="0.2">
      <c r="D367" s="659" t="str">
        <f>"Total "&amp;D362</f>
        <v>Total Microplanning</v>
      </c>
      <c r="J367" s="5">
        <f t="shared" ref="J367:O367" si="66">SUM(J363:J366)</f>
        <v>52500</v>
      </c>
      <c r="K367" s="5">
        <f t="shared" si="66"/>
        <v>52500</v>
      </c>
      <c r="L367" s="5">
        <f t="shared" si="66"/>
        <v>52500</v>
      </c>
      <c r="M367" s="5">
        <f t="shared" si="66"/>
        <v>52500</v>
      </c>
      <c r="N367" s="5">
        <f t="shared" si="66"/>
        <v>52500</v>
      </c>
      <c r="O367" s="5">
        <f t="shared" si="66"/>
        <v>52500</v>
      </c>
    </row>
    <row r="368" spans="3:15" s="327" customFormat="1" x14ac:dyDescent="0.2"/>
    <row r="369" spans="4:15" s="327" customFormat="1" ht="15" outlineLevel="2" x14ac:dyDescent="0.2">
      <c r="D369" s="658" t="s">
        <v>146</v>
      </c>
    </row>
    <row r="370" spans="4:15" s="327" customFormat="1" outlineLevel="2" x14ac:dyDescent="0.2">
      <c r="D370" s="660" t="str">
        <f>Oth_Ann_TO!D72</f>
        <v>VIA and Cryotherapy Training</v>
      </c>
      <c r="J370" s="5">
        <f>Oth_Ann_TO!J72*IFERROR(INDEX(J$391:J$392,DD_Intro_Costs_Curr)/INDEX(J$391:J$392,$H$396),0)</f>
        <v>0</v>
      </c>
      <c r="K370" s="5">
        <f>Oth_Ann_TO!K72*IFERROR(INDEX(K$391:K$392,DD_Intro_Costs_Curr)/INDEX(K$391:K$392,$H$396),0)</f>
        <v>0</v>
      </c>
      <c r="L370" s="5">
        <f>Oth_Ann_TO!L72*IFERROR(INDEX(L$391:L$392,DD_Intro_Costs_Curr)/INDEX(L$391:L$392,$H$396),0)</f>
        <v>0</v>
      </c>
      <c r="M370" s="5">
        <f>Oth_Ann_TO!M72*IFERROR(INDEX(M$391:M$392,DD_Intro_Costs_Curr)/INDEX(M$391:M$392,$H$396),0)</f>
        <v>0</v>
      </c>
      <c r="N370" s="5">
        <f>Oth_Ann_TO!N72*IFERROR(INDEX(N$391:N$392,DD_Intro_Costs_Curr)/INDEX(N$391:N$392,$H$396),0)</f>
        <v>0</v>
      </c>
      <c r="O370" s="5">
        <f>Oth_Ann_TO!O72*IFERROR(INDEX(O$391:O$392,DD_Intro_Costs_Curr)/INDEX(O$391:O$392,$H$396),0)</f>
        <v>0</v>
      </c>
    </row>
    <row r="371" spans="4:15" s="327" customFormat="1" outlineLevel="2" x14ac:dyDescent="0.2">
      <c r="D371" s="660" t="str">
        <f>Oth_Ann_TO!D73</f>
        <v>LEEP Training</v>
      </c>
      <c r="J371" s="5">
        <f>Oth_Ann_TO!J73*IFERROR(INDEX(J$391:J$392,DD_Intro_Costs_Curr)/INDEX(J$391:J$392,$H$396),0)</f>
        <v>0</v>
      </c>
      <c r="K371" s="5">
        <f>Oth_Ann_TO!K73*IFERROR(INDEX(K$391:K$392,DD_Intro_Costs_Curr)/INDEX(K$391:K$392,$H$396),0)</f>
        <v>0</v>
      </c>
      <c r="L371" s="5">
        <f>Oth_Ann_TO!L73*IFERROR(INDEX(L$391:L$392,DD_Intro_Costs_Curr)/INDEX(L$391:L$392,$H$396),0)</f>
        <v>0</v>
      </c>
      <c r="M371" s="5">
        <f>Oth_Ann_TO!M73*IFERROR(INDEX(M$391:M$392,DD_Intro_Costs_Curr)/INDEX(M$391:M$392,$H$396),0)</f>
        <v>0</v>
      </c>
      <c r="N371" s="5">
        <f>Oth_Ann_TO!N73*IFERROR(INDEX(N$391:N$392,DD_Intro_Costs_Curr)/INDEX(N$391:N$392,$H$396),0)</f>
        <v>0</v>
      </c>
      <c r="O371" s="5">
        <f>Oth_Ann_TO!O73*IFERROR(INDEX(O$391:O$392,DD_Intro_Costs_Curr)/INDEX(O$391:O$392,$H$396),0)</f>
        <v>0</v>
      </c>
    </row>
    <row r="372" spans="4:15" s="327" customFormat="1" outlineLevel="2" x14ac:dyDescent="0.2">
      <c r="D372" s="660">
        <f>Oth_Ann_TO!D74</f>
        <v>0</v>
      </c>
      <c r="J372" s="5">
        <f>Oth_Ann_TO!J74*IFERROR(INDEX(J$391:J$392,DD_Intro_Costs_Curr)/INDEX(J$391:J$392,$H$396),0)</f>
        <v>0</v>
      </c>
      <c r="K372" s="5">
        <f>Oth_Ann_TO!K74*IFERROR(INDEX(K$391:K$392,DD_Intro_Costs_Curr)/INDEX(K$391:K$392,$H$396),0)</f>
        <v>0</v>
      </c>
      <c r="L372" s="5">
        <f>Oth_Ann_TO!L74*IFERROR(INDEX(L$391:L$392,DD_Intro_Costs_Curr)/INDEX(L$391:L$392,$H$396),0)</f>
        <v>0</v>
      </c>
      <c r="M372" s="5">
        <f>Oth_Ann_TO!M74*IFERROR(INDEX(M$391:M$392,DD_Intro_Costs_Curr)/INDEX(M$391:M$392,$H$396),0)</f>
        <v>0</v>
      </c>
      <c r="N372" s="5">
        <f>Oth_Ann_TO!N74*IFERROR(INDEX(N$391:N$392,DD_Intro_Costs_Curr)/INDEX(N$391:N$392,$H$396),0)</f>
        <v>0</v>
      </c>
      <c r="O372" s="5">
        <f>Oth_Ann_TO!O74*IFERROR(INDEX(O$391:O$392,DD_Intro_Costs_Curr)/INDEX(O$391:O$392,$H$396),0)</f>
        <v>0</v>
      </c>
    </row>
    <row r="373" spans="4:15" s="327" customFormat="1" outlineLevel="2" x14ac:dyDescent="0.2">
      <c r="D373" s="660">
        <f>Oth_Ann_TO!D75</f>
        <v>0</v>
      </c>
      <c r="J373" s="5">
        <f>Oth_Ann_TO!J75*IFERROR(INDEX(J$391:J$392,DD_Intro_Costs_Curr)/INDEX(J$391:J$392,$H$396),0)</f>
        <v>0</v>
      </c>
      <c r="K373" s="5">
        <f>Oth_Ann_TO!K75*IFERROR(INDEX(K$391:K$392,DD_Intro_Costs_Curr)/INDEX(K$391:K$392,$H$396),0)</f>
        <v>0</v>
      </c>
      <c r="L373" s="5">
        <f>Oth_Ann_TO!L75*IFERROR(INDEX(L$391:L$392,DD_Intro_Costs_Curr)/INDEX(L$391:L$392,$H$396),0)</f>
        <v>0</v>
      </c>
      <c r="M373" s="5">
        <f>Oth_Ann_TO!M75*IFERROR(INDEX(M$391:M$392,DD_Intro_Costs_Curr)/INDEX(M$391:M$392,$H$396),0)</f>
        <v>0</v>
      </c>
      <c r="N373" s="5">
        <f>Oth_Ann_TO!N75*IFERROR(INDEX(N$391:N$392,DD_Intro_Costs_Curr)/INDEX(N$391:N$392,$H$396),0)</f>
        <v>0</v>
      </c>
      <c r="O373" s="5">
        <f>Oth_Ann_TO!O75*IFERROR(INDEX(O$391:O$392,DD_Intro_Costs_Curr)/INDEX(O$391:O$392,$H$396),0)</f>
        <v>0</v>
      </c>
    </row>
    <row r="374" spans="4:15" s="327" customFormat="1" outlineLevel="2" x14ac:dyDescent="0.2">
      <c r="D374" s="660">
        <f>Oth_Ann_TO!D76</f>
        <v>0</v>
      </c>
      <c r="J374" s="5">
        <f>Oth_Ann_TO!J76*IFERROR(INDEX(J$391:J$392,DD_Intro_Costs_Curr)/INDEX(J$391:J$392,$H$396),0)</f>
        <v>0</v>
      </c>
      <c r="K374" s="5">
        <f>Oth_Ann_TO!K76*IFERROR(INDEX(K$391:K$392,DD_Intro_Costs_Curr)/INDEX(K$391:K$392,$H$396),0)</f>
        <v>0</v>
      </c>
      <c r="L374" s="5">
        <f>Oth_Ann_TO!L76*IFERROR(INDEX(L$391:L$392,DD_Intro_Costs_Curr)/INDEX(L$391:L$392,$H$396),0)</f>
        <v>0</v>
      </c>
      <c r="M374" s="5">
        <f>Oth_Ann_TO!M76*IFERROR(INDEX(M$391:M$392,DD_Intro_Costs_Curr)/INDEX(M$391:M$392,$H$396),0)</f>
        <v>0</v>
      </c>
      <c r="N374" s="5">
        <f>Oth_Ann_TO!N76*IFERROR(INDEX(N$391:N$392,DD_Intro_Costs_Curr)/INDEX(N$391:N$392,$H$396),0)</f>
        <v>0</v>
      </c>
      <c r="O374" s="5">
        <f>Oth_Ann_TO!O76*IFERROR(INDEX(O$391:O$392,DD_Intro_Costs_Curr)/INDEX(O$391:O$392,$H$396),0)</f>
        <v>0</v>
      </c>
    </row>
    <row r="375" spans="4:15" s="327" customFormat="1" outlineLevel="2" x14ac:dyDescent="0.2">
      <c r="D375" s="660">
        <f>Oth_Ann_TO!D77</f>
        <v>0</v>
      </c>
      <c r="J375" s="5">
        <f>Oth_Ann_TO!J77*IFERROR(INDEX(J$391:J$392,DD_Intro_Costs_Curr)/INDEX(J$391:J$392,$H$396),0)</f>
        <v>0</v>
      </c>
      <c r="K375" s="5">
        <f>Oth_Ann_TO!K77*IFERROR(INDEX(K$391:K$392,DD_Intro_Costs_Curr)/INDEX(K$391:K$392,$H$396),0)</f>
        <v>0</v>
      </c>
      <c r="L375" s="5">
        <f>Oth_Ann_TO!L77*IFERROR(INDEX(L$391:L$392,DD_Intro_Costs_Curr)/INDEX(L$391:L$392,$H$396),0)</f>
        <v>0</v>
      </c>
      <c r="M375" s="5">
        <f>Oth_Ann_TO!M77*IFERROR(INDEX(M$391:M$392,DD_Intro_Costs_Curr)/INDEX(M$391:M$392,$H$396),0)</f>
        <v>0</v>
      </c>
      <c r="N375" s="5">
        <f>Oth_Ann_TO!N77*IFERROR(INDEX(N$391:N$392,DD_Intro_Costs_Curr)/INDEX(N$391:N$392,$H$396),0)</f>
        <v>0</v>
      </c>
      <c r="O375" s="5">
        <f>Oth_Ann_TO!O77*IFERROR(INDEX(O$391:O$392,DD_Intro_Costs_Curr)/INDEX(O$391:O$392,$H$396),0)</f>
        <v>0</v>
      </c>
    </row>
    <row r="376" spans="4:15" s="327" customFormat="1" outlineLevel="2" x14ac:dyDescent="0.2">
      <c r="D376" s="660">
        <f>Oth_Ann_TO!D78</f>
        <v>0</v>
      </c>
      <c r="J376" s="5">
        <f>Oth_Ann_TO!J78*IFERROR(INDEX(J$391:J$392,DD_Intro_Costs_Curr)/INDEX(J$391:J$392,$H$396),0)</f>
        <v>0</v>
      </c>
      <c r="K376" s="5">
        <f>Oth_Ann_TO!K78*IFERROR(INDEX(K$391:K$392,DD_Intro_Costs_Curr)/INDEX(K$391:K$392,$H$396),0)</f>
        <v>0</v>
      </c>
      <c r="L376" s="5">
        <f>Oth_Ann_TO!L78*IFERROR(INDEX(L$391:L$392,DD_Intro_Costs_Curr)/INDEX(L$391:L$392,$H$396),0)</f>
        <v>0</v>
      </c>
      <c r="M376" s="5">
        <f>Oth_Ann_TO!M78*IFERROR(INDEX(M$391:M$392,DD_Intro_Costs_Curr)/INDEX(M$391:M$392,$H$396),0)</f>
        <v>0</v>
      </c>
      <c r="N376" s="5">
        <f>Oth_Ann_TO!N78*IFERROR(INDEX(N$391:N$392,DD_Intro_Costs_Curr)/INDEX(N$391:N$392,$H$396),0)</f>
        <v>0</v>
      </c>
      <c r="O376" s="5">
        <f>Oth_Ann_TO!O78*IFERROR(INDEX(O$391:O$392,DD_Intro_Costs_Curr)/INDEX(O$391:O$392,$H$396),0)</f>
        <v>0</v>
      </c>
    </row>
    <row r="377" spans="4:15" s="327" customFormat="1" x14ac:dyDescent="0.2">
      <c r="D377" s="659" t="str">
        <f>"Total "&amp;D369</f>
        <v>Total Training</v>
      </c>
      <c r="J377" s="5">
        <f t="shared" ref="J377:O377" si="67">SUM(J370:J376)</f>
        <v>0</v>
      </c>
      <c r="K377" s="5">
        <f t="shared" si="67"/>
        <v>0</v>
      </c>
      <c r="L377" s="5">
        <f t="shared" si="67"/>
        <v>0</v>
      </c>
      <c r="M377" s="5">
        <f t="shared" si="67"/>
        <v>0</v>
      </c>
      <c r="N377" s="5">
        <f t="shared" si="67"/>
        <v>0</v>
      </c>
      <c r="O377" s="5">
        <f t="shared" si="67"/>
        <v>0</v>
      </c>
    </row>
    <row r="378" spans="4:15" s="327" customFormat="1" ht="5.25" customHeight="1" outlineLevel="2" x14ac:dyDescent="0.2"/>
    <row r="379" spans="4:15" s="327" customFormat="1" ht="15" outlineLevel="2" x14ac:dyDescent="0.2">
      <c r="D379" s="658" t="s">
        <v>173</v>
      </c>
    </row>
    <row r="380" spans="4:15" s="327" customFormat="1" outlineLevel="2" x14ac:dyDescent="0.2">
      <c r="D380" s="660" t="str">
        <f>Oth_Ann_TO!D130</f>
        <v>Social Mobilization</v>
      </c>
      <c r="J380" s="5">
        <f>Oth_Ann_TO!J130*IFERROR(INDEX(J$391:J$392,DD_Intro_Costs_Curr)/INDEX(J$391:J$392,$H$397),0)</f>
        <v>957600</v>
      </c>
      <c r="K380" s="5">
        <f>Oth_Ann_TO!K130*IFERROR(INDEX(K$391:K$392,DD_Intro_Costs_Curr)/INDEX(K$391:K$392,$H$397),0)</f>
        <v>957600</v>
      </c>
      <c r="L380" s="5">
        <f>Oth_Ann_TO!L130*IFERROR(INDEX(L$391:L$392,DD_Intro_Costs_Curr)/INDEX(L$391:L$392,$H$397),0)</f>
        <v>957600</v>
      </c>
      <c r="M380" s="5">
        <f>Oth_Ann_TO!M130*IFERROR(INDEX(M$391:M$392,DD_Intro_Costs_Curr)/INDEX(M$391:M$392,$H$397),0)</f>
        <v>957600</v>
      </c>
      <c r="N380" s="5">
        <f>Oth_Ann_TO!N130*IFERROR(INDEX(N$391:N$392,DD_Intro_Costs_Curr)/INDEX(N$391:N$392,$H$397),0)</f>
        <v>957600</v>
      </c>
      <c r="O380" s="5">
        <f>Oth_Ann_TO!O130*IFERROR(INDEX(O$391:O$392,DD_Intro_Costs_Curr)/INDEX(O$391:O$392,$H$397),0)</f>
        <v>957600</v>
      </c>
    </row>
    <row r="381" spans="4:15" s="327" customFormat="1" outlineLevel="2" x14ac:dyDescent="0.2">
      <c r="D381" s="660" t="str">
        <f>Oth_Ann_TO!D131</f>
        <v>Initial Communication Support</v>
      </c>
      <c r="J381" s="5">
        <f>Oth_Ann_TO!J131</f>
        <v>0</v>
      </c>
      <c r="K381" s="5">
        <f>Oth_Ann_TO!K131</f>
        <v>0</v>
      </c>
      <c r="L381" s="5">
        <f>Oth_Ann_TO!L131</f>
        <v>0</v>
      </c>
      <c r="M381" s="5">
        <f>Oth_Ann_TO!M131</f>
        <v>0</v>
      </c>
      <c r="N381" s="5">
        <f>Oth_Ann_TO!N131</f>
        <v>0</v>
      </c>
      <c r="O381" s="5">
        <f>Oth_Ann_TO!O131</f>
        <v>0</v>
      </c>
    </row>
    <row r="382" spans="4:15" s="327" customFormat="1" x14ac:dyDescent="0.2">
      <c r="D382" s="659" t="str">
        <f>"Total "&amp;D379</f>
        <v>Total Social Mobilization &amp; IEC</v>
      </c>
      <c r="J382" s="5">
        <f t="shared" ref="J382:O382" si="68">SUM(J380:J381)</f>
        <v>957600</v>
      </c>
      <c r="K382" s="5">
        <f t="shared" si="68"/>
        <v>957600</v>
      </c>
      <c r="L382" s="5">
        <f t="shared" si="68"/>
        <v>957600</v>
      </c>
      <c r="M382" s="5">
        <f t="shared" si="68"/>
        <v>957600</v>
      </c>
      <c r="N382" s="5">
        <f t="shared" si="68"/>
        <v>957600</v>
      </c>
      <c r="O382" s="5">
        <f t="shared" si="68"/>
        <v>957600</v>
      </c>
    </row>
    <row r="383" spans="4:15" s="327" customFormat="1" ht="5.25" customHeight="1" outlineLevel="2" x14ac:dyDescent="0.2"/>
    <row r="384" spans="4:15" s="327" customFormat="1" x14ac:dyDescent="0.2">
      <c r="D384" s="659" t="str">
        <f>"All Introduction Costs ("&amp;INDEX(LU_Intro_Costs_Denom,DD_TS_Denom)&amp;")"</f>
        <v>All Introduction Costs (USD)</v>
      </c>
      <c r="J384" s="25">
        <f t="shared" ref="J384:O384" si="69">J367+J377+J382</f>
        <v>1010100</v>
      </c>
      <c r="K384" s="25">
        <f t="shared" si="69"/>
        <v>1010100</v>
      </c>
      <c r="L384" s="25">
        <f t="shared" si="69"/>
        <v>1010100</v>
      </c>
      <c r="M384" s="25">
        <f t="shared" si="69"/>
        <v>1010100</v>
      </c>
      <c r="N384" s="25">
        <f t="shared" si="69"/>
        <v>1010100</v>
      </c>
      <c r="O384" s="25">
        <f t="shared" si="69"/>
        <v>1010100</v>
      </c>
    </row>
    <row r="385" spans="2:15" s="327" customFormat="1" outlineLevel="2" x14ac:dyDescent="0.2">
      <c r="D385" s="680" t="s">
        <v>169</v>
      </c>
      <c r="J385" s="65">
        <f t="shared" ref="J385:O385" si="70">((1+ $I$330)^TS_Term-1)/($I$330*(1+$I$330)^TS_Term)</f>
        <v>5.4171914438781865</v>
      </c>
      <c r="K385" s="65">
        <f t="shared" si="70"/>
        <v>5.4171914438781865</v>
      </c>
      <c r="L385" s="65">
        <f t="shared" si="70"/>
        <v>5.4171914438781865</v>
      </c>
      <c r="M385" s="65">
        <f t="shared" si="70"/>
        <v>5.4171914438781865</v>
      </c>
      <c r="N385" s="65">
        <f t="shared" si="70"/>
        <v>5.4171914438781865</v>
      </c>
      <c r="O385" s="65">
        <f t="shared" si="70"/>
        <v>5.4171914438781865</v>
      </c>
    </row>
    <row r="386" spans="2:15" s="327" customFormat="1" x14ac:dyDescent="0.2">
      <c r="D386" s="659" t="str">
        <f>"Adjusted for Annual Depreciation ("&amp;INDEX(LU_Intro_Costs_Denom,DD_TS_Denom)&amp;")"</f>
        <v>Adjusted for Annual Depreciation (USD)</v>
      </c>
      <c r="J386" s="25">
        <f t="shared" ref="J386:O386" si="71">J384/J385</f>
        <v>186461.93520472405</v>
      </c>
      <c r="K386" s="25">
        <f t="shared" si="71"/>
        <v>186461.93520472405</v>
      </c>
      <c r="L386" s="25">
        <f t="shared" si="71"/>
        <v>186461.93520472405</v>
      </c>
      <c r="M386" s="25">
        <f t="shared" si="71"/>
        <v>186461.93520472405</v>
      </c>
      <c r="N386" s="25">
        <f t="shared" si="71"/>
        <v>186461.93520472405</v>
      </c>
      <c r="O386" s="25">
        <f t="shared" si="71"/>
        <v>186461.93520472405</v>
      </c>
    </row>
    <row r="387" spans="2:15" s="327" customFormat="1" outlineLevel="2" x14ac:dyDescent="0.2"/>
    <row r="388" spans="2:15" s="327" customFormat="1" ht="15.75" outlineLevel="2" x14ac:dyDescent="0.2">
      <c r="C388" s="330" t="s">
        <v>212</v>
      </c>
    </row>
    <row r="389" spans="2:15" s="327" customFormat="1" outlineLevel="2" x14ac:dyDescent="0.2"/>
    <row r="390" spans="2:15" s="327" customFormat="1" ht="15" outlineLevel="2" x14ac:dyDescent="0.2">
      <c r="D390" s="658" t="s">
        <v>167</v>
      </c>
    </row>
    <row r="391" spans="2:15" s="327" customFormat="1" outlineLevel="2" x14ac:dyDescent="0.2">
      <c r="D391" s="660" t="str">
        <f>Econ_Ann_TA!D13</f>
        <v>USD</v>
      </c>
      <c r="J391" s="65">
        <f>Econ_Ann_TA!J13</f>
        <v>1</v>
      </c>
      <c r="K391" s="65">
        <f>Econ_Ann_TA!K13</f>
        <v>1</v>
      </c>
      <c r="L391" s="65">
        <f>Econ_Ann_TA!L13</f>
        <v>1</v>
      </c>
      <c r="M391" s="65">
        <f>Econ_Ann_TA!M13</f>
        <v>1</v>
      </c>
      <c r="N391" s="65">
        <f>Econ_Ann_TA!N13</f>
        <v>1</v>
      </c>
      <c r="O391" s="65">
        <f>Econ_Ann_TA!O13</f>
        <v>1</v>
      </c>
    </row>
    <row r="392" spans="2:15" s="327" customFormat="1" outlineLevel="2" x14ac:dyDescent="0.2">
      <c r="D392" s="660" t="str">
        <f>Econ_Ann_TA!D14</f>
        <v>ZMW</v>
      </c>
      <c r="J392" s="65">
        <f>Econ_Ann_TA!J14</f>
        <v>10.971399999999999</v>
      </c>
      <c r="K392" s="65">
        <f>Econ_Ann_TA!K14</f>
        <v>10.971399999999999</v>
      </c>
      <c r="L392" s="65">
        <f>Econ_Ann_TA!L14</f>
        <v>10.971399999999999</v>
      </c>
      <c r="M392" s="65">
        <f>Econ_Ann_TA!M14</f>
        <v>10.971399999999999</v>
      </c>
      <c r="N392" s="65">
        <f>Econ_Ann_TA!N14</f>
        <v>10.971399999999999</v>
      </c>
      <c r="O392" s="65">
        <f>Econ_Ann_TA!O14</f>
        <v>10.971399999999999</v>
      </c>
    </row>
    <row r="393" spans="2:15" s="327" customFormat="1" outlineLevel="2" x14ac:dyDescent="0.2"/>
    <row r="394" spans="2:15" s="327" customFormat="1" ht="15" outlineLevel="2" x14ac:dyDescent="0.2">
      <c r="D394" s="658" t="s">
        <v>84</v>
      </c>
      <c r="H394" s="72" t="s">
        <v>234</v>
      </c>
    </row>
    <row r="395" spans="2:15" s="327" customFormat="1" outlineLevel="2" x14ac:dyDescent="0.2">
      <c r="D395" s="660" t="str">
        <f>D334</f>
        <v>Microplanning</v>
      </c>
      <c r="H395" s="341">
        <f>Oth_Ann_TA!H14</f>
        <v>1</v>
      </c>
    </row>
    <row r="396" spans="2:15" s="327" customFormat="1" outlineLevel="2" x14ac:dyDescent="0.2">
      <c r="D396" s="660" t="str">
        <f>D341</f>
        <v>Training</v>
      </c>
      <c r="H396" s="341" t="str">
        <f>Plac_Start_Facs_BA!C28</f>
        <v>Go to Province - Outputs</v>
      </c>
    </row>
    <row r="397" spans="2:15" s="327" customFormat="1" outlineLevel="2" x14ac:dyDescent="0.2">
      <c r="D397" s="660" t="str">
        <f>D351</f>
        <v>Social Mobilization &amp; IEC</v>
      </c>
      <c r="H397" s="341">
        <f>Oth_Ann_TA!H188</f>
        <v>1</v>
      </c>
    </row>
    <row r="398" spans="2:15" s="327" customFormat="1" x14ac:dyDescent="0.2"/>
    <row r="399" spans="2:15" s="327" customFormat="1" x14ac:dyDescent="0.2"/>
    <row r="400" spans="2:15" s="327" customFormat="1" ht="18.75" x14ac:dyDescent="0.2">
      <c r="B400" s="426" t="s">
        <v>171</v>
      </c>
    </row>
    <row r="401" spans="3:15" s="327" customFormat="1" x14ac:dyDescent="0.2"/>
    <row r="402" spans="3:15" s="327" customFormat="1" ht="15.75" customHeight="1" x14ac:dyDescent="0.2">
      <c r="C402" s="680" t="s">
        <v>213</v>
      </c>
      <c r="H402" s="64">
        <v>1</v>
      </c>
    </row>
    <row r="403" spans="3:15" s="327" customFormat="1" x14ac:dyDescent="0.2"/>
    <row r="404" spans="3:15" s="327" customFormat="1" ht="15.75" x14ac:dyDescent="0.2">
      <c r="C404" s="26" t="str">
        <f>"Financial Costs ("&amp;INDEX(LU_Recur_Cost_Denom,DD_TS_Denom)&amp;")"</f>
        <v>Financial Costs (USD)</v>
      </c>
    </row>
    <row r="405" spans="3:15" s="327" customFormat="1" x14ac:dyDescent="0.2">
      <c r="J405" s="197"/>
      <c r="K405" s="197"/>
      <c r="L405" s="197"/>
      <c r="M405" s="197"/>
      <c r="N405" s="197"/>
      <c r="O405" s="197"/>
    </row>
    <row r="406" spans="3:15" s="327" customFormat="1" ht="15" outlineLevel="2" x14ac:dyDescent="0.2">
      <c r="D406" s="658" t="s">
        <v>1192</v>
      </c>
    </row>
    <row r="407" spans="3:15" s="327" customFormat="1" outlineLevel="2" x14ac:dyDescent="0.2">
      <c r="D407" s="660" t="str">
        <f>Oth_Ann_TO!D125</f>
        <v>Continuing Communication Support</v>
      </c>
      <c r="J407" s="5">
        <f>Oth_Ann_TO!J125*IFERROR(INDEX(J$465:J$466,DD_Recur_Cost_Curr)/INDEX(J$465:J$466,$H$469),0)</f>
        <v>200000</v>
      </c>
      <c r="K407" s="5">
        <f>Oth_Ann_TO!K125*IFERROR(INDEX(K$465:K$466,DD_Recur_Cost_Curr)/INDEX(K$465:K$466,$H$469),0)</f>
        <v>200000</v>
      </c>
      <c r="L407" s="5">
        <f>Oth_Ann_TO!L125*IFERROR(INDEX(L$465:L$466,DD_Recur_Cost_Curr)/INDEX(L$465:L$466,$H$469),0)</f>
        <v>200000</v>
      </c>
      <c r="M407" s="5">
        <f>Oth_Ann_TO!M125*IFERROR(INDEX(M$465:M$466,DD_Recur_Cost_Curr)/INDEX(M$465:M$466,$H$469),0)</f>
        <v>200000</v>
      </c>
      <c r="N407" s="5">
        <f>Oth_Ann_TO!N125*IFERROR(INDEX(N$465:N$466,DD_Recur_Cost_Curr)/INDEX(N$465:N$466,$H$469),0)</f>
        <v>200000</v>
      </c>
      <c r="O407" s="5">
        <f>Oth_Ann_TO!O125*IFERROR(INDEX(O$465:O$466,DD_Recur_Cost_Curr)/INDEX(O$465:O$466,$H$469),0)</f>
        <v>200000</v>
      </c>
    </row>
    <row r="408" spans="3:15" s="327" customFormat="1" x14ac:dyDescent="0.2">
      <c r="D408" s="659" t="str">
        <f>"Total "&amp;D406</f>
        <v>Total Community-Based Mobilization and Communication</v>
      </c>
      <c r="J408" s="5">
        <f t="shared" ref="J408:O408" si="72">SUM(J407:J407)</f>
        <v>200000</v>
      </c>
      <c r="K408" s="5">
        <f t="shared" si="72"/>
        <v>200000</v>
      </c>
      <c r="L408" s="5">
        <f t="shared" si="72"/>
        <v>200000</v>
      </c>
      <c r="M408" s="5">
        <f t="shared" si="72"/>
        <v>200000</v>
      </c>
      <c r="N408" s="5">
        <f t="shared" si="72"/>
        <v>200000</v>
      </c>
      <c r="O408" s="5">
        <f t="shared" si="72"/>
        <v>200000</v>
      </c>
    </row>
    <row r="409" spans="3:15" s="327" customFormat="1" ht="5.25" customHeight="1" outlineLevel="2" x14ac:dyDescent="0.2"/>
    <row r="410" spans="3:15" s="327" customFormat="1" ht="15" outlineLevel="2" x14ac:dyDescent="0.2">
      <c r="D410" s="658" t="s">
        <v>638</v>
      </c>
    </row>
    <row r="411" spans="3:15" s="327" customFormat="1" outlineLevel="2" x14ac:dyDescent="0.2">
      <c r="D411" s="660" t="str">
        <f>Screen_Ann_TO!H338</f>
        <v>VIA</v>
      </c>
      <c r="J411" s="5">
        <f ca="1">Screen_Ann_TO!J338*IFERROR(INDEX(J$465:J$466,DD_Recur_Cost_Curr)/INDEX(J$465:J$466,$I474),0)</f>
        <v>57397.678896240002</v>
      </c>
      <c r="K411" s="5">
        <f ca="1">Screen_Ann_TO!K338*IFERROR(INDEX(K$465:K$466,DD_Recur_Cost_Curr)/INDEX(K$465:K$466,$I474),0)</f>
        <v>57397.678896240002</v>
      </c>
      <c r="L411" s="5">
        <f ca="1">Screen_Ann_TO!L338*IFERROR(INDEX(L$465:L$466,DD_Recur_Cost_Curr)/INDEX(L$465:L$466,$I474),0)</f>
        <v>57397.678896240002</v>
      </c>
      <c r="M411" s="5">
        <f ca="1">Screen_Ann_TO!M338*IFERROR(INDEX(M$465:M$466,DD_Recur_Cost_Curr)/INDEX(M$465:M$466,$I474),0)</f>
        <v>57397.678896240002</v>
      </c>
      <c r="N411" s="5">
        <f ca="1">Screen_Ann_TO!N338*IFERROR(INDEX(N$465:N$466,DD_Recur_Cost_Curr)/INDEX(N$465:N$466,$I474),0)</f>
        <v>57397.678896240002</v>
      </c>
      <c r="O411" s="5">
        <f ca="1">Screen_Ann_TO!O338*IFERROR(INDEX(O$465:O$466,DD_Recur_Cost_Curr)/INDEX(O$465:O$466,$I474),0)</f>
        <v>57397.678896240002</v>
      </c>
    </row>
    <row r="412" spans="3:15" s="327" customFormat="1" outlineLevel="2" x14ac:dyDescent="0.2">
      <c r="D412" s="660" t="str">
        <f>Diag_Ann_TO!H347</f>
        <v>BIOP-H</v>
      </c>
      <c r="J412" s="5">
        <f ca="1">Diag_Ann_TO!J347*IFERROR(INDEX(J$465:J$466,DD_Recur_Cost_Curr)/INDEX(J$465:J$466,$I475),0)</f>
        <v>5320.4346649999998</v>
      </c>
      <c r="K412" s="5">
        <f ca="1">Diag_Ann_TO!K347*IFERROR(INDEX(K$465:K$466,DD_Recur_Cost_Curr)/INDEX(K$465:K$466,$I475),0)</f>
        <v>5320.4346649999998</v>
      </c>
      <c r="L412" s="5">
        <f ca="1">Diag_Ann_TO!L347*IFERROR(INDEX(L$465:L$466,DD_Recur_Cost_Curr)/INDEX(L$465:L$466,$I475),0)</f>
        <v>5320.4346649999998</v>
      </c>
      <c r="M412" s="5">
        <f ca="1">Diag_Ann_TO!M347*IFERROR(INDEX(M$465:M$466,DD_Recur_Cost_Curr)/INDEX(M$465:M$466,$I475),0)</f>
        <v>5320.4346649999998</v>
      </c>
      <c r="N412" s="5">
        <f ca="1">Diag_Ann_TO!N347*IFERROR(INDEX(N$465:N$466,DD_Recur_Cost_Curr)/INDEX(N$465:N$466,$I475),0)</f>
        <v>5320.4346649999998</v>
      </c>
      <c r="O412" s="5">
        <f ca="1">Diag_Ann_TO!O347*IFERROR(INDEX(O$465:O$466,DD_Recur_Cost_Curr)/INDEX(O$465:O$466,$I475),0)</f>
        <v>5320.4346649999998</v>
      </c>
    </row>
    <row r="413" spans="3:15" s="327" customFormat="1" outlineLevel="2" x14ac:dyDescent="0.2">
      <c r="D413" s="660" t="str">
        <f>Intv_Ann_TO!H353</f>
        <v>Cryo -SV</v>
      </c>
      <c r="J413" s="5">
        <f ca="1">Intv_Ann_TO!J353*IFERROR(INDEX(J$465:J$466,DD_Recur_Cost_Curr)/INDEX(J$465:J$466,$I476),0)</f>
        <v>320495.33100000006</v>
      </c>
      <c r="K413" s="5">
        <f ca="1">Intv_Ann_TO!K353*IFERROR(INDEX(K$465:K$466,DD_Recur_Cost_Curr)/INDEX(K$465:K$466,$I476),0)</f>
        <v>320495.33100000006</v>
      </c>
      <c r="L413" s="5">
        <f ca="1">Intv_Ann_TO!L353*IFERROR(INDEX(L$465:L$466,DD_Recur_Cost_Curr)/INDEX(L$465:L$466,$I476),0)</f>
        <v>320495.33100000006</v>
      </c>
      <c r="M413" s="5">
        <f ca="1">Intv_Ann_TO!M353*IFERROR(INDEX(M$465:M$466,DD_Recur_Cost_Curr)/INDEX(M$465:M$466,$I476),0)</f>
        <v>320495.33100000006</v>
      </c>
      <c r="N413" s="5">
        <f ca="1">Intv_Ann_TO!N353*IFERROR(INDEX(N$465:N$466,DD_Recur_Cost_Curr)/INDEX(N$465:N$466,$I476),0)</f>
        <v>320495.33100000006</v>
      </c>
      <c r="O413" s="5">
        <f ca="1">Intv_Ann_TO!O353*IFERROR(INDEX(O$465:O$466,DD_Recur_Cost_Curr)/INDEX(O$465:O$466,$I476),0)</f>
        <v>320495.33100000006</v>
      </c>
    </row>
    <row r="414" spans="3:15" s="327" customFormat="1" outlineLevel="2" x14ac:dyDescent="0.2">
      <c r="D414" s="660" t="str">
        <f>Intv_Ann_TO!H760</f>
        <v>LEEP with BIOP-H</v>
      </c>
      <c r="J414" s="5">
        <f ca="1">Intv_Ann_TO!J760*IFERROR(INDEX(J$465:J$466,DD_Recur_Cost_Curr)/INDEX(J$465:J$466,$I477),0)</f>
        <v>200242.70247733331</v>
      </c>
      <c r="K414" s="5">
        <f ca="1">Intv_Ann_TO!K760*IFERROR(INDEX(K$465:K$466,DD_Recur_Cost_Curr)/INDEX(K$465:K$466,$I477),0)</f>
        <v>200242.70247733331</v>
      </c>
      <c r="L414" s="5">
        <f ca="1">Intv_Ann_TO!L760*IFERROR(INDEX(L$465:L$466,DD_Recur_Cost_Curr)/INDEX(L$465:L$466,$I477),0)</f>
        <v>200242.70247733331</v>
      </c>
      <c r="M414" s="5">
        <f ca="1">Intv_Ann_TO!M760*IFERROR(INDEX(M$465:M$466,DD_Recur_Cost_Curr)/INDEX(M$465:M$466,$I477),0)</f>
        <v>200242.70247733331</v>
      </c>
      <c r="N414" s="5">
        <f ca="1">Intv_Ann_TO!N760*IFERROR(INDEX(N$465:N$466,DD_Recur_Cost_Curr)/INDEX(N$465:N$466,$I477),0)</f>
        <v>200242.70247733331</v>
      </c>
      <c r="O414" s="5">
        <f ca="1">Intv_Ann_TO!O760*IFERROR(INDEX(O$465:O$466,DD_Recur_Cost_Curr)/INDEX(O$465:O$466,$I477),0)</f>
        <v>200242.70247733331</v>
      </c>
    </row>
    <row r="415" spans="3:15" s="327" customFormat="1" outlineLevel="2" x14ac:dyDescent="0.2">
      <c r="D415" s="660" t="str">
        <f>Intv_Ann_TO!H1574</f>
        <v>Chemo</v>
      </c>
      <c r="J415" s="5">
        <f ca="1">Intv_Ann_TO!J1574*IFERROR(INDEX(J$465:J$466,DD_Recur_Cost_Curr)/INDEX(J$465:J$466,$I478),0)</f>
        <v>30928.904999999999</v>
      </c>
      <c r="K415" s="5">
        <f ca="1">Intv_Ann_TO!K1574*IFERROR(INDEX(K$465:K$466,DD_Recur_Cost_Curr)/INDEX(K$465:K$466,$I478),0)</f>
        <v>30928.904999999999</v>
      </c>
      <c r="L415" s="5">
        <f ca="1">Intv_Ann_TO!L1574*IFERROR(INDEX(L$465:L$466,DD_Recur_Cost_Curr)/INDEX(L$465:L$466,$I478),0)</f>
        <v>30928.904999999999</v>
      </c>
      <c r="M415" s="5">
        <f ca="1">Intv_Ann_TO!M1574*IFERROR(INDEX(M$465:M$466,DD_Recur_Cost_Curr)/INDEX(M$465:M$466,$I478),0)</f>
        <v>30928.904999999999</v>
      </c>
      <c r="N415" s="5">
        <f ca="1">Intv_Ann_TO!N1574*IFERROR(INDEX(N$465:N$466,DD_Recur_Cost_Curr)/INDEX(N$465:N$466,$I478),0)</f>
        <v>30928.904999999999</v>
      </c>
      <c r="O415" s="5">
        <f ca="1">Intv_Ann_TO!O1574*IFERROR(INDEX(O$465:O$466,DD_Recur_Cost_Curr)/INDEX(O$465:O$466,$I478),0)</f>
        <v>30928.904999999999</v>
      </c>
    </row>
    <row r="416" spans="3:15" s="327" customFormat="1" outlineLevel="2" x14ac:dyDescent="0.2">
      <c r="D416" s="660" t="str">
        <f>Intv_Ann_TO!H1981</f>
        <v>RADIO</v>
      </c>
      <c r="J416" s="5">
        <f ca="1">Intv_Ann_TO!J1981*IFERROR(INDEX(J$465:J$466,DD_Recur_Cost_Curr)/INDEX(J$465:J$466,$I479),0)</f>
        <v>4705.8424800000003</v>
      </c>
      <c r="K416" s="5">
        <f ca="1">Intv_Ann_TO!K1981*IFERROR(INDEX(K$465:K$466,DD_Recur_Cost_Curr)/INDEX(K$465:K$466,$I479),0)</f>
        <v>4705.8424800000003</v>
      </c>
      <c r="L416" s="5">
        <f ca="1">Intv_Ann_TO!L1981*IFERROR(INDEX(L$465:L$466,DD_Recur_Cost_Curr)/INDEX(L$465:L$466,$I479),0)</f>
        <v>4705.8424800000003</v>
      </c>
      <c r="M416" s="5">
        <f ca="1">Intv_Ann_TO!M1981*IFERROR(INDEX(M$465:M$466,DD_Recur_Cost_Curr)/INDEX(M$465:M$466,$I479),0)</f>
        <v>4705.8424800000003</v>
      </c>
      <c r="N416" s="5">
        <f ca="1">Intv_Ann_TO!N1981*IFERROR(INDEX(N$465:N$466,DD_Recur_Cost_Curr)/INDEX(N$465:N$466,$I479),0)</f>
        <v>4726.4821400000001</v>
      </c>
      <c r="O416" s="5">
        <f ca="1">Intv_Ann_TO!O1981*IFERROR(INDEX(O$465:O$466,DD_Recur_Cost_Curr)/INDEX(O$465:O$466,$I479),0)</f>
        <v>4726.4821400000001</v>
      </c>
    </row>
    <row r="417" spans="4:15" s="327" customFormat="1" outlineLevel="2" x14ac:dyDescent="0.2">
      <c r="D417" s="660" t="str">
        <f>Intv_Ann_TO!H1167</f>
        <v>SURG</v>
      </c>
      <c r="J417" s="5">
        <f ca="1">Intv_Ann_TO!J1167*IFERROR(INDEX(J$465:J$466,DD_Recur_Cost_Curr)/INDEX(J$465:J$466,$I480),0)</f>
        <v>0</v>
      </c>
      <c r="K417" s="5">
        <f ca="1">Intv_Ann_TO!K1167*IFERROR(INDEX(K$465:K$466,DD_Recur_Cost_Curr)/INDEX(K$465:K$466,$I480),0)</f>
        <v>0</v>
      </c>
      <c r="L417" s="5">
        <f ca="1">Intv_Ann_TO!L1167*IFERROR(INDEX(L$465:L$466,DD_Recur_Cost_Curr)/INDEX(L$465:L$466,$I480),0)</f>
        <v>0</v>
      </c>
      <c r="M417" s="5">
        <f ca="1">Intv_Ann_TO!M1167*IFERROR(INDEX(M$465:M$466,DD_Recur_Cost_Curr)/INDEX(M$465:M$466,$I480),0)</f>
        <v>0</v>
      </c>
      <c r="N417" s="5">
        <f ca="1">Intv_Ann_TO!N1167*IFERROR(INDEX(N$465:N$466,DD_Recur_Cost_Curr)/INDEX(N$465:N$466,$I480),0)</f>
        <v>0</v>
      </c>
      <c r="O417" s="5">
        <f ca="1">Intv_Ann_TO!O1167*IFERROR(INDEX(O$465:O$466,DD_Recur_Cost_Curr)/INDEX(O$465:O$466,$I480),0)</f>
        <v>0</v>
      </c>
    </row>
    <row r="418" spans="4:15" s="327" customFormat="1" outlineLevel="2" x14ac:dyDescent="0.2">
      <c r="D418" s="660" t="str">
        <f>Intv_Ann_TO!H2388</f>
        <v>PALL</v>
      </c>
      <c r="J418" s="5">
        <f ca="1">Intv_Ann_TO!J2388*IFERROR(INDEX(J$465:J$466,DD_Recur_Cost_Curr)/INDEX(J$465:J$466,$I481),0)</f>
        <v>56328.746112000001</v>
      </c>
      <c r="K418" s="5">
        <f ca="1">Intv_Ann_TO!K2388*IFERROR(INDEX(K$465:K$466,DD_Recur_Cost_Curr)/INDEX(K$465:K$466,$I481),0)</f>
        <v>56328.746112000001</v>
      </c>
      <c r="L418" s="5">
        <f ca="1">Intv_Ann_TO!L2388*IFERROR(INDEX(L$465:L$466,DD_Recur_Cost_Curr)/INDEX(L$465:L$466,$I481),0)</f>
        <v>56328.746112000001</v>
      </c>
      <c r="M418" s="5">
        <f ca="1">Intv_Ann_TO!M2388*IFERROR(INDEX(M$465:M$466,DD_Recur_Cost_Curr)/INDEX(M$465:M$466,$I481),0)</f>
        <v>56328.746112000001</v>
      </c>
      <c r="N418" s="5">
        <f ca="1">Intv_Ann_TO!N2388*IFERROR(INDEX(N$465:N$466,DD_Recur_Cost_Curr)/INDEX(N$465:N$466,$I481),0)</f>
        <v>56328.746112000001</v>
      </c>
      <c r="O418" s="5">
        <f ca="1">Intv_Ann_TO!O2388*IFERROR(INDEX(O$465:O$466,DD_Recur_Cost_Curr)/INDEX(O$465:O$466,$I481),0)</f>
        <v>56328.746112000001</v>
      </c>
    </row>
    <row r="419" spans="4:15" s="327" customFormat="1" x14ac:dyDescent="0.2">
      <c r="D419" s="659" t="str">
        <f>"Total "&amp;D410</f>
        <v>Total Service Delivery Costs (Recurrent) - excludes CapEx</v>
      </c>
      <c r="J419" s="5">
        <f t="shared" ref="J419:O419" ca="1" si="73">SUM(J411:J418)</f>
        <v>675419.64063057338</v>
      </c>
      <c r="K419" s="5">
        <f t="shared" ca="1" si="73"/>
        <v>675419.64063057338</v>
      </c>
      <c r="L419" s="5">
        <f t="shared" ca="1" si="73"/>
        <v>675419.64063057338</v>
      </c>
      <c r="M419" s="5">
        <f t="shared" ca="1" si="73"/>
        <v>675419.64063057338</v>
      </c>
      <c r="N419" s="5">
        <f t="shared" ca="1" si="73"/>
        <v>675440.28029057337</v>
      </c>
      <c r="O419" s="5">
        <f t="shared" ca="1" si="73"/>
        <v>675440.28029057337</v>
      </c>
    </row>
    <row r="420" spans="4:15" s="327" customFormat="1" ht="5.25" customHeight="1" outlineLevel="2" x14ac:dyDescent="0.2"/>
    <row r="421" spans="4:15" s="327" customFormat="1" ht="15" outlineLevel="2" x14ac:dyDescent="0.2">
      <c r="D421" s="658" t="s">
        <v>174</v>
      </c>
    </row>
    <row r="422" spans="4:15" s="327" customFormat="1" outlineLevel="2" x14ac:dyDescent="0.2">
      <c r="D422" s="660" t="str">
        <f>Oth_Ann_TO!D143</f>
        <v>Supervision Visits</v>
      </c>
      <c r="J422" s="5">
        <f>Oth_Ann_TO!J143*IFERROR(INDEX(J$465:J$466,DD_Recur_Cost_Curr)/INDEX(J$465:J$466,$H$470),0)</f>
        <v>2800</v>
      </c>
      <c r="K422" s="5">
        <f>Oth_Ann_TO!K143*IFERROR(INDEX(K$465:K$466,DD_Recur_Cost_Curr)/INDEX(K$465:K$466,$H$470),0)</f>
        <v>2800</v>
      </c>
      <c r="L422" s="5">
        <f>Oth_Ann_TO!L143*IFERROR(INDEX(L$465:L$466,DD_Recur_Cost_Curr)/INDEX(L$465:L$466,$H$470),0)</f>
        <v>2800</v>
      </c>
      <c r="M422" s="5">
        <f>Oth_Ann_TO!M143*IFERROR(INDEX(M$465:M$466,DD_Recur_Cost_Curr)/INDEX(M$465:M$466,$H$470),0)</f>
        <v>2800</v>
      </c>
      <c r="N422" s="5">
        <f>Oth_Ann_TO!N143*IFERROR(INDEX(N$465:N$466,DD_Recur_Cost_Curr)/INDEX(N$465:N$466,$H$470),0)</f>
        <v>2800</v>
      </c>
      <c r="O422" s="5">
        <f>Oth_Ann_TO!O143*IFERROR(INDEX(O$465:O$466,DD_Recur_Cost_Curr)/INDEX(O$465:O$466,$H$470),0)</f>
        <v>2800</v>
      </c>
    </row>
    <row r="423" spans="4:15" s="327" customFormat="1" outlineLevel="2" x14ac:dyDescent="0.2">
      <c r="D423" s="660" t="str">
        <f>Oth_Ann_TO!D144</f>
        <v>Monitoring</v>
      </c>
      <c r="J423" s="5">
        <f ca="1">Oth_Ann_TO!J144*IFERROR(INDEX(J$465:J$466,DD_Recur_Cost_Curr)/INDEX(J$465:J$466,$H$470),0)</f>
        <v>0</v>
      </c>
      <c r="K423" s="5">
        <f ca="1">Oth_Ann_TO!K144*IFERROR(INDEX(K$465:K$466,DD_Recur_Cost_Curr)/INDEX(K$465:K$466,$H$470),0)</f>
        <v>0</v>
      </c>
      <c r="L423" s="5">
        <f ca="1">Oth_Ann_TO!L144*IFERROR(INDEX(L$465:L$466,DD_Recur_Cost_Curr)/INDEX(L$465:L$466,$H$470),0)</f>
        <v>0</v>
      </c>
      <c r="M423" s="5">
        <f ca="1">Oth_Ann_TO!M144*IFERROR(INDEX(M$465:M$466,DD_Recur_Cost_Curr)/INDEX(M$465:M$466,$H$470),0)</f>
        <v>0</v>
      </c>
      <c r="N423" s="5">
        <f ca="1">Oth_Ann_TO!N144*IFERROR(INDEX(N$465:N$466,DD_Recur_Cost_Curr)/INDEX(N$465:N$466,$H$470),0)</f>
        <v>0</v>
      </c>
      <c r="O423" s="5">
        <f ca="1">Oth_Ann_TO!O144*IFERROR(INDEX(O$465:O$466,DD_Recur_Cost_Curr)/INDEX(O$465:O$466,$H$470),0)</f>
        <v>0</v>
      </c>
    </row>
    <row r="424" spans="4:15" s="327" customFormat="1" outlineLevel="2" x14ac:dyDescent="0.2">
      <c r="D424" s="660" t="str">
        <f>Oth_Ann_TO!D145</f>
        <v>Evaluation</v>
      </c>
      <c r="J424" s="5">
        <f>Oth_Ann_TO!J145*IFERROR(INDEX(J$465:J$466,DD_Recur_Cost_Curr)/INDEX(J$465:J$466,$H$470),0)</f>
        <v>10000</v>
      </c>
      <c r="K424" s="5">
        <f>Oth_Ann_TO!K145*IFERROR(INDEX(K$465:K$466,DD_Recur_Cost_Curr)/INDEX(K$465:K$466,$H$470),0)</f>
        <v>10000</v>
      </c>
      <c r="L424" s="5">
        <f>Oth_Ann_TO!L145*IFERROR(INDEX(L$465:L$466,DD_Recur_Cost_Curr)/INDEX(L$465:L$466,$H$470),0)</f>
        <v>10000</v>
      </c>
      <c r="M424" s="5">
        <f>Oth_Ann_TO!M145*IFERROR(INDEX(M$465:M$466,DD_Recur_Cost_Curr)/INDEX(M$465:M$466,$H$470),0)</f>
        <v>10000</v>
      </c>
      <c r="N424" s="5">
        <f>Oth_Ann_TO!N145*IFERROR(INDEX(N$465:N$466,DD_Recur_Cost_Curr)/INDEX(N$465:N$466,$H$470),0)</f>
        <v>10000</v>
      </c>
      <c r="O424" s="5">
        <f>Oth_Ann_TO!O145*IFERROR(INDEX(O$465:O$466,DD_Recur_Cost_Curr)/INDEX(O$465:O$466,$H$470),0)</f>
        <v>0</v>
      </c>
    </row>
    <row r="425" spans="4:15" s="327" customFormat="1" x14ac:dyDescent="0.2">
      <c r="D425" s="659" t="str">
        <f>"Total "&amp;D421</f>
        <v>Total Supervision, Monitoring and Evaluation</v>
      </c>
      <c r="J425" s="25">
        <f t="shared" ref="J425:O425" ca="1" si="74">SUM(J422:J424)</f>
        <v>12800</v>
      </c>
      <c r="K425" s="25">
        <f t="shared" ca="1" si="74"/>
        <v>12800</v>
      </c>
      <c r="L425" s="25">
        <f t="shared" ca="1" si="74"/>
        <v>12800</v>
      </c>
      <c r="M425" s="25">
        <f t="shared" ca="1" si="74"/>
        <v>12800</v>
      </c>
      <c r="N425" s="25">
        <f t="shared" ca="1" si="74"/>
        <v>12800</v>
      </c>
      <c r="O425" s="25">
        <f t="shared" ca="1" si="74"/>
        <v>2800</v>
      </c>
    </row>
    <row r="426" spans="4:15" s="327" customFormat="1" ht="5.25" customHeight="1" outlineLevel="2" x14ac:dyDescent="0.2"/>
    <row r="427" spans="4:15" s="327" customFormat="1" ht="15" outlineLevel="2" x14ac:dyDescent="0.2">
      <c r="D427" s="658" t="s">
        <v>150</v>
      </c>
    </row>
    <row r="428" spans="4:15" s="327" customFormat="1" outlineLevel="2" x14ac:dyDescent="0.2">
      <c r="D428" s="660" t="str">
        <f>Oth_Ann_TO!D163</f>
        <v>Recurrent Cost Items</v>
      </c>
      <c r="J428" s="5">
        <f>Oth_Ann_TO!J163*IFERROR(INDEX(J$465:J$466,DD_Recur_Cost_Curr)/INDEX(J$465:J$466,$H$471),0)</f>
        <v>0</v>
      </c>
      <c r="K428" s="5">
        <f>Oth_Ann_TO!K163*IFERROR(INDEX(K$465:K$466,DD_Recur_Cost_Curr)/INDEX(K$465:K$466,$H$471),0)</f>
        <v>0</v>
      </c>
      <c r="L428" s="5">
        <f>Oth_Ann_TO!L163*IFERROR(INDEX(L$465:L$466,DD_Recur_Cost_Curr)/INDEX(L$465:L$466,$H$471),0)</f>
        <v>0</v>
      </c>
      <c r="M428" s="5">
        <f>Oth_Ann_TO!M163*IFERROR(INDEX(M$465:M$466,DD_Recur_Cost_Curr)/INDEX(M$465:M$466,$H$471),0)</f>
        <v>0</v>
      </c>
      <c r="N428" s="5">
        <f>Oth_Ann_TO!N163*IFERROR(INDEX(N$465:N$466,DD_Recur_Cost_Curr)/INDEX(N$465:N$466,$H$471),0)</f>
        <v>0</v>
      </c>
      <c r="O428" s="5">
        <f>Oth_Ann_TO!O163*IFERROR(INDEX(O$465:O$466,DD_Recur_Cost_Curr)/INDEX(O$465:O$466,$H$471),0)</f>
        <v>0</v>
      </c>
    </row>
    <row r="429" spans="4:15" s="327" customFormat="1" x14ac:dyDescent="0.2">
      <c r="D429" s="659" t="str">
        <f>"Total "&amp;D427</f>
        <v>Total Other Costs</v>
      </c>
      <c r="J429" s="5">
        <f t="shared" ref="J429:O429" si="75">SUM(J428:J428)</f>
        <v>0</v>
      </c>
      <c r="K429" s="5">
        <f t="shared" si="75"/>
        <v>0</v>
      </c>
      <c r="L429" s="5">
        <f t="shared" si="75"/>
        <v>0</v>
      </c>
      <c r="M429" s="5">
        <f t="shared" si="75"/>
        <v>0</v>
      </c>
      <c r="N429" s="5">
        <f t="shared" si="75"/>
        <v>0</v>
      </c>
      <c r="O429" s="5">
        <f t="shared" si="75"/>
        <v>0</v>
      </c>
    </row>
    <row r="430" spans="4:15" s="327" customFormat="1" ht="5.25" customHeight="1" outlineLevel="2" x14ac:dyDescent="0.2"/>
    <row r="431" spans="4:15" s="327" customFormat="1" x14ac:dyDescent="0.2">
      <c r="D431" s="659" t="str">
        <f>"Total "&amp;C404</f>
        <v>Total Financial Costs (USD)</v>
      </c>
      <c r="J431" s="5">
        <f t="shared" ref="J431:O431" ca="1" si="76">J408+J419+J425+J429</f>
        <v>888219.64063057338</v>
      </c>
      <c r="K431" s="5">
        <f t="shared" ca="1" si="76"/>
        <v>888219.64063057338</v>
      </c>
      <c r="L431" s="5">
        <f t="shared" ca="1" si="76"/>
        <v>888219.64063057338</v>
      </c>
      <c r="M431" s="5">
        <f t="shared" ca="1" si="76"/>
        <v>888219.64063057338</v>
      </c>
      <c r="N431" s="5">
        <f t="shared" ca="1" si="76"/>
        <v>888240.28029057337</v>
      </c>
      <c r="O431" s="5">
        <f t="shared" ca="1" si="76"/>
        <v>878240.28029057337</v>
      </c>
    </row>
    <row r="432" spans="4:15" s="327" customFormat="1" x14ac:dyDescent="0.2"/>
    <row r="433" spans="3:15" s="327" customFormat="1" ht="15.75" x14ac:dyDescent="0.2">
      <c r="C433" s="26" t="str">
        <f>"Economic Costs ("&amp;INDEX(LU_Recur_Cost_Denom,DD_TS_Denom)&amp;")"</f>
        <v>Economic Costs (USD)</v>
      </c>
    </row>
    <row r="434" spans="3:15" s="327" customFormat="1" x14ac:dyDescent="0.2">
      <c r="J434" s="197"/>
      <c r="K434" s="197"/>
      <c r="L434" s="197"/>
      <c r="M434" s="197"/>
      <c r="N434" s="197"/>
      <c r="O434" s="197"/>
    </row>
    <row r="435" spans="3:15" s="327" customFormat="1" ht="15" outlineLevel="2" x14ac:dyDescent="0.2">
      <c r="D435" s="658" t="s">
        <v>175</v>
      </c>
    </row>
    <row r="436" spans="3:15" s="327" customFormat="1" outlineLevel="2" x14ac:dyDescent="0.2">
      <c r="D436" s="660" t="str">
        <f>Oth_Ann_TO!D132</f>
        <v>Continuing Communication Support</v>
      </c>
      <c r="J436" s="5">
        <f>Oth_Ann_TO!J132*IFERROR(INDEX(J$465:J$466,DD_Recur_Cost_Curr)/INDEX(J$465:J$466,$H$469),0)</f>
        <v>250000</v>
      </c>
      <c r="K436" s="5">
        <f>Oth_Ann_TO!K132*IFERROR(INDEX(K$465:K$466,DD_Recur_Cost_Curr)/INDEX(K$465:K$466,$H$469),0)</f>
        <v>250000</v>
      </c>
      <c r="L436" s="5">
        <f>Oth_Ann_TO!L132*IFERROR(INDEX(L$465:L$466,DD_Recur_Cost_Curr)/INDEX(L$465:L$466,$H$469),0)</f>
        <v>250000</v>
      </c>
      <c r="M436" s="5">
        <f>Oth_Ann_TO!M132*IFERROR(INDEX(M$465:M$466,DD_Recur_Cost_Curr)/INDEX(M$465:M$466,$H$469),0)</f>
        <v>250000</v>
      </c>
      <c r="N436" s="5">
        <f>Oth_Ann_TO!N132*IFERROR(INDEX(N$465:N$466,DD_Recur_Cost_Curr)/INDEX(N$465:N$466,$H$469),0)</f>
        <v>250000</v>
      </c>
      <c r="O436" s="5">
        <f>Oth_Ann_TO!O132*IFERROR(INDEX(O$465:O$466,DD_Recur_Cost_Curr)/INDEX(O$465:O$466,$H$469),0)</f>
        <v>250000</v>
      </c>
    </row>
    <row r="437" spans="3:15" s="327" customFormat="1" x14ac:dyDescent="0.2">
      <c r="D437" s="659" t="str">
        <f>"Total "&amp;D435</f>
        <v>Total Social Mobilization &amp; IEC (Continuing)</v>
      </c>
      <c r="J437" s="5">
        <f t="shared" ref="J437:O437" si="77">SUM(J436:J436)</f>
        <v>250000</v>
      </c>
      <c r="K437" s="5">
        <f t="shared" si="77"/>
        <v>250000</v>
      </c>
      <c r="L437" s="5">
        <f t="shared" si="77"/>
        <v>250000</v>
      </c>
      <c r="M437" s="5">
        <f t="shared" si="77"/>
        <v>250000</v>
      </c>
      <c r="N437" s="5">
        <f t="shared" si="77"/>
        <v>250000</v>
      </c>
      <c r="O437" s="5">
        <f t="shared" si="77"/>
        <v>250000</v>
      </c>
    </row>
    <row r="438" spans="3:15" s="327" customFormat="1" ht="5.25" customHeight="1" outlineLevel="2" x14ac:dyDescent="0.2"/>
    <row r="439" spans="3:15" s="327" customFormat="1" ht="15" outlineLevel="2" x14ac:dyDescent="0.2">
      <c r="D439" s="658" t="s">
        <v>639</v>
      </c>
    </row>
    <row r="440" spans="3:15" s="327" customFormat="1" outlineLevel="2" x14ac:dyDescent="0.2">
      <c r="D440" s="660" t="str">
        <f>Screen_Ann_TO!H339</f>
        <v>VIA</v>
      </c>
      <c r="J440" s="5">
        <f ca="1">Screen_Ann_TO!J339*IFERROR(INDEX(J$465:J$466,DD_Recur_Cost_Curr)/INDEX(J$465:J$466,$I474),0)</f>
        <v>183401.79116778044</v>
      </c>
      <c r="K440" s="5">
        <f ca="1">Screen_Ann_TO!K339*IFERROR(INDEX(K$465:K$466,DD_Recur_Cost_Curr)/INDEX(K$465:K$466,$I474),0)</f>
        <v>183401.79116778044</v>
      </c>
      <c r="L440" s="5">
        <f ca="1">Screen_Ann_TO!L339*IFERROR(INDEX(L$465:L$466,DD_Recur_Cost_Curr)/INDEX(L$465:L$466,$I474),0)</f>
        <v>183401.79116778044</v>
      </c>
      <c r="M440" s="5">
        <f ca="1">Screen_Ann_TO!M339*IFERROR(INDEX(M$465:M$466,DD_Recur_Cost_Curr)/INDEX(M$465:M$466,$I474),0)</f>
        <v>183401.79116778044</v>
      </c>
      <c r="N440" s="5">
        <f ca="1">Screen_Ann_TO!N339*IFERROR(INDEX(N$465:N$466,DD_Recur_Cost_Curr)/INDEX(N$465:N$466,$I474),0)</f>
        <v>183401.79116778044</v>
      </c>
      <c r="O440" s="5">
        <f ca="1">Screen_Ann_TO!O339*IFERROR(INDEX(O$465:O$466,DD_Recur_Cost_Curr)/INDEX(O$465:O$466,$I474),0)</f>
        <v>183401.79116778044</v>
      </c>
    </row>
    <row r="441" spans="3:15" s="327" customFormat="1" outlineLevel="2" x14ac:dyDescent="0.2">
      <c r="D441" s="660" t="str">
        <f>Diag_Ann_TO!H348</f>
        <v>BIOP-H</v>
      </c>
      <c r="J441" s="5">
        <f ca="1">Diag_Ann_TO!J348*IFERROR(INDEX(J$465:J$466,DD_Recur_Cost_Curr)/INDEX(J$465:J$466,$I475),0)</f>
        <v>7145.7800740513485</v>
      </c>
      <c r="K441" s="5">
        <f ca="1">Diag_Ann_TO!K348*IFERROR(INDEX(K$465:K$466,DD_Recur_Cost_Curr)/INDEX(K$465:K$466,$I475),0)</f>
        <v>7145.7800740513485</v>
      </c>
      <c r="L441" s="5">
        <f ca="1">Diag_Ann_TO!L348*IFERROR(INDEX(L$465:L$466,DD_Recur_Cost_Curr)/INDEX(L$465:L$466,$I475),0)</f>
        <v>7145.7800740513485</v>
      </c>
      <c r="M441" s="5">
        <f ca="1">Diag_Ann_TO!M348*IFERROR(INDEX(M$465:M$466,DD_Recur_Cost_Curr)/INDEX(M$465:M$466,$I475),0)</f>
        <v>7145.7800740513485</v>
      </c>
      <c r="N441" s="5">
        <f ca="1">Diag_Ann_TO!N348*IFERROR(INDEX(N$465:N$466,DD_Recur_Cost_Curr)/INDEX(N$465:N$466,$I475),0)</f>
        <v>7145.7800740513485</v>
      </c>
      <c r="O441" s="5">
        <f ca="1">Diag_Ann_TO!O348*IFERROR(INDEX(O$465:O$466,DD_Recur_Cost_Curr)/INDEX(O$465:O$466,$I475),0)</f>
        <v>7145.7800740513485</v>
      </c>
    </row>
    <row r="442" spans="3:15" s="327" customFormat="1" outlineLevel="2" x14ac:dyDescent="0.2">
      <c r="D442" s="660" t="str">
        <f>Intv_Ann_TO!H354</f>
        <v>Cryo -SV</v>
      </c>
      <c r="J442" s="5">
        <f ca="1">Intv_Ann_TO!J354*IFERROR(INDEX(J$465:J$466,DD_Recur_Cost_Curr)/INDEX(J$465:J$466,$I476),0)</f>
        <v>322934.42205744132</v>
      </c>
      <c r="K442" s="5">
        <f ca="1">Intv_Ann_TO!K354*IFERROR(INDEX(K$465:K$466,DD_Recur_Cost_Curr)/INDEX(K$465:K$466,$I476),0)</f>
        <v>322934.42205744132</v>
      </c>
      <c r="L442" s="5">
        <f ca="1">Intv_Ann_TO!L354*IFERROR(INDEX(L$465:L$466,DD_Recur_Cost_Curr)/INDEX(L$465:L$466,$I476),0)</f>
        <v>322934.42205744132</v>
      </c>
      <c r="M442" s="5">
        <f ca="1">Intv_Ann_TO!M354*IFERROR(INDEX(M$465:M$466,DD_Recur_Cost_Curr)/INDEX(M$465:M$466,$I476),0)</f>
        <v>322934.42205744132</v>
      </c>
      <c r="N442" s="5">
        <f ca="1">Intv_Ann_TO!N354*IFERROR(INDEX(N$465:N$466,DD_Recur_Cost_Curr)/INDEX(N$465:N$466,$I476),0)</f>
        <v>322934.42205744132</v>
      </c>
      <c r="O442" s="5">
        <f ca="1">Intv_Ann_TO!O354*IFERROR(INDEX(O$465:O$466,DD_Recur_Cost_Curr)/INDEX(O$465:O$466,$I476),0)</f>
        <v>322934.42205744132</v>
      </c>
    </row>
    <row r="443" spans="3:15" s="327" customFormat="1" outlineLevel="2" x14ac:dyDescent="0.2">
      <c r="D443" s="660" t="str">
        <f>Intv_Ann_TO!H761</f>
        <v>LEEP with BIOP-H</v>
      </c>
      <c r="J443" s="5">
        <f ca="1">Intv_Ann_TO!J761*IFERROR(INDEX(J$465:J$466,DD_Recur_Cost_Curr)/INDEX(J$465:J$466,$I477),0)</f>
        <v>223149.18274640793</v>
      </c>
      <c r="K443" s="5">
        <f ca="1">Intv_Ann_TO!K761*IFERROR(INDEX(K$465:K$466,DD_Recur_Cost_Curr)/INDEX(K$465:K$466,$I477),0)</f>
        <v>223149.18274640793</v>
      </c>
      <c r="L443" s="5">
        <f ca="1">Intv_Ann_TO!L761*IFERROR(INDEX(L$465:L$466,DD_Recur_Cost_Curr)/INDEX(L$465:L$466,$I477),0)</f>
        <v>223149.18274640793</v>
      </c>
      <c r="M443" s="5">
        <f ca="1">Intv_Ann_TO!M761*IFERROR(INDEX(M$465:M$466,DD_Recur_Cost_Curr)/INDEX(M$465:M$466,$I477),0)</f>
        <v>223149.18274640793</v>
      </c>
      <c r="N443" s="5">
        <f ca="1">Intv_Ann_TO!N761*IFERROR(INDEX(N$465:N$466,DD_Recur_Cost_Curr)/INDEX(N$465:N$466,$I477),0)</f>
        <v>223149.18274640793</v>
      </c>
      <c r="O443" s="5">
        <f ca="1">Intv_Ann_TO!O761*IFERROR(INDEX(O$465:O$466,DD_Recur_Cost_Curr)/INDEX(O$465:O$466,$I477),0)</f>
        <v>223149.18274640793</v>
      </c>
    </row>
    <row r="444" spans="3:15" s="327" customFormat="1" outlineLevel="2" x14ac:dyDescent="0.2">
      <c r="D444" s="660" t="str">
        <f>Intv_Ann_TO!H1575</f>
        <v>Chemo</v>
      </c>
      <c r="J444" s="5">
        <f ca="1">Intv_Ann_TO!J1575*IFERROR(INDEX(J$465:J$466,DD_Recur_Cost_Curr)/INDEX(J$465:J$466,$I478),0)</f>
        <v>49585.913873204969</v>
      </c>
      <c r="K444" s="5">
        <f ca="1">Intv_Ann_TO!K1575*IFERROR(INDEX(K$465:K$466,DD_Recur_Cost_Curr)/INDEX(K$465:K$466,$I478),0)</f>
        <v>49585.913873204969</v>
      </c>
      <c r="L444" s="5">
        <f ca="1">Intv_Ann_TO!L1575*IFERROR(INDEX(L$465:L$466,DD_Recur_Cost_Curr)/INDEX(L$465:L$466,$I478),0)</f>
        <v>49585.913873204969</v>
      </c>
      <c r="M444" s="5">
        <f ca="1">Intv_Ann_TO!M1575*IFERROR(INDEX(M$465:M$466,DD_Recur_Cost_Curr)/INDEX(M$465:M$466,$I478),0)</f>
        <v>49585.913873204969</v>
      </c>
      <c r="N444" s="5">
        <f ca="1">Intv_Ann_TO!N1575*IFERROR(INDEX(N$465:N$466,DD_Recur_Cost_Curr)/INDEX(N$465:N$466,$I478),0)</f>
        <v>49585.913873204961</v>
      </c>
      <c r="O444" s="5">
        <f ca="1">Intv_Ann_TO!O1575*IFERROR(INDEX(O$465:O$466,DD_Recur_Cost_Curr)/INDEX(O$465:O$466,$I478),0)</f>
        <v>49585.913873204961</v>
      </c>
    </row>
    <row r="445" spans="3:15" s="327" customFormat="1" outlineLevel="2" x14ac:dyDescent="0.2">
      <c r="D445" s="660" t="str">
        <f>Intv_Ann_TO!H1982</f>
        <v>RADIO</v>
      </c>
      <c r="J445" s="5">
        <f ca="1">Intv_Ann_TO!J1982*IFERROR(INDEX(J$465:J$466,DD_Recur_Cost_Curr)/INDEX(J$465:J$466,$I479),0)</f>
        <v>57158.074815182736</v>
      </c>
      <c r="K445" s="5">
        <f ca="1">Intv_Ann_TO!K1982*IFERROR(INDEX(K$465:K$466,DD_Recur_Cost_Curr)/INDEX(K$465:K$466,$I479),0)</f>
        <v>57158.074815182736</v>
      </c>
      <c r="L445" s="5">
        <f ca="1">Intv_Ann_TO!L1982*IFERROR(INDEX(L$465:L$466,DD_Recur_Cost_Curr)/INDEX(L$465:L$466,$I479),0)</f>
        <v>57158.074815182736</v>
      </c>
      <c r="M445" s="5">
        <f ca="1">Intv_Ann_TO!M1982*IFERROR(INDEX(M$465:M$466,DD_Recur_Cost_Curr)/INDEX(M$465:M$466,$I479),0)</f>
        <v>57158.074815182736</v>
      </c>
      <c r="N445" s="5">
        <f ca="1">Intv_Ann_TO!N1982*IFERROR(INDEX(N$465:N$466,DD_Recur_Cost_Curr)/INDEX(N$465:N$466,$I479),0)</f>
        <v>57408.768125775641</v>
      </c>
      <c r="O445" s="5">
        <f ca="1">Intv_Ann_TO!O1982*IFERROR(INDEX(O$465:O$466,DD_Recur_Cost_Curr)/INDEX(O$465:O$466,$I479),0)</f>
        <v>57408.768125775641</v>
      </c>
    </row>
    <row r="446" spans="3:15" s="327" customFormat="1" outlineLevel="2" x14ac:dyDescent="0.2">
      <c r="D446" s="660" t="str">
        <f>Intv_Ann_TO!H1168</f>
        <v>SURG</v>
      </c>
      <c r="J446" s="5">
        <f ca="1">Intv_Ann_TO!J1168*IFERROR(INDEX(J$465:J$466,DD_Recur_Cost_Curr)/INDEX(J$465:J$466,$I480),0)</f>
        <v>0</v>
      </c>
      <c r="K446" s="5">
        <f ca="1">Intv_Ann_TO!K1168*IFERROR(INDEX(K$465:K$466,DD_Recur_Cost_Curr)/INDEX(K$465:K$466,$I480),0)</f>
        <v>0</v>
      </c>
      <c r="L446" s="5">
        <f ca="1">Intv_Ann_TO!L1168*IFERROR(INDEX(L$465:L$466,DD_Recur_Cost_Curr)/INDEX(L$465:L$466,$I480),0)</f>
        <v>0</v>
      </c>
      <c r="M446" s="5">
        <f ca="1">Intv_Ann_TO!M1168*IFERROR(INDEX(M$465:M$466,DD_Recur_Cost_Curr)/INDEX(M$465:M$466,$I480),0)</f>
        <v>0</v>
      </c>
      <c r="N446" s="5">
        <f ca="1">Intv_Ann_TO!N1168*IFERROR(INDEX(N$465:N$466,DD_Recur_Cost_Curr)/INDEX(N$465:N$466,$I480),0)</f>
        <v>0</v>
      </c>
      <c r="O446" s="5">
        <f ca="1">Intv_Ann_TO!O1168*IFERROR(INDEX(O$465:O$466,DD_Recur_Cost_Curr)/INDEX(O$465:O$466,$I480),0)</f>
        <v>0</v>
      </c>
    </row>
    <row r="447" spans="3:15" s="327" customFormat="1" outlineLevel="2" x14ac:dyDescent="0.2">
      <c r="D447" s="660" t="str">
        <f>Intv_Ann_TO!H2389</f>
        <v>PALL</v>
      </c>
      <c r="J447" s="5">
        <f ca="1">Intv_Ann_TO!J2389*IFERROR(INDEX(J$465:J$466,DD_Recur_Cost_Curr)/INDEX(J$465:J$466,$I481),0)</f>
        <v>86498.692532800676</v>
      </c>
      <c r="K447" s="5">
        <f ca="1">Intv_Ann_TO!K2389*IFERROR(INDEX(K$465:K$466,DD_Recur_Cost_Curr)/INDEX(K$465:K$466,$I481),0)</f>
        <v>86498.692532800676</v>
      </c>
      <c r="L447" s="5">
        <f ca="1">Intv_Ann_TO!L2389*IFERROR(INDEX(L$465:L$466,DD_Recur_Cost_Curr)/INDEX(L$465:L$466,$I481),0)</f>
        <v>86498.692532800676</v>
      </c>
      <c r="M447" s="5">
        <f ca="1">Intv_Ann_TO!M2389*IFERROR(INDEX(M$465:M$466,DD_Recur_Cost_Curr)/INDEX(M$465:M$466,$I481),0)</f>
        <v>86498.692532800676</v>
      </c>
      <c r="N447" s="5">
        <f ca="1">Intv_Ann_TO!N2389*IFERROR(INDEX(N$465:N$466,DD_Recur_Cost_Curr)/INDEX(N$465:N$466,$I481),0)</f>
        <v>86498.692532800676</v>
      </c>
      <c r="O447" s="5">
        <f ca="1">Intv_Ann_TO!O2389*IFERROR(INDEX(O$465:O$466,DD_Recur_Cost_Curr)/INDEX(O$465:O$466,$I481),0)</f>
        <v>86498.692532800676</v>
      </c>
    </row>
    <row r="448" spans="3:15" s="327" customFormat="1" x14ac:dyDescent="0.2">
      <c r="D448" s="659" t="str">
        <f>"Total "&amp;D439</f>
        <v>Total Service Delivery Costs (Recurrent) - Excludes CapEx</v>
      </c>
      <c r="J448" s="5">
        <f t="shared" ref="J448:O448" ca="1" si="78">SUM(J440:J447)</f>
        <v>929873.8572668694</v>
      </c>
      <c r="K448" s="5">
        <f t="shared" ca="1" si="78"/>
        <v>929873.8572668694</v>
      </c>
      <c r="L448" s="5">
        <f t="shared" ca="1" si="78"/>
        <v>929873.8572668694</v>
      </c>
      <c r="M448" s="5">
        <f t="shared" ca="1" si="78"/>
        <v>929873.8572668694</v>
      </c>
      <c r="N448" s="5">
        <f t="shared" ca="1" si="78"/>
        <v>930124.5505774623</v>
      </c>
      <c r="O448" s="5">
        <f t="shared" ca="1" si="78"/>
        <v>930124.5505774623</v>
      </c>
    </row>
    <row r="449" spans="3:15" s="327" customFormat="1" ht="5.25" customHeight="1" outlineLevel="2" x14ac:dyDescent="0.2"/>
    <row r="450" spans="3:15" s="327" customFormat="1" ht="15" outlineLevel="2" x14ac:dyDescent="0.2">
      <c r="D450" s="658" t="s">
        <v>174</v>
      </c>
    </row>
    <row r="451" spans="3:15" s="327" customFormat="1" outlineLevel="2" x14ac:dyDescent="0.2">
      <c r="D451" s="660" t="str">
        <f>Oth_Ann_TO!D150</f>
        <v>Supervision Visits</v>
      </c>
      <c r="J451" s="5">
        <f>Oth_Ann_TO!J150*IFERROR(INDEX(J$465:J$466,DD_Recur_Cost_Curr)/INDEX(J$465:J$466,$H$470),0)</f>
        <v>3600</v>
      </c>
      <c r="K451" s="5">
        <f>Oth_Ann_TO!K150*IFERROR(INDEX(K$465:K$466,DD_Recur_Cost_Curr)/INDEX(K$465:K$466,$H$470),0)</f>
        <v>3600</v>
      </c>
      <c r="L451" s="5">
        <f>Oth_Ann_TO!L150*IFERROR(INDEX(L$465:L$466,DD_Recur_Cost_Curr)/INDEX(L$465:L$466,$H$470),0)</f>
        <v>3600</v>
      </c>
      <c r="M451" s="5">
        <f>Oth_Ann_TO!M150*IFERROR(INDEX(M$465:M$466,DD_Recur_Cost_Curr)/INDEX(M$465:M$466,$H$470),0)</f>
        <v>3600</v>
      </c>
      <c r="N451" s="5">
        <f>Oth_Ann_TO!N150*IFERROR(INDEX(N$465:N$466,DD_Recur_Cost_Curr)/INDEX(N$465:N$466,$H$470),0)</f>
        <v>3600</v>
      </c>
      <c r="O451" s="5">
        <f>Oth_Ann_TO!O150*IFERROR(INDEX(O$465:O$466,DD_Recur_Cost_Curr)/INDEX(O$465:O$466,$H$470),0)</f>
        <v>3600</v>
      </c>
    </row>
    <row r="452" spans="3:15" s="327" customFormat="1" outlineLevel="2" x14ac:dyDescent="0.2">
      <c r="D452" s="660" t="str">
        <f>Oth_Ann_TO!D151</f>
        <v>Monitoring</v>
      </c>
      <c r="J452" s="5">
        <f ca="1">Oth_Ann_TO!J151*IFERROR(INDEX(J$465:J$466,DD_Recur_Cost_Curr)/INDEX(J$465:J$466,$H$470),0)</f>
        <v>0</v>
      </c>
      <c r="K452" s="5">
        <f ca="1">Oth_Ann_TO!K151*IFERROR(INDEX(K$465:K$466,DD_Recur_Cost_Curr)/INDEX(K$465:K$466,$H$470),0)</f>
        <v>0</v>
      </c>
      <c r="L452" s="5">
        <f ca="1">Oth_Ann_TO!L151*IFERROR(INDEX(L$465:L$466,DD_Recur_Cost_Curr)/INDEX(L$465:L$466,$H$470),0)</f>
        <v>0</v>
      </c>
      <c r="M452" s="5">
        <f ca="1">Oth_Ann_TO!M151*IFERROR(INDEX(M$465:M$466,DD_Recur_Cost_Curr)/INDEX(M$465:M$466,$H$470),0)</f>
        <v>0</v>
      </c>
      <c r="N452" s="5">
        <f ca="1">Oth_Ann_TO!N151*IFERROR(INDEX(N$465:N$466,DD_Recur_Cost_Curr)/INDEX(N$465:N$466,$H$470),0)</f>
        <v>0</v>
      </c>
      <c r="O452" s="5">
        <f ca="1">Oth_Ann_TO!O151*IFERROR(INDEX(O$465:O$466,DD_Recur_Cost_Curr)/INDEX(O$465:O$466,$H$470),0)</f>
        <v>0</v>
      </c>
    </row>
    <row r="453" spans="3:15" s="327" customFormat="1" outlineLevel="2" x14ac:dyDescent="0.2">
      <c r="D453" s="660" t="str">
        <f>Oth_Ann_TO!D152</f>
        <v>Evaluation</v>
      </c>
      <c r="J453" s="5">
        <f>Oth_Ann_TO!J152*IFERROR(INDEX(J$465:J$466,DD_Recur_Cost_Curr)/INDEX(J$465:J$466,$H$470),0)</f>
        <v>15000</v>
      </c>
      <c r="K453" s="5">
        <f>Oth_Ann_TO!K152*IFERROR(INDEX(K$465:K$466,DD_Recur_Cost_Curr)/INDEX(K$465:K$466,$H$470),0)</f>
        <v>15000</v>
      </c>
      <c r="L453" s="5">
        <f>Oth_Ann_TO!L152*IFERROR(INDEX(L$465:L$466,DD_Recur_Cost_Curr)/INDEX(L$465:L$466,$H$470),0)</f>
        <v>15000</v>
      </c>
      <c r="M453" s="5">
        <f>Oth_Ann_TO!M152*IFERROR(INDEX(M$465:M$466,DD_Recur_Cost_Curr)/INDEX(M$465:M$466,$H$470),0)</f>
        <v>15000</v>
      </c>
      <c r="N453" s="5">
        <f>Oth_Ann_TO!N152*IFERROR(INDEX(N$465:N$466,DD_Recur_Cost_Curr)/INDEX(N$465:N$466,$H$470),0)</f>
        <v>15000</v>
      </c>
      <c r="O453" s="5">
        <f>Oth_Ann_TO!O152*IFERROR(INDEX(O$465:O$466,DD_Recur_Cost_Curr)/INDEX(O$465:O$466,$H$470),0)</f>
        <v>0</v>
      </c>
    </row>
    <row r="454" spans="3:15" s="327" customFormat="1" x14ac:dyDescent="0.2">
      <c r="D454" s="659" t="str">
        <f>"Total "&amp;D450</f>
        <v>Total Supervision, Monitoring and Evaluation</v>
      </c>
      <c r="J454" s="5">
        <f t="shared" ref="J454:O454" ca="1" si="79">SUM(J451:J453)</f>
        <v>18600</v>
      </c>
      <c r="K454" s="5">
        <f t="shared" ca="1" si="79"/>
        <v>18600</v>
      </c>
      <c r="L454" s="5">
        <f t="shared" ca="1" si="79"/>
        <v>18600</v>
      </c>
      <c r="M454" s="5">
        <f t="shared" ca="1" si="79"/>
        <v>18600</v>
      </c>
      <c r="N454" s="5">
        <f t="shared" ca="1" si="79"/>
        <v>18600</v>
      </c>
      <c r="O454" s="5">
        <f t="shared" ca="1" si="79"/>
        <v>3600</v>
      </c>
    </row>
    <row r="455" spans="3:15" s="327" customFormat="1" ht="5.25" customHeight="1" outlineLevel="2" x14ac:dyDescent="0.2"/>
    <row r="456" spans="3:15" s="327" customFormat="1" ht="15" outlineLevel="2" x14ac:dyDescent="0.2">
      <c r="D456" s="658" t="s">
        <v>150</v>
      </c>
    </row>
    <row r="457" spans="3:15" s="327" customFormat="1" outlineLevel="2" x14ac:dyDescent="0.2">
      <c r="D457" s="660" t="str">
        <f>Oth_Ann_TO!D169</f>
        <v>Recurrent Cost Items</v>
      </c>
      <c r="J457" s="5">
        <f>Oth_Ann_TO!J169*IFERROR(INDEX(J$465:J$466,DD_Recur_Cost_Curr)/INDEX(J$465:J$466,$H$471),0)</f>
        <v>0</v>
      </c>
      <c r="K457" s="5">
        <f>Oth_Ann_TO!K169*IFERROR(INDEX(K$465:K$466,DD_Recur_Cost_Curr)/INDEX(K$465:K$466,$H$471),0)</f>
        <v>0</v>
      </c>
      <c r="L457" s="5">
        <f>Oth_Ann_TO!L169*IFERROR(INDEX(L$465:L$466,DD_Recur_Cost_Curr)/INDEX(L$465:L$466,$H$471),0)</f>
        <v>0</v>
      </c>
      <c r="M457" s="5">
        <f>Oth_Ann_TO!M169*IFERROR(INDEX(M$465:M$466,DD_Recur_Cost_Curr)/INDEX(M$465:M$466,$H$471),0)</f>
        <v>0</v>
      </c>
      <c r="N457" s="5">
        <f>Oth_Ann_TO!N169*IFERROR(INDEX(N$465:N$466,DD_Recur_Cost_Curr)/INDEX(N$465:N$466,$H$471),0)</f>
        <v>0</v>
      </c>
      <c r="O457" s="5">
        <f>Oth_Ann_TO!O169*IFERROR(INDEX(O$465:O$466,DD_Recur_Cost_Curr)/INDEX(O$465:O$466,$H$471),0)</f>
        <v>0</v>
      </c>
    </row>
    <row r="458" spans="3:15" s="327" customFormat="1" x14ac:dyDescent="0.2">
      <c r="D458" s="659" t="str">
        <f>"Total "&amp;D456</f>
        <v>Total Other Costs</v>
      </c>
      <c r="J458" s="5">
        <f t="shared" ref="J458:O458" si="80">SUM(J457:J457)</f>
        <v>0</v>
      </c>
      <c r="K458" s="5">
        <f t="shared" si="80"/>
        <v>0</v>
      </c>
      <c r="L458" s="5">
        <f t="shared" si="80"/>
        <v>0</v>
      </c>
      <c r="M458" s="5">
        <f t="shared" si="80"/>
        <v>0</v>
      </c>
      <c r="N458" s="5">
        <f t="shared" si="80"/>
        <v>0</v>
      </c>
      <c r="O458" s="5">
        <f t="shared" si="80"/>
        <v>0</v>
      </c>
    </row>
    <row r="459" spans="3:15" s="327" customFormat="1" ht="5.25" customHeight="1" outlineLevel="2" x14ac:dyDescent="0.2"/>
    <row r="460" spans="3:15" s="327" customFormat="1" x14ac:dyDescent="0.2">
      <c r="D460" s="659" t="str">
        <f>"Total "&amp;C433</f>
        <v>Total Economic Costs (USD)</v>
      </c>
      <c r="J460" s="5">
        <f t="shared" ref="J460:O460" ca="1" si="81">J437+J448+J454+J458</f>
        <v>1198473.8572668694</v>
      </c>
      <c r="K460" s="5">
        <f t="shared" ca="1" si="81"/>
        <v>1198473.8572668694</v>
      </c>
      <c r="L460" s="5">
        <f t="shared" ca="1" si="81"/>
        <v>1198473.8572668694</v>
      </c>
      <c r="M460" s="5">
        <f t="shared" ca="1" si="81"/>
        <v>1198473.8572668694</v>
      </c>
      <c r="N460" s="5">
        <f t="shared" ca="1" si="81"/>
        <v>1198724.5505774622</v>
      </c>
      <c r="O460" s="5">
        <f t="shared" ca="1" si="81"/>
        <v>1183724.5505774622</v>
      </c>
    </row>
    <row r="461" spans="3:15" s="327" customFormat="1" x14ac:dyDescent="0.2"/>
    <row r="462" spans="3:15" s="327" customFormat="1" ht="15.75" x14ac:dyDescent="0.2">
      <c r="C462" s="330" t="s">
        <v>212</v>
      </c>
    </row>
    <row r="463" spans="3:15" s="327" customFormat="1" x14ac:dyDescent="0.2"/>
    <row r="464" spans="3:15" s="327" customFormat="1" ht="15" x14ac:dyDescent="0.2">
      <c r="D464" s="658" t="s">
        <v>212</v>
      </c>
    </row>
    <row r="465" spans="4:15" s="327" customFormat="1" x14ac:dyDescent="0.2">
      <c r="D465" s="660" t="str">
        <f>Econ_Ann_TA!D13</f>
        <v>USD</v>
      </c>
      <c r="J465" s="65">
        <f>Econ_Ann_TA!J13</f>
        <v>1</v>
      </c>
      <c r="K465" s="65">
        <f>Econ_Ann_TA!K13</f>
        <v>1</v>
      </c>
      <c r="L465" s="65">
        <f>Econ_Ann_TA!L13</f>
        <v>1</v>
      </c>
      <c r="M465" s="65">
        <f>Econ_Ann_TA!M13</f>
        <v>1</v>
      </c>
      <c r="N465" s="65">
        <f>Econ_Ann_TA!N13</f>
        <v>1</v>
      </c>
      <c r="O465" s="65">
        <f>Econ_Ann_TA!O13</f>
        <v>1</v>
      </c>
    </row>
    <row r="466" spans="4:15" s="327" customFormat="1" x14ac:dyDescent="0.2">
      <c r="D466" s="660" t="str">
        <f>Econ_Ann_TA!D14</f>
        <v>ZMW</v>
      </c>
      <c r="J466" s="65">
        <f>Econ_Ann_TA!J14</f>
        <v>10.971399999999999</v>
      </c>
      <c r="K466" s="65">
        <f>Econ_Ann_TA!K14</f>
        <v>10.971399999999999</v>
      </c>
      <c r="L466" s="65">
        <f>Econ_Ann_TA!L14</f>
        <v>10.971399999999999</v>
      </c>
      <c r="M466" s="65">
        <f>Econ_Ann_TA!M14</f>
        <v>10.971399999999999</v>
      </c>
      <c r="N466" s="65">
        <f>Econ_Ann_TA!N14</f>
        <v>10.971399999999999</v>
      </c>
      <c r="O466" s="65">
        <f>Econ_Ann_TA!O14</f>
        <v>10.971399999999999</v>
      </c>
    </row>
    <row r="467" spans="4:15" s="327" customFormat="1" x14ac:dyDescent="0.2"/>
    <row r="468" spans="4:15" s="327" customFormat="1" ht="15" x14ac:dyDescent="0.2">
      <c r="D468" s="658" t="s">
        <v>89</v>
      </c>
      <c r="H468" s="72" t="s">
        <v>234</v>
      </c>
    </row>
    <row r="469" spans="4:15" s="327" customFormat="1" x14ac:dyDescent="0.2">
      <c r="D469" s="660" t="str">
        <f>D406</f>
        <v>Community-Based Mobilization and Communication</v>
      </c>
      <c r="H469" s="341">
        <f>Oth_Ann_TA!H105</f>
        <v>1</v>
      </c>
    </row>
    <row r="470" spans="4:15" s="327" customFormat="1" x14ac:dyDescent="0.2">
      <c r="D470" s="660" t="str">
        <f>D421</f>
        <v>Supervision, Monitoring and Evaluation</v>
      </c>
      <c r="H470" s="341">
        <f>Oth_Ann_TA!H188</f>
        <v>1</v>
      </c>
    </row>
    <row r="471" spans="4:15" s="327" customFormat="1" x14ac:dyDescent="0.2">
      <c r="D471" s="660" t="str">
        <f>D427</f>
        <v>Other Costs</v>
      </c>
      <c r="H471" s="341">
        <f>Oth_Ann_TA!H262</f>
        <v>1</v>
      </c>
    </row>
    <row r="472" spans="4:15" s="327" customFormat="1" x14ac:dyDescent="0.2"/>
    <row r="473" spans="4:15" s="327" customFormat="1" ht="15" x14ac:dyDescent="0.2">
      <c r="D473" s="646" t="str">
        <f t="shared" ref="D473:D481" si="82">D410</f>
        <v>Service Delivery Costs (Recurrent) - excludes CapEx</v>
      </c>
      <c r="H473" s="72" t="s">
        <v>213</v>
      </c>
      <c r="I473" s="72" t="s">
        <v>234</v>
      </c>
    </row>
    <row r="474" spans="4:15" s="327" customFormat="1" x14ac:dyDescent="0.2">
      <c r="D474" s="660" t="str">
        <f t="shared" si="82"/>
        <v>VIA</v>
      </c>
      <c r="H474" s="66" t="str">
        <f>Screen_BA!I157</f>
        <v>USD</v>
      </c>
      <c r="I474" s="341">
        <f t="shared" ref="I474:I481" si="83">IFERROR(MATCH(H474,$D$465:$D$466,0),0)</f>
        <v>1</v>
      </c>
    </row>
    <row r="475" spans="4:15" s="327" customFormat="1" x14ac:dyDescent="0.2">
      <c r="D475" s="660" t="str">
        <f t="shared" si="82"/>
        <v>BIOP-H</v>
      </c>
      <c r="H475" s="66" t="str">
        <f>Diag_BA!I143</f>
        <v>USD</v>
      </c>
      <c r="I475" s="341">
        <f t="shared" si="83"/>
        <v>1</v>
      </c>
    </row>
    <row r="476" spans="4:15" s="327" customFormat="1" x14ac:dyDescent="0.2">
      <c r="D476" s="660" t="str">
        <f t="shared" si="82"/>
        <v>Cryo -SV</v>
      </c>
      <c r="H476" s="66" t="str">
        <f>Intv_BA!I181</f>
        <v>USD</v>
      </c>
      <c r="I476" s="341">
        <f t="shared" si="83"/>
        <v>1</v>
      </c>
    </row>
    <row r="477" spans="4:15" s="327" customFormat="1" x14ac:dyDescent="0.2">
      <c r="D477" s="660" t="str">
        <f t="shared" si="82"/>
        <v>LEEP with BIOP-H</v>
      </c>
      <c r="H477" s="66" t="str">
        <f>Intv_BA!I774</f>
        <v>USD</v>
      </c>
      <c r="I477" s="341">
        <f t="shared" si="83"/>
        <v>1</v>
      </c>
    </row>
    <row r="478" spans="4:15" s="327" customFormat="1" x14ac:dyDescent="0.2">
      <c r="D478" s="660" t="str">
        <f t="shared" si="82"/>
        <v>Chemo</v>
      </c>
      <c r="H478" s="66" t="str">
        <f>Intv_BA!I1361</f>
        <v>USD</v>
      </c>
      <c r="I478" s="341">
        <f t="shared" si="83"/>
        <v>1</v>
      </c>
    </row>
    <row r="479" spans="4:15" s="327" customFormat="1" x14ac:dyDescent="0.2">
      <c r="D479" s="660" t="str">
        <f t="shared" si="82"/>
        <v>RADIO</v>
      </c>
      <c r="H479" s="66" t="str">
        <f>Intv_BA!I1953</f>
        <v>USD</v>
      </c>
      <c r="I479" s="341">
        <f t="shared" si="83"/>
        <v>1</v>
      </c>
    </row>
    <row r="480" spans="4:15" s="327" customFormat="1" x14ac:dyDescent="0.2">
      <c r="D480" s="660" t="str">
        <f t="shared" si="82"/>
        <v>SURG</v>
      </c>
      <c r="H480" s="66" t="str">
        <f>Intv_BA!I2545</f>
        <v>USD</v>
      </c>
      <c r="I480" s="341">
        <f t="shared" si="83"/>
        <v>1</v>
      </c>
    </row>
    <row r="481" spans="4:9" s="327" customFormat="1" x14ac:dyDescent="0.2">
      <c r="D481" s="660" t="str">
        <f t="shared" si="82"/>
        <v>PALL</v>
      </c>
      <c r="H481" s="66" t="str">
        <f>Intv_BA!I3130</f>
        <v>USD</v>
      </c>
      <c r="I481" s="341">
        <f t="shared" si="83"/>
        <v>1</v>
      </c>
    </row>
    <row r="482" spans="4:9" collapsed="1" x14ac:dyDescent="0.2"/>
  </sheetData>
  <sheetProtection password="F0F4" sheet="1" scenarios="1"/>
  <mergeCells count="13">
    <mergeCell ref="B3:F3"/>
    <mergeCell ref="D245:F245"/>
    <mergeCell ref="D222:F222"/>
    <mergeCell ref="D231:F231"/>
    <mergeCell ref="D223:F223"/>
    <mergeCell ref="D224:F224"/>
    <mergeCell ref="D230:F230"/>
    <mergeCell ref="D225:F225"/>
    <mergeCell ref="D296:H296"/>
    <mergeCell ref="D226:F226"/>
    <mergeCell ref="D227:F227"/>
    <mergeCell ref="D228:F228"/>
    <mergeCell ref="D229:F229"/>
  </mergeCells>
  <dataValidations disablePrompts="1" count="6">
    <dataValidation type="whole" showDropDown="1" showErrorMessage="1" errorTitle="Drop Down Box Cell Link" error="The value in a drop down box cell link must be a whole number within the control's lookup range rows." sqref="H169">
      <formula1>1</formula1>
      <formula2>ROWS(LU_Sum_Tbls_Curr)</formula2>
    </dataValidation>
    <dataValidation type="whole" showDropDown="1" showErrorMessage="1" errorTitle="Drop Down Box Cell Link" error="The value in a drop down box cell link must be a whole number within the control's lookup range rows." sqref="H207">
      <formula1>1</formula1>
      <formula2>ROWS(LU_Init_Inv_Curr)</formula2>
    </dataValidation>
    <dataValidation type="whole" showDropDown="1" showErrorMessage="1" errorTitle="Drop Down Box Cell Link" error="The value in a drop down box cell link must be a whole number within the control's lookup range rows." sqref="H328">
      <formula1>1</formula1>
      <formula2>ROWS(LU_Intro_Costs_Curr)</formula2>
    </dataValidation>
    <dataValidation type="whole" showDropDown="1" showErrorMessage="1" errorTitle="Drop Down Box Cell Link" error="The value in a drop down box cell link must be a whole number within the control's lookup range rows." sqref="H402">
      <formula1>1</formula1>
      <formula2>ROWS(LU_Recur_Cost_Curr)</formula2>
    </dataValidation>
    <dataValidation type="whole" showDropDown="1" showErrorMessage="1" errorTitle="Drop Down Box Cell Link" error="The value in a drop down box cell link must be a whole number within the control's lookup range rows." sqref="H64">
      <formula1>1</formula1>
      <formula2>ROWS(LU_Serv_Curr)</formula2>
    </dataValidation>
    <dataValidation type="whole" showDropDown="1" showErrorMessage="1" errorTitle="Drop Down Box Cell Link" error="The value in a drop down box cell link must be a whole number within the control's lookup range rows." sqref="H14">
      <formula1>1</formula1>
      <formula2>ROWS(LU_Total_Costs_Curr)</formula2>
    </dataValidation>
  </dataValidations>
  <hyperlinks>
    <hyperlink ref="A4" location="$A$10" tooltip="Go to Top of Sheet" display="$A$10"/>
    <hyperlink ref="B4" location="HL_Sheet_Main_76" tooltip="Go to Previous Sheet" display="HL_Sheet_Main_76"/>
    <hyperlink ref="C4" location="HL_Sheet_Main_75" tooltip="Go to Next Sheet" display="HL_Sheet_Main_75"/>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drawing r:id="rId2"/>
  <legacyDrawing r:id="rId3"/>
  <oleObjects>
    <mc:AlternateContent xmlns:mc="http://schemas.openxmlformats.org/markup-compatibility/2006">
      <mc:Choice Requires="x14">
        <oleObject progId="Packager Shell Object" shapeId="65648" r:id="rId4">
          <objectPr defaultSize="0" r:id="rId5">
            <anchor moveWithCells="1">
              <from>
                <xdr:col>0</xdr:col>
                <xdr:colOff>0</xdr:colOff>
                <xdr:row>0</xdr:row>
                <xdr:rowOff>0</xdr:rowOff>
              </from>
              <to>
                <xdr:col>2</xdr:col>
                <xdr:colOff>152400</xdr:colOff>
                <xdr:row>1</xdr:row>
                <xdr:rowOff>219075</xdr:rowOff>
              </to>
            </anchor>
          </objectPr>
        </oleObject>
      </mc:Choice>
      <mc:Fallback>
        <oleObject progId="Packager Shell Object" shapeId="65648" r:id="rId4"/>
      </mc:Fallback>
    </mc:AlternateContent>
  </oleObjects>
  <mc:AlternateContent xmlns:mc="http://schemas.openxmlformats.org/markup-compatibility/2006">
    <mc:Choice Requires="x14">
      <controls>
        <mc:AlternateContent xmlns:mc="http://schemas.openxmlformats.org/markup-compatibility/2006">
          <mc:Choice Requires="x14">
            <control shapeId="65544" r:id="rId6" name="bpmDropDownSum_Tbls1">
              <controlPr defaultSize="0" autoFill="0" autoPict="0">
                <anchor moveWithCells="1">
                  <from>
                    <xdr:col>7</xdr:col>
                    <xdr:colOff>0</xdr:colOff>
                    <xdr:row>168</xdr:row>
                    <xdr:rowOff>0</xdr:rowOff>
                  </from>
                  <to>
                    <xdr:col>9</xdr:col>
                    <xdr:colOff>0</xdr:colOff>
                    <xdr:row>169</xdr:row>
                    <xdr:rowOff>0</xdr:rowOff>
                  </to>
                </anchor>
              </controlPr>
            </control>
          </mc:Choice>
        </mc:AlternateContent>
        <mc:AlternateContent xmlns:mc="http://schemas.openxmlformats.org/markup-compatibility/2006">
          <mc:Choice Requires="x14">
            <control shapeId="65545" r:id="rId7" name="bpmDropDownServ1">
              <controlPr defaultSize="0" autoFill="0" autoPict="0">
                <anchor moveWithCells="1">
                  <from>
                    <xdr:col>7</xdr:col>
                    <xdr:colOff>0</xdr:colOff>
                    <xdr:row>63</xdr:row>
                    <xdr:rowOff>0</xdr:rowOff>
                  </from>
                  <to>
                    <xdr:col>9</xdr:col>
                    <xdr:colOff>0</xdr:colOff>
                    <xdr:row>64</xdr:row>
                    <xdr:rowOff>0</xdr:rowOff>
                  </to>
                </anchor>
              </controlPr>
            </control>
          </mc:Choice>
        </mc:AlternateContent>
        <mc:AlternateContent xmlns:mc="http://schemas.openxmlformats.org/markup-compatibility/2006">
          <mc:Choice Requires="x14">
            <control shapeId="65558" r:id="rId8" name="bpmDropDownIntro_Costs1">
              <controlPr defaultSize="0" autoFill="0" autoPict="0">
                <anchor moveWithCells="1">
                  <from>
                    <xdr:col>7</xdr:col>
                    <xdr:colOff>0</xdr:colOff>
                    <xdr:row>327</xdr:row>
                    <xdr:rowOff>0</xdr:rowOff>
                  </from>
                  <to>
                    <xdr:col>9</xdr:col>
                    <xdr:colOff>0</xdr:colOff>
                    <xdr:row>328</xdr:row>
                    <xdr:rowOff>0</xdr:rowOff>
                  </to>
                </anchor>
              </controlPr>
            </control>
          </mc:Choice>
        </mc:AlternateContent>
        <mc:AlternateContent xmlns:mc="http://schemas.openxmlformats.org/markup-compatibility/2006">
          <mc:Choice Requires="x14">
            <control shapeId="65559" r:id="rId9" name="bpmDropDownInit_Inv1">
              <controlPr defaultSize="0" autoFill="0" autoPict="0">
                <anchor moveWithCells="1">
                  <from>
                    <xdr:col>7</xdr:col>
                    <xdr:colOff>0</xdr:colOff>
                    <xdr:row>206</xdr:row>
                    <xdr:rowOff>0</xdr:rowOff>
                  </from>
                  <to>
                    <xdr:col>9</xdr:col>
                    <xdr:colOff>0</xdr:colOff>
                    <xdr:row>207</xdr:row>
                    <xdr:rowOff>0</xdr:rowOff>
                  </to>
                </anchor>
              </controlPr>
            </control>
          </mc:Choice>
        </mc:AlternateContent>
        <mc:AlternateContent xmlns:mc="http://schemas.openxmlformats.org/markup-compatibility/2006">
          <mc:Choice Requires="x14">
            <control shapeId="65560" r:id="rId10" name="bpmDropDownRecur_Cost1">
              <controlPr defaultSize="0" autoFill="0" autoPict="0">
                <anchor moveWithCells="1">
                  <from>
                    <xdr:col>7</xdr:col>
                    <xdr:colOff>0</xdr:colOff>
                    <xdr:row>401</xdr:row>
                    <xdr:rowOff>0</xdr:rowOff>
                  </from>
                  <to>
                    <xdr:col>9</xdr:col>
                    <xdr:colOff>0</xdr:colOff>
                    <xdr:row>402</xdr:row>
                    <xdr:rowOff>0</xdr:rowOff>
                  </to>
                </anchor>
              </controlPr>
            </control>
          </mc:Choice>
        </mc:AlternateContent>
        <mc:AlternateContent xmlns:mc="http://schemas.openxmlformats.org/markup-compatibility/2006">
          <mc:Choice Requires="x14">
            <control shapeId="65583" r:id="rId11" name="bpmDropDownTotal_Costs1">
              <controlPr defaultSize="0" autoFill="0" autoPict="0">
                <anchor moveWithCells="1">
                  <from>
                    <xdr:col>7</xdr:col>
                    <xdr:colOff>0</xdr:colOff>
                    <xdr:row>13</xdr:row>
                    <xdr:rowOff>0</xdr:rowOff>
                  </from>
                  <to>
                    <xdr:col>9</xdr:col>
                    <xdr:colOff>0</xdr:colOff>
                    <xdr:row>14</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pageSetUpPr autoPageBreaks="0"/>
  </sheetPr>
  <dimension ref="A1:O242"/>
  <sheetViews>
    <sheetView showGridLines="0" zoomScaleNormal="100" workbookViewId="0">
      <pane ySplit="9" topLeftCell="A122" activePane="bottomLeft" state="frozen"/>
      <selection pane="bottomLeft" activeCell="B4" sqref="B4"/>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1927</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outlineLevel="2" x14ac:dyDescent="0.2">
      <c r="B8" s="680" t="s">
        <v>72</v>
      </c>
      <c r="J8" s="5">
        <f>COLUMNS($J8:J8)</f>
        <v>1</v>
      </c>
      <c r="K8" s="5">
        <f>COLUMNS($J8:K8)</f>
        <v>2</v>
      </c>
      <c r="L8" s="5">
        <f>COLUMNS($J8:L8)</f>
        <v>3</v>
      </c>
      <c r="M8" s="5">
        <f>COLUMNS($J8:M8)</f>
        <v>4</v>
      </c>
      <c r="N8" s="5">
        <f>COLUMNS($J8:N8)</f>
        <v>5</v>
      </c>
      <c r="O8" s="5">
        <f>COLUMNS($J8:O8)</f>
        <v>6</v>
      </c>
    </row>
    <row r="9" spans="1:15" s="327" customFormat="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x14ac:dyDescent="0.2"/>
    <row r="11" spans="1:15" s="327" customFormat="1" x14ac:dyDescent="0.2"/>
    <row r="12" spans="1:15" s="327" customFormat="1" ht="18.75" x14ac:dyDescent="0.2">
      <c r="B12" s="329" t="s">
        <v>1927</v>
      </c>
    </row>
    <row r="13" spans="1:15" s="327" customFormat="1" x14ac:dyDescent="0.2"/>
    <row r="14" spans="1:15" s="327" customFormat="1" ht="18.75" x14ac:dyDescent="0.2">
      <c r="B14" s="329" t="s">
        <v>1900</v>
      </c>
    </row>
    <row r="15" spans="1:15" s="327" customFormat="1" ht="15.75" x14ac:dyDescent="0.2">
      <c r="C15" s="330" t="s">
        <v>1894</v>
      </c>
    </row>
    <row r="16" spans="1:15" s="327" customFormat="1" ht="15.75" outlineLevel="1" x14ac:dyDescent="0.2">
      <c r="C16" s="18" t="str">
        <f>Screen_Ann_TO!D172</f>
        <v>Total Active Facilities</v>
      </c>
    </row>
    <row r="17" spans="3:15" s="327" customFormat="1" outlineLevel="1" x14ac:dyDescent="0.2">
      <c r="D17" s="660" t="str">
        <f>Screen_Ann_TO!D173</f>
        <v>Central</v>
      </c>
      <c r="J17" s="5">
        <f>Screen_Ann_TO!J173</f>
        <v>4</v>
      </c>
      <c r="K17" s="5">
        <f>Screen_Ann_TO!K173</f>
        <v>4</v>
      </c>
      <c r="L17" s="5">
        <f>Screen_Ann_TO!L173</f>
        <v>4</v>
      </c>
      <c r="M17" s="5">
        <f>Screen_Ann_TO!M173</f>
        <v>4</v>
      </c>
      <c r="N17" s="5">
        <f>Screen_Ann_TO!N173</f>
        <v>4</v>
      </c>
      <c r="O17" s="5">
        <f>Screen_Ann_TO!O173</f>
        <v>4</v>
      </c>
    </row>
    <row r="18" spans="3:15" s="327" customFormat="1" outlineLevel="1" x14ac:dyDescent="0.2">
      <c r="D18" s="660" t="str">
        <f>Screen_Ann_TO!D174</f>
        <v>Copperbelt</v>
      </c>
      <c r="J18" s="5">
        <f>Screen_Ann_TO!J174</f>
        <v>5</v>
      </c>
      <c r="K18" s="5">
        <f>Screen_Ann_TO!K174</f>
        <v>5</v>
      </c>
      <c r="L18" s="5">
        <f>Screen_Ann_TO!L174</f>
        <v>5</v>
      </c>
      <c r="M18" s="5">
        <f>Screen_Ann_TO!M174</f>
        <v>5</v>
      </c>
      <c r="N18" s="5">
        <f>Screen_Ann_TO!N174</f>
        <v>5</v>
      </c>
      <c r="O18" s="5">
        <f>Screen_Ann_TO!O174</f>
        <v>5</v>
      </c>
    </row>
    <row r="19" spans="3:15" s="327" customFormat="1" outlineLevel="1" x14ac:dyDescent="0.2">
      <c r="D19" s="660" t="str">
        <f>Screen_Ann_TO!D175</f>
        <v>Eastern</v>
      </c>
      <c r="J19" s="5">
        <f>Screen_Ann_TO!J175</f>
        <v>6</v>
      </c>
      <c r="K19" s="5">
        <f>Screen_Ann_TO!K175</f>
        <v>6</v>
      </c>
      <c r="L19" s="5">
        <f>Screen_Ann_TO!L175</f>
        <v>6</v>
      </c>
      <c r="M19" s="5">
        <f>Screen_Ann_TO!M175</f>
        <v>6</v>
      </c>
      <c r="N19" s="5">
        <f>Screen_Ann_TO!N175</f>
        <v>6</v>
      </c>
      <c r="O19" s="5">
        <f>Screen_Ann_TO!O175</f>
        <v>6</v>
      </c>
    </row>
    <row r="20" spans="3:15" s="327" customFormat="1" outlineLevel="1" x14ac:dyDescent="0.2">
      <c r="D20" s="660" t="str">
        <f>Screen_Ann_TO!D176</f>
        <v>Luapula</v>
      </c>
      <c r="J20" s="5">
        <f>Screen_Ann_TO!J176</f>
        <v>5</v>
      </c>
      <c r="K20" s="5">
        <f>Screen_Ann_TO!K176</f>
        <v>5</v>
      </c>
      <c r="L20" s="5">
        <f>Screen_Ann_TO!L176</f>
        <v>5</v>
      </c>
      <c r="M20" s="5">
        <f>Screen_Ann_TO!M176</f>
        <v>5</v>
      </c>
      <c r="N20" s="5">
        <f>Screen_Ann_TO!N176</f>
        <v>5</v>
      </c>
      <c r="O20" s="5">
        <f>Screen_Ann_TO!O176</f>
        <v>5</v>
      </c>
    </row>
    <row r="21" spans="3:15" s="327" customFormat="1" outlineLevel="1" x14ac:dyDescent="0.2">
      <c r="D21" s="660" t="str">
        <f>Screen_Ann_TO!D177</f>
        <v>Lusaka</v>
      </c>
      <c r="J21" s="5">
        <f>Screen_Ann_TO!J177</f>
        <v>14</v>
      </c>
      <c r="K21" s="5">
        <f>Screen_Ann_TO!K177</f>
        <v>14</v>
      </c>
      <c r="L21" s="5">
        <f>Screen_Ann_TO!L177</f>
        <v>14</v>
      </c>
      <c r="M21" s="5">
        <f>Screen_Ann_TO!M177</f>
        <v>14</v>
      </c>
      <c r="N21" s="5">
        <f>Screen_Ann_TO!N177</f>
        <v>14</v>
      </c>
      <c r="O21" s="5">
        <f>Screen_Ann_TO!O177</f>
        <v>14</v>
      </c>
    </row>
    <row r="22" spans="3:15" s="327" customFormat="1" outlineLevel="1" x14ac:dyDescent="0.2">
      <c r="D22" s="660" t="str">
        <f>Screen_Ann_TO!D178</f>
        <v>Muchinga</v>
      </c>
      <c r="J22" s="5">
        <f>Screen_Ann_TO!J178</f>
        <v>1</v>
      </c>
      <c r="K22" s="5">
        <f>Screen_Ann_TO!K178</f>
        <v>1</v>
      </c>
      <c r="L22" s="5">
        <f>Screen_Ann_TO!L178</f>
        <v>1</v>
      </c>
      <c r="M22" s="5">
        <f>Screen_Ann_TO!M178</f>
        <v>1</v>
      </c>
      <c r="N22" s="5">
        <f>Screen_Ann_TO!N178</f>
        <v>1</v>
      </c>
      <c r="O22" s="5">
        <f>Screen_Ann_TO!O178</f>
        <v>1</v>
      </c>
    </row>
    <row r="23" spans="3:15" s="327" customFormat="1" outlineLevel="1" x14ac:dyDescent="0.2">
      <c r="D23" s="660" t="str">
        <f>Screen_Ann_TO!D179</f>
        <v>Northern</v>
      </c>
      <c r="J23" s="5">
        <f>Screen_Ann_TO!J179</f>
        <v>2</v>
      </c>
      <c r="K23" s="5">
        <f>Screen_Ann_TO!K179</f>
        <v>2</v>
      </c>
      <c r="L23" s="5">
        <f>Screen_Ann_TO!L179</f>
        <v>2</v>
      </c>
      <c r="M23" s="5">
        <f>Screen_Ann_TO!M179</f>
        <v>2</v>
      </c>
      <c r="N23" s="5">
        <f>Screen_Ann_TO!N179</f>
        <v>2</v>
      </c>
      <c r="O23" s="5">
        <f>Screen_Ann_TO!O179</f>
        <v>2</v>
      </c>
    </row>
    <row r="24" spans="3:15" s="327" customFormat="1" outlineLevel="1" x14ac:dyDescent="0.2">
      <c r="D24" s="660" t="str">
        <f>Screen_Ann_TO!D180</f>
        <v>North-Western</v>
      </c>
      <c r="J24" s="5">
        <f>Screen_Ann_TO!J180</f>
        <v>3</v>
      </c>
      <c r="K24" s="5">
        <f>Screen_Ann_TO!K180</f>
        <v>3</v>
      </c>
      <c r="L24" s="5">
        <f>Screen_Ann_TO!L180</f>
        <v>3</v>
      </c>
      <c r="M24" s="5">
        <f>Screen_Ann_TO!M180</f>
        <v>3</v>
      </c>
      <c r="N24" s="5">
        <f>Screen_Ann_TO!N180</f>
        <v>3</v>
      </c>
      <c r="O24" s="5">
        <f>Screen_Ann_TO!O180</f>
        <v>3</v>
      </c>
    </row>
    <row r="25" spans="3:15" s="327" customFormat="1" outlineLevel="1" x14ac:dyDescent="0.2">
      <c r="D25" s="660" t="str">
        <f>Screen_Ann_TO!D181</f>
        <v>Southern</v>
      </c>
      <c r="J25" s="5">
        <f>Screen_Ann_TO!J181</f>
        <v>5</v>
      </c>
      <c r="K25" s="5">
        <f>Screen_Ann_TO!K181</f>
        <v>5</v>
      </c>
      <c r="L25" s="5">
        <f>Screen_Ann_TO!L181</f>
        <v>5</v>
      </c>
      <c r="M25" s="5">
        <f>Screen_Ann_TO!M181</f>
        <v>5</v>
      </c>
      <c r="N25" s="5">
        <f>Screen_Ann_TO!N181</f>
        <v>5</v>
      </c>
      <c r="O25" s="5">
        <f>Screen_Ann_TO!O181</f>
        <v>5</v>
      </c>
    </row>
    <row r="26" spans="3:15" s="327" customFormat="1" outlineLevel="1" x14ac:dyDescent="0.2">
      <c r="D26" s="660" t="str">
        <f>Screen_Ann_TO!D182</f>
        <v>Western</v>
      </c>
      <c r="J26" s="5">
        <f>Screen_Ann_TO!J182</f>
        <v>5</v>
      </c>
      <c r="K26" s="5">
        <f>Screen_Ann_TO!K182</f>
        <v>5</v>
      </c>
      <c r="L26" s="5">
        <f>Screen_Ann_TO!L182</f>
        <v>5</v>
      </c>
      <c r="M26" s="5">
        <f>Screen_Ann_TO!M182</f>
        <v>5</v>
      </c>
      <c r="N26" s="5">
        <f>Screen_Ann_TO!N182</f>
        <v>5</v>
      </c>
      <c r="O26" s="5">
        <f>Screen_Ann_TO!O182</f>
        <v>5</v>
      </c>
    </row>
    <row r="27" spans="3:15" s="327" customFormat="1" ht="15.75" thickBot="1" x14ac:dyDescent="0.25">
      <c r="D27" s="679" t="str">
        <f>C16&amp;" ("&amp;Screen_BA!$G$10&amp;")"</f>
        <v>Total Active Facilities (VIA)</v>
      </c>
      <c r="J27" s="624">
        <f t="shared" ref="J27:O27" si="4">SUM(J17:J26)</f>
        <v>50</v>
      </c>
      <c r="K27" s="624">
        <f t="shared" si="4"/>
        <v>50</v>
      </c>
      <c r="L27" s="624">
        <f t="shared" si="4"/>
        <v>50</v>
      </c>
      <c r="M27" s="624">
        <f t="shared" si="4"/>
        <v>50</v>
      </c>
      <c r="N27" s="624">
        <f t="shared" si="4"/>
        <v>50</v>
      </c>
      <c r="O27" s="624">
        <f t="shared" si="4"/>
        <v>50</v>
      </c>
    </row>
    <row r="28" spans="3:15" s="327" customFormat="1" ht="13.5" thickTop="1" x14ac:dyDescent="0.2">
      <c r="C28" s="716" t="s">
        <v>1915</v>
      </c>
      <c r="D28" s="716"/>
      <c r="E28" s="716"/>
      <c r="F28" s="716"/>
      <c r="G28" s="716"/>
    </row>
    <row r="29" spans="3:15" s="327" customFormat="1" x14ac:dyDescent="0.2"/>
    <row r="30" spans="3:15" s="327" customFormat="1" ht="15.75" x14ac:dyDescent="0.2">
      <c r="C30" s="330" t="s">
        <v>102</v>
      </c>
    </row>
    <row r="31" spans="3:15" s="327" customFormat="1" ht="15.75" outlineLevel="1" x14ac:dyDescent="0.2">
      <c r="C31" s="18" t="str">
        <f>Screen_Ann_TO!D229</f>
        <v>Maximum Procedures Capacity  (VIA)</v>
      </c>
    </row>
    <row r="32" spans="3:15" s="327" customFormat="1" outlineLevel="1" x14ac:dyDescent="0.2">
      <c r="D32" s="660" t="str">
        <f>Screen_Ann_TO!D230</f>
        <v>Central</v>
      </c>
      <c r="J32" s="282">
        <f>Screen_Ann_TO!J230</f>
        <v>5788</v>
      </c>
      <c r="K32" s="282">
        <f>Screen_Ann_TO!K230</f>
        <v>5788</v>
      </c>
      <c r="L32" s="282">
        <f>Screen_Ann_TO!L230</f>
        <v>5788</v>
      </c>
      <c r="M32" s="282">
        <f>Screen_Ann_TO!M230</f>
        <v>5788</v>
      </c>
      <c r="N32" s="282">
        <f>Screen_Ann_TO!N230</f>
        <v>5788</v>
      </c>
      <c r="O32" s="282">
        <f>Screen_Ann_TO!O230</f>
        <v>5788</v>
      </c>
    </row>
    <row r="33" spans="1:15" s="327" customFormat="1" outlineLevel="1" x14ac:dyDescent="0.2">
      <c r="D33" s="660" t="str">
        <f>Screen_Ann_TO!D231</f>
        <v>Copperbelt</v>
      </c>
      <c r="J33" s="8">
        <f>Screen_Ann_TO!J231</f>
        <v>8128</v>
      </c>
      <c r="K33" s="8">
        <f>Screen_Ann_TO!K231</f>
        <v>8128</v>
      </c>
      <c r="L33" s="8">
        <f>Screen_Ann_TO!L231</f>
        <v>8128</v>
      </c>
      <c r="M33" s="8">
        <f>Screen_Ann_TO!M231</f>
        <v>8128</v>
      </c>
      <c r="N33" s="8">
        <f>Screen_Ann_TO!N231</f>
        <v>8128</v>
      </c>
      <c r="O33" s="8">
        <f>Screen_Ann_TO!O231</f>
        <v>8128</v>
      </c>
    </row>
    <row r="34" spans="1:15" s="327" customFormat="1" outlineLevel="1" x14ac:dyDescent="0.2">
      <c r="D34" s="660" t="str">
        <f>Screen_Ann_TO!D232</f>
        <v>Eastern</v>
      </c>
      <c r="J34" s="8">
        <f>Screen_Ann_TO!J232</f>
        <v>10468</v>
      </c>
      <c r="K34" s="8">
        <f>Screen_Ann_TO!K232</f>
        <v>10468</v>
      </c>
      <c r="L34" s="8">
        <f>Screen_Ann_TO!L232</f>
        <v>10468</v>
      </c>
      <c r="M34" s="8">
        <f>Screen_Ann_TO!M232</f>
        <v>10468</v>
      </c>
      <c r="N34" s="8">
        <f>Screen_Ann_TO!N232</f>
        <v>10468</v>
      </c>
      <c r="O34" s="8">
        <f>Screen_Ann_TO!O232</f>
        <v>10468</v>
      </c>
    </row>
    <row r="35" spans="1:15" s="327" customFormat="1" outlineLevel="1" x14ac:dyDescent="0.2">
      <c r="D35" s="660" t="str">
        <f>Screen_Ann_TO!D233</f>
        <v>Luapula</v>
      </c>
      <c r="J35" s="8">
        <f>Screen_Ann_TO!J233</f>
        <v>8128</v>
      </c>
      <c r="K35" s="8">
        <f>Screen_Ann_TO!K233</f>
        <v>8128</v>
      </c>
      <c r="L35" s="8">
        <f>Screen_Ann_TO!L233</f>
        <v>8128</v>
      </c>
      <c r="M35" s="8">
        <f>Screen_Ann_TO!M233</f>
        <v>8128</v>
      </c>
      <c r="N35" s="8">
        <f>Screen_Ann_TO!N233</f>
        <v>8128</v>
      </c>
      <c r="O35" s="8">
        <f>Screen_Ann_TO!O233</f>
        <v>8128</v>
      </c>
    </row>
    <row r="36" spans="1:15" s="327" customFormat="1" outlineLevel="1" x14ac:dyDescent="0.2">
      <c r="D36" s="660" t="str">
        <f>Screen_Ann_TO!D234</f>
        <v>Lusaka</v>
      </c>
      <c r="J36" s="8">
        <f>Screen_Ann_TO!J234</f>
        <v>29188</v>
      </c>
      <c r="K36" s="8">
        <f>Screen_Ann_TO!K234</f>
        <v>29188</v>
      </c>
      <c r="L36" s="8">
        <f>Screen_Ann_TO!L234</f>
        <v>29188</v>
      </c>
      <c r="M36" s="8">
        <f>Screen_Ann_TO!M234</f>
        <v>29188</v>
      </c>
      <c r="N36" s="8">
        <f>Screen_Ann_TO!N234</f>
        <v>29188</v>
      </c>
      <c r="O36" s="8">
        <f>Screen_Ann_TO!O234</f>
        <v>29188</v>
      </c>
    </row>
    <row r="37" spans="1:15" s="327" customFormat="1" outlineLevel="1" x14ac:dyDescent="0.2">
      <c r="D37" s="660" t="str">
        <f>Screen_Ann_TO!D235</f>
        <v>Muchinga</v>
      </c>
      <c r="J37" s="8">
        <f>Screen_Ann_TO!J235</f>
        <v>554</v>
      </c>
      <c r="K37" s="8">
        <f>Screen_Ann_TO!K235</f>
        <v>554</v>
      </c>
      <c r="L37" s="8">
        <f>Screen_Ann_TO!L235</f>
        <v>554</v>
      </c>
      <c r="M37" s="8">
        <f>Screen_Ann_TO!M235</f>
        <v>554</v>
      </c>
      <c r="N37" s="8">
        <f>Screen_Ann_TO!N235</f>
        <v>554</v>
      </c>
      <c r="O37" s="8">
        <f>Screen_Ann_TO!O235</f>
        <v>554</v>
      </c>
    </row>
    <row r="38" spans="1:15" s="327" customFormat="1" outlineLevel="1" x14ac:dyDescent="0.2">
      <c r="D38" s="660" t="str">
        <f>Screen_Ann_TO!D236</f>
        <v>Northern</v>
      </c>
      <c r="J38" s="8">
        <f>Screen_Ann_TO!J236</f>
        <v>2894</v>
      </c>
      <c r="K38" s="8">
        <f>Screen_Ann_TO!K236</f>
        <v>2894</v>
      </c>
      <c r="L38" s="8">
        <f>Screen_Ann_TO!L236</f>
        <v>2894</v>
      </c>
      <c r="M38" s="8">
        <f>Screen_Ann_TO!M236</f>
        <v>2894</v>
      </c>
      <c r="N38" s="8">
        <f>Screen_Ann_TO!N236</f>
        <v>2894</v>
      </c>
      <c r="O38" s="8">
        <f>Screen_Ann_TO!O236</f>
        <v>2894</v>
      </c>
    </row>
    <row r="39" spans="1:15" s="327" customFormat="1" outlineLevel="1" x14ac:dyDescent="0.2">
      <c r="D39" s="660" t="str">
        <f>Screen_Ann_TO!D237</f>
        <v>North-Western</v>
      </c>
      <c r="J39" s="8">
        <f>Screen_Ann_TO!J237</f>
        <v>3448</v>
      </c>
      <c r="K39" s="8">
        <f>Screen_Ann_TO!K237</f>
        <v>3448</v>
      </c>
      <c r="L39" s="8">
        <f>Screen_Ann_TO!L237</f>
        <v>3448</v>
      </c>
      <c r="M39" s="8">
        <f>Screen_Ann_TO!M237</f>
        <v>3448</v>
      </c>
      <c r="N39" s="8">
        <f>Screen_Ann_TO!N237</f>
        <v>3448</v>
      </c>
      <c r="O39" s="8">
        <f>Screen_Ann_TO!O237</f>
        <v>3448</v>
      </c>
    </row>
    <row r="40" spans="1:15" s="327" customFormat="1" outlineLevel="1" x14ac:dyDescent="0.2">
      <c r="D40" s="660" t="str">
        <f>Screen_Ann_TO!D238</f>
        <v>Southern</v>
      </c>
      <c r="J40" s="8">
        <f>Screen_Ann_TO!J238</f>
        <v>8128</v>
      </c>
      <c r="K40" s="8">
        <f>Screen_Ann_TO!K238</f>
        <v>8128</v>
      </c>
      <c r="L40" s="8">
        <f>Screen_Ann_TO!L238</f>
        <v>8128</v>
      </c>
      <c r="M40" s="8">
        <f>Screen_Ann_TO!M238</f>
        <v>8128</v>
      </c>
      <c r="N40" s="8">
        <f>Screen_Ann_TO!N238</f>
        <v>8128</v>
      </c>
      <c r="O40" s="8">
        <f>Screen_Ann_TO!O238</f>
        <v>8128</v>
      </c>
    </row>
    <row r="41" spans="1:15" s="327" customFormat="1" outlineLevel="1" x14ac:dyDescent="0.2">
      <c r="D41" s="660" t="str">
        <f>Screen_Ann_TO!D239</f>
        <v>Western</v>
      </c>
      <c r="J41" s="8">
        <f>Screen_Ann_TO!J239</f>
        <v>8128</v>
      </c>
      <c r="K41" s="8">
        <f>Screen_Ann_TO!K239</f>
        <v>8128</v>
      </c>
      <c r="L41" s="8">
        <f>Screen_Ann_TO!L239</f>
        <v>8128</v>
      </c>
      <c r="M41" s="8">
        <f>Screen_Ann_TO!M239</f>
        <v>8128</v>
      </c>
      <c r="N41" s="8">
        <f>Screen_Ann_TO!N239</f>
        <v>8128</v>
      </c>
      <c r="O41" s="8">
        <f>Screen_Ann_TO!O239</f>
        <v>8128</v>
      </c>
    </row>
    <row r="42" spans="1:15" s="327" customFormat="1" ht="15.75" thickBot="1" x14ac:dyDescent="0.25">
      <c r="D42" s="679" t="str">
        <f>"Total "&amp;C31</f>
        <v>Total Maximum Procedures Capacity  (VIA)</v>
      </c>
      <c r="H42" s="646" t="str">
        <f>Screen_Ann_TO!H240</f>
        <v>VIA</v>
      </c>
      <c r="J42" s="624">
        <f t="shared" ref="J42:O42" si="5">SUM(J32:J41)</f>
        <v>84852</v>
      </c>
      <c r="K42" s="624">
        <f t="shared" si="5"/>
        <v>84852</v>
      </c>
      <c r="L42" s="624">
        <f t="shared" si="5"/>
        <v>84852</v>
      </c>
      <c r="M42" s="624">
        <f t="shared" si="5"/>
        <v>84852</v>
      </c>
      <c r="N42" s="624">
        <f t="shared" si="5"/>
        <v>84852</v>
      </c>
      <c r="O42" s="624">
        <f t="shared" si="5"/>
        <v>84852</v>
      </c>
    </row>
    <row r="43" spans="1:15" s="327" customFormat="1" ht="13.5" thickTop="1" x14ac:dyDescent="0.2">
      <c r="C43" s="716" t="s">
        <v>1916</v>
      </c>
      <c r="D43" s="716"/>
      <c r="E43" s="716"/>
      <c r="F43" s="716"/>
      <c r="G43" s="716"/>
      <c r="H43" s="716"/>
    </row>
    <row r="44" spans="1:15" s="327" customFormat="1" x14ac:dyDescent="0.2"/>
    <row r="45" spans="1:15" s="327" customFormat="1" ht="15" x14ac:dyDescent="0.2">
      <c r="A45" s="658" t="s">
        <v>1899</v>
      </c>
      <c r="I45" s="637" t="str">
        <f>IF(Screen_Ann_TO!H256=TRUE,"YES!","NO")</f>
        <v>YES!</v>
      </c>
    </row>
    <row r="46" spans="1:15" s="327" customFormat="1" x14ac:dyDescent="0.2">
      <c r="C46" s="716" t="s">
        <v>1917</v>
      </c>
      <c r="D46" s="716"/>
      <c r="E46" s="716"/>
      <c r="F46" s="716"/>
      <c r="G46" s="716"/>
      <c r="H46" s="716"/>
    </row>
    <row r="47" spans="1:15" s="327" customFormat="1" x14ac:dyDescent="0.2"/>
    <row r="48" spans="1:15" s="327" customFormat="1" ht="18.75" x14ac:dyDescent="0.2">
      <c r="B48" s="329" t="s">
        <v>1898</v>
      </c>
    </row>
    <row r="49" spans="3:15" s="327" customFormat="1" ht="15.75" x14ac:dyDescent="0.2">
      <c r="C49" s="330" t="s">
        <v>1218</v>
      </c>
    </row>
    <row r="50" spans="3:15" s="327" customFormat="1" outlineLevel="1" x14ac:dyDescent="0.2">
      <c r="D50" s="660" t="str">
        <f>Reg_Pop_Ann_TO!D116</f>
        <v>Central</v>
      </c>
      <c r="J50" s="5">
        <f>Reg_Pop_Ann_TO!J116</f>
        <v>225987</v>
      </c>
      <c r="K50" s="5">
        <f>Reg_Pop_Ann_TO!K116</f>
        <v>233084</v>
      </c>
      <c r="L50" s="5">
        <f>Reg_Pop_Ann_TO!L116</f>
        <v>240582</v>
      </c>
      <c r="M50" s="5">
        <f>Reg_Pop_Ann_TO!M116</f>
        <v>248472</v>
      </c>
      <c r="N50" s="5">
        <f>Reg_Pop_Ann_TO!N116</f>
        <v>256726</v>
      </c>
      <c r="O50" s="5">
        <f>Reg_Pop_Ann_TO!O116</f>
        <v>265326</v>
      </c>
    </row>
    <row r="51" spans="3:15" s="327" customFormat="1" outlineLevel="1" x14ac:dyDescent="0.2">
      <c r="D51" s="660" t="str">
        <f>Reg_Pop_Ann_TO!D117</f>
        <v>Copperbelt</v>
      </c>
      <c r="J51" s="5">
        <f>Reg_Pop_Ann_TO!J117</f>
        <v>386348</v>
      </c>
      <c r="K51" s="5">
        <f>Reg_Pop_Ann_TO!K117</f>
        <v>398746</v>
      </c>
      <c r="L51" s="5">
        <f>Reg_Pop_Ann_TO!L117</f>
        <v>412278</v>
      </c>
      <c r="M51" s="5">
        <f>Reg_Pop_Ann_TO!M117</f>
        <v>426532</v>
      </c>
      <c r="N51" s="5">
        <f>Reg_Pop_Ann_TO!N117</f>
        <v>440952</v>
      </c>
      <c r="O51" s="5">
        <f>Reg_Pop_Ann_TO!O117</f>
        <v>455166</v>
      </c>
    </row>
    <row r="52" spans="3:15" s="327" customFormat="1" outlineLevel="1" x14ac:dyDescent="0.2">
      <c r="D52" s="660" t="str">
        <f>Reg_Pop_Ann_TO!D118</f>
        <v>Eastern</v>
      </c>
      <c r="J52" s="5">
        <f>Reg_Pop_Ann_TO!J118</f>
        <v>275606</v>
      </c>
      <c r="K52" s="5">
        <f>Reg_Pop_Ann_TO!K118</f>
        <v>284740</v>
      </c>
      <c r="L52" s="5">
        <f>Reg_Pop_Ann_TO!L118</f>
        <v>294001</v>
      </c>
      <c r="M52" s="5">
        <f>Reg_Pop_Ann_TO!M118</f>
        <v>303505</v>
      </c>
      <c r="N52" s="5">
        <f>Reg_Pop_Ann_TO!N118</f>
        <v>313378</v>
      </c>
      <c r="O52" s="5">
        <f>Reg_Pop_Ann_TO!O118</f>
        <v>323697</v>
      </c>
    </row>
    <row r="53" spans="3:15" s="327" customFormat="1" outlineLevel="1" x14ac:dyDescent="0.2">
      <c r="D53" s="660" t="str">
        <f>Reg_Pop_Ann_TO!D119</f>
        <v>Luapula</v>
      </c>
      <c r="J53" s="5">
        <f>Reg_Pop_Ann_TO!J119</f>
        <v>172111</v>
      </c>
      <c r="K53" s="5">
        <f>Reg_Pop_Ann_TO!K119</f>
        <v>176656</v>
      </c>
      <c r="L53" s="5">
        <f>Reg_Pop_Ann_TO!L119</f>
        <v>181349</v>
      </c>
      <c r="M53" s="5">
        <f>Reg_Pop_Ann_TO!M119</f>
        <v>186104</v>
      </c>
      <c r="N53" s="5">
        <f>Reg_Pop_Ann_TO!N119</f>
        <v>191347</v>
      </c>
      <c r="O53" s="5">
        <f>Reg_Pop_Ann_TO!O119</f>
        <v>196808</v>
      </c>
    </row>
    <row r="54" spans="3:15" s="327" customFormat="1" outlineLevel="1" x14ac:dyDescent="0.2">
      <c r="D54" s="660" t="str">
        <f>Reg_Pop_Ann_TO!D120</f>
        <v>Lusaka</v>
      </c>
      <c r="J54" s="5">
        <f>Reg_Pop_Ann_TO!J120</f>
        <v>515857</v>
      </c>
      <c r="K54" s="5">
        <f>Reg_Pop_Ann_TO!K120</f>
        <v>543427</v>
      </c>
      <c r="L54" s="5">
        <f>Reg_Pop_Ann_TO!L120</f>
        <v>571392</v>
      </c>
      <c r="M54" s="5">
        <f>Reg_Pop_Ann_TO!M120</f>
        <v>599794</v>
      </c>
      <c r="N54" s="5">
        <f>Reg_Pop_Ann_TO!N120</f>
        <v>628663</v>
      </c>
      <c r="O54" s="5">
        <f>Reg_Pop_Ann_TO!O120</f>
        <v>658048</v>
      </c>
    </row>
    <row r="55" spans="3:15" s="327" customFormat="1" outlineLevel="1" x14ac:dyDescent="0.2">
      <c r="D55" s="660" t="str">
        <f>Reg_Pop_Ann_TO!D121</f>
        <v>Muchinga</v>
      </c>
      <c r="J55" s="5">
        <f>Reg_Pop_Ann_TO!J121</f>
        <v>133018</v>
      </c>
      <c r="K55" s="5">
        <f>Reg_Pop_Ann_TO!K121</f>
        <v>140040</v>
      </c>
      <c r="L55" s="5">
        <f>Reg_Pop_Ann_TO!L121</f>
        <v>147274</v>
      </c>
      <c r="M55" s="5">
        <f>Reg_Pop_Ann_TO!M121</f>
        <v>154728</v>
      </c>
      <c r="N55" s="5">
        <f>Reg_Pop_Ann_TO!N121</f>
        <v>162433</v>
      </c>
      <c r="O55" s="5">
        <f>Reg_Pop_Ann_TO!O121</f>
        <v>170410</v>
      </c>
    </row>
    <row r="56" spans="3:15" s="327" customFormat="1" outlineLevel="1" x14ac:dyDescent="0.2">
      <c r="D56" s="660" t="str">
        <f>Reg_Pop_Ann_TO!D122</f>
        <v>Northern</v>
      </c>
      <c r="J56" s="5">
        <f>Reg_Pop_Ann_TO!J122</f>
        <v>191752</v>
      </c>
      <c r="K56" s="5">
        <f>Reg_Pop_Ann_TO!K122</f>
        <v>198749</v>
      </c>
      <c r="L56" s="5">
        <f>Reg_Pop_Ann_TO!L122</f>
        <v>205928</v>
      </c>
      <c r="M56" s="5">
        <f>Reg_Pop_Ann_TO!M122</f>
        <v>213296</v>
      </c>
      <c r="N56" s="5">
        <f>Reg_Pop_Ann_TO!N122</f>
        <v>220890</v>
      </c>
      <c r="O56" s="5">
        <f>Reg_Pop_Ann_TO!O122</f>
        <v>228729</v>
      </c>
    </row>
    <row r="57" spans="3:15" s="327" customFormat="1" outlineLevel="1" x14ac:dyDescent="0.2">
      <c r="D57" s="660" t="str">
        <f>Reg_Pop_Ann_TO!D123</f>
        <v>North-Western</v>
      </c>
      <c r="J57" s="5">
        <f>Reg_Pop_Ann_TO!J123</f>
        <v>117114</v>
      </c>
      <c r="K57" s="5">
        <f>Reg_Pop_Ann_TO!K123</f>
        <v>120372</v>
      </c>
      <c r="L57" s="5">
        <f>Reg_Pop_Ann_TO!L123</f>
        <v>123863</v>
      </c>
      <c r="M57" s="5">
        <f>Reg_Pop_Ann_TO!M123</f>
        <v>127587</v>
      </c>
      <c r="N57" s="5">
        <f>Reg_Pop_Ann_TO!N123</f>
        <v>131541</v>
      </c>
      <c r="O57" s="5">
        <f>Reg_Pop_Ann_TO!O123</f>
        <v>135705</v>
      </c>
    </row>
    <row r="58" spans="3:15" s="327" customFormat="1" outlineLevel="1" x14ac:dyDescent="0.2">
      <c r="D58" s="660" t="str">
        <f>Reg_Pop_Ann_TO!D124</f>
        <v>Southern</v>
      </c>
      <c r="J58" s="5">
        <f>Reg_Pop_Ann_TO!J124</f>
        <v>284213</v>
      </c>
      <c r="K58" s="5">
        <f>Reg_Pop_Ann_TO!K124</f>
        <v>293887</v>
      </c>
      <c r="L58" s="5">
        <f>Reg_Pop_Ann_TO!L124</f>
        <v>303920</v>
      </c>
      <c r="M58" s="5">
        <f>Reg_Pop_Ann_TO!M124</f>
        <v>314298</v>
      </c>
      <c r="N58" s="5">
        <f>Reg_Pop_Ann_TO!N124</f>
        <v>325001</v>
      </c>
      <c r="O58" s="5">
        <f>Reg_Pop_Ann_TO!O124</f>
        <v>336006</v>
      </c>
    </row>
    <row r="59" spans="3:15" s="327" customFormat="1" outlineLevel="1" x14ac:dyDescent="0.2">
      <c r="D59" s="660" t="str">
        <f>Reg_Pop_Ann_TO!D125</f>
        <v>Western</v>
      </c>
      <c r="J59" s="5">
        <f>Reg_Pop_Ann_TO!J125</f>
        <v>156111</v>
      </c>
      <c r="K59" s="5">
        <f>Reg_Pop_Ann_TO!K125</f>
        <v>158196</v>
      </c>
      <c r="L59" s="5">
        <f>Reg_Pop_Ann_TO!L125</f>
        <v>160357</v>
      </c>
      <c r="M59" s="5">
        <f>Reg_Pop_Ann_TO!M125</f>
        <v>162633</v>
      </c>
      <c r="N59" s="5">
        <f>Reg_Pop_Ann_TO!N125</f>
        <v>165075</v>
      </c>
      <c r="O59" s="5">
        <f>Reg_Pop_Ann_TO!O125</f>
        <v>165717</v>
      </c>
    </row>
    <row r="60" spans="3:15" s="327" customFormat="1" ht="15.75" thickBot="1" x14ac:dyDescent="0.25">
      <c r="D60" s="646" t="str">
        <f>C49</f>
        <v>Target Population</v>
      </c>
      <c r="J60" s="624">
        <f t="shared" ref="J60:O60" si="6">SUM(J50:J59)</f>
        <v>2458117</v>
      </c>
      <c r="K60" s="624">
        <f t="shared" si="6"/>
        <v>2547897</v>
      </c>
      <c r="L60" s="624">
        <f t="shared" si="6"/>
        <v>2640944</v>
      </c>
      <c r="M60" s="624">
        <f t="shared" si="6"/>
        <v>2736949</v>
      </c>
      <c r="N60" s="624">
        <f t="shared" si="6"/>
        <v>2836006</v>
      </c>
      <c r="O60" s="624">
        <f t="shared" si="6"/>
        <v>2935612</v>
      </c>
    </row>
    <row r="61" spans="3:15" s="327" customFormat="1" ht="13.5" thickTop="1" x14ac:dyDescent="0.2"/>
    <row r="62" spans="3:15" s="327" customFormat="1" ht="15.75" x14ac:dyDescent="0.2">
      <c r="C62" s="330" t="s">
        <v>1897</v>
      </c>
    </row>
    <row r="63" spans="3:15" s="327" customFormat="1" outlineLevel="1" x14ac:dyDescent="0.2">
      <c r="D63" s="660" t="str">
        <f>Reg_Pop_Ann_TO!D146</f>
        <v>Central</v>
      </c>
      <c r="J63" s="5">
        <f>Reg_Pop_Ann_TO!J146</f>
        <v>225987</v>
      </c>
      <c r="K63" s="5">
        <f ca="1">Reg_Pop_Ann_TO!K146</f>
        <v>227296</v>
      </c>
      <c r="L63" s="5">
        <f ca="1">Reg_Pop_Ann_TO!L146</f>
        <v>229006</v>
      </c>
      <c r="M63" s="5">
        <f ca="1">Reg_Pop_Ann_TO!M146</f>
        <v>231108</v>
      </c>
      <c r="N63" s="5">
        <f ca="1">Reg_Pop_Ann_TO!N146</f>
        <v>233574</v>
      </c>
      <c r="O63" s="5">
        <f ca="1">Reg_Pop_Ann_TO!O146</f>
        <v>236386</v>
      </c>
    </row>
    <row r="64" spans="3:15" s="327" customFormat="1" outlineLevel="1" x14ac:dyDescent="0.2">
      <c r="D64" s="660" t="str">
        <f>Reg_Pop_Ann_TO!D147</f>
        <v>Copperbelt</v>
      </c>
      <c r="J64" s="5">
        <f>Reg_Pop_Ann_TO!J147</f>
        <v>386348</v>
      </c>
      <c r="K64" s="5">
        <f ca="1">Reg_Pop_Ann_TO!K147</f>
        <v>390618</v>
      </c>
      <c r="L64" s="5">
        <f ca="1">Reg_Pop_Ann_TO!L147</f>
        <v>396022</v>
      </c>
      <c r="M64" s="5">
        <f ca="1">Reg_Pop_Ann_TO!M147</f>
        <v>402148</v>
      </c>
      <c r="N64" s="5">
        <f ca="1">Reg_Pop_Ann_TO!N147</f>
        <v>408440</v>
      </c>
      <c r="O64" s="5">
        <f ca="1">Reg_Pop_Ann_TO!O147</f>
        <v>414526</v>
      </c>
    </row>
    <row r="65" spans="3:15" s="327" customFormat="1" outlineLevel="1" x14ac:dyDescent="0.2">
      <c r="D65" s="660" t="str">
        <f>Reg_Pop_Ann_TO!D148</f>
        <v>Eastern</v>
      </c>
      <c r="J65" s="5">
        <f>Reg_Pop_Ann_TO!J148</f>
        <v>275606</v>
      </c>
      <c r="K65" s="5">
        <f ca="1">Reg_Pop_Ann_TO!K148</f>
        <v>274272</v>
      </c>
      <c r="L65" s="5">
        <f ca="1">Reg_Pop_Ann_TO!L148</f>
        <v>273065</v>
      </c>
      <c r="M65" s="5">
        <f ca="1">Reg_Pop_Ann_TO!M148</f>
        <v>272101</v>
      </c>
      <c r="N65" s="5">
        <f ca="1">Reg_Pop_Ann_TO!N148</f>
        <v>271506</v>
      </c>
      <c r="O65" s="5">
        <f ca="1">Reg_Pop_Ann_TO!O148</f>
        <v>271357</v>
      </c>
    </row>
    <row r="66" spans="3:15" s="327" customFormat="1" outlineLevel="1" x14ac:dyDescent="0.2">
      <c r="D66" s="660" t="str">
        <f>Reg_Pop_Ann_TO!D149</f>
        <v>Luapula</v>
      </c>
      <c r="J66" s="5">
        <f>Reg_Pop_Ann_TO!J149</f>
        <v>172111</v>
      </c>
      <c r="K66" s="5">
        <f ca="1">Reg_Pop_Ann_TO!K149</f>
        <v>168528</v>
      </c>
      <c r="L66" s="5">
        <f ca="1">Reg_Pop_Ann_TO!L149</f>
        <v>165093</v>
      </c>
      <c r="M66" s="5">
        <f ca="1">Reg_Pop_Ann_TO!M149</f>
        <v>161720</v>
      </c>
      <c r="N66" s="5">
        <f ca="1">Reg_Pop_Ann_TO!N149</f>
        <v>158835</v>
      </c>
      <c r="O66" s="5">
        <f ca="1">Reg_Pop_Ann_TO!O149</f>
        <v>156168</v>
      </c>
    </row>
    <row r="67" spans="3:15" s="327" customFormat="1" outlineLevel="1" x14ac:dyDescent="0.2">
      <c r="D67" s="660" t="str">
        <f>Reg_Pop_Ann_TO!D150</f>
        <v>Lusaka</v>
      </c>
      <c r="J67" s="5">
        <f>Reg_Pop_Ann_TO!J150</f>
        <v>515857</v>
      </c>
      <c r="K67" s="5">
        <f ca="1">Reg_Pop_Ann_TO!K150</f>
        <v>514239</v>
      </c>
      <c r="L67" s="5">
        <f ca="1">Reg_Pop_Ann_TO!L150</f>
        <v>513016</v>
      </c>
      <c r="M67" s="5">
        <f ca="1">Reg_Pop_Ann_TO!M150</f>
        <v>512230</v>
      </c>
      <c r="N67" s="5">
        <f ca="1">Reg_Pop_Ann_TO!N150</f>
        <v>511911</v>
      </c>
      <c r="O67" s="5">
        <f ca="1">Reg_Pop_Ann_TO!O150</f>
        <v>512108</v>
      </c>
    </row>
    <row r="68" spans="3:15" s="327" customFormat="1" outlineLevel="1" x14ac:dyDescent="0.2">
      <c r="D68" s="660" t="str">
        <f>Reg_Pop_Ann_TO!D151</f>
        <v>Muchinga</v>
      </c>
      <c r="J68" s="5">
        <f>Reg_Pop_Ann_TO!J151</f>
        <v>133018</v>
      </c>
      <c r="K68" s="5">
        <f ca="1">Reg_Pop_Ann_TO!K151</f>
        <v>139486</v>
      </c>
      <c r="L68" s="5">
        <f ca="1">Reg_Pop_Ann_TO!L151</f>
        <v>146166</v>
      </c>
      <c r="M68" s="5">
        <f ca="1">Reg_Pop_Ann_TO!M151</f>
        <v>153066</v>
      </c>
      <c r="N68" s="5">
        <f ca="1">Reg_Pop_Ann_TO!N151</f>
        <v>160217</v>
      </c>
      <c r="O68" s="5">
        <f ca="1">Reg_Pop_Ann_TO!O151</f>
        <v>167640</v>
      </c>
    </row>
    <row r="69" spans="3:15" s="327" customFormat="1" outlineLevel="1" x14ac:dyDescent="0.2">
      <c r="D69" s="660" t="str">
        <f>Reg_Pop_Ann_TO!D152</f>
        <v>Northern</v>
      </c>
      <c r="J69" s="5">
        <f>Reg_Pop_Ann_TO!J152</f>
        <v>191752</v>
      </c>
      <c r="K69" s="5">
        <f ca="1">Reg_Pop_Ann_TO!K152</f>
        <v>195855</v>
      </c>
      <c r="L69" s="5">
        <f ca="1">Reg_Pop_Ann_TO!L152</f>
        <v>200140</v>
      </c>
      <c r="M69" s="5">
        <f ca="1">Reg_Pop_Ann_TO!M152</f>
        <v>204614</v>
      </c>
      <c r="N69" s="5">
        <f ca="1">Reg_Pop_Ann_TO!N152</f>
        <v>209314</v>
      </c>
      <c r="O69" s="5">
        <f ca="1">Reg_Pop_Ann_TO!O152</f>
        <v>214259</v>
      </c>
    </row>
    <row r="70" spans="3:15" s="327" customFormat="1" outlineLevel="1" x14ac:dyDescent="0.2">
      <c r="D70" s="660" t="str">
        <f>Reg_Pop_Ann_TO!D153</f>
        <v>North-Western</v>
      </c>
      <c r="J70" s="5">
        <f>Reg_Pop_Ann_TO!J153</f>
        <v>117114</v>
      </c>
      <c r="K70" s="5">
        <f ca="1">Reg_Pop_Ann_TO!K153</f>
        <v>116924</v>
      </c>
      <c r="L70" s="5">
        <f ca="1">Reg_Pop_Ann_TO!L153</f>
        <v>116967</v>
      </c>
      <c r="M70" s="5">
        <f ca="1">Reg_Pop_Ann_TO!M153</f>
        <v>117243</v>
      </c>
      <c r="N70" s="5">
        <f ca="1">Reg_Pop_Ann_TO!N153</f>
        <v>117749</v>
      </c>
      <c r="O70" s="5">
        <f ca="1">Reg_Pop_Ann_TO!O153</f>
        <v>118465</v>
      </c>
    </row>
    <row r="71" spans="3:15" s="327" customFormat="1" outlineLevel="1" x14ac:dyDescent="0.2">
      <c r="D71" s="660" t="str">
        <f>Reg_Pop_Ann_TO!D154</f>
        <v>Southern</v>
      </c>
      <c r="J71" s="5">
        <f>Reg_Pop_Ann_TO!J154</f>
        <v>284213</v>
      </c>
      <c r="K71" s="5">
        <f ca="1">Reg_Pop_Ann_TO!K154</f>
        <v>285759</v>
      </c>
      <c r="L71" s="5">
        <f ca="1">Reg_Pop_Ann_TO!L154</f>
        <v>287664</v>
      </c>
      <c r="M71" s="5">
        <f ca="1">Reg_Pop_Ann_TO!M154</f>
        <v>289914</v>
      </c>
      <c r="N71" s="5">
        <f ca="1">Reg_Pop_Ann_TO!N154</f>
        <v>292489</v>
      </c>
      <c r="O71" s="5">
        <f ca="1">Reg_Pop_Ann_TO!O154</f>
        <v>295366</v>
      </c>
    </row>
    <row r="72" spans="3:15" s="327" customFormat="1" outlineLevel="1" x14ac:dyDescent="0.2">
      <c r="D72" s="660" t="str">
        <f>Reg_Pop_Ann_TO!D155</f>
        <v>Western</v>
      </c>
      <c r="J72" s="5">
        <f>Reg_Pop_Ann_TO!J155</f>
        <v>156111</v>
      </c>
      <c r="K72" s="5">
        <f ca="1">Reg_Pop_Ann_TO!K155</f>
        <v>150068</v>
      </c>
      <c r="L72" s="5">
        <f ca="1">Reg_Pop_Ann_TO!L155</f>
        <v>144101</v>
      </c>
      <c r="M72" s="5">
        <f ca="1">Reg_Pop_Ann_TO!M155</f>
        <v>138249</v>
      </c>
      <c r="N72" s="5">
        <f ca="1">Reg_Pop_Ann_TO!N155</f>
        <v>132563</v>
      </c>
      <c r="O72" s="5">
        <f ca="1">Reg_Pop_Ann_TO!O155</f>
        <v>125077</v>
      </c>
    </row>
    <row r="73" spans="3:15" s="327" customFormat="1" ht="15.75" thickBot="1" x14ac:dyDescent="0.25">
      <c r="D73" s="679" t="str">
        <f>"Total "&amp;C62</f>
        <v>Total Need Initial Screening</v>
      </c>
      <c r="J73" s="624">
        <f t="shared" ref="J73:O73" si="7">SUM(J63:J72)</f>
        <v>2458117</v>
      </c>
      <c r="K73" s="624">
        <f t="shared" ca="1" si="7"/>
        <v>2463045</v>
      </c>
      <c r="L73" s="624">
        <f t="shared" ca="1" si="7"/>
        <v>2471240</v>
      </c>
      <c r="M73" s="624">
        <f t="shared" ca="1" si="7"/>
        <v>2482393</v>
      </c>
      <c r="N73" s="624">
        <f t="shared" ca="1" si="7"/>
        <v>2496598</v>
      </c>
      <c r="O73" s="624">
        <f t="shared" ca="1" si="7"/>
        <v>2511352</v>
      </c>
    </row>
    <row r="74" spans="3:15" s="327" customFormat="1" ht="13.5" thickTop="1" x14ac:dyDescent="0.2"/>
    <row r="75" spans="3:15" s="327" customFormat="1" ht="15.75" x14ac:dyDescent="0.2">
      <c r="C75" s="330" t="s">
        <v>1896</v>
      </c>
    </row>
    <row r="76" spans="3:15" s="327" customFormat="1" outlineLevel="1" x14ac:dyDescent="0.2">
      <c r="D76" s="660" t="str">
        <f>Reg_Pop_Ann_TO!D304</f>
        <v>Central</v>
      </c>
      <c r="J76" s="5">
        <f ca="1">Reg_Pop_Ann_TO!J304</f>
        <v>0</v>
      </c>
      <c r="K76" s="5">
        <f ca="1">Reg_Pop_Ann_TO!K304</f>
        <v>794</v>
      </c>
      <c r="L76" s="5">
        <f ca="1">Reg_Pop_Ann_TO!L304</f>
        <v>1588</v>
      </c>
      <c r="M76" s="5">
        <f ca="1">Reg_Pop_Ann_TO!M304</f>
        <v>7134</v>
      </c>
      <c r="N76" s="5">
        <f ca="1">Reg_Pop_Ann_TO!N304</f>
        <v>12680</v>
      </c>
      <c r="O76" s="5">
        <f ca="1">Reg_Pop_Ann_TO!O304</f>
        <v>18226</v>
      </c>
    </row>
    <row r="77" spans="3:15" s="327" customFormat="1" outlineLevel="1" x14ac:dyDescent="0.2">
      <c r="D77" s="660" t="str">
        <f>Reg_Pop_Ann_TO!D305</f>
        <v>Copperbelt</v>
      </c>
      <c r="J77" s="5">
        <f ca="1">Reg_Pop_Ann_TO!J305</f>
        <v>0</v>
      </c>
      <c r="K77" s="5">
        <f ca="1">Reg_Pop_Ann_TO!K305</f>
        <v>1115</v>
      </c>
      <c r="L77" s="5">
        <f ca="1">Reg_Pop_Ann_TO!L305</f>
        <v>2230</v>
      </c>
      <c r="M77" s="5">
        <f ca="1">Reg_Pop_Ann_TO!M305</f>
        <v>10018</v>
      </c>
      <c r="N77" s="5">
        <f ca="1">Reg_Pop_Ann_TO!N305</f>
        <v>17806</v>
      </c>
      <c r="O77" s="5">
        <f ca="1">Reg_Pop_Ann_TO!O305</f>
        <v>25594</v>
      </c>
    </row>
    <row r="78" spans="3:15" s="327" customFormat="1" outlineLevel="1" x14ac:dyDescent="0.2">
      <c r="D78" s="660" t="str">
        <f>Reg_Pop_Ann_TO!D306</f>
        <v>Eastern</v>
      </c>
      <c r="J78" s="5">
        <f ca="1">Reg_Pop_Ann_TO!J306</f>
        <v>0</v>
      </c>
      <c r="K78" s="5">
        <f ca="1">Reg_Pop_Ann_TO!K306</f>
        <v>1436</v>
      </c>
      <c r="L78" s="5">
        <f ca="1">Reg_Pop_Ann_TO!L306</f>
        <v>2872</v>
      </c>
      <c r="M78" s="5">
        <f ca="1">Reg_Pop_Ann_TO!M306</f>
        <v>12903</v>
      </c>
      <c r="N78" s="5">
        <f ca="1">Reg_Pop_Ann_TO!N306</f>
        <v>22933</v>
      </c>
      <c r="O78" s="5">
        <f ca="1">Reg_Pop_Ann_TO!O306</f>
        <v>32964</v>
      </c>
    </row>
    <row r="79" spans="3:15" s="327" customFormat="1" outlineLevel="1" x14ac:dyDescent="0.2">
      <c r="D79" s="660" t="str">
        <f>Reg_Pop_Ann_TO!D307</f>
        <v>Luapula</v>
      </c>
      <c r="J79" s="5">
        <f ca="1">Reg_Pop_Ann_TO!J307</f>
        <v>0</v>
      </c>
      <c r="K79" s="5">
        <f ca="1">Reg_Pop_Ann_TO!K307</f>
        <v>1115</v>
      </c>
      <c r="L79" s="5">
        <f ca="1">Reg_Pop_Ann_TO!L307</f>
        <v>2230</v>
      </c>
      <c r="M79" s="5">
        <f ca="1">Reg_Pop_Ann_TO!M307</f>
        <v>10018</v>
      </c>
      <c r="N79" s="5">
        <f ca="1">Reg_Pop_Ann_TO!N307</f>
        <v>17806</v>
      </c>
      <c r="O79" s="5">
        <f ca="1">Reg_Pop_Ann_TO!O307</f>
        <v>25594</v>
      </c>
    </row>
    <row r="80" spans="3:15" s="327" customFormat="1" outlineLevel="1" x14ac:dyDescent="0.2">
      <c r="D80" s="660" t="str">
        <f>Reg_Pop_Ann_TO!D308</f>
        <v>Lusaka</v>
      </c>
      <c r="J80" s="5">
        <f ca="1">Reg_Pop_Ann_TO!J308</f>
        <v>0</v>
      </c>
      <c r="K80" s="5">
        <f ca="1">Reg_Pop_Ann_TO!K308</f>
        <v>4004</v>
      </c>
      <c r="L80" s="5">
        <f ca="1">Reg_Pop_Ann_TO!L308</f>
        <v>8008</v>
      </c>
      <c r="M80" s="5">
        <f ca="1">Reg_Pop_Ann_TO!M308</f>
        <v>35975</v>
      </c>
      <c r="N80" s="5">
        <f ca="1">Reg_Pop_Ann_TO!N308</f>
        <v>63943</v>
      </c>
      <c r="O80" s="5">
        <f ca="1">Reg_Pop_Ann_TO!O308</f>
        <v>91910</v>
      </c>
    </row>
    <row r="81" spans="3:15" s="327" customFormat="1" outlineLevel="1" x14ac:dyDescent="0.2">
      <c r="D81" s="660" t="str">
        <f>Reg_Pop_Ann_TO!D309</f>
        <v>Muchinga</v>
      </c>
      <c r="J81" s="5">
        <f ca="1">Reg_Pop_Ann_TO!J309</f>
        <v>0</v>
      </c>
      <c r="K81" s="5">
        <f ca="1">Reg_Pop_Ann_TO!K309</f>
        <v>76</v>
      </c>
      <c r="L81" s="5">
        <f ca="1">Reg_Pop_Ann_TO!L309</f>
        <v>152</v>
      </c>
      <c r="M81" s="5">
        <f ca="1">Reg_Pop_Ann_TO!M309</f>
        <v>683</v>
      </c>
      <c r="N81" s="5">
        <f ca="1">Reg_Pop_Ann_TO!N309</f>
        <v>1214</v>
      </c>
      <c r="O81" s="5">
        <f ca="1">Reg_Pop_Ann_TO!O309</f>
        <v>1745</v>
      </c>
    </row>
    <row r="82" spans="3:15" s="327" customFormat="1" outlineLevel="1" x14ac:dyDescent="0.2">
      <c r="D82" s="660" t="str">
        <f>Reg_Pop_Ann_TO!D310</f>
        <v>Northern</v>
      </c>
      <c r="J82" s="5">
        <f ca="1">Reg_Pop_Ann_TO!J310</f>
        <v>0</v>
      </c>
      <c r="K82" s="5">
        <f ca="1">Reg_Pop_Ann_TO!K310</f>
        <v>396</v>
      </c>
      <c r="L82" s="5">
        <f ca="1">Reg_Pop_Ann_TO!L310</f>
        <v>792</v>
      </c>
      <c r="M82" s="5">
        <f ca="1">Reg_Pop_Ann_TO!M310</f>
        <v>3564</v>
      </c>
      <c r="N82" s="5">
        <f ca="1">Reg_Pop_Ann_TO!N310</f>
        <v>6335</v>
      </c>
      <c r="O82" s="5">
        <f ca="1">Reg_Pop_Ann_TO!O310</f>
        <v>9107</v>
      </c>
    </row>
    <row r="83" spans="3:15" s="327" customFormat="1" outlineLevel="1" x14ac:dyDescent="0.2">
      <c r="D83" s="660" t="str">
        <f>Reg_Pop_Ann_TO!D311</f>
        <v>North-Western</v>
      </c>
      <c r="J83" s="5">
        <f ca="1">Reg_Pop_Ann_TO!J311</f>
        <v>0</v>
      </c>
      <c r="K83" s="5">
        <f ca="1">Reg_Pop_Ann_TO!K311</f>
        <v>473</v>
      </c>
      <c r="L83" s="5">
        <f ca="1">Reg_Pop_Ann_TO!L311</f>
        <v>946</v>
      </c>
      <c r="M83" s="5">
        <f ca="1">Reg_Pop_Ann_TO!M311</f>
        <v>4250</v>
      </c>
      <c r="N83" s="5">
        <f ca="1">Reg_Pop_Ann_TO!N311</f>
        <v>7554</v>
      </c>
      <c r="O83" s="5">
        <f ca="1">Reg_Pop_Ann_TO!O311</f>
        <v>10858</v>
      </c>
    </row>
    <row r="84" spans="3:15" s="327" customFormat="1" outlineLevel="1" x14ac:dyDescent="0.2">
      <c r="D84" s="660" t="str">
        <f>Reg_Pop_Ann_TO!D312</f>
        <v>Southern</v>
      </c>
      <c r="J84" s="5">
        <f ca="1">Reg_Pop_Ann_TO!J312</f>
        <v>0</v>
      </c>
      <c r="K84" s="5">
        <f ca="1">Reg_Pop_Ann_TO!K312</f>
        <v>1115</v>
      </c>
      <c r="L84" s="5">
        <f ca="1">Reg_Pop_Ann_TO!L312</f>
        <v>2230</v>
      </c>
      <c r="M84" s="5">
        <f ca="1">Reg_Pop_Ann_TO!M312</f>
        <v>10018</v>
      </c>
      <c r="N84" s="5">
        <f ca="1">Reg_Pop_Ann_TO!N312</f>
        <v>17806</v>
      </c>
      <c r="O84" s="5">
        <f ca="1">Reg_Pop_Ann_TO!O312</f>
        <v>25594</v>
      </c>
    </row>
    <row r="85" spans="3:15" s="327" customFormat="1" outlineLevel="1" x14ac:dyDescent="0.2">
      <c r="D85" s="660" t="str">
        <f>Reg_Pop_Ann_TO!D313</f>
        <v>Western</v>
      </c>
      <c r="J85" s="5">
        <f ca="1">Reg_Pop_Ann_TO!J313</f>
        <v>0</v>
      </c>
      <c r="K85" s="5">
        <f ca="1">Reg_Pop_Ann_TO!K313</f>
        <v>1115</v>
      </c>
      <c r="L85" s="5">
        <f ca="1">Reg_Pop_Ann_TO!L313</f>
        <v>2230</v>
      </c>
      <c r="M85" s="5">
        <f ca="1">Reg_Pop_Ann_TO!M313</f>
        <v>10018</v>
      </c>
      <c r="N85" s="5">
        <f ca="1">Reg_Pop_Ann_TO!N313</f>
        <v>17806</v>
      </c>
      <c r="O85" s="5">
        <f ca="1">Reg_Pop_Ann_TO!O313</f>
        <v>25594</v>
      </c>
    </row>
    <row r="86" spans="3:15" s="327" customFormat="1" ht="15.75" thickBot="1" x14ac:dyDescent="0.25">
      <c r="D86" s="679" t="str">
        <f>"Total "&amp;C75</f>
        <v>Total Need Re-Screening</v>
      </c>
      <c r="J86" s="624">
        <f t="shared" ref="J86:O86" ca="1" si="8">SUM(J76:J85)</f>
        <v>0</v>
      </c>
      <c r="K86" s="624">
        <f t="shared" ca="1" si="8"/>
        <v>11639</v>
      </c>
      <c r="L86" s="624">
        <f t="shared" ca="1" si="8"/>
        <v>23278</v>
      </c>
      <c r="M86" s="624">
        <f t="shared" ca="1" si="8"/>
        <v>104581</v>
      </c>
      <c r="N86" s="624">
        <f t="shared" ca="1" si="8"/>
        <v>185883</v>
      </c>
      <c r="O86" s="624">
        <f t="shared" ca="1" si="8"/>
        <v>267186</v>
      </c>
    </row>
    <row r="87" spans="3:15" s="327" customFormat="1" ht="13.5" thickTop="1" x14ac:dyDescent="0.2"/>
    <row r="88" spans="3:15" s="327" customFormat="1" ht="15.75" x14ac:dyDescent="0.2">
      <c r="C88" s="330" t="s">
        <v>1903</v>
      </c>
    </row>
    <row r="89" spans="3:15" s="327" customFormat="1" outlineLevel="1" x14ac:dyDescent="0.2">
      <c r="D89" s="660" t="str">
        <f>Reg_Pop_Ann_TO!D318</f>
        <v>Central</v>
      </c>
      <c r="J89" s="5">
        <f ca="1">Reg_Pop_Ann_TO!J318</f>
        <v>225987</v>
      </c>
      <c r="K89" s="5">
        <f ca="1">Reg_Pop_Ann_TO!K318</f>
        <v>233878</v>
      </c>
      <c r="L89" s="5">
        <f ca="1">Reg_Pop_Ann_TO!L318</f>
        <v>242170</v>
      </c>
      <c r="M89" s="5">
        <f ca="1">Reg_Pop_Ann_TO!M318</f>
        <v>255606</v>
      </c>
      <c r="N89" s="5">
        <f ca="1">Reg_Pop_Ann_TO!N318</f>
        <v>269406</v>
      </c>
      <c r="O89" s="5">
        <f ca="1">Reg_Pop_Ann_TO!O318</f>
        <v>283552</v>
      </c>
    </row>
    <row r="90" spans="3:15" s="327" customFormat="1" outlineLevel="1" x14ac:dyDescent="0.2">
      <c r="D90" s="660" t="str">
        <f>Reg_Pop_Ann_TO!D319</f>
        <v>Copperbelt</v>
      </c>
      <c r="J90" s="5">
        <f ca="1">Reg_Pop_Ann_TO!J319</f>
        <v>386348</v>
      </c>
      <c r="K90" s="5">
        <f ca="1">Reg_Pop_Ann_TO!K319</f>
        <v>399861</v>
      </c>
      <c r="L90" s="5">
        <f ca="1">Reg_Pop_Ann_TO!L319</f>
        <v>414508</v>
      </c>
      <c r="M90" s="5">
        <f ca="1">Reg_Pop_Ann_TO!M319</f>
        <v>436550</v>
      </c>
      <c r="N90" s="5">
        <f ca="1">Reg_Pop_Ann_TO!N319</f>
        <v>458758</v>
      </c>
      <c r="O90" s="5">
        <f ca="1">Reg_Pop_Ann_TO!O319</f>
        <v>480760</v>
      </c>
    </row>
    <row r="91" spans="3:15" s="327" customFormat="1" outlineLevel="1" x14ac:dyDescent="0.2">
      <c r="D91" s="660" t="str">
        <f>Reg_Pop_Ann_TO!D320</f>
        <v>Eastern</v>
      </c>
      <c r="J91" s="5">
        <f ca="1">Reg_Pop_Ann_TO!J320</f>
        <v>275606</v>
      </c>
      <c r="K91" s="5">
        <f ca="1">Reg_Pop_Ann_TO!K320</f>
        <v>286176</v>
      </c>
      <c r="L91" s="5">
        <f ca="1">Reg_Pop_Ann_TO!L320</f>
        <v>296873</v>
      </c>
      <c r="M91" s="5">
        <f ca="1">Reg_Pop_Ann_TO!M320</f>
        <v>316408</v>
      </c>
      <c r="N91" s="5">
        <f ca="1">Reg_Pop_Ann_TO!N320</f>
        <v>336311</v>
      </c>
      <c r="O91" s="5">
        <f ca="1">Reg_Pop_Ann_TO!O320</f>
        <v>356661</v>
      </c>
    </row>
    <row r="92" spans="3:15" s="327" customFormat="1" outlineLevel="1" x14ac:dyDescent="0.2">
      <c r="D92" s="660" t="str">
        <f>Reg_Pop_Ann_TO!D321</f>
        <v>Luapula</v>
      </c>
      <c r="J92" s="5">
        <f ca="1">Reg_Pop_Ann_TO!J321</f>
        <v>172111</v>
      </c>
      <c r="K92" s="5">
        <f ca="1">Reg_Pop_Ann_TO!K321</f>
        <v>177771</v>
      </c>
      <c r="L92" s="5">
        <f ca="1">Reg_Pop_Ann_TO!L321</f>
        <v>183579</v>
      </c>
      <c r="M92" s="5">
        <f ca="1">Reg_Pop_Ann_TO!M321</f>
        <v>196122</v>
      </c>
      <c r="N92" s="5">
        <f ca="1">Reg_Pop_Ann_TO!N321</f>
        <v>209153</v>
      </c>
      <c r="O92" s="5">
        <f ca="1">Reg_Pop_Ann_TO!O321</f>
        <v>222402</v>
      </c>
    </row>
    <row r="93" spans="3:15" s="327" customFormat="1" outlineLevel="1" x14ac:dyDescent="0.2">
      <c r="D93" s="660" t="str">
        <f>Reg_Pop_Ann_TO!D322</f>
        <v>Lusaka</v>
      </c>
      <c r="J93" s="5">
        <f ca="1">Reg_Pop_Ann_TO!J322</f>
        <v>515857</v>
      </c>
      <c r="K93" s="5">
        <f ca="1">Reg_Pop_Ann_TO!K322</f>
        <v>547431</v>
      </c>
      <c r="L93" s="5">
        <f ca="1">Reg_Pop_Ann_TO!L322</f>
        <v>579400</v>
      </c>
      <c r="M93" s="5">
        <f ca="1">Reg_Pop_Ann_TO!M322</f>
        <v>635769</v>
      </c>
      <c r="N93" s="5">
        <f ca="1">Reg_Pop_Ann_TO!N322</f>
        <v>692606</v>
      </c>
      <c r="O93" s="5">
        <f ca="1">Reg_Pop_Ann_TO!O322</f>
        <v>749958</v>
      </c>
    </row>
    <row r="94" spans="3:15" s="327" customFormat="1" outlineLevel="1" x14ac:dyDescent="0.2">
      <c r="D94" s="660" t="str">
        <f>Reg_Pop_Ann_TO!D323</f>
        <v>Muchinga</v>
      </c>
      <c r="J94" s="5">
        <f ca="1">Reg_Pop_Ann_TO!J323</f>
        <v>133018</v>
      </c>
      <c r="K94" s="5">
        <f ca="1">Reg_Pop_Ann_TO!K323</f>
        <v>140116</v>
      </c>
      <c r="L94" s="5">
        <f ca="1">Reg_Pop_Ann_TO!L323</f>
        <v>147426</v>
      </c>
      <c r="M94" s="5">
        <f ca="1">Reg_Pop_Ann_TO!M323</f>
        <v>155411</v>
      </c>
      <c r="N94" s="5">
        <f ca="1">Reg_Pop_Ann_TO!N323</f>
        <v>163647</v>
      </c>
      <c r="O94" s="5">
        <f ca="1">Reg_Pop_Ann_TO!O323</f>
        <v>172155</v>
      </c>
    </row>
    <row r="95" spans="3:15" s="327" customFormat="1" outlineLevel="1" x14ac:dyDescent="0.2">
      <c r="D95" s="660" t="str">
        <f>Reg_Pop_Ann_TO!D324</f>
        <v>Northern</v>
      </c>
      <c r="J95" s="5">
        <f ca="1">Reg_Pop_Ann_TO!J324</f>
        <v>191752</v>
      </c>
      <c r="K95" s="5">
        <f ca="1">Reg_Pop_Ann_TO!K324</f>
        <v>199145</v>
      </c>
      <c r="L95" s="5">
        <f ca="1">Reg_Pop_Ann_TO!L324</f>
        <v>206720</v>
      </c>
      <c r="M95" s="5">
        <f ca="1">Reg_Pop_Ann_TO!M324</f>
        <v>216860</v>
      </c>
      <c r="N95" s="5">
        <f ca="1">Reg_Pop_Ann_TO!N324</f>
        <v>227225</v>
      </c>
      <c r="O95" s="5">
        <f ca="1">Reg_Pop_Ann_TO!O324</f>
        <v>237836</v>
      </c>
    </row>
    <row r="96" spans="3:15" s="327" customFormat="1" outlineLevel="1" x14ac:dyDescent="0.2">
      <c r="D96" s="660" t="str">
        <f>Reg_Pop_Ann_TO!D325</f>
        <v>North-Western</v>
      </c>
      <c r="J96" s="5">
        <f ca="1">Reg_Pop_Ann_TO!J325</f>
        <v>117114</v>
      </c>
      <c r="K96" s="5">
        <f ca="1">Reg_Pop_Ann_TO!K325</f>
        <v>120845</v>
      </c>
      <c r="L96" s="5">
        <f ca="1">Reg_Pop_Ann_TO!L325</f>
        <v>124809</v>
      </c>
      <c r="M96" s="5">
        <f ca="1">Reg_Pop_Ann_TO!M325</f>
        <v>131837</v>
      </c>
      <c r="N96" s="5">
        <f ca="1">Reg_Pop_Ann_TO!N325</f>
        <v>139095</v>
      </c>
      <c r="O96" s="5">
        <f ca="1">Reg_Pop_Ann_TO!O325</f>
        <v>146563</v>
      </c>
    </row>
    <row r="97" spans="2:15" s="327" customFormat="1" outlineLevel="1" x14ac:dyDescent="0.2">
      <c r="D97" s="660" t="str">
        <f>Reg_Pop_Ann_TO!D326</f>
        <v>Southern</v>
      </c>
      <c r="J97" s="5">
        <f ca="1">Reg_Pop_Ann_TO!J326</f>
        <v>284213</v>
      </c>
      <c r="K97" s="5">
        <f ca="1">Reg_Pop_Ann_TO!K326</f>
        <v>295002</v>
      </c>
      <c r="L97" s="5">
        <f ca="1">Reg_Pop_Ann_TO!L326</f>
        <v>306150</v>
      </c>
      <c r="M97" s="5">
        <f ca="1">Reg_Pop_Ann_TO!M326</f>
        <v>324316</v>
      </c>
      <c r="N97" s="5">
        <f ca="1">Reg_Pop_Ann_TO!N326</f>
        <v>342807</v>
      </c>
      <c r="O97" s="5">
        <f ca="1">Reg_Pop_Ann_TO!O326</f>
        <v>361600</v>
      </c>
    </row>
    <row r="98" spans="2:15" s="327" customFormat="1" outlineLevel="1" x14ac:dyDescent="0.2">
      <c r="D98" s="660" t="str">
        <f>Reg_Pop_Ann_TO!D327</f>
        <v>Western</v>
      </c>
      <c r="J98" s="5">
        <f ca="1">Reg_Pop_Ann_TO!J327</f>
        <v>156111</v>
      </c>
      <c r="K98" s="5">
        <f ca="1">Reg_Pop_Ann_TO!K327</f>
        <v>159311</v>
      </c>
      <c r="L98" s="5">
        <f ca="1">Reg_Pop_Ann_TO!L327</f>
        <v>162587</v>
      </c>
      <c r="M98" s="5">
        <f ca="1">Reg_Pop_Ann_TO!M327</f>
        <v>172651</v>
      </c>
      <c r="N98" s="5">
        <f ca="1">Reg_Pop_Ann_TO!N327</f>
        <v>182881</v>
      </c>
      <c r="O98" s="5">
        <f ca="1">Reg_Pop_Ann_TO!O327</f>
        <v>191311</v>
      </c>
    </row>
    <row r="99" spans="2:15" s="327" customFormat="1" ht="15.75" thickBot="1" x14ac:dyDescent="0.25">
      <c r="D99" s="679" t="str">
        <f>"Total "&amp;C88</f>
        <v>Total Need Screening Procedure (Initial or Re-Screening)</v>
      </c>
      <c r="J99" s="624">
        <f t="shared" ref="J99:O99" ca="1" si="9">SUM(J89:J98)</f>
        <v>2458117</v>
      </c>
      <c r="K99" s="624">
        <f t="shared" ca="1" si="9"/>
        <v>2559536</v>
      </c>
      <c r="L99" s="624">
        <f t="shared" ca="1" si="9"/>
        <v>2664222</v>
      </c>
      <c r="M99" s="624">
        <f t="shared" ca="1" si="9"/>
        <v>2841530</v>
      </c>
      <c r="N99" s="624">
        <f t="shared" ca="1" si="9"/>
        <v>3021889</v>
      </c>
      <c r="O99" s="624">
        <f t="shared" ca="1" si="9"/>
        <v>3202798</v>
      </c>
    </row>
    <row r="100" spans="2:15" s="327" customFormat="1" ht="13.5" thickTop="1" x14ac:dyDescent="0.2"/>
    <row r="101" spans="2:15" s="327" customFormat="1" ht="18.75" x14ac:dyDescent="0.2">
      <c r="B101" s="329" t="s">
        <v>1895</v>
      </c>
    </row>
    <row r="102" spans="2:15" s="327" customFormat="1" x14ac:dyDescent="0.2"/>
    <row r="103" spans="2:15" s="327" customFormat="1" ht="15" outlineLevel="2" x14ac:dyDescent="0.2">
      <c r="D103" s="646" t="str">
        <f>Screen_Ann_TO!D242</f>
        <v>Population Seeking Procedure</v>
      </c>
    </row>
    <row r="104" spans="2:15" s="327" customFormat="1" outlineLevel="2" x14ac:dyDescent="0.2">
      <c r="D104" s="660" t="str">
        <f>Screen_Ann_TO!D243</f>
        <v>Central</v>
      </c>
      <c r="J104" s="282">
        <f ca="1">Screen_Ann_TO!J243</f>
        <v>45197</v>
      </c>
      <c r="K104" s="282">
        <f ca="1">Screen_Ann_TO!K243</f>
        <v>46253</v>
      </c>
      <c r="L104" s="282">
        <f ca="1">Screen_Ann_TO!L243</f>
        <v>47389</v>
      </c>
      <c r="M104" s="282">
        <f ca="1">Screen_Ann_TO!M243</f>
        <v>53356</v>
      </c>
      <c r="N104" s="282">
        <f ca="1">Screen_Ann_TO!N243</f>
        <v>59395</v>
      </c>
      <c r="O104" s="282">
        <f ca="1">Screen_Ann_TO!O243</f>
        <v>65503</v>
      </c>
    </row>
    <row r="105" spans="2:15" s="327" customFormat="1" outlineLevel="2" x14ac:dyDescent="0.2">
      <c r="D105" s="660" t="str">
        <f>Screen_Ann_TO!D244</f>
        <v>Copperbelt</v>
      </c>
      <c r="J105" s="8">
        <f ca="1">Screen_Ann_TO!J244</f>
        <v>77270</v>
      </c>
      <c r="K105" s="8">
        <f ca="1">Screen_Ann_TO!K244</f>
        <v>79239</v>
      </c>
      <c r="L105" s="8">
        <f ca="1">Screen_Ann_TO!L244</f>
        <v>81434</v>
      </c>
      <c r="M105" s="8">
        <f ca="1">Screen_Ann_TO!M244</f>
        <v>90448</v>
      </c>
      <c r="N105" s="8">
        <f ca="1">Screen_Ann_TO!N244</f>
        <v>99494</v>
      </c>
      <c r="O105" s="8">
        <f ca="1">Screen_Ann_TO!O244</f>
        <v>108499</v>
      </c>
    </row>
    <row r="106" spans="2:15" s="327" customFormat="1" outlineLevel="2" x14ac:dyDescent="0.2">
      <c r="D106" s="660" t="str">
        <f>Screen_Ann_TO!D245</f>
        <v>Eastern</v>
      </c>
      <c r="J106" s="8">
        <f ca="1">Screen_Ann_TO!J245</f>
        <v>55121</v>
      </c>
      <c r="K106" s="8">
        <f ca="1">Screen_Ann_TO!K245</f>
        <v>56290</v>
      </c>
      <c r="L106" s="8">
        <f ca="1">Screen_Ann_TO!L245</f>
        <v>57485</v>
      </c>
      <c r="M106" s="8">
        <f ca="1">Screen_Ann_TO!M245</f>
        <v>67323</v>
      </c>
      <c r="N106" s="8">
        <f ca="1">Screen_Ann_TO!N245</f>
        <v>77234</v>
      </c>
      <c r="O106" s="8">
        <f ca="1">Screen_Ann_TO!O245</f>
        <v>87235</v>
      </c>
    </row>
    <row r="107" spans="2:15" s="327" customFormat="1" outlineLevel="2" x14ac:dyDescent="0.2">
      <c r="D107" s="660" t="str">
        <f>Screen_Ann_TO!D246</f>
        <v>Luapula</v>
      </c>
      <c r="J107" s="8">
        <f ca="1">Screen_Ann_TO!J246</f>
        <v>34422</v>
      </c>
      <c r="K107" s="8">
        <f ca="1">Screen_Ann_TO!K246</f>
        <v>34821</v>
      </c>
      <c r="L107" s="8">
        <f ca="1">Screen_Ann_TO!L246</f>
        <v>35249</v>
      </c>
      <c r="M107" s="8">
        <f ca="1">Screen_Ann_TO!M246</f>
        <v>42362</v>
      </c>
      <c r="N107" s="8">
        <f ca="1">Screen_Ann_TO!N246</f>
        <v>49573</v>
      </c>
      <c r="O107" s="8">
        <f ca="1">Screen_Ann_TO!O246</f>
        <v>56828</v>
      </c>
    </row>
    <row r="108" spans="2:15" s="327" customFormat="1" outlineLevel="2" x14ac:dyDescent="0.2">
      <c r="D108" s="660" t="str">
        <f>Screen_Ann_TO!D247</f>
        <v>Lusaka</v>
      </c>
      <c r="J108" s="8">
        <f ca="1">Screen_Ann_TO!J247</f>
        <v>103171</v>
      </c>
      <c r="K108" s="8">
        <f ca="1">Screen_Ann_TO!K247</f>
        <v>106852</v>
      </c>
      <c r="L108" s="8">
        <f ca="1">Screen_Ann_TO!L247</f>
        <v>110611</v>
      </c>
      <c r="M108" s="8">
        <f ca="1">Screen_Ann_TO!M247</f>
        <v>138421</v>
      </c>
      <c r="N108" s="8">
        <f ca="1">Screen_Ann_TO!N247</f>
        <v>166325</v>
      </c>
      <c r="O108" s="8">
        <f ca="1">Screen_Ann_TO!O247</f>
        <v>194332</v>
      </c>
    </row>
    <row r="109" spans="2:15" s="327" customFormat="1" outlineLevel="2" x14ac:dyDescent="0.2">
      <c r="D109" s="660" t="str">
        <f>Screen_Ann_TO!D248</f>
        <v>Muchinga</v>
      </c>
      <c r="J109" s="8">
        <f ca="1">Screen_Ann_TO!J248</f>
        <v>26604</v>
      </c>
      <c r="K109" s="8">
        <f ca="1">Screen_Ann_TO!K248</f>
        <v>27973</v>
      </c>
      <c r="L109" s="8">
        <f ca="1">Screen_Ann_TO!L248</f>
        <v>29385</v>
      </c>
      <c r="M109" s="8">
        <f ca="1">Screen_Ann_TO!M248</f>
        <v>31296</v>
      </c>
      <c r="N109" s="8">
        <f ca="1">Screen_Ann_TO!N248</f>
        <v>33257</v>
      </c>
      <c r="O109" s="8">
        <f ca="1">Screen_Ann_TO!O248</f>
        <v>35273</v>
      </c>
    </row>
    <row r="110" spans="2:15" s="327" customFormat="1" outlineLevel="2" x14ac:dyDescent="0.2">
      <c r="D110" s="660" t="str">
        <f>Screen_Ann_TO!D249</f>
        <v>Northern</v>
      </c>
      <c r="J110" s="8">
        <f ca="1">Screen_Ann_TO!J249</f>
        <v>38350</v>
      </c>
      <c r="K110" s="8">
        <f ca="1">Screen_Ann_TO!K249</f>
        <v>39567</v>
      </c>
      <c r="L110" s="8">
        <f ca="1">Screen_Ann_TO!L249</f>
        <v>40820</v>
      </c>
      <c r="M110" s="8">
        <f ca="1">Screen_Ann_TO!M249</f>
        <v>44487</v>
      </c>
      <c r="N110" s="8">
        <f ca="1">Screen_Ann_TO!N249</f>
        <v>48198</v>
      </c>
      <c r="O110" s="8">
        <f ca="1">Screen_Ann_TO!O249</f>
        <v>51959</v>
      </c>
    </row>
    <row r="111" spans="2:15" s="327" customFormat="1" outlineLevel="2" x14ac:dyDescent="0.2">
      <c r="D111" s="660" t="str">
        <f>Screen_Ann_TO!D250</f>
        <v>North-Western</v>
      </c>
      <c r="J111" s="8">
        <f ca="1">Screen_Ann_TO!J250</f>
        <v>23423</v>
      </c>
      <c r="K111" s="8">
        <f ca="1">Screen_Ann_TO!K250</f>
        <v>23858</v>
      </c>
      <c r="L111" s="8">
        <f ca="1">Screen_Ann_TO!L250</f>
        <v>24339</v>
      </c>
      <c r="M111" s="8">
        <f ca="1">Screen_Ann_TO!M250</f>
        <v>27699</v>
      </c>
      <c r="N111" s="8">
        <f ca="1">Screen_Ann_TO!N250</f>
        <v>31104</v>
      </c>
      <c r="O111" s="8">
        <f ca="1">Screen_Ann_TO!O250</f>
        <v>34551</v>
      </c>
    </row>
    <row r="112" spans="2:15" s="327" customFormat="1" outlineLevel="2" x14ac:dyDescent="0.2">
      <c r="D112" s="660" t="str">
        <f>Screen_Ann_TO!D251</f>
        <v>Southern</v>
      </c>
      <c r="J112" s="8">
        <f ca="1">Screen_Ann_TO!J251</f>
        <v>56843</v>
      </c>
      <c r="K112" s="8">
        <f ca="1">Screen_Ann_TO!K251</f>
        <v>58267</v>
      </c>
      <c r="L112" s="8">
        <f ca="1">Screen_Ann_TO!L251</f>
        <v>59763</v>
      </c>
      <c r="M112" s="8">
        <f ca="1">Screen_Ann_TO!M251</f>
        <v>68001</v>
      </c>
      <c r="N112" s="8">
        <f ca="1">Screen_Ann_TO!N251</f>
        <v>76304</v>
      </c>
      <c r="O112" s="8">
        <f ca="1">Screen_Ann_TO!O251</f>
        <v>84667</v>
      </c>
    </row>
    <row r="113" spans="4:15" s="327" customFormat="1" outlineLevel="2" x14ac:dyDescent="0.2">
      <c r="D113" s="660" t="str">
        <f>Screen_Ann_TO!D252</f>
        <v>Western</v>
      </c>
      <c r="J113" s="8">
        <f ca="1">Screen_Ann_TO!J252</f>
        <v>31222</v>
      </c>
      <c r="K113" s="8">
        <f ca="1">Screen_Ann_TO!K252</f>
        <v>31129</v>
      </c>
      <c r="L113" s="8">
        <f ca="1">Screen_Ann_TO!L252</f>
        <v>31050</v>
      </c>
      <c r="M113" s="8">
        <f ca="1">Screen_Ann_TO!M252</f>
        <v>37668</v>
      </c>
      <c r="N113" s="8">
        <f ca="1">Screen_Ann_TO!N252</f>
        <v>44319</v>
      </c>
      <c r="O113" s="8">
        <f ca="1">Screen_Ann_TO!O252</f>
        <v>50609</v>
      </c>
    </row>
    <row r="114" spans="4:15" s="327" customFormat="1" ht="15.75" thickBot="1" x14ac:dyDescent="0.25">
      <c r="D114" s="679" t="str">
        <f>"Total "&amp;D103</f>
        <v>Total Population Seeking Procedure</v>
      </c>
      <c r="H114" s="646" t="str">
        <f>Screen_Ann_TO!H253</f>
        <v>VIA</v>
      </c>
      <c r="J114" s="624">
        <f t="shared" ref="J114:O114" ca="1" si="10">SUM(J104:J113)</f>
        <v>491623</v>
      </c>
      <c r="K114" s="624">
        <f t="shared" ca="1" si="10"/>
        <v>504249</v>
      </c>
      <c r="L114" s="624">
        <f t="shared" ca="1" si="10"/>
        <v>517525</v>
      </c>
      <c r="M114" s="624">
        <f t="shared" ca="1" si="10"/>
        <v>601061</v>
      </c>
      <c r="N114" s="624">
        <f t="shared" ca="1" si="10"/>
        <v>685203</v>
      </c>
      <c r="O114" s="624">
        <f t="shared" ca="1" si="10"/>
        <v>769456</v>
      </c>
    </row>
    <row r="115" spans="4:15" s="327" customFormat="1" ht="13.5" thickTop="1" x14ac:dyDescent="0.2"/>
    <row r="116" spans="4:15" s="327" customFormat="1" ht="15" x14ac:dyDescent="0.2">
      <c r="D116" s="658" t="s">
        <v>1893</v>
      </c>
    </row>
    <row r="117" spans="4:15" s="327" customFormat="1" outlineLevel="1" x14ac:dyDescent="0.2">
      <c r="D117" s="660" t="str">
        <f t="shared" ref="D117:D126" si="11">D104</f>
        <v>Central</v>
      </c>
      <c r="J117" s="5">
        <f t="shared" ref="J117:O126" ca="1" si="12">J104-J32</f>
        <v>39409</v>
      </c>
      <c r="K117" s="5">
        <f t="shared" ca="1" si="12"/>
        <v>40465</v>
      </c>
      <c r="L117" s="5">
        <f t="shared" ca="1" si="12"/>
        <v>41601</v>
      </c>
      <c r="M117" s="5">
        <f t="shared" ca="1" si="12"/>
        <v>47568</v>
      </c>
      <c r="N117" s="5">
        <f t="shared" ca="1" si="12"/>
        <v>53607</v>
      </c>
      <c r="O117" s="5">
        <f t="shared" ca="1" si="12"/>
        <v>59715</v>
      </c>
    </row>
    <row r="118" spans="4:15" s="327" customFormat="1" outlineLevel="1" x14ac:dyDescent="0.2">
      <c r="D118" s="660" t="str">
        <f t="shared" si="11"/>
        <v>Copperbelt</v>
      </c>
      <c r="J118" s="5">
        <f t="shared" ca="1" si="12"/>
        <v>69142</v>
      </c>
      <c r="K118" s="5">
        <f t="shared" ca="1" si="12"/>
        <v>71111</v>
      </c>
      <c r="L118" s="5">
        <f t="shared" ca="1" si="12"/>
        <v>73306</v>
      </c>
      <c r="M118" s="5">
        <f t="shared" ca="1" si="12"/>
        <v>82320</v>
      </c>
      <c r="N118" s="5">
        <f t="shared" ca="1" si="12"/>
        <v>91366</v>
      </c>
      <c r="O118" s="5">
        <f t="shared" ca="1" si="12"/>
        <v>100371</v>
      </c>
    </row>
    <row r="119" spans="4:15" s="327" customFormat="1" outlineLevel="1" x14ac:dyDescent="0.2">
      <c r="D119" s="660" t="str">
        <f t="shared" si="11"/>
        <v>Eastern</v>
      </c>
      <c r="J119" s="5">
        <f t="shared" ca="1" si="12"/>
        <v>44653</v>
      </c>
      <c r="K119" s="5">
        <f t="shared" ca="1" si="12"/>
        <v>45822</v>
      </c>
      <c r="L119" s="5">
        <f t="shared" ca="1" si="12"/>
        <v>47017</v>
      </c>
      <c r="M119" s="5">
        <f t="shared" ca="1" si="12"/>
        <v>56855</v>
      </c>
      <c r="N119" s="5">
        <f t="shared" ca="1" si="12"/>
        <v>66766</v>
      </c>
      <c r="O119" s="5">
        <f t="shared" ca="1" si="12"/>
        <v>76767</v>
      </c>
    </row>
    <row r="120" spans="4:15" s="327" customFormat="1" outlineLevel="1" x14ac:dyDescent="0.2">
      <c r="D120" s="660" t="str">
        <f t="shared" si="11"/>
        <v>Luapula</v>
      </c>
      <c r="J120" s="5">
        <f t="shared" ca="1" si="12"/>
        <v>26294</v>
      </c>
      <c r="K120" s="5">
        <f t="shared" ca="1" si="12"/>
        <v>26693</v>
      </c>
      <c r="L120" s="5">
        <f t="shared" ca="1" si="12"/>
        <v>27121</v>
      </c>
      <c r="M120" s="5">
        <f t="shared" ca="1" si="12"/>
        <v>34234</v>
      </c>
      <c r="N120" s="5">
        <f t="shared" ca="1" si="12"/>
        <v>41445</v>
      </c>
      <c r="O120" s="5">
        <f t="shared" ca="1" si="12"/>
        <v>48700</v>
      </c>
    </row>
    <row r="121" spans="4:15" s="327" customFormat="1" outlineLevel="1" x14ac:dyDescent="0.2">
      <c r="D121" s="660" t="str">
        <f t="shared" si="11"/>
        <v>Lusaka</v>
      </c>
      <c r="J121" s="5">
        <f t="shared" ca="1" si="12"/>
        <v>73983</v>
      </c>
      <c r="K121" s="5">
        <f t="shared" ca="1" si="12"/>
        <v>77664</v>
      </c>
      <c r="L121" s="5">
        <f t="shared" ca="1" si="12"/>
        <v>81423</v>
      </c>
      <c r="M121" s="5">
        <f t="shared" ca="1" si="12"/>
        <v>109233</v>
      </c>
      <c r="N121" s="5">
        <f t="shared" ca="1" si="12"/>
        <v>137137</v>
      </c>
      <c r="O121" s="5">
        <f t="shared" ca="1" si="12"/>
        <v>165144</v>
      </c>
    </row>
    <row r="122" spans="4:15" s="327" customFormat="1" outlineLevel="1" x14ac:dyDescent="0.2">
      <c r="D122" s="660" t="str">
        <f t="shared" si="11"/>
        <v>Muchinga</v>
      </c>
      <c r="J122" s="5">
        <f t="shared" ca="1" si="12"/>
        <v>26050</v>
      </c>
      <c r="K122" s="5">
        <f t="shared" ca="1" si="12"/>
        <v>27419</v>
      </c>
      <c r="L122" s="5">
        <f t="shared" ca="1" si="12"/>
        <v>28831</v>
      </c>
      <c r="M122" s="5">
        <f t="shared" ca="1" si="12"/>
        <v>30742</v>
      </c>
      <c r="N122" s="5">
        <f t="shared" ca="1" si="12"/>
        <v>32703</v>
      </c>
      <c r="O122" s="5">
        <f t="shared" ca="1" si="12"/>
        <v>34719</v>
      </c>
    </row>
    <row r="123" spans="4:15" s="327" customFormat="1" outlineLevel="1" x14ac:dyDescent="0.2">
      <c r="D123" s="660" t="str">
        <f t="shared" si="11"/>
        <v>Northern</v>
      </c>
      <c r="J123" s="5">
        <f t="shared" ca="1" si="12"/>
        <v>35456</v>
      </c>
      <c r="K123" s="5">
        <f t="shared" ca="1" si="12"/>
        <v>36673</v>
      </c>
      <c r="L123" s="5">
        <f t="shared" ca="1" si="12"/>
        <v>37926</v>
      </c>
      <c r="M123" s="5">
        <f t="shared" ca="1" si="12"/>
        <v>41593</v>
      </c>
      <c r="N123" s="5">
        <f t="shared" ca="1" si="12"/>
        <v>45304</v>
      </c>
      <c r="O123" s="5">
        <f t="shared" ca="1" si="12"/>
        <v>49065</v>
      </c>
    </row>
    <row r="124" spans="4:15" s="327" customFormat="1" outlineLevel="1" x14ac:dyDescent="0.2">
      <c r="D124" s="660" t="str">
        <f t="shared" si="11"/>
        <v>North-Western</v>
      </c>
      <c r="J124" s="5">
        <f t="shared" ca="1" si="12"/>
        <v>19975</v>
      </c>
      <c r="K124" s="5">
        <f t="shared" ca="1" si="12"/>
        <v>20410</v>
      </c>
      <c r="L124" s="5">
        <f t="shared" ca="1" si="12"/>
        <v>20891</v>
      </c>
      <c r="M124" s="5">
        <f t="shared" ca="1" si="12"/>
        <v>24251</v>
      </c>
      <c r="N124" s="5">
        <f t="shared" ca="1" si="12"/>
        <v>27656</v>
      </c>
      <c r="O124" s="5">
        <f t="shared" ca="1" si="12"/>
        <v>31103</v>
      </c>
    </row>
    <row r="125" spans="4:15" s="327" customFormat="1" outlineLevel="1" x14ac:dyDescent="0.2">
      <c r="D125" s="660" t="str">
        <f t="shared" si="11"/>
        <v>Southern</v>
      </c>
      <c r="J125" s="5">
        <f t="shared" ca="1" si="12"/>
        <v>48715</v>
      </c>
      <c r="K125" s="5">
        <f t="shared" ca="1" si="12"/>
        <v>50139</v>
      </c>
      <c r="L125" s="5">
        <f t="shared" ca="1" si="12"/>
        <v>51635</v>
      </c>
      <c r="M125" s="5">
        <f t="shared" ca="1" si="12"/>
        <v>59873</v>
      </c>
      <c r="N125" s="5">
        <f t="shared" ca="1" si="12"/>
        <v>68176</v>
      </c>
      <c r="O125" s="5">
        <f t="shared" ca="1" si="12"/>
        <v>76539</v>
      </c>
    </row>
    <row r="126" spans="4:15" s="327" customFormat="1" outlineLevel="1" x14ac:dyDescent="0.2">
      <c r="D126" s="660" t="str">
        <f t="shared" si="11"/>
        <v>Western</v>
      </c>
      <c r="J126" s="5">
        <f t="shared" ca="1" si="12"/>
        <v>23094</v>
      </c>
      <c r="K126" s="5">
        <f t="shared" ca="1" si="12"/>
        <v>23001</v>
      </c>
      <c r="L126" s="5">
        <f t="shared" ca="1" si="12"/>
        <v>22922</v>
      </c>
      <c r="M126" s="5">
        <f t="shared" ca="1" si="12"/>
        <v>29540</v>
      </c>
      <c r="N126" s="5">
        <f t="shared" ca="1" si="12"/>
        <v>36191</v>
      </c>
      <c r="O126" s="5">
        <f t="shared" ca="1" si="12"/>
        <v>42481</v>
      </c>
    </row>
    <row r="127" spans="4:15" s="327" customFormat="1" ht="15.75" thickBot="1" x14ac:dyDescent="0.25">
      <c r="D127" s="679" t="str">
        <f>"Total "&amp;D116</f>
        <v>Total Unmet Demand</v>
      </c>
      <c r="J127" s="624">
        <f t="shared" ref="J127:O127" ca="1" si="13">SUM(J117:J126)</f>
        <v>406771</v>
      </c>
      <c r="K127" s="624">
        <f t="shared" ca="1" si="13"/>
        <v>419397</v>
      </c>
      <c r="L127" s="624">
        <f t="shared" ca="1" si="13"/>
        <v>432673</v>
      </c>
      <c r="M127" s="624">
        <f t="shared" ca="1" si="13"/>
        <v>516209</v>
      </c>
      <c r="N127" s="624">
        <f t="shared" ca="1" si="13"/>
        <v>600351</v>
      </c>
      <c r="O127" s="624">
        <f t="shared" ca="1" si="13"/>
        <v>684604</v>
      </c>
    </row>
    <row r="128" spans="4:15" s="327" customFormat="1" ht="13.5" thickTop="1" x14ac:dyDescent="0.2">
      <c r="J128" s="13">
        <f t="shared" ref="J128:O128" ca="1" si="14">J127/J114</f>
        <v>0.82740433218136666</v>
      </c>
      <c r="K128" s="13">
        <f t="shared" ca="1" si="14"/>
        <v>0.83172599251560242</v>
      </c>
      <c r="L128" s="13">
        <f t="shared" ca="1" si="14"/>
        <v>0.83604270325105068</v>
      </c>
      <c r="M128" s="13">
        <f t="shared" ca="1" si="14"/>
        <v>0.8588296362598804</v>
      </c>
      <c r="N128" s="13">
        <f t="shared" ca="1" si="14"/>
        <v>0.87616516565163904</v>
      </c>
      <c r="O128" s="13">
        <f t="shared" ca="1" si="14"/>
        <v>0.8897246886111746</v>
      </c>
    </row>
    <row r="129" spans="2:15" s="327" customFormat="1" x14ac:dyDescent="0.2">
      <c r="C129" s="680" t="s">
        <v>1921</v>
      </c>
    </row>
    <row r="130" spans="2:15" s="327" customFormat="1" outlineLevel="1" x14ac:dyDescent="0.2">
      <c r="D130" s="660" t="str">
        <f>Reg_Pop_Ann_TA!D14</f>
        <v>Predicted Demand for Initial Screening (Active Areas)</v>
      </c>
      <c r="J130" s="13">
        <f>Reg_Pop_Ann_TA!J14</f>
        <v>0.2</v>
      </c>
      <c r="K130" s="13">
        <f>Reg_Pop_Ann_TA!K14</f>
        <v>0.2</v>
      </c>
      <c r="L130" s="13">
        <f>Reg_Pop_Ann_TA!L14</f>
        <v>0.2</v>
      </c>
      <c r="M130" s="13">
        <f>Reg_Pop_Ann_TA!M14</f>
        <v>0.2</v>
      </c>
      <c r="N130" s="13">
        <f>Reg_Pop_Ann_TA!N14</f>
        <v>0.2</v>
      </c>
      <c r="O130" s="13">
        <f>Reg_Pop_Ann_TA!O14</f>
        <v>0.2</v>
      </c>
    </row>
    <row r="131" spans="2:15" s="327" customFormat="1" outlineLevel="1" x14ac:dyDescent="0.2">
      <c r="D131" s="660" t="str">
        <f>Reg_Pop_Ann_TA!D15</f>
        <v>Predicted Demand for Initial Screening (Inactive Areas)</v>
      </c>
      <c r="J131" s="13">
        <f>Reg_Pop_Ann_TA!J15</f>
        <v>0.2</v>
      </c>
      <c r="K131" s="13">
        <f>Reg_Pop_Ann_TA!K15</f>
        <v>0.17899999999999999</v>
      </c>
      <c r="L131" s="13">
        <f>Reg_Pop_Ann_TA!L15</f>
        <v>0.2</v>
      </c>
      <c r="M131" s="13">
        <f>Reg_Pop_Ann_TA!M15</f>
        <v>0.2</v>
      </c>
      <c r="N131" s="13">
        <f>Reg_Pop_Ann_TA!N15</f>
        <v>0.2</v>
      </c>
      <c r="O131" s="13">
        <f>Reg_Pop_Ann_TA!O15</f>
        <v>0.2</v>
      </c>
    </row>
    <row r="132" spans="2:15" s="327" customFormat="1" outlineLevel="1" x14ac:dyDescent="0.2">
      <c r="D132" s="660" t="str">
        <f>Reg_Pop_Ann_TA!D16</f>
        <v>Predicted Demand for Re-Screening (Active Areas)</v>
      </c>
      <c r="J132" s="13">
        <f>Reg_Pop_Ann_TA!J16</f>
        <v>1</v>
      </c>
      <c r="K132" s="13">
        <f>Reg_Pop_Ann_TA!K16</f>
        <v>1</v>
      </c>
      <c r="L132" s="13">
        <f>Reg_Pop_Ann_TA!L16</f>
        <v>1</v>
      </c>
      <c r="M132" s="13">
        <f>Reg_Pop_Ann_TA!M16</f>
        <v>1</v>
      </c>
      <c r="N132" s="13">
        <f>Reg_Pop_Ann_TA!N16</f>
        <v>1</v>
      </c>
      <c r="O132" s="13">
        <f>Reg_Pop_Ann_TA!O16</f>
        <v>1</v>
      </c>
    </row>
    <row r="133" spans="2:15" s="327" customFormat="1" outlineLevel="1" x14ac:dyDescent="0.2">
      <c r="D133" s="660" t="str">
        <f>Reg_Pop_Ann_TA!D17</f>
        <v>Predicted Demand for Re-Screening (Inactive Areas)</v>
      </c>
      <c r="J133" s="13">
        <f>Reg_Pop_Ann_TA!J17</f>
        <v>1</v>
      </c>
      <c r="K133" s="13">
        <f>Reg_Pop_Ann_TA!K17</f>
        <v>1</v>
      </c>
      <c r="L133" s="13">
        <f>Reg_Pop_Ann_TA!L17</f>
        <v>1</v>
      </c>
      <c r="M133" s="13">
        <f>Reg_Pop_Ann_TA!M17</f>
        <v>1</v>
      </c>
      <c r="N133" s="13">
        <f>Reg_Pop_Ann_TA!N17</f>
        <v>1</v>
      </c>
      <c r="O133" s="13">
        <f>Reg_Pop_Ann_TA!O17</f>
        <v>1</v>
      </c>
    </row>
    <row r="134" spans="2:15" s="327" customFormat="1" x14ac:dyDescent="0.2"/>
    <row r="135" spans="2:15" s="327" customFormat="1" x14ac:dyDescent="0.2"/>
    <row r="136" spans="2:15" s="327" customFormat="1" ht="18.75" x14ac:dyDescent="0.2">
      <c r="B136" s="329" t="s">
        <v>8</v>
      </c>
    </row>
    <row r="137" spans="2:15" s="327" customFormat="1" ht="15.75" x14ac:dyDescent="0.2">
      <c r="C137" s="330" t="s">
        <v>1901</v>
      </c>
    </row>
    <row r="138" spans="2:15" s="327" customFormat="1" outlineLevel="1" x14ac:dyDescent="0.2">
      <c r="D138" s="660" t="str">
        <f>Screen_Ann_TO!D260</f>
        <v>Central</v>
      </c>
      <c r="H138" s="660" t="str">
        <f>Screen_Ann_TO!H260</f>
        <v>VIA</v>
      </c>
      <c r="J138" s="5">
        <f ca="1">Screen_Ann_TO!J260</f>
        <v>5788</v>
      </c>
      <c r="K138" s="5">
        <f ca="1">Screen_Ann_TO!K260</f>
        <v>5788</v>
      </c>
      <c r="L138" s="5">
        <f ca="1">Screen_Ann_TO!L260</f>
        <v>5788</v>
      </c>
      <c r="M138" s="5">
        <f ca="1">Screen_Ann_TO!M260</f>
        <v>5788</v>
      </c>
      <c r="N138" s="5">
        <f ca="1">Screen_Ann_TO!N260</f>
        <v>5788</v>
      </c>
      <c r="O138" s="5">
        <f ca="1">Screen_Ann_TO!O260</f>
        <v>5788</v>
      </c>
    </row>
    <row r="139" spans="2:15" s="327" customFormat="1" outlineLevel="1" x14ac:dyDescent="0.2">
      <c r="D139" s="660" t="str">
        <f>Screen_Ann_TO!D261</f>
        <v>Copperbelt</v>
      </c>
      <c r="H139" s="660" t="str">
        <f>Screen_Ann_TO!H261</f>
        <v>VIA</v>
      </c>
      <c r="J139" s="5">
        <f ca="1">Screen_Ann_TO!J261</f>
        <v>8128</v>
      </c>
      <c r="K139" s="5">
        <f ca="1">Screen_Ann_TO!K261</f>
        <v>8128</v>
      </c>
      <c r="L139" s="5">
        <f ca="1">Screen_Ann_TO!L261</f>
        <v>8128</v>
      </c>
      <c r="M139" s="5">
        <f ca="1">Screen_Ann_TO!M261</f>
        <v>8128</v>
      </c>
      <c r="N139" s="5">
        <f ca="1">Screen_Ann_TO!N261</f>
        <v>8128</v>
      </c>
      <c r="O139" s="5">
        <f ca="1">Screen_Ann_TO!O261</f>
        <v>8128</v>
      </c>
    </row>
    <row r="140" spans="2:15" s="327" customFormat="1" outlineLevel="1" x14ac:dyDescent="0.2">
      <c r="D140" s="660" t="str">
        <f>Screen_Ann_TO!D262</f>
        <v>Eastern</v>
      </c>
      <c r="H140" s="660" t="str">
        <f>Screen_Ann_TO!H262</f>
        <v>VIA</v>
      </c>
      <c r="J140" s="5">
        <f ca="1">Screen_Ann_TO!J262</f>
        <v>10468</v>
      </c>
      <c r="K140" s="5">
        <f ca="1">Screen_Ann_TO!K262</f>
        <v>10468</v>
      </c>
      <c r="L140" s="5">
        <f ca="1">Screen_Ann_TO!L262</f>
        <v>10468</v>
      </c>
      <c r="M140" s="5">
        <f ca="1">Screen_Ann_TO!M262</f>
        <v>10468</v>
      </c>
      <c r="N140" s="5">
        <f ca="1">Screen_Ann_TO!N262</f>
        <v>10468</v>
      </c>
      <c r="O140" s="5">
        <f ca="1">Screen_Ann_TO!O262</f>
        <v>10468</v>
      </c>
    </row>
    <row r="141" spans="2:15" s="327" customFormat="1" outlineLevel="1" x14ac:dyDescent="0.2">
      <c r="D141" s="660" t="str">
        <f>Screen_Ann_TO!D263</f>
        <v>Luapula</v>
      </c>
      <c r="H141" s="660" t="str">
        <f>Screen_Ann_TO!H263</f>
        <v>VIA</v>
      </c>
      <c r="J141" s="5">
        <f ca="1">Screen_Ann_TO!J263</f>
        <v>8128</v>
      </c>
      <c r="K141" s="5">
        <f ca="1">Screen_Ann_TO!K263</f>
        <v>8128</v>
      </c>
      <c r="L141" s="5">
        <f ca="1">Screen_Ann_TO!L263</f>
        <v>8128</v>
      </c>
      <c r="M141" s="5">
        <f ca="1">Screen_Ann_TO!M263</f>
        <v>8128</v>
      </c>
      <c r="N141" s="5">
        <f ca="1">Screen_Ann_TO!N263</f>
        <v>8128</v>
      </c>
      <c r="O141" s="5">
        <f ca="1">Screen_Ann_TO!O263</f>
        <v>8128</v>
      </c>
    </row>
    <row r="142" spans="2:15" s="327" customFormat="1" outlineLevel="1" x14ac:dyDescent="0.2">
      <c r="D142" s="660" t="str">
        <f>Screen_Ann_TO!D264</f>
        <v>Lusaka</v>
      </c>
      <c r="H142" s="660" t="str">
        <f>Screen_Ann_TO!H264</f>
        <v>VIA</v>
      </c>
      <c r="J142" s="5">
        <f ca="1">Screen_Ann_TO!J264</f>
        <v>29188</v>
      </c>
      <c r="K142" s="5">
        <f ca="1">Screen_Ann_TO!K264</f>
        <v>29188</v>
      </c>
      <c r="L142" s="5">
        <f ca="1">Screen_Ann_TO!L264</f>
        <v>29188</v>
      </c>
      <c r="M142" s="5">
        <f ca="1">Screen_Ann_TO!M264</f>
        <v>29188</v>
      </c>
      <c r="N142" s="5">
        <f ca="1">Screen_Ann_TO!N264</f>
        <v>29188</v>
      </c>
      <c r="O142" s="5">
        <f ca="1">Screen_Ann_TO!O264</f>
        <v>29188</v>
      </c>
    </row>
    <row r="143" spans="2:15" s="327" customFormat="1" outlineLevel="1" x14ac:dyDescent="0.2">
      <c r="D143" s="660" t="str">
        <f>Screen_Ann_TO!D265</f>
        <v>Muchinga</v>
      </c>
      <c r="H143" s="660" t="str">
        <f>Screen_Ann_TO!H265</f>
        <v>VIA</v>
      </c>
      <c r="J143" s="5">
        <f ca="1">Screen_Ann_TO!J265</f>
        <v>554</v>
      </c>
      <c r="K143" s="5">
        <f ca="1">Screen_Ann_TO!K265</f>
        <v>554</v>
      </c>
      <c r="L143" s="5">
        <f ca="1">Screen_Ann_TO!L265</f>
        <v>554</v>
      </c>
      <c r="M143" s="5">
        <f ca="1">Screen_Ann_TO!M265</f>
        <v>554</v>
      </c>
      <c r="N143" s="5">
        <f ca="1">Screen_Ann_TO!N265</f>
        <v>554</v>
      </c>
      <c r="O143" s="5">
        <f ca="1">Screen_Ann_TO!O265</f>
        <v>554</v>
      </c>
    </row>
    <row r="144" spans="2:15" s="327" customFormat="1" outlineLevel="1" x14ac:dyDescent="0.2">
      <c r="D144" s="660" t="str">
        <f>Screen_Ann_TO!D266</f>
        <v>Northern</v>
      </c>
      <c r="H144" s="660" t="str">
        <f>Screen_Ann_TO!H266</f>
        <v>VIA</v>
      </c>
      <c r="J144" s="5">
        <f ca="1">Screen_Ann_TO!J266</f>
        <v>2894</v>
      </c>
      <c r="K144" s="5">
        <f ca="1">Screen_Ann_TO!K266</f>
        <v>2894</v>
      </c>
      <c r="L144" s="5">
        <f ca="1">Screen_Ann_TO!L266</f>
        <v>2894</v>
      </c>
      <c r="M144" s="5">
        <f ca="1">Screen_Ann_TO!M266</f>
        <v>2894</v>
      </c>
      <c r="N144" s="5">
        <f ca="1">Screen_Ann_TO!N266</f>
        <v>2894</v>
      </c>
      <c r="O144" s="5">
        <f ca="1">Screen_Ann_TO!O266</f>
        <v>2894</v>
      </c>
    </row>
    <row r="145" spans="3:15" s="327" customFormat="1" outlineLevel="1" x14ac:dyDescent="0.2">
      <c r="D145" s="660" t="str">
        <f>Screen_Ann_TO!D267</f>
        <v>North-Western</v>
      </c>
      <c r="H145" s="660" t="str">
        <f>Screen_Ann_TO!H267</f>
        <v>VIA</v>
      </c>
      <c r="J145" s="5">
        <f ca="1">Screen_Ann_TO!J267</f>
        <v>3448</v>
      </c>
      <c r="K145" s="5">
        <f ca="1">Screen_Ann_TO!K267</f>
        <v>3448</v>
      </c>
      <c r="L145" s="5">
        <f ca="1">Screen_Ann_TO!L267</f>
        <v>3448</v>
      </c>
      <c r="M145" s="5">
        <f ca="1">Screen_Ann_TO!M267</f>
        <v>3448</v>
      </c>
      <c r="N145" s="5">
        <f ca="1">Screen_Ann_TO!N267</f>
        <v>3448</v>
      </c>
      <c r="O145" s="5">
        <f ca="1">Screen_Ann_TO!O267</f>
        <v>3448</v>
      </c>
    </row>
    <row r="146" spans="3:15" s="327" customFormat="1" outlineLevel="1" x14ac:dyDescent="0.2">
      <c r="D146" s="660" t="str">
        <f>Screen_Ann_TO!D268</f>
        <v>Southern</v>
      </c>
      <c r="H146" s="660" t="str">
        <f>Screen_Ann_TO!H268</f>
        <v>VIA</v>
      </c>
      <c r="J146" s="5">
        <f ca="1">Screen_Ann_TO!J268</f>
        <v>8128</v>
      </c>
      <c r="K146" s="5">
        <f ca="1">Screen_Ann_TO!K268</f>
        <v>8128</v>
      </c>
      <c r="L146" s="5">
        <f ca="1">Screen_Ann_TO!L268</f>
        <v>8128</v>
      </c>
      <c r="M146" s="5">
        <f ca="1">Screen_Ann_TO!M268</f>
        <v>8128</v>
      </c>
      <c r="N146" s="5">
        <f ca="1">Screen_Ann_TO!N268</f>
        <v>8128</v>
      </c>
      <c r="O146" s="5">
        <f ca="1">Screen_Ann_TO!O268</f>
        <v>8128</v>
      </c>
    </row>
    <row r="147" spans="3:15" s="327" customFormat="1" outlineLevel="1" x14ac:dyDescent="0.2">
      <c r="D147" s="660" t="str">
        <f>Screen_Ann_TO!D269</f>
        <v>Western</v>
      </c>
      <c r="H147" s="660" t="str">
        <f>Screen_Ann_TO!H269</f>
        <v>VIA</v>
      </c>
      <c r="J147" s="5">
        <f ca="1">Screen_Ann_TO!J269</f>
        <v>8128</v>
      </c>
      <c r="K147" s="5">
        <f ca="1">Screen_Ann_TO!K269</f>
        <v>8128</v>
      </c>
      <c r="L147" s="5">
        <f ca="1">Screen_Ann_TO!L269</f>
        <v>8128</v>
      </c>
      <c r="M147" s="5">
        <f ca="1">Screen_Ann_TO!M269</f>
        <v>8128</v>
      </c>
      <c r="N147" s="5">
        <f ca="1">Screen_Ann_TO!N269</f>
        <v>8128</v>
      </c>
      <c r="O147" s="5">
        <f ca="1">Screen_Ann_TO!O269</f>
        <v>8128</v>
      </c>
    </row>
    <row r="148" spans="3:15" s="327" customFormat="1" ht="15.75" thickBot="1" x14ac:dyDescent="0.25">
      <c r="D148" s="646" t="str">
        <f>C137</f>
        <v>Total Procedures Provided (by Patient's Home Province)</v>
      </c>
      <c r="H148" s="646"/>
      <c r="J148" s="624">
        <f t="shared" ref="J148:O148" ca="1" si="15">SUM(J138:J147)</f>
        <v>84852</v>
      </c>
      <c r="K148" s="624">
        <f t="shared" ca="1" si="15"/>
        <v>84852</v>
      </c>
      <c r="L148" s="624">
        <f t="shared" ca="1" si="15"/>
        <v>84852</v>
      </c>
      <c r="M148" s="624">
        <f t="shared" ca="1" si="15"/>
        <v>84852</v>
      </c>
      <c r="N148" s="624">
        <f t="shared" ca="1" si="15"/>
        <v>84852</v>
      </c>
      <c r="O148" s="624">
        <f t="shared" ca="1" si="15"/>
        <v>84852</v>
      </c>
    </row>
    <row r="149" spans="3:15" s="327" customFormat="1" ht="13.5" thickTop="1" x14ac:dyDescent="0.2"/>
    <row r="150" spans="3:15" s="327" customFormat="1" ht="15.75" x14ac:dyDescent="0.2">
      <c r="C150" s="330" t="s">
        <v>1902</v>
      </c>
    </row>
    <row r="151" spans="3:15" s="327" customFormat="1" outlineLevel="1" x14ac:dyDescent="0.2">
      <c r="D151" s="660" t="str">
        <f>Screen_Ann_TO!D273</f>
        <v>Central</v>
      </c>
      <c r="H151" s="660" t="str">
        <f>Screen_Ann_TO!H273</f>
        <v>VIA</v>
      </c>
      <c r="J151" s="495">
        <f ca="1">Screen_Ann_TO!J273</f>
        <v>5788</v>
      </c>
      <c r="K151" s="495">
        <f ca="1">Screen_Ann_TO!K273</f>
        <v>5788</v>
      </c>
      <c r="L151" s="495">
        <f ca="1">Screen_Ann_TO!L273</f>
        <v>5788</v>
      </c>
      <c r="M151" s="495">
        <f ca="1">Screen_Ann_TO!M273</f>
        <v>5788</v>
      </c>
      <c r="N151" s="495">
        <f ca="1">Screen_Ann_TO!N273</f>
        <v>5788</v>
      </c>
      <c r="O151" s="495">
        <f ca="1">Screen_Ann_TO!O273</f>
        <v>5788</v>
      </c>
    </row>
    <row r="152" spans="3:15" s="327" customFormat="1" outlineLevel="1" x14ac:dyDescent="0.2">
      <c r="D152" s="660" t="str">
        <f>Screen_Ann_TO!D274</f>
        <v>Copperbelt</v>
      </c>
      <c r="H152" s="660" t="str">
        <f>Screen_Ann_TO!H274</f>
        <v>VIA</v>
      </c>
      <c r="J152" s="495">
        <f ca="1">Screen_Ann_TO!J274</f>
        <v>8128</v>
      </c>
      <c r="K152" s="495">
        <f ca="1">Screen_Ann_TO!K274</f>
        <v>8128</v>
      </c>
      <c r="L152" s="495">
        <f ca="1">Screen_Ann_TO!L274</f>
        <v>8128</v>
      </c>
      <c r="M152" s="495">
        <f ca="1">Screen_Ann_TO!M274</f>
        <v>8128</v>
      </c>
      <c r="N152" s="495">
        <f ca="1">Screen_Ann_TO!N274</f>
        <v>8128</v>
      </c>
      <c r="O152" s="495">
        <f ca="1">Screen_Ann_TO!O274</f>
        <v>8128</v>
      </c>
    </row>
    <row r="153" spans="3:15" s="327" customFormat="1" outlineLevel="1" x14ac:dyDescent="0.2">
      <c r="D153" s="660" t="str">
        <f>Screen_Ann_TO!D275</f>
        <v>Eastern</v>
      </c>
      <c r="H153" s="660" t="str">
        <f>Screen_Ann_TO!H275</f>
        <v>VIA</v>
      </c>
      <c r="J153" s="495">
        <f ca="1">Screen_Ann_TO!J275</f>
        <v>10468</v>
      </c>
      <c r="K153" s="495">
        <f ca="1">Screen_Ann_TO!K275</f>
        <v>10468</v>
      </c>
      <c r="L153" s="495">
        <f ca="1">Screen_Ann_TO!L275</f>
        <v>10468</v>
      </c>
      <c r="M153" s="495">
        <f ca="1">Screen_Ann_TO!M275</f>
        <v>10468</v>
      </c>
      <c r="N153" s="495">
        <f ca="1">Screen_Ann_TO!N275</f>
        <v>10468</v>
      </c>
      <c r="O153" s="495">
        <f ca="1">Screen_Ann_TO!O275</f>
        <v>10468</v>
      </c>
    </row>
    <row r="154" spans="3:15" s="327" customFormat="1" outlineLevel="1" x14ac:dyDescent="0.2">
      <c r="D154" s="660" t="str">
        <f>Screen_Ann_TO!D276</f>
        <v>Luapula</v>
      </c>
      <c r="H154" s="660" t="str">
        <f>Screen_Ann_TO!H276</f>
        <v>VIA</v>
      </c>
      <c r="J154" s="495">
        <f ca="1">Screen_Ann_TO!J276</f>
        <v>8128</v>
      </c>
      <c r="K154" s="495">
        <f ca="1">Screen_Ann_TO!K276</f>
        <v>8128</v>
      </c>
      <c r="L154" s="495">
        <f ca="1">Screen_Ann_TO!L276</f>
        <v>8128</v>
      </c>
      <c r="M154" s="495">
        <f ca="1">Screen_Ann_TO!M276</f>
        <v>8128</v>
      </c>
      <c r="N154" s="495">
        <f ca="1">Screen_Ann_TO!N276</f>
        <v>8128</v>
      </c>
      <c r="O154" s="495">
        <f ca="1">Screen_Ann_TO!O276</f>
        <v>8128</v>
      </c>
    </row>
    <row r="155" spans="3:15" s="327" customFormat="1" outlineLevel="1" x14ac:dyDescent="0.2">
      <c r="D155" s="660" t="str">
        <f>Screen_Ann_TO!D277</f>
        <v>Lusaka</v>
      </c>
      <c r="H155" s="660" t="str">
        <f>Screen_Ann_TO!H277</f>
        <v>VIA</v>
      </c>
      <c r="J155" s="495">
        <f ca="1">Screen_Ann_TO!J277</f>
        <v>29188</v>
      </c>
      <c r="K155" s="495">
        <f ca="1">Screen_Ann_TO!K277</f>
        <v>29188</v>
      </c>
      <c r="L155" s="495">
        <f ca="1">Screen_Ann_TO!L277</f>
        <v>29188</v>
      </c>
      <c r="M155" s="495">
        <f ca="1">Screen_Ann_TO!M277</f>
        <v>29188</v>
      </c>
      <c r="N155" s="495">
        <f ca="1">Screen_Ann_TO!N277</f>
        <v>29188</v>
      </c>
      <c r="O155" s="495">
        <f ca="1">Screen_Ann_TO!O277</f>
        <v>29188</v>
      </c>
    </row>
    <row r="156" spans="3:15" s="327" customFormat="1" outlineLevel="1" x14ac:dyDescent="0.2">
      <c r="D156" s="660" t="str">
        <f>Screen_Ann_TO!D278</f>
        <v>Muchinga</v>
      </c>
      <c r="H156" s="660" t="str">
        <f>Screen_Ann_TO!H278</f>
        <v>VIA</v>
      </c>
      <c r="J156" s="495">
        <f ca="1">Screen_Ann_TO!J278</f>
        <v>554</v>
      </c>
      <c r="K156" s="495">
        <f ca="1">Screen_Ann_TO!K278</f>
        <v>554</v>
      </c>
      <c r="L156" s="495">
        <f ca="1">Screen_Ann_TO!L278</f>
        <v>554</v>
      </c>
      <c r="M156" s="495">
        <f ca="1">Screen_Ann_TO!M278</f>
        <v>554</v>
      </c>
      <c r="N156" s="495">
        <f ca="1">Screen_Ann_TO!N278</f>
        <v>554</v>
      </c>
      <c r="O156" s="495">
        <f ca="1">Screen_Ann_TO!O278</f>
        <v>554</v>
      </c>
    </row>
    <row r="157" spans="3:15" s="327" customFormat="1" outlineLevel="1" x14ac:dyDescent="0.2">
      <c r="D157" s="660" t="str">
        <f>Screen_Ann_TO!D279</f>
        <v>Northern</v>
      </c>
      <c r="H157" s="660" t="str">
        <f>Screen_Ann_TO!H279</f>
        <v>VIA</v>
      </c>
      <c r="J157" s="495">
        <f ca="1">Screen_Ann_TO!J279</f>
        <v>2894</v>
      </c>
      <c r="K157" s="495">
        <f ca="1">Screen_Ann_TO!K279</f>
        <v>2894</v>
      </c>
      <c r="L157" s="495">
        <f ca="1">Screen_Ann_TO!L279</f>
        <v>2894</v>
      </c>
      <c r="M157" s="495">
        <f ca="1">Screen_Ann_TO!M279</f>
        <v>2894</v>
      </c>
      <c r="N157" s="495">
        <f ca="1">Screen_Ann_TO!N279</f>
        <v>2894</v>
      </c>
      <c r="O157" s="495">
        <f ca="1">Screen_Ann_TO!O279</f>
        <v>2894</v>
      </c>
    </row>
    <row r="158" spans="3:15" s="327" customFormat="1" outlineLevel="1" x14ac:dyDescent="0.2">
      <c r="D158" s="660" t="str">
        <f>Screen_Ann_TO!D280</f>
        <v>North-Western</v>
      </c>
      <c r="H158" s="660" t="str">
        <f>Screen_Ann_TO!H280</f>
        <v>VIA</v>
      </c>
      <c r="J158" s="495">
        <f ca="1">Screen_Ann_TO!J280</f>
        <v>3448</v>
      </c>
      <c r="K158" s="495">
        <f ca="1">Screen_Ann_TO!K280</f>
        <v>3448</v>
      </c>
      <c r="L158" s="495">
        <f ca="1">Screen_Ann_TO!L280</f>
        <v>3448</v>
      </c>
      <c r="M158" s="495">
        <f ca="1">Screen_Ann_TO!M280</f>
        <v>3448</v>
      </c>
      <c r="N158" s="495">
        <f ca="1">Screen_Ann_TO!N280</f>
        <v>3448</v>
      </c>
      <c r="O158" s="495">
        <f ca="1">Screen_Ann_TO!O280</f>
        <v>3448</v>
      </c>
    </row>
    <row r="159" spans="3:15" s="327" customFormat="1" outlineLevel="1" x14ac:dyDescent="0.2">
      <c r="D159" s="660" t="str">
        <f>Screen_Ann_TO!D281</f>
        <v>Southern</v>
      </c>
      <c r="H159" s="660" t="str">
        <f>Screen_Ann_TO!H281</f>
        <v>VIA</v>
      </c>
      <c r="J159" s="495">
        <f ca="1">Screen_Ann_TO!J281</f>
        <v>8128</v>
      </c>
      <c r="K159" s="495">
        <f ca="1">Screen_Ann_TO!K281</f>
        <v>8128</v>
      </c>
      <c r="L159" s="495">
        <f ca="1">Screen_Ann_TO!L281</f>
        <v>8128</v>
      </c>
      <c r="M159" s="495">
        <f ca="1">Screen_Ann_TO!M281</f>
        <v>8128</v>
      </c>
      <c r="N159" s="495">
        <f ca="1">Screen_Ann_TO!N281</f>
        <v>8128</v>
      </c>
      <c r="O159" s="495">
        <f ca="1">Screen_Ann_TO!O281</f>
        <v>8128</v>
      </c>
    </row>
    <row r="160" spans="3:15" s="327" customFormat="1" outlineLevel="1" x14ac:dyDescent="0.2">
      <c r="D160" s="660" t="str">
        <f>Screen_Ann_TO!D282</f>
        <v>Western</v>
      </c>
      <c r="H160" s="660" t="str">
        <f>Screen_Ann_TO!H282</f>
        <v>VIA</v>
      </c>
      <c r="J160" s="495">
        <f ca="1">Screen_Ann_TO!J282</f>
        <v>8128</v>
      </c>
      <c r="K160" s="495">
        <f ca="1">Screen_Ann_TO!K282</f>
        <v>8128</v>
      </c>
      <c r="L160" s="495">
        <f ca="1">Screen_Ann_TO!L282</f>
        <v>8128</v>
      </c>
      <c r="M160" s="495">
        <f ca="1">Screen_Ann_TO!M282</f>
        <v>8128</v>
      </c>
      <c r="N160" s="495">
        <f ca="1">Screen_Ann_TO!N282</f>
        <v>8128</v>
      </c>
      <c r="O160" s="495">
        <f ca="1">Screen_Ann_TO!O282</f>
        <v>8128</v>
      </c>
    </row>
    <row r="161" spans="2:15" s="327" customFormat="1" ht="15.75" thickBot="1" x14ac:dyDescent="0.25">
      <c r="D161" s="646" t="str">
        <f>C150</f>
        <v>Total Procedures Supplied (by Province Providing)</v>
      </c>
      <c r="J161" s="624">
        <f t="shared" ref="J161:O161" ca="1" si="16">SUM(J151:J160)</f>
        <v>84852</v>
      </c>
      <c r="K161" s="624">
        <f t="shared" ca="1" si="16"/>
        <v>84852</v>
      </c>
      <c r="L161" s="624">
        <f t="shared" ca="1" si="16"/>
        <v>84852</v>
      </c>
      <c r="M161" s="624">
        <f t="shared" ca="1" si="16"/>
        <v>84852</v>
      </c>
      <c r="N161" s="624">
        <f t="shared" ca="1" si="16"/>
        <v>84852</v>
      </c>
      <c r="O161" s="624">
        <f t="shared" ca="1" si="16"/>
        <v>84852</v>
      </c>
    </row>
    <row r="162" spans="2:15" s="327" customFormat="1" ht="13.5" thickTop="1" x14ac:dyDescent="0.2"/>
    <row r="163" spans="2:15" s="327" customFormat="1" ht="18.75" x14ac:dyDescent="0.2">
      <c r="B163" s="329" t="s">
        <v>1904</v>
      </c>
    </row>
    <row r="164" spans="2:15" s="327" customFormat="1" ht="15.75" x14ac:dyDescent="0.2">
      <c r="C164" s="330" t="s">
        <v>1938</v>
      </c>
    </row>
    <row r="165" spans="2:15" s="327" customFormat="1" outlineLevel="1" x14ac:dyDescent="0.2">
      <c r="D165" s="660" t="str">
        <f>Screen_BA!D137</f>
        <v>Central</v>
      </c>
      <c r="J165" s="5">
        <f t="shared" ref="J165:O174" ca="1" si="17">J138*$J$231</f>
        <v>4630.4000000000005</v>
      </c>
      <c r="K165" s="5">
        <f t="shared" ca="1" si="17"/>
        <v>4630.4000000000005</v>
      </c>
      <c r="L165" s="5">
        <f t="shared" ca="1" si="17"/>
        <v>4630.4000000000005</v>
      </c>
      <c r="M165" s="5">
        <f t="shared" ca="1" si="17"/>
        <v>4630.4000000000005</v>
      </c>
      <c r="N165" s="5">
        <f t="shared" ca="1" si="17"/>
        <v>4630.4000000000005</v>
      </c>
      <c r="O165" s="5">
        <f t="shared" ca="1" si="17"/>
        <v>4630.4000000000005</v>
      </c>
    </row>
    <row r="166" spans="2:15" s="327" customFormat="1" outlineLevel="1" x14ac:dyDescent="0.2">
      <c r="D166" s="660" t="str">
        <f>Screen_BA!D138</f>
        <v>Copperbelt</v>
      </c>
      <c r="J166" s="5">
        <f t="shared" ca="1" si="17"/>
        <v>6502.4000000000005</v>
      </c>
      <c r="K166" s="5">
        <f t="shared" ca="1" si="17"/>
        <v>6502.4000000000005</v>
      </c>
      <c r="L166" s="5">
        <f t="shared" ca="1" si="17"/>
        <v>6502.4000000000005</v>
      </c>
      <c r="M166" s="5">
        <f t="shared" ca="1" si="17"/>
        <v>6502.4000000000005</v>
      </c>
      <c r="N166" s="5">
        <f t="shared" ca="1" si="17"/>
        <v>6502.4000000000005</v>
      </c>
      <c r="O166" s="5">
        <f t="shared" ca="1" si="17"/>
        <v>6502.4000000000005</v>
      </c>
    </row>
    <row r="167" spans="2:15" s="327" customFormat="1" outlineLevel="1" x14ac:dyDescent="0.2">
      <c r="D167" s="660" t="str">
        <f>Screen_BA!D139</f>
        <v>Eastern</v>
      </c>
      <c r="J167" s="5">
        <f t="shared" ca="1" si="17"/>
        <v>8374.4</v>
      </c>
      <c r="K167" s="5">
        <f t="shared" ca="1" si="17"/>
        <v>8374.4</v>
      </c>
      <c r="L167" s="5">
        <f t="shared" ca="1" si="17"/>
        <v>8374.4</v>
      </c>
      <c r="M167" s="5">
        <f t="shared" ca="1" si="17"/>
        <v>8374.4</v>
      </c>
      <c r="N167" s="5">
        <f t="shared" ca="1" si="17"/>
        <v>8374.4</v>
      </c>
      <c r="O167" s="5">
        <f t="shared" ca="1" si="17"/>
        <v>8374.4</v>
      </c>
    </row>
    <row r="168" spans="2:15" s="327" customFormat="1" outlineLevel="1" x14ac:dyDescent="0.2">
      <c r="D168" s="660" t="str">
        <f>Screen_BA!D140</f>
        <v>Luapula</v>
      </c>
      <c r="J168" s="5">
        <f t="shared" ca="1" si="17"/>
        <v>6502.4000000000005</v>
      </c>
      <c r="K168" s="5">
        <f t="shared" ca="1" si="17"/>
        <v>6502.4000000000005</v>
      </c>
      <c r="L168" s="5">
        <f t="shared" ca="1" si="17"/>
        <v>6502.4000000000005</v>
      </c>
      <c r="M168" s="5">
        <f t="shared" ca="1" si="17"/>
        <v>6502.4000000000005</v>
      </c>
      <c r="N168" s="5">
        <f t="shared" ca="1" si="17"/>
        <v>6502.4000000000005</v>
      </c>
      <c r="O168" s="5">
        <f t="shared" ca="1" si="17"/>
        <v>6502.4000000000005</v>
      </c>
    </row>
    <row r="169" spans="2:15" s="327" customFormat="1" outlineLevel="1" x14ac:dyDescent="0.2">
      <c r="D169" s="660" t="str">
        <f>Screen_BA!D141</f>
        <v>Lusaka</v>
      </c>
      <c r="J169" s="5">
        <f t="shared" ca="1" si="17"/>
        <v>23350.400000000001</v>
      </c>
      <c r="K169" s="5">
        <f t="shared" ca="1" si="17"/>
        <v>23350.400000000001</v>
      </c>
      <c r="L169" s="5">
        <f t="shared" ca="1" si="17"/>
        <v>23350.400000000001</v>
      </c>
      <c r="M169" s="5">
        <f t="shared" ca="1" si="17"/>
        <v>23350.400000000001</v>
      </c>
      <c r="N169" s="5">
        <f t="shared" ca="1" si="17"/>
        <v>23350.400000000001</v>
      </c>
      <c r="O169" s="5">
        <f t="shared" ca="1" si="17"/>
        <v>23350.400000000001</v>
      </c>
    </row>
    <row r="170" spans="2:15" s="327" customFormat="1" outlineLevel="1" x14ac:dyDescent="0.2">
      <c r="D170" s="660" t="str">
        <f>Screen_BA!D142</f>
        <v>Muchinga</v>
      </c>
      <c r="J170" s="5">
        <f t="shared" ca="1" si="17"/>
        <v>443.20000000000005</v>
      </c>
      <c r="K170" s="5">
        <f t="shared" ca="1" si="17"/>
        <v>443.20000000000005</v>
      </c>
      <c r="L170" s="5">
        <f t="shared" ca="1" si="17"/>
        <v>443.20000000000005</v>
      </c>
      <c r="M170" s="5">
        <f t="shared" ca="1" si="17"/>
        <v>443.20000000000005</v>
      </c>
      <c r="N170" s="5">
        <f t="shared" ca="1" si="17"/>
        <v>443.20000000000005</v>
      </c>
      <c r="O170" s="5">
        <f t="shared" ca="1" si="17"/>
        <v>443.20000000000005</v>
      </c>
    </row>
    <row r="171" spans="2:15" s="327" customFormat="1" outlineLevel="1" x14ac:dyDescent="0.2">
      <c r="D171" s="660" t="str">
        <f>Screen_BA!D143</f>
        <v>Northern</v>
      </c>
      <c r="J171" s="5">
        <f t="shared" ca="1" si="17"/>
        <v>2315.2000000000003</v>
      </c>
      <c r="K171" s="5">
        <f t="shared" ca="1" si="17"/>
        <v>2315.2000000000003</v>
      </c>
      <c r="L171" s="5">
        <f t="shared" ca="1" si="17"/>
        <v>2315.2000000000003</v>
      </c>
      <c r="M171" s="5">
        <f t="shared" ca="1" si="17"/>
        <v>2315.2000000000003</v>
      </c>
      <c r="N171" s="5">
        <f t="shared" ca="1" si="17"/>
        <v>2315.2000000000003</v>
      </c>
      <c r="O171" s="5">
        <f t="shared" ca="1" si="17"/>
        <v>2315.2000000000003</v>
      </c>
    </row>
    <row r="172" spans="2:15" s="327" customFormat="1" outlineLevel="1" x14ac:dyDescent="0.2">
      <c r="D172" s="660" t="str">
        <f>Screen_BA!D144</f>
        <v>North-Western</v>
      </c>
      <c r="J172" s="5">
        <f t="shared" ca="1" si="17"/>
        <v>2758.4</v>
      </c>
      <c r="K172" s="5">
        <f t="shared" ca="1" si="17"/>
        <v>2758.4</v>
      </c>
      <c r="L172" s="5">
        <f t="shared" ca="1" si="17"/>
        <v>2758.4</v>
      </c>
      <c r="M172" s="5">
        <f t="shared" ca="1" si="17"/>
        <v>2758.4</v>
      </c>
      <c r="N172" s="5">
        <f t="shared" ca="1" si="17"/>
        <v>2758.4</v>
      </c>
      <c r="O172" s="5">
        <f t="shared" ca="1" si="17"/>
        <v>2758.4</v>
      </c>
    </row>
    <row r="173" spans="2:15" s="327" customFormat="1" outlineLevel="1" x14ac:dyDescent="0.2">
      <c r="D173" s="660" t="str">
        <f>Screen_BA!D145</f>
        <v>Southern</v>
      </c>
      <c r="J173" s="5">
        <f t="shared" ca="1" si="17"/>
        <v>6502.4000000000005</v>
      </c>
      <c r="K173" s="5">
        <f t="shared" ca="1" si="17"/>
        <v>6502.4000000000005</v>
      </c>
      <c r="L173" s="5">
        <f t="shared" ca="1" si="17"/>
        <v>6502.4000000000005</v>
      </c>
      <c r="M173" s="5">
        <f t="shared" ca="1" si="17"/>
        <v>6502.4000000000005</v>
      </c>
      <c r="N173" s="5">
        <f t="shared" ca="1" si="17"/>
        <v>6502.4000000000005</v>
      </c>
      <c r="O173" s="5">
        <f t="shared" ca="1" si="17"/>
        <v>6502.4000000000005</v>
      </c>
    </row>
    <row r="174" spans="2:15" s="327" customFormat="1" outlineLevel="1" x14ac:dyDescent="0.2">
      <c r="D174" s="660" t="str">
        <f>Screen_BA!D146</f>
        <v>Western</v>
      </c>
      <c r="J174" s="5">
        <f t="shared" ca="1" si="17"/>
        <v>6502.4000000000005</v>
      </c>
      <c r="K174" s="5">
        <f t="shared" ca="1" si="17"/>
        <v>6502.4000000000005</v>
      </c>
      <c r="L174" s="5">
        <f t="shared" ca="1" si="17"/>
        <v>6502.4000000000005</v>
      </c>
      <c r="M174" s="5">
        <f t="shared" ca="1" si="17"/>
        <v>6502.4000000000005</v>
      </c>
      <c r="N174" s="5">
        <f t="shared" ca="1" si="17"/>
        <v>6502.4000000000005</v>
      </c>
      <c r="O174" s="5">
        <f t="shared" ca="1" si="17"/>
        <v>6502.4000000000005</v>
      </c>
    </row>
    <row r="175" spans="2:15" s="327" customFormat="1" ht="15.75" thickBot="1" x14ac:dyDescent="0.25">
      <c r="D175" s="658" t="s">
        <v>415</v>
      </c>
      <c r="J175" s="624">
        <f t="shared" ref="J175:O175" ca="1" si="18">SUM(J165:J174)</f>
        <v>67881.599999999991</v>
      </c>
      <c r="K175" s="624">
        <f t="shared" ca="1" si="18"/>
        <v>67881.599999999991</v>
      </c>
      <c r="L175" s="624">
        <f t="shared" ca="1" si="18"/>
        <v>67881.599999999991</v>
      </c>
      <c r="M175" s="624">
        <f t="shared" ca="1" si="18"/>
        <v>67881.599999999991</v>
      </c>
      <c r="N175" s="624">
        <f t="shared" ca="1" si="18"/>
        <v>67881.599999999991</v>
      </c>
      <c r="O175" s="624">
        <f t="shared" ca="1" si="18"/>
        <v>67881.599999999991</v>
      </c>
    </row>
    <row r="176" spans="2:15" s="327" customFormat="1" ht="13.5" thickTop="1" x14ac:dyDescent="0.2"/>
    <row r="177" spans="3:15" s="327" customFormat="1" ht="15.75" x14ac:dyDescent="0.2">
      <c r="C177" s="330" t="s">
        <v>1910</v>
      </c>
    </row>
    <row r="178" spans="3:15" s="327" customFormat="1" outlineLevel="1" x14ac:dyDescent="0.2">
      <c r="D178" s="660" t="str">
        <f>Screen_BA!D137</f>
        <v>Central</v>
      </c>
      <c r="J178" s="5">
        <f t="shared" ref="J178:O187" ca="1" si="19">J138*$J$232</f>
        <v>1036.0519999999999</v>
      </c>
      <c r="K178" s="5">
        <f t="shared" ca="1" si="19"/>
        <v>1036.0519999999999</v>
      </c>
      <c r="L178" s="5">
        <f t="shared" ca="1" si="19"/>
        <v>1036.0519999999999</v>
      </c>
      <c r="M178" s="5">
        <f t="shared" ca="1" si="19"/>
        <v>1036.0519999999999</v>
      </c>
      <c r="N178" s="5">
        <f t="shared" ca="1" si="19"/>
        <v>1036.0519999999999</v>
      </c>
      <c r="O178" s="5">
        <f t="shared" ca="1" si="19"/>
        <v>1036.0519999999999</v>
      </c>
    </row>
    <row r="179" spans="3:15" s="327" customFormat="1" outlineLevel="1" x14ac:dyDescent="0.2">
      <c r="D179" s="660" t="str">
        <f>Screen_BA!D138</f>
        <v>Copperbelt</v>
      </c>
      <c r="J179" s="5">
        <f t="shared" ca="1" si="19"/>
        <v>1454.912</v>
      </c>
      <c r="K179" s="5">
        <f t="shared" ca="1" si="19"/>
        <v>1454.912</v>
      </c>
      <c r="L179" s="5">
        <f t="shared" ca="1" si="19"/>
        <v>1454.912</v>
      </c>
      <c r="M179" s="5">
        <f t="shared" ca="1" si="19"/>
        <v>1454.912</v>
      </c>
      <c r="N179" s="5">
        <f t="shared" ca="1" si="19"/>
        <v>1454.912</v>
      </c>
      <c r="O179" s="5">
        <f t="shared" ca="1" si="19"/>
        <v>1454.912</v>
      </c>
    </row>
    <row r="180" spans="3:15" s="327" customFormat="1" outlineLevel="1" x14ac:dyDescent="0.2">
      <c r="D180" s="660" t="str">
        <f>Screen_BA!D139</f>
        <v>Eastern</v>
      </c>
      <c r="J180" s="5">
        <f t="shared" ca="1" si="19"/>
        <v>1873.7719999999999</v>
      </c>
      <c r="K180" s="5">
        <f t="shared" ca="1" si="19"/>
        <v>1873.7719999999999</v>
      </c>
      <c r="L180" s="5">
        <f t="shared" ca="1" si="19"/>
        <v>1873.7719999999999</v>
      </c>
      <c r="M180" s="5">
        <f t="shared" ca="1" si="19"/>
        <v>1873.7719999999999</v>
      </c>
      <c r="N180" s="5">
        <f t="shared" ca="1" si="19"/>
        <v>1873.7719999999999</v>
      </c>
      <c r="O180" s="5">
        <f t="shared" ca="1" si="19"/>
        <v>1873.7719999999999</v>
      </c>
    </row>
    <row r="181" spans="3:15" s="327" customFormat="1" outlineLevel="1" x14ac:dyDescent="0.2">
      <c r="D181" s="660" t="str">
        <f>Screen_BA!D140</f>
        <v>Luapula</v>
      </c>
      <c r="J181" s="5">
        <f t="shared" ca="1" si="19"/>
        <v>1454.912</v>
      </c>
      <c r="K181" s="5">
        <f t="shared" ca="1" si="19"/>
        <v>1454.912</v>
      </c>
      <c r="L181" s="5">
        <f t="shared" ca="1" si="19"/>
        <v>1454.912</v>
      </c>
      <c r="M181" s="5">
        <f t="shared" ca="1" si="19"/>
        <v>1454.912</v>
      </c>
      <c r="N181" s="5">
        <f t="shared" ca="1" si="19"/>
        <v>1454.912</v>
      </c>
      <c r="O181" s="5">
        <f t="shared" ca="1" si="19"/>
        <v>1454.912</v>
      </c>
    </row>
    <row r="182" spans="3:15" s="327" customFormat="1" outlineLevel="1" x14ac:dyDescent="0.2">
      <c r="D182" s="660" t="str">
        <f>Screen_BA!D141</f>
        <v>Lusaka</v>
      </c>
      <c r="J182" s="5">
        <f t="shared" ca="1" si="19"/>
        <v>5224.652</v>
      </c>
      <c r="K182" s="5">
        <f t="shared" ca="1" si="19"/>
        <v>5224.652</v>
      </c>
      <c r="L182" s="5">
        <f t="shared" ca="1" si="19"/>
        <v>5224.652</v>
      </c>
      <c r="M182" s="5">
        <f t="shared" ca="1" si="19"/>
        <v>5224.652</v>
      </c>
      <c r="N182" s="5">
        <f t="shared" ca="1" si="19"/>
        <v>5224.652</v>
      </c>
      <c r="O182" s="5">
        <f t="shared" ca="1" si="19"/>
        <v>5224.652</v>
      </c>
    </row>
    <row r="183" spans="3:15" s="327" customFormat="1" outlineLevel="1" x14ac:dyDescent="0.2">
      <c r="D183" s="660" t="str">
        <f>Screen_BA!D142</f>
        <v>Muchinga</v>
      </c>
      <c r="J183" s="5">
        <f t="shared" ca="1" si="19"/>
        <v>99.165999999999997</v>
      </c>
      <c r="K183" s="5">
        <f t="shared" ca="1" si="19"/>
        <v>99.165999999999997</v>
      </c>
      <c r="L183" s="5">
        <f t="shared" ca="1" si="19"/>
        <v>99.165999999999997</v>
      </c>
      <c r="M183" s="5">
        <f t="shared" ca="1" si="19"/>
        <v>99.165999999999997</v>
      </c>
      <c r="N183" s="5">
        <f t="shared" ca="1" si="19"/>
        <v>99.165999999999997</v>
      </c>
      <c r="O183" s="5">
        <f t="shared" ca="1" si="19"/>
        <v>99.165999999999997</v>
      </c>
    </row>
    <row r="184" spans="3:15" s="327" customFormat="1" outlineLevel="1" x14ac:dyDescent="0.2">
      <c r="D184" s="660" t="str">
        <f>Screen_BA!D143</f>
        <v>Northern</v>
      </c>
      <c r="J184" s="5">
        <f t="shared" ca="1" si="19"/>
        <v>518.02599999999995</v>
      </c>
      <c r="K184" s="5">
        <f t="shared" ca="1" si="19"/>
        <v>518.02599999999995</v>
      </c>
      <c r="L184" s="5">
        <f t="shared" ca="1" si="19"/>
        <v>518.02599999999995</v>
      </c>
      <c r="M184" s="5">
        <f t="shared" ca="1" si="19"/>
        <v>518.02599999999995</v>
      </c>
      <c r="N184" s="5">
        <f t="shared" ca="1" si="19"/>
        <v>518.02599999999995</v>
      </c>
      <c r="O184" s="5">
        <f t="shared" ca="1" si="19"/>
        <v>518.02599999999995</v>
      </c>
    </row>
    <row r="185" spans="3:15" s="327" customFormat="1" outlineLevel="1" x14ac:dyDescent="0.2">
      <c r="D185" s="660" t="str">
        <f>Screen_BA!D144</f>
        <v>North-Western</v>
      </c>
      <c r="J185" s="5">
        <f t="shared" ca="1" si="19"/>
        <v>617.19200000000001</v>
      </c>
      <c r="K185" s="5">
        <f t="shared" ca="1" si="19"/>
        <v>617.19200000000001</v>
      </c>
      <c r="L185" s="5">
        <f t="shared" ca="1" si="19"/>
        <v>617.19200000000001</v>
      </c>
      <c r="M185" s="5">
        <f t="shared" ca="1" si="19"/>
        <v>617.19200000000001</v>
      </c>
      <c r="N185" s="5">
        <f t="shared" ca="1" si="19"/>
        <v>617.19200000000001</v>
      </c>
      <c r="O185" s="5">
        <f t="shared" ca="1" si="19"/>
        <v>617.19200000000001</v>
      </c>
    </row>
    <row r="186" spans="3:15" s="327" customFormat="1" outlineLevel="1" x14ac:dyDescent="0.2">
      <c r="D186" s="660" t="str">
        <f>Screen_BA!D145</f>
        <v>Southern</v>
      </c>
      <c r="J186" s="5">
        <f t="shared" ca="1" si="19"/>
        <v>1454.912</v>
      </c>
      <c r="K186" s="5">
        <f t="shared" ca="1" si="19"/>
        <v>1454.912</v>
      </c>
      <c r="L186" s="5">
        <f t="shared" ca="1" si="19"/>
        <v>1454.912</v>
      </c>
      <c r="M186" s="5">
        <f t="shared" ca="1" si="19"/>
        <v>1454.912</v>
      </c>
      <c r="N186" s="5">
        <f t="shared" ca="1" si="19"/>
        <v>1454.912</v>
      </c>
      <c r="O186" s="5">
        <f t="shared" ca="1" si="19"/>
        <v>1454.912</v>
      </c>
    </row>
    <row r="187" spans="3:15" s="327" customFormat="1" outlineLevel="1" x14ac:dyDescent="0.2">
      <c r="D187" s="660" t="str">
        <f>Screen_BA!D146</f>
        <v>Western</v>
      </c>
      <c r="J187" s="5">
        <f t="shared" ca="1" si="19"/>
        <v>1454.912</v>
      </c>
      <c r="K187" s="5">
        <f t="shared" ca="1" si="19"/>
        <v>1454.912</v>
      </c>
      <c r="L187" s="5">
        <f t="shared" ca="1" si="19"/>
        <v>1454.912</v>
      </c>
      <c r="M187" s="5">
        <f t="shared" ca="1" si="19"/>
        <v>1454.912</v>
      </c>
      <c r="N187" s="5">
        <f t="shared" ca="1" si="19"/>
        <v>1454.912</v>
      </c>
      <c r="O187" s="5">
        <f t="shared" ca="1" si="19"/>
        <v>1454.912</v>
      </c>
    </row>
    <row r="188" spans="3:15" s="327" customFormat="1" ht="15.75" thickBot="1" x14ac:dyDescent="0.25">
      <c r="D188" s="658" t="s">
        <v>415</v>
      </c>
      <c r="J188" s="624">
        <f t="shared" ref="J188:O188" ca="1" si="20">SUM(J178:J187)</f>
        <v>15188.507999999998</v>
      </c>
      <c r="K188" s="624">
        <f t="shared" ca="1" si="20"/>
        <v>15188.507999999998</v>
      </c>
      <c r="L188" s="624">
        <f t="shared" ca="1" si="20"/>
        <v>15188.507999999998</v>
      </c>
      <c r="M188" s="624">
        <f t="shared" ca="1" si="20"/>
        <v>15188.507999999998</v>
      </c>
      <c r="N188" s="624">
        <f t="shared" ca="1" si="20"/>
        <v>15188.507999999998</v>
      </c>
      <c r="O188" s="624">
        <f t="shared" ca="1" si="20"/>
        <v>15188.507999999998</v>
      </c>
    </row>
    <row r="189" spans="3:15" s="327" customFormat="1" ht="13.5" thickTop="1" x14ac:dyDescent="0.2"/>
    <row r="190" spans="3:15" s="327" customFormat="1" ht="15.75" x14ac:dyDescent="0.2">
      <c r="C190" s="330" t="s">
        <v>1911</v>
      </c>
    </row>
    <row r="191" spans="3:15" s="327" customFormat="1" outlineLevel="1" x14ac:dyDescent="0.2">
      <c r="D191" s="660" t="str">
        <f>Screen_BA!D137</f>
        <v>Central</v>
      </c>
      <c r="J191" s="5">
        <f t="shared" ref="J191:O200" ca="1" si="21">J138*$J$233</f>
        <v>28.94</v>
      </c>
      <c r="K191" s="5">
        <f t="shared" ca="1" si="21"/>
        <v>28.94</v>
      </c>
      <c r="L191" s="5">
        <f t="shared" ca="1" si="21"/>
        <v>28.94</v>
      </c>
      <c r="M191" s="5">
        <f t="shared" ca="1" si="21"/>
        <v>28.94</v>
      </c>
      <c r="N191" s="5">
        <f t="shared" ca="1" si="21"/>
        <v>28.94</v>
      </c>
      <c r="O191" s="5">
        <f t="shared" ca="1" si="21"/>
        <v>28.94</v>
      </c>
    </row>
    <row r="192" spans="3:15" s="327" customFormat="1" outlineLevel="1" x14ac:dyDescent="0.2">
      <c r="D192" s="660" t="str">
        <f>Screen_BA!D138</f>
        <v>Copperbelt</v>
      </c>
      <c r="J192" s="5">
        <f t="shared" ca="1" si="21"/>
        <v>40.64</v>
      </c>
      <c r="K192" s="5">
        <f t="shared" ca="1" si="21"/>
        <v>40.64</v>
      </c>
      <c r="L192" s="5">
        <f t="shared" ca="1" si="21"/>
        <v>40.64</v>
      </c>
      <c r="M192" s="5">
        <f t="shared" ca="1" si="21"/>
        <v>40.64</v>
      </c>
      <c r="N192" s="5">
        <f t="shared" ca="1" si="21"/>
        <v>40.64</v>
      </c>
      <c r="O192" s="5">
        <f t="shared" ca="1" si="21"/>
        <v>40.64</v>
      </c>
    </row>
    <row r="193" spans="3:15" s="327" customFormat="1" outlineLevel="1" x14ac:dyDescent="0.2">
      <c r="D193" s="660" t="str">
        <f>Screen_BA!D139</f>
        <v>Eastern</v>
      </c>
      <c r="J193" s="5">
        <f t="shared" ca="1" si="21"/>
        <v>52.34</v>
      </c>
      <c r="K193" s="5">
        <f t="shared" ca="1" si="21"/>
        <v>52.34</v>
      </c>
      <c r="L193" s="5">
        <f t="shared" ca="1" si="21"/>
        <v>52.34</v>
      </c>
      <c r="M193" s="5">
        <f t="shared" ca="1" si="21"/>
        <v>52.34</v>
      </c>
      <c r="N193" s="5">
        <f t="shared" ca="1" si="21"/>
        <v>52.34</v>
      </c>
      <c r="O193" s="5">
        <f t="shared" ca="1" si="21"/>
        <v>52.34</v>
      </c>
    </row>
    <row r="194" spans="3:15" s="327" customFormat="1" outlineLevel="1" x14ac:dyDescent="0.2">
      <c r="D194" s="660" t="str">
        <f>Screen_BA!D140</f>
        <v>Luapula</v>
      </c>
      <c r="J194" s="5">
        <f t="shared" ca="1" si="21"/>
        <v>40.64</v>
      </c>
      <c r="K194" s="5">
        <f t="shared" ca="1" si="21"/>
        <v>40.64</v>
      </c>
      <c r="L194" s="5">
        <f t="shared" ca="1" si="21"/>
        <v>40.64</v>
      </c>
      <c r="M194" s="5">
        <f t="shared" ca="1" si="21"/>
        <v>40.64</v>
      </c>
      <c r="N194" s="5">
        <f t="shared" ca="1" si="21"/>
        <v>40.64</v>
      </c>
      <c r="O194" s="5">
        <f t="shared" ca="1" si="21"/>
        <v>40.64</v>
      </c>
    </row>
    <row r="195" spans="3:15" s="327" customFormat="1" outlineLevel="1" x14ac:dyDescent="0.2">
      <c r="D195" s="660" t="str">
        <f>Screen_BA!D141</f>
        <v>Lusaka</v>
      </c>
      <c r="J195" s="5">
        <f t="shared" ca="1" si="21"/>
        <v>145.94</v>
      </c>
      <c r="K195" s="5">
        <f t="shared" ca="1" si="21"/>
        <v>145.94</v>
      </c>
      <c r="L195" s="5">
        <f t="shared" ca="1" si="21"/>
        <v>145.94</v>
      </c>
      <c r="M195" s="5">
        <f t="shared" ca="1" si="21"/>
        <v>145.94</v>
      </c>
      <c r="N195" s="5">
        <f t="shared" ca="1" si="21"/>
        <v>145.94</v>
      </c>
      <c r="O195" s="5">
        <f t="shared" ca="1" si="21"/>
        <v>145.94</v>
      </c>
    </row>
    <row r="196" spans="3:15" s="327" customFormat="1" outlineLevel="1" x14ac:dyDescent="0.2">
      <c r="D196" s="660" t="str">
        <f>Screen_BA!D142</f>
        <v>Muchinga</v>
      </c>
      <c r="J196" s="5">
        <f t="shared" ca="1" si="21"/>
        <v>2.77</v>
      </c>
      <c r="K196" s="5">
        <f t="shared" ca="1" si="21"/>
        <v>2.77</v>
      </c>
      <c r="L196" s="5">
        <f t="shared" ca="1" si="21"/>
        <v>2.77</v>
      </c>
      <c r="M196" s="5">
        <f t="shared" ca="1" si="21"/>
        <v>2.77</v>
      </c>
      <c r="N196" s="5">
        <f t="shared" ca="1" si="21"/>
        <v>2.77</v>
      </c>
      <c r="O196" s="5">
        <f t="shared" ca="1" si="21"/>
        <v>2.77</v>
      </c>
    </row>
    <row r="197" spans="3:15" s="327" customFormat="1" outlineLevel="1" x14ac:dyDescent="0.2">
      <c r="D197" s="660" t="str">
        <f>Screen_BA!D143</f>
        <v>Northern</v>
      </c>
      <c r="J197" s="5">
        <f t="shared" ca="1" si="21"/>
        <v>14.47</v>
      </c>
      <c r="K197" s="5">
        <f t="shared" ca="1" si="21"/>
        <v>14.47</v>
      </c>
      <c r="L197" s="5">
        <f t="shared" ca="1" si="21"/>
        <v>14.47</v>
      </c>
      <c r="M197" s="5">
        <f t="shared" ca="1" si="21"/>
        <v>14.47</v>
      </c>
      <c r="N197" s="5">
        <f t="shared" ca="1" si="21"/>
        <v>14.47</v>
      </c>
      <c r="O197" s="5">
        <f t="shared" ca="1" si="21"/>
        <v>14.47</v>
      </c>
    </row>
    <row r="198" spans="3:15" s="327" customFormat="1" outlineLevel="1" x14ac:dyDescent="0.2">
      <c r="D198" s="660" t="str">
        <f>Screen_BA!D144</f>
        <v>North-Western</v>
      </c>
      <c r="J198" s="5">
        <f t="shared" ca="1" si="21"/>
        <v>17.240000000000002</v>
      </c>
      <c r="K198" s="5">
        <f t="shared" ca="1" si="21"/>
        <v>17.240000000000002</v>
      </c>
      <c r="L198" s="5">
        <f t="shared" ca="1" si="21"/>
        <v>17.240000000000002</v>
      </c>
      <c r="M198" s="5">
        <f t="shared" ca="1" si="21"/>
        <v>17.240000000000002</v>
      </c>
      <c r="N198" s="5">
        <f t="shared" ca="1" si="21"/>
        <v>17.240000000000002</v>
      </c>
      <c r="O198" s="5">
        <f t="shared" ca="1" si="21"/>
        <v>17.240000000000002</v>
      </c>
    </row>
    <row r="199" spans="3:15" s="327" customFormat="1" outlineLevel="1" x14ac:dyDescent="0.2">
      <c r="D199" s="660" t="str">
        <f>Screen_BA!D145</f>
        <v>Southern</v>
      </c>
      <c r="J199" s="5">
        <f t="shared" ca="1" si="21"/>
        <v>40.64</v>
      </c>
      <c r="K199" s="5">
        <f t="shared" ca="1" si="21"/>
        <v>40.64</v>
      </c>
      <c r="L199" s="5">
        <f t="shared" ca="1" si="21"/>
        <v>40.64</v>
      </c>
      <c r="M199" s="5">
        <f t="shared" ca="1" si="21"/>
        <v>40.64</v>
      </c>
      <c r="N199" s="5">
        <f t="shared" ca="1" si="21"/>
        <v>40.64</v>
      </c>
      <c r="O199" s="5">
        <f t="shared" ca="1" si="21"/>
        <v>40.64</v>
      </c>
    </row>
    <row r="200" spans="3:15" s="327" customFormat="1" outlineLevel="1" x14ac:dyDescent="0.2">
      <c r="D200" s="660" t="str">
        <f>Screen_BA!D146</f>
        <v>Western</v>
      </c>
      <c r="J200" s="5">
        <f t="shared" ca="1" si="21"/>
        <v>40.64</v>
      </c>
      <c r="K200" s="5">
        <f t="shared" ca="1" si="21"/>
        <v>40.64</v>
      </c>
      <c r="L200" s="5">
        <f t="shared" ca="1" si="21"/>
        <v>40.64</v>
      </c>
      <c r="M200" s="5">
        <f t="shared" ca="1" si="21"/>
        <v>40.64</v>
      </c>
      <c r="N200" s="5">
        <f t="shared" ca="1" si="21"/>
        <v>40.64</v>
      </c>
      <c r="O200" s="5">
        <f t="shared" ca="1" si="21"/>
        <v>40.64</v>
      </c>
    </row>
    <row r="201" spans="3:15" s="327" customFormat="1" ht="15.75" thickBot="1" x14ac:dyDescent="0.25">
      <c r="D201" s="658" t="s">
        <v>415</v>
      </c>
      <c r="J201" s="624">
        <f t="shared" ref="J201:O201" ca="1" si="22">SUM(J191:J200)</f>
        <v>424.26</v>
      </c>
      <c r="K201" s="624">
        <f t="shared" ca="1" si="22"/>
        <v>424.26</v>
      </c>
      <c r="L201" s="624">
        <f t="shared" ca="1" si="22"/>
        <v>424.26</v>
      </c>
      <c r="M201" s="624">
        <f t="shared" ca="1" si="22"/>
        <v>424.26</v>
      </c>
      <c r="N201" s="624">
        <f t="shared" ca="1" si="22"/>
        <v>424.26</v>
      </c>
      <c r="O201" s="624">
        <f t="shared" ca="1" si="22"/>
        <v>424.26</v>
      </c>
    </row>
    <row r="202" spans="3:15" s="327" customFormat="1" ht="13.5" thickTop="1" x14ac:dyDescent="0.2"/>
    <row r="203" spans="3:15" s="327" customFormat="1" ht="15.75" x14ac:dyDescent="0.2">
      <c r="C203" s="330" t="s">
        <v>1912</v>
      </c>
    </row>
    <row r="204" spans="3:15" s="327" customFormat="1" outlineLevel="1" x14ac:dyDescent="0.2">
      <c r="D204" s="660" t="str">
        <f>Screen_BA!D137</f>
        <v>Central</v>
      </c>
      <c r="J204" s="5">
        <f t="shared" ref="J204:O213" ca="1" si="23">J138*$J$234</f>
        <v>46.304000000000002</v>
      </c>
      <c r="K204" s="5">
        <f t="shared" ca="1" si="23"/>
        <v>46.304000000000002</v>
      </c>
      <c r="L204" s="5">
        <f t="shared" ca="1" si="23"/>
        <v>46.304000000000002</v>
      </c>
      <c r="M204" s="5">
        <f t="shared" ca="1" si="23"/>
        <v>46.304000000000002</v>
      </c>
      <c r="N204" s="5">
        <f t="shared" ca="1" si="23"/>
        <v>46.304000000000002</v>
      </c>
      <c r="O204" s="5">
        <f t="shared" ca="1" si="23"/>
        <v>46.304000000000002</v>
      </c>
    </row>
    <row r="205" spans="3:15" s="327" customFormat="1" outlineLevel="1" x14ac:dyDescent="0.2">
      <c r="D205" s="660" t="str">
        <f>Screen_BA!D138</f>
        <v>Copperbelt</v>
      </c>
      <c r="J205" s="5">
        <f t="shared" ca="1" si="23"/>
        <v>65.024000000000001</v>
      </c>
      <c r="K205" s="5">
        <f t="shared" ca="1" si="23"/>
        <v>65.024000000000001</v>
      </c>
      <c r="L205" s="5">
        <f t="shared" ca="1" si="23"/>
        <v>65.024000000000001</v>
      </c>
      <c r="M205" s="5">
        <f t="shared" ca="1" si="23"/>
        <v>65.024000000000001</v>
      </c>
      <c r="N205" s="5">
        <f t="shared" ca="1" si="23"/>
        <v>65.024000000000001</v>
      </c>
      <c r="O205" s="5">
        <f t="shared" ca="1" si="23"/>
        <v>65.024000000000001</v>
      </c>
    </row>
    <row r="206" spans="3:15" s="327" customFormat="1" outlineLevel="1" x14ac:dyDescent="0.2">
      <c r="D206" s="660" t="str">
        <f>Screen_BA!D139</f>
        <v>Eastern</v>
      </c>
      <c r="J206" s="5">
        <f t="shared" ca="1" si="23"/>
        <v>83.744</v>
      </c>
      <c r="K206" s="5">
        <f t="shared" ca="1" si="23"/>
        <v>83.744</v>
      </c>
      <c r="L206" s="5">
        <f t="shared" ca="1" si="23"/>
        <v>83.744</v>
      </c>
      <c r="M206" s="5">
        <f t="shared" ca="1" si="23"/>
        <v>83.744</v>
      </c>
      <c r="N206" s="5">
        <f t="shared" ca="1" si="23"/>
        <v>83.744</v>
      </c>
      <c r="O206" s="5">
        <f t="shared" ca="1" si="23"/>
        <v>83.744</v>
      </c>
    </row>
    <row r="207" spans="3:15" s="327" customFormat="1" outlineLevel="1" x14ac:dyDescent="0.2">
      <c r="D207" s="660" t="str">
        <f>Screen_BA!D140</f>
        <v>Luapula</v>
      </c>
      <c r="J207" s="5">
        <f t="shared" ca="1" si="23"/>
        <v>65.024000000000001</v>
      </c>
      <c r="K207" s="5">
        <f t="shared" ca="1" si="23"/>
        <v>65.024000000000001</v>
      </c>
      <c r="L207" s="5">
        <f t="shared" ca="1" si="23"/>
        <v>65.024000000000001</v>
      </c>
      <c r="M207" s="5">
        <f t="shared" ca="1" si="23"/>
        <v>65.024000000000001</v>
      </c>
      <c r="N207" s="5">
        <f t="shared" ca="1" si="23"/>
        <v>65.024000000000001</v>
      </c>
      <c r="O207" s="5">
        <f t="shared" ca="1" si="23"/>
        <v>65.024000000000001</v>
      </c>
    </row>
    <row r="208" spans="3:15" s="327" customFormat="1" outlineLevel="1" x14ac:dyDescent="0.2">
      <c r="D208" s="660" t="str">
        <f>Screen_BA!D141</f>
        <v>Lusaka</v>
      </c>
      <c r="J208" s="5">
        <f t="shared" ca="1" si="23"/>
        <v>233.50399999999999</v>
      </c>
      <c r="K208" s="5">
        <f t="shared" ca="1" si="23"/>
        <v>233.50399999999999</v>
      </c>
      <c r="L208" s="5">
        <f t="shared" ca="1" si="23"/>
        <v>233.50399999999999</v>
      </c>
      <c r="M208" s="5">
        <f t="shared" ca="1" si="23"/>
        <v>233.50399999999999</v>
      </c>
      <c r="N208" s="5">
        <f t="shared" ca="1" si="23"/>
        <v>233.50399999999999</v>
      </c>
      <c r="O208" s="5">
        <f t="shared" ca="1" si="23"/>
        <v>233.50399999999999</v>
      </c>
    </row>
    <row r="209" spans="3:15" s="327" customFormat="1" outlineLevel="1" x14ac:dyDescent="0.2">
      <c r="D209" s="660" t="str">
        <f>Screen_BA!D142</f>
        <v>Muchinga</v>
      </c>
      <c r="J209" s="5">
        <f t="shared" ca="1" si="23"/>
        <v>4.4320000000000004</v>
      </c>
      <c r="K209" s="5">
        <f t="shared" ca="1" si="23"/>
        <v>4.4320000000000004</v>
      </c>
      <c r="L209" s="5">
        <f t="shared" ca="1" si="23"/>
        <v>4.4320000000000004</v>
      </c>
      <c r="M209" s="5">
        <f t="shared" ca="1" si="23"/>
        <v>4.4320000000000004</v>
      </c>
      <c r="N209" s="5">
        <f t="shared" ca="1" si="23"/>
        <v>4.4320000000000004</v>
      </c>
      <c r="O209" s="5">
        <f t="shared" ca="1" si="23"/>
        <v>4.4320000000000004</v>
      </c>
    </row>
    <row r="210" spans="3:15" s="327" customFormat="1" outlineLevel="1" x14ac:dyDescent="0.2">
      <c r="D210" s="660" t="str">
        <f>Screen_BA!D143</f>
        <v>Northern</v>
      </c>
      <c r="J210" s="5">
        <f t="shared" ca="1" si="23"/>
        <v>23.152000000000001</v>
      </c>
      <c r="K210" s="5">
        <f t="shared" ca="1" si="23"/>
        <v>23.152000000000001</v>
      </c>
      <c r="L210" s="5">
        <f t="shared" ca="1" si="23"/>
        <v>23.152000000000001</v>
      </c>
      <c r="M210" s="5">
        <f t="shared" ca="1" si="23"/>
        <v>23.152000000000001</v>
      </c>
      <c r="N210" s="5">
        <f t="shared" ca="1" si="23"/>
        <v>23.152000000000001</v>
      </c>
      <c r="O210" s="5">
        <f t="shared" ca="1" si="23"/>
        <v>23.152000000000001</v>
      </c>
    </row>
    <row r="211" spans="3:15" s="327" customFormat="1" outlineLevel="1" x14ac:dyDescent="0.2">
      <c r="D211" s="660" t="str">
        <f>Screen_BA!D144</f>
        <v>North-Western</v>
      </c>
      <c r="J211" s="5">
        <f t="shared" ca="1" si="23"/>
        <v>27.584</v>
      </c>
      <c r="K211" s="5">
        <f t="shared" ca="1" si="23"/>
        <v>27.584</v>
      </c>
      <c r="L211" s="5">
        <f t="shared" ca="1" si="23"/>
        <v>27.584</v>
      </c>
      <c r="M211" s="5">
        <f t="shared" ca="1" si="23"/>
        <v>27.584</v>
      </c>
      <c r="N211" s="5">
        <f t="shared" ca="1" si="23"/>
        <v>27.584</v>
      </c>
      <c r="O211" s="5">
        <f t="shared" ca="1" si="23"/>
        <v>27.584</v>
      </c>
    </row>
    <row r="212" spans="3:15" s="327" customFormat="1" outlineLevel="1" x14ac:dyDescent="0.2">
      <c r="D212" s="660" t="str">
        <f>Screen_BA!D145</f>
        <v>Southern</v>
      </c>
      <c r="J212" s="5">
        <f t="shared" ca="1" si="23"/>
        <v>65.024000000000001</v>
      </c>
      <c r="K212" s="5">
        <f t="shared" ca="1" si="23"/>
        <v>65.024000000000001</v>
      </c>
      <c r="L212" s="5">
        <f t="shared" ca="1" si="23"/>
        <v>65.024000000000001</v>
      </c>
      <c r="M212" s="5">
        <f t="shared" ca="1" si="23"/>
        <v>65.024000000000001</v>
      </c>
      <c r="N212" s="5">
        <f t="shared" ca="1" si="23"/>
        <v>65.024000000000001</v>
      </c>
      <c r="O212" s="5">
        <f t="shared" ca="1" si="23"/>
        <v>65.024000000000001</v>
      </c>
    </row>
    <row r="213" spans="3:15" s="327" customFormat="1" outlineLevel="1" x14ac:dyDescent="0.2">
      <c r="D213" s="660" t="str">
        <f>Screen_BA!D146</f>
        <v>Western</v>
      </c>
      <c r="J213" s="5">
        <f t="shared" ca="1" si="23"/>
        <v>65.024000000000001</v>
      </c>
      <c r="K213" s="5">
        <f t="shared" ca="1" si="23"/>
        <v>65.024000000000001</v>
      </c>
      <c r="L213" s="5">
        <f t="shared" ca="1" si="23"/>
        <v>65.024000000000001</v>
      </c>
      <c r="M213" s="5">
        <f t="shared" ca="1" si="23"/>
        <v>65.024000000000001</v>
      </c>
      <c r="N213" s="5">
        <f t="shared" ca="1" si="23"/>
        <v>65.024000000000001</v>
      </c>
      <c r="O213" s="5">
        <f t="shared" ca="1" si="23"/>
        <v>65.024000000000001</v>
      </c>
    </row>
    <row r="214" spans="3:15" s="327" customFormat="1" ht="15.75" thickBot="1" x14ac:dyDescent="0.25">
      <c r="D214" s="658" t="s">
        <v>415</v>
      </c>
      <c r="J214" s="624">
        <f t="shared" ref="J214:O214" ca="1" si="24">SUM(J204:J213)</f>
        <v>678.81600000000003</v>
      </c>
      <c r="K214" s="624">
        <f t="shared" ca="1" si="24"/>
        <v>678.81600000000003</v>
      </c>
      <c r="L214" s="624">
        <f t="shared" ca="1" si="24"/>
        <v>678.81600000000003</v>
      </c>
      <c r="M214" s="624">
        <f t="shared" ca="1" si="24"/>
        <v>678.81600000000003</v>
      </c>
      <c r="N214" s="624">
        <f t="shared" ca="1" si="24"/>
        <v>678.81600000000003</v>
      </c>
      <c r="O214" s="624">
        <f t="shared" ca="1" si="24"/>
        <v>678.81600000000003</v>
      </c>
    </row>
    <row r="215" spans="3:15" s="327" customFormat="1" ht="13.5" thickTop="1" x14ac:dyDescent="0.2"/>
    <row r="216" spans="3:15" s="327" customFormat="1" ht="15.75" x14ac:dyDescent="0.2">
      <c r="C216" s="330" t="s">
        <v>1913</v>
      </c>
    </row>
    <row r="217" spans="3:15" s="327" customFormat="1" outlineLevel="1" x14ac:dyDescent="0.2">
      <c r="D217" s="660" t="str">
        <f>Screen_BA!D137</f>
        <v>Central</v>
      </c>
      <c r="J217" s="5">
        <f t="shared" ref="J217:O226" ca="1" si="25">J138*$J$235</f>
        <v>46.304000000000002</v>
      </c>
      <c r="K217" s="5">
        <f t="shared" ca="1" si="25"/>
        <v>46.304000000000002</v>
      </c>
      <c r="L217" s="5">
        <f t="shared" ca="1" si="25"/>
        <v>46.304000000000002</v>
      </c>
      <c r="M217" s="5">
        <f t="shared" ca="1" si="25"/>
        <v>46.304000000000002</v>
      </c>
      <c r="N217" s="5">
        <f t="shared" ca="1" si="25"/>
        <v>46.304000000000002</v>
      </c>
      <c r="O217" s="5">
        <f t="shared" ca="1" si="25"/>
        <v>46.304000000000002</v>
      </c>
    </row>
    <row r="218" spans="3:15" s="327" customFormat="1" outlineLevel="1" x14ac:dyDescent="0.2">
      <c r="D218" s="660" t="str">
        <f>Screen_BA!D138</f>
        <v>Copperbelt</v>
      </c>
      <c r="J218" s="5">
        <f t="shared" ca="1" si="25"/>
        <v>65.024000000000001</v>
      </c>
      <c r="K218" s="5">
        <f t="shared" ca="1" si="25"/>
        <v>65.024000000000001</v>
      </c>
      <c r="L218" s="5">
        <f t="shared" ca="1" si="25"/>
        <v>65.024000000000001</v>
      </c>
      <c r="M218" s="5">
        <f t="shared" ca="1" si="25"/>
        <v>65.024000000000001</v>
      </c>
      <c r="N218" s="5">
        <f t="shared" ca="1" si="25"/>
        <v>65.024000000000001</v>
      </c>
      <c r="O218" s="5">
        <f t="shared" ca="1" si="25"/>
        <v>65.024000000000001</v>
      </c>
    </row>
    <row r="219" spans="3:15" s="327" customFormat="1" outlineLevel="1" x14ac:dyDescent="0.2">
      <c r="D219" s="660" t="str">
        <f>Screen_BA!D139</f>
        <v>Eastern</v>
      </c>
      <c r="J219" s="5">
        <f t="shared" ca="1" si="25"/>
        <v>83.744</v>
      </c>
      <c r="K219" s="5">
        <f t="shared" ca="1" si="25"/>
        <v>83.744</v>
      </c>
      <c r="L219" s="5">
        <f t="shared" ca="1" si="25"/>
        <v>83.744</v>
      </c>
      <c r="M219" s="5">
        <f t="shared" ca="1" si="25"/>
        <v>83.744</v>
      </c>
      <c r="N219" s="5">
        <f t="shared" ca="1" si="25"/>
        <v>83.744</v>
      </c>
      <c r="O219" s="5">
        <f t="shared" ca="1" si="25"/>
        <v>83.744</v>
      </c>
    </row>
    <row r="220" spans="3:15" s="327" customFormat="1" outlineLevel="1" x14ac:dyDescent="0.2">
      <c r="D220" s="660" t="str">
        <f>Screen_BA!D140</f>
        <v>Luapula</v>
      </c>
      <c r="J220" s="5">
        <f t="shared" ca="1" si="25"/>
        <v>65.024000000000001</v>
      </c>
      <c r="K220" s="5">
        <f t="shared" ca="1" si="25"/>
        <v>65.024000000000001</v>
      </c>
      <c r="L220" s="5">
        <f t="shared" ca="1" si="25"/>
        <v>65.024000000000001</v>
      </c>
      <c r="M220" s="5">
        <f t="shared" ca="1" si="25"/>
        <v>65.024000000000001</v>
      </c>
      <c r="N220" s="5">
        <f t="shared" ca="1" si="25"/>
        <v>65.024000000000001</v>
      </c>
      <c r="O220" s="5">
        <f t="shared" ca="1" si="25"/>
        <v>65.024000000000001</v>
      </c>
    </row>
    <row r="221" spans="3:15" s="327" customFormat="1" outlineLevel="1" x14ac:dyDescent="0.2">
      <c r="D221" s="660" t="str">
        <f>Screen_BA!D141</f>
        <v>Lusaka</v>
      </c>
      <c r="J221" s="5">
        <f t="shared" ca="1" si="25"/>
        <v>233.50399999999999</v>
      </c>
      <c r="K221" s="5">
        <f t="shared" ca="1" si="25"/>
        <v>233.50399999999999</v>
      </c>
      <c r="L221" s="5">
        <f t="shared" ca="1" si="25"/>
        <v>233.50399999999999</v>
      </c>
      <c r="M221" s="5">
        <f t="shared" ca="1" si="25"/>
        <v>233.50399999999999</v>
      </c>
      <c r="N221" s="5">
        <f t="shared" ca="1" si="25"/>
        <v>233.50399999999999</v>
      </c>
      <c r="O221" s="5">
        <f t="shared" ca="1" si="25"/>
        <v>233.50399999999999</v>
      </c>
    </row>
    <row r="222" spans="3:15" s="327" customFormat="1" outlineLevel="1" x14ac:dyDescent="0.2">
      <c r="D222" s="660" t="str">
        <f>Screen_BA!D142</f>
        <v>Muchinga</v>
      </c>
      <c r="J222" s="5">
        <f t="shared" ca="1" si="25"/>
        <v>4.4320000000000004</v>
      </c>
      <c r="K222" s="5">
        <f t="shared" ca="1" si="25"/>
        <v>4.4320000000000004</v>
      </c>
      <c r="L222" s="5">
        <f t="shared" ca="1" si="25"/>
        <v>4.4320000000000004</v>
      </c>
      <c r="M222" s="5">
        <f t="shared" ca="1" si="25"/>
        <v>4.4320000000000004</v>
      </c>
      <c r="N222" s="5">
        <f t="shared" ca="1" si="25"/>
        <v>4.4320000000000004</v>
      </c>
      <c r="O222" s="5">
        <f t="shared" ca="1" si="25"/>
        <v>4.4320000000000004</v>
      </c>
    </row>
    <row r="223" spans="3:15" s="327" customFormat="1" outlineLevel="1" x14ac:dyDescent="0.2">
      <c r="D223" s="660" t="str">
        <f>Screen_BA!D143</f>
        <v>Northern</v>
      </c>
      <c r="J223" s="5">
        <f t="shared" ca="1" si="25"/>
        <v>23.152000000000001</v>
      </c>
      <c r="K223" s="5">
        <f t="shared" ca="1" si="25"/>
        <v>23.152000000000001</v>
      </c>
      <c r="L223" s="5">
        <f t="shared" ca="1" si="25"/>
        <v>23.152000000000001</v>
      </c>
      <c r="M223" s="5">
        <f t="shared" ca="1" si="25"/>
        <v>23.152000000000001</v>
      </c>
      <c r="N223" s="5">
        <f t="shared" ca="1" si="25"/>
        <v>23.152000000000001</v>
      </c>
      <c r="O223" s="5">
        <f t="shared" ca="1" si="25"/>
        <v>23.152000000000001</v>
      </c>
    </row>
    <row r="224" spans="3:15" s="327" customFormat="1" outlineLevel="1" x14ac:dyDescent="0.2">
      <c r="D224" s="660" t="str">
        <f>Screen_BA!D144</f>
        <v>North-Western</v>
      </c>
      <c r="J224" s="5">
        <f t="shared" ca="1" si="25"/>
        <v>27.584</v>
      </c>
      <c r="K224" s="5">
        <f t="shared" ca="1" si="25"/>
        <v>27.584</v>
      </c>
      <c r="L224" s="5">
        <f t="shared" ca="1" si="25"/>
        <v>27.584</v>
      </c>
      <c r="M224" s="5">
        <f t="shared" ca="1" si="25"/>
        <v>27.584</v>
      </c>
      <c r="N224" s="5">
        <f t="shared" ca="1" si="25"/>
        <v>27.584</v>
      </c>
      <c r="O224" s="5">
        <f t="shared" ca="1" si="25"/>
        <v>27.584</v>
      </c>
    </row>
    <row r="225" spans="2:15" s="327" customFormat="1" outlineLevel="1" x14ac:dyDescent="0.2">
      <c r="D225" s="660" t="str">
        <f>Screen_BA!D145</f>
        <v>Southern</v>
      </c>
      <c r="J225" s="5">
        <f t="shared" ca="1" si="25"/>
        <v>65.024000000000001</v>
      </c>
      <c r="K225" s="5">
        <f t="shared" ca="1" si="25"/>
        <v>65.024000000000001</v>
      </c>
      <c r="L225" s="5">
        <f t="shared" ca="1" si="25"/>
        <v>65.024000000000001</v>
      </c>
      <c r="M225" s="5">
        <f t="shared" ca="1" si="25"/>
        <v>65.024000000000001</v>
      </c>
      <c r="N225" s="5">
        <f t="shared" ca="1" si="25"/>
        <v>65.024000000000001</v>
      </c>
      <c r="O225" s="5">
        <f t="shared" ca="1" si="25"/>
        <v>65.024000000000001</v>
      </c>
    </row>
    <row r="226" spans="2:15" s="327" customFormat="1" outlineLevel="1" x14ac:dyDescent="0.2">
      <c r="D226" s="660" t="str">
        <f>Screen_BA!D146</f>
        <v>Western</v>
      </c>
      <c r="J226" s="5">
        <f t="shared" ca="1" si="25"/>
        <v>65.024000000000001</v>
      </c>
      <c r="K226" s="5">
        <f t="shared" ca="1" si="25"/>
        <v>65.024000000000001</v>
      </c>
      <c r="L226" s="5">
        <f t="shared" ca="1" si="25"/>
        <v>65.024000000000001</v>
      </c>
      <c r="M226" s="5">
        <f t="shared" ca="1" si="25"/>
        <v>65.024000000000001</v>
      </c>
      <c r="N226" s="5">
        <f t="shared" ca="1" si="25"/>
        <v>65.024000000000001</v>
      </c>
      <c r="O226" s="5">
        <f t="shared" ca="1" si="25"/>
        <v>65.024000000000001</v>
      </c>
    </row>
    <row r="227" spans="2:15" s="327" customFormat="1" ht="15.75" thickBot="1" x14ac:dyDescent="0.25">
      <c r="D227" s="658" t="s">
        <v>415</v>
      </c>
      <c r="J227" s="624">
        <f t="shared" ref="J227:O227" ca="1" si="26">SUM(J217:J226)</f>
        <v>678.81600000000003</v>
      </c>
      <c r="K227" s="624">
        <f t="shared" ca="1" si="26"/>
        <v>678.81600000000003</v>
      </c>
      <c r="L227" s="624">
        <f t="shared" ca="1" si="26"/>
        <v>678.81600000000003</v>
      </c>
      <c r="M227" s="624">
        <f t="shared" ca="1" si="26"/>
        <v>678.81600000000003</v>
      </c>
      <c r="N227" s="624">
        <f t="shared" ca="1" si="26"/>
        <v>678.81600000000003</v>
      </c>
      <c r="O227" s="624">
        <f t="shared" ca="1" si="26"/>
        <v>678.81600000000003</v>
      </c>
    </row>
    <row r="228" spans="2:15" s="327" customFormat="1" ht="13.5" thickTop="1" x14ac:dyDescent="0.2"/>
    <row r="229" spans="2:15" s="327" customFormat="1" x14ac:dyDescent="0.2"/>
    <row r="230" spans="2:15" s="327" customFormat="1" x14ac:dyDescent="0.2">
      <c r="B230" s="680" t="s">
        <v>1914</v>
      </c>
    </row>
    <row r="231" spans="2:15" s="327" customFormat="1" outlineLevel="1" x14ac:dyDescent="0.2">
      <c r="D231" s="680" t="s">
        <v>1909</v>
      </c>
      <c r="J231" s="13">
        <f>Reg_Pop_Ann_TA!H35</f>
        <v>0.8</v>
      </c>
    </row>
    <row r="232" spans="2:15" s="327" customFormat="1" outlineLevel="1" x14ac:dyDescent="0.2">
      <c r="D232" s="680" t="s">
        <v>1905</v>
      </c>
      <c r="J232" s="13">
        <f>Reg_Pop_Ann_TA!I37</f>
        <v>0.17899999999999999</v>
      </c>
    </row>
    <row r="233" spans="2:15" s="327" customFormat="1" outlineLevel="1" x14ac:dyDescent="0.2">
      <c r="D233" s="680" t="s">
        <v>1906</v>
      </c>
      <c r="J233" s="13">
        <f>Reg_Pop_Ann_TA!H38</f>
        <v>5.0000000000000001E-3</v>
      </c>
    </row>
    <row r="234" spans="2:15" s="327" customFormat="1" outlineLevel="1" x14ac:dyDescent="0.2">
      <c r="D234" s="680" t="s">
        <v>1907</v>
      </c>
      <c r="J234" s="13">
        <f>Reg_Pop_Ann_TA!H39</f>
        <v>8.0000000000000002E-3</v>
      </c>
    </row>
    <row r="235" spans="2:15" s="327" customFormat="1" outlineLevel="1" x14ac:dyDescent="0.2">
      <c r="D235" s="680" t="s">
        <v>1908</v>
      </c>
      <c r="J235" s="13">
        <f>Reg_Pop_Ann_TA!H40</f>
        <v>8.0000000000000002E-3</v>
      </c>
    </row>
    <row r="236" spans="2:15" s="327" customFormat="1" x14ac:dyDescent="0.2"/>
    <row r="237" spans="2:15" s="327" customFormat="1" x14ac:dyDescent="0.2"/>
    <row r="238" spans="2:15" s="327" customFormat="1" x14ac:dyDescent="0.2">
      <c r="C238" s="716" t="str">
        <f>"Go to "&amp;HL_Screen_Ass</f>
        <v>Go to Visual Inspection with Acetic Acid - Assumptions</v>
      </c>
      <c r="D238" s="716"/>
      <c r="E238" s="716"/>
      <c r="F238" s="716"/>
      <c r="G238" s="716"/>
      <c r="H238" s="716"/>
      <c r="I238" s="716"/>
    </row>
    <row r="239" spans="2:15" s="327" customFormat="1" x14ac:dyDescent="0.2">
      <c r="C239" s="716" t="str">
        <f>"Go to "&amp;HL_Screen_Ann_Ass</f>
        <v>Go to Visual Inspection with Acetic Acid - Assumptions  Facilities</v>
      </c>
      <c r="D239" s="716"/>
      <c r="E239" s="716"/>
      <c r="F239" s="716"/>
      <c r="G239" s="716"/>
      <c r="H239" s="716"/>
      <c r="I239" s="716"/>
    </row>
    <row r="240" spans="2:15" s="327" customFormat="1" x14ac:dyDescent="0.2">
      <c r="C240" s="716" t="str">
        <f>"Go to "&amp;HL_Screen_Out</f>
        <v>Go to VIA Outputs</v>
      </c>
      <c r="D240" s="716"/>
      <c r="E240" s="716"/>
      <c r="F240" s="716"/>
      <c r="G240" s="716"/>
      <c r="H240" s="716"/>
      <c r="I240" s="716"/>
    </row>
    <row r="241" spans="3:9" s="327" customFormat="1" x14ac:dyDescent="0.2">
      <c r="C241" s="720" t="e">
        <f>"Go to "&amp;#REF!</f>
        <v>#REF!</v>
      </c>
      <c r="D241" s="720"/>
      <c r="E241" s="720"/>
      <c r="F241" s="720"/>
      <c r="G241" s="720"/>
      <c r="H241" s="720"/>
      <c r="I241" s="720"/>
    </row>
    <row r="242" spans="3:9" s="327" customFormat="1" x14ac:dyDescent="0.2">
      <c r="C242" s="716" t="str">
        <f>"Go to "&amp;HL_Screen_Out_Sum_A</f>
        <v>Go to VIA - Outputs Summary</v>
      </c>
      <c r="D242" s="716"/>
      <c r="E242" s="716"/>
      <c r="F242" s="716"/>
      <c r="G242" s="716"/>
      <c r="H242" s="716"/>
      <c r="I242" s="716"/>
    </row>
  </sheetData>
  <sheetProtection password="F0F4" sheet="1" scenarios="1"/>
  <mergeCells count="9">
    <mergeCell ref="C239:I239"/>
    <mergeCell ref="C240:I240"/>
    <mergeCell ref="C241:I241"/>
    <mergeCell ref="C242:I242"/>
    <mergeCell ref="B3:F3"/>
    <mergeCell ref="C43:H43"/>
    <mergeCell ref="C28:G28"/>
    <mergeCell ref="C46:H46"/>
    <mergeCell ref="C238:I238"/>
  </mergeCells>
  <hyperlinks>
    <hyperlink ref="A4" location="$A$10" tooltip="Go to Top of Sheet" display="$A$10"/>
    <hyperlink ref="C28" location="'Screen_Ann_TA'!C15" tooltip="Click to follow hyperlink." display="'Screen_Ann_TA'!C15"/>
    <hyperlink ref="C43" location="'Screen_BA'!B18" tooltip="Click to follow hyperlink." display="'Screen_BA'!B18"/>
    <hyperlink ref="C43:H43" location="'Screen_BA'!B18" tooltip="Click to follow hyperlink." display="'Screen_BA'!B18"/>
    <hyperlink ref="C28:G28" location="'Screen_Ann_TA'!C15" tooltip="Click to follow hyperlink." display="'Screen_Ann_TA'!C15"/>
    <hyperlink ref="C46" location="HL_Screen_Distribute1" tooltip="Click to follow hyperlink." display="HL_Screen_Distribute1"/>
    <hyperlink ref="C46:H46" location="HL_Screen_Distribute1" tooltip="Click to follow hyperlink." display="HL_Screen_Distribute1"/>
    <hyperlink ref="C4" location="HL_Sheet_Main_77" tooltip="Go to Next Sheet" display="HL_Sheet_Main_77"/>
    <hyperlink ref="C238:I238" location="HL_Screen_Ass" tooltip="Click to follow hyperlink." display="HL_Screen_Ass"/>
    <hyperlink ref="C239:I239" location="HL_Screen_Ann_Ass" tooltip="Click to follow hyperlink." display="HL_Screen_Ann_Ass"/>
    <hyperlink ref="C240:I240" location="HL_Screen_Out" tooltip="Click to follow hyperlink." display="HL_Screen_Out"/>
    <hyperlink ref="C242:I242" location="HL_Screen_Out_Sum_A" tooltip="Click to follow hyperlink." display="HL_Screen_Out_Sum_A"/>
    <hyperlink ref="B4" location="HL_Sheet_Main_30" tooltip="Go to Previous Sheet" display="HL_Sheet_Main_30"/>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27"/>
  <sheetViews>
    <sheetView showGridLines="0" zoomScaleNormal="100" workbookViewId="0">
      <pane ySplit="9" topLeftCell="A34" activePane="bottomLeft" state="frozen"/>
      <selection pane="bottomLeft" activeCell="K126" sqref="K126"/>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1926</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ht="18.75" x14ac:dyDescent="0.2">
      <c r="B11" s="648" t="str">
        <f>"VIA - Cost Summary ("&amp;INDEX(LU_Screen_Denom,DD_TS_Denom)&amp;")"</f>
        <v>VIA - Cost Summary (USD)</v>
      </c>
    </row>
    <row r="12" spans="1:15" s="327" customFormat="1" x14ac:dyDescent="0.2"/>
    <row r="13" spans="1:15" s="327" customFormat="1" ht="15.75" x14ac:dyDescent="0.2">
      <c r="C13" s="330" t="s">
        <v>1931</v>
      </c>
    </row>
    <row r="14" spans="1:15" s="327" customFormat="1" ht="15" x14ac:dyDescent="0.2">
      <c r="D14" s="658" t="s">
        <v>1928</v>
      </c>
    </row>
    <row r="15" spans="1:15" s="327" customFormat="1" outlineLevel="1" x14ac:dyDescent="0.2">
      <c r="D15" s="660" t="str">
        <f>Screen_Ann_TO!D300</f>
        <v>Central</v>
      </c>
      <c r="J15" s="5">
        <f ca="1">Screen_Ann_TO!J300+Screen_Ann_TO!J313</f>
        <v>8595.1044386422946</v>
      </c>
      <c r="K15" s="5">
        <f ca="1">Screen_Ann_TO!K300+Screen_Ann_TO!K313</f>
        <v>8595.1044386422946</v>
      </c>
      <c r="L15" s="5">
        <f ca="1">Screen_Ann_TO!L300+Screen_Ann_TO!L313</f>
        <v>8595.1044386422946</v>
      </c>
      <c r="M15" s="5">
        <f ca="1">Screen_Ann_TO!M300+Screen_Ann_TO!M313</f>
        <v>8595.1044386422946</v>
      </c>
      <c r="N15" s="5">
        <f ca="1">Screen_Ann_TO!N300+Screen_Ann_TO!N313</f>
        <v>8595.1044386422946</v>
      </c>
      <c r="O15" s="5">
        <f ca="1">Screen_Ann_TO!O300+Screen_Ann_TO!O313</f>
        <v>8595.1044386422946</v>
      </c>
    </row>
    <row r="16" spans="1:15" s="327" customFormat="1" outlineLevel="1" x14ac:dyDescent="0.2">
      <c r="D16" s="660" t="str">
        <f>Screen_Ann_TO!D301</f>
        <v>Copperbelt</v>
      </c>
      <c r="J16" s="5">
        <f ca="1">Screen_Ann_TO!J301+Screen_Ann_TO!J314</f>
        <v>12069.973890339423</v>
      </c>
      <c r="K16" s="5">
        <f ca="1">Screen_Ann_TO!K301+Screen_Ann_TO!K314</f>
        <v>12069.973890339423</v>
      </c>
      <c r="L16" s="5">
        <f ca="1">Screen_Ann_TO!L301+Screen_Ann_TO!L314</f>
        <v>12069.973890339423</v>
      </c>
      <c r="M16" s="5">
        <f ca="1">Screen_Ann_TO!M301+Screen_Ann_TO!M314</f>
        <v>12069.973890339423</v>
      </c>
      <c r="N16" s="5">
        <f ca="1">Screen_Ann_TO!N301+Screen_Ann_TO!N314</f>
        <v>12069.973890339423</v>
      </c>
      <c r="O16" s="5">
        <f ca="1">Screen_Ann_TO!O301+Screen_Ann_TO!O314</f>
        <v>12069.973890339423</v>
      </c>
    </row>
    <row r="17" spans="4:15" s="327" customFormat="1" outlineLevel="1" x14ac:dyDescent="0.2">
      <c r="D17" s="660" t="str">
        <f>Screen_Ann_TO!D302</f>
        <v>Eastern</v>
      </c>
      <c r="J17" s="5">
        <f ca="1">Screen_Ann_TO!J302+Screen_Ann_TO!J315</f>
        <v>15544.843342036549</v>
      </c>
      <c r="K17" s="5">
        <f ca="1">Screen_Ann_TO!K302+Screen_Ann_TO!K315</f>
        <v>15544.843342036549</v>
      </c>
      <c r="L17" s="5">
        <f ca="1">Screen_Ann_TO!L302+Screen_Ann_TO!L315</f>
        <v>15544.843342036549</v>
      </c>
      <c r="M17" s="5">
        <f ca="1">Screen_Ann_TO!M302+Screen_Ann_TO!M315</f>
        <v>15544.843342036549</v>
      </c>
      <c r="N17" s="5">
        <f ca="1">Screen_Ann_TO!N302+Screen_Ann_TO!N315</f>
        <v>15544.843342036549</v>
      </c>
      <c r="O17" s="5">
        <f ca="1">Screen_Ann_TO!O302+Screen_Ann_TO!O315</f>
        <v>15544.843342036549</v>
      </c>
    </row>
    <row r="18" spans="4:15" s="327" customFormat="1" outlineLevel="1" x14ac:dyDescent="0.2">
      <c r="D18" s="660" t="str">
        <f>Screen_Ann_TO!D303</f>
        <v>Luapula</v>
      </c>
      <c r="J18" s="5">
        <f ca="1">Screen_Ann_TO!J303+Screen_Ann_TO!J316</f>
        <v>12069.973890339423</v>
      </c>
      <c r="K18" s="5">
        <f ca="1">Screen_Ann_TO!K303+Screen_Ann_TO!K316</f>
        <v>12069.973890339423</v>
      </c>
      <c r="L18" s="5">
        <f ca="1">Screen_Ann_TO!L303+Screen_Ann_TO!L316</f>
        <v>12069.973890339423</v>
      </c>
      <c r="M18" s="5">
        <f ca="1">Screen_Ann_TO!M303+Screen_Ann_TO!M316</f>
        <v>12069.973890339423</v>
      </c>
      <c r="N18" s="5">
        <f ca="1">Screen_Ann_TO!N303+Screen_Ann_TO!N316</f>
        <v>12069.973890339423</v>
      </c>
      <c r="O18" s="5">
        <f ca="1">Screen_Ann_TO!O303+Screen_Ann_TO!O316</f>
        <v>12069.973890339423</v>
      </c>
    </row>
    <row r="19" spans="4:15" s="327" customFormat="1" outlineLevel="1" x14ac:dyDescent="0.2">
      <c r="D19" s="660" t="str">
        <f>Screen_Ann_TO!D304</f>
        <v>Lusaka</v>
      </c>
      <c r="J19" s="5">
        <f ca="1">Screen_Ann_TO!J304+Screen_Ann_TO!J317</f>
        <v>43343.798955613565</v>
      </c>
      <c r="K19" s="5">
        <f ca="1">Screen_Ann_TO!K304+Screen_Ann_TO!K317</f>
        <v>43343.798955613565</v>
      </c>
      <c r="L19" s="5">
        <f ca="1">Screen_Ann_TO!L304+Screen_Ann_TO!L317</f>
        <v>43343.798955613565</v>
      </c>
      <c r="M19" s="5">
        <f ca="1">Screen_Ann_TO!M304+Screen_Ann_TO!M317</f>
        <v>43343.798955613565</v>
      </c>
      <c r="N19" s="5">
        <f ca="1">Screen_Ann_TO!N304+Screen_Ann_TO!N317</f>
        <v>43343.798955613565</v>
      </c>
      <c r="O19" s="5">
        <f ca="1">Screen_Ann_TO!O304+Screen_Ann_TO!O317</f>
        <v>43343.798955613565</v>
      </c>
    </row>
    <row r="20" spans="4:15" s="327" customFormat="1" outlineLevel="1" x14ac:dyDescent="0.2">
      <c r="D20" s="660" t="str">
        <f>Screen_Ann_TO!D305</f>
        <v>Muchinga</v>
      </c>
      <c r="J20" s="5">
        <f ca="1">Screen_Ann_TO!J305+Screen_Ann_TO!J318</f>
        <v>822.6827676240207</v>
      </c>
      <c r="K20" s="5">
        <f ca="1">Screen_Ann_TO!K305+Screen_Ann_TO!K318</f>
        <v>822.6827676240207</v>
      </c>
      <c r="L20" s="5">
        <f ca="1">Screen_Ann_TO!L305+Screen_Ann_TO!L318</f>
        <v>822.6827676240207</v>
      </c>
      <c r="M20" s="5">
        <f ca="1">Screen_Ann_TO!M305+Screen_Ann_TO!M318</f>
        <v>822.6827676240207</v>
      </c>
      <c r="N20" s="5">
        <f ca="1">Screen_Ann_TO!N305+Screen_Ann_TO!N318</f>
        <v>822.6827676240207</v>
      </c>
      <c r="O20" s="5">
        <f ca="1">Screen_Ann_TO!O305+Screen_Ann_TO!O318</f>
        <v>822.6827676240207</v>
      </c>
    </row>
    <row r="21" spans="4:15" s="327" customFormat="1" outlineLevel="1" x14ac:dyDescent="0.2">
      <c r="D21" s="660" t="str">
        <f>Screen_Ann_TO!D306</f>
        <v>Northern</v>
      </c>
      <c r="J21" s="5">
        <f ca="1">Screen_Ann_TO!J306+Screen_Ann_TO!J319</f>
        <v>4297.5522193211473</v>
      </c>
      <c r="K21" s="5">
        <f ca="1">Screen_Ann_TO!K306+Screen_Ann_TO!K319</f>
        <v>4297.5522193211473</v>
      </c>
      <c r="L21" s="5">
        <f ca="1">Screen_Ann_TO!L306+Screen_Ann_TO!L319</f>
        <v>4297.5522193211473</v>
      </c>
      <c r="M21" s="5">
        <f ca="1">Screen_Ann_TO!M306+Screen_Ann_TO!M319</f>
        <v>4297.5522193211473</v>
      </c>
      <c r="N21" s="5">
        <f ca="1">Screen_Ann_TO!N306+Screen_Ann_TO!N319</f>
        <v>4297.5522193211473</v>
      </c>
      <c r="O21" s="5">
        <f ca="1">Screen_Ann_TO!O306+Screen_Ann_TO!O319</f>
        <v>4297.5522193211473</v>
      </c>
    </row>
    <row r="22" spans="4:15" s="327" customFormat="1" outlineLevel="1" x14ac:dyDescent="0.2">
      <c r="D22" s="660" t="str">
        <f>Screen_Ann_TO!D307</f>
        <v>North-Western</v>
      </c>
      <c r="J22" s="5">
        <f ca="1">Screen_Ann_TO!J307+Screen_Ann_TO!J320</f>
        <v>5120.2349869451682</v>
      </c>
      <c r="K22" s="5">
        <f ca="1">Screen_Ann_TO!K307+Screen_Ann_TO!K320</f>
        <v>5120.2349869451682</v>
      </c>
      <c r="L22" s="5">
        <f ca="1">Screen_Ann_TO!L307+Screen_Ann_TO!L320</f>
        <v>5120.2349869451682</v>
      </c>
      <c r="M22" s="5">
        <f ca="1">Screen_Ann_TO!M307+Screen_Ann_TO!M320</f>
        <v>5120.2349869451682</v>
      </c>
      <c r="N22" s="5">
        <f ca="1">Screen_Ann_TO!N307+Screen_Ann_TO!N320</f>
        <v>5120.2349869451682</v>
      </c>
      <c r="O22" s="5">
        <f ca="1">Screen_Ann_TO!O307+Screen_Ann_TO!O320</f>
        <v>5120.2349869451682</v>
      </c>
    </row>
    <row r="23" spans="4:15" s="327" customFormat="1" outlineLevel="1" x14ac:dyDescent="0.2">
      <c r="D23" s="660" t="str">
        <f>Screen_Ann_TO!D308</f>
        <v>Southern</v>
      </c>
      <c r="J23" s="5">
        <f ca="1">Screen_Ann_TO!J308+Screen_Ann_TO!J321</f>
        <v>12069.973890339423</v>
      </c>
      <c r="K23" s="5">
        <f ca="1">Screen_Ann_TO!K308+Screen_Ann_TO!K321</f>
        <v>12069.973890339423</v>
      </c>
      <c r="L23" s="5">
        <f ca="1">Screen_Ann_TO!L308+Screen_Ann_TO!L321</f>
        <v>12069.973890339423</v>
      </c>
      <c r="M23" s="5">
        <f ca="1">Screen_Ann_TO!M308+Screen_Ann_TO!M321</f>
        <v>12069.973890339423</v>
      </c>
      <c r="N23" s="5">
        <f ca="1">Screen_Ann_TO!N308+Screen_Ann_TO!N321</f>
        <v>12069.973890339423</v>
      </c>
      <c r="O23" s="5">
        <f ca="1">Screen_Ann_TO!O308+Screen_Ann_TO!O321</f>
        <v>12069.973890339423</v>
      </c>
    </row>
    <row r="24" spans="4:15" s="327" customFormat="1" outlineLevel="1" x14ac:dyDescent="0.2">
      <c r="D24" s="660" t="str">
        <f>Screen_Ann_TO!D309</f>
        <v>Western</v>
      </c>
      <c r="J24" s="5">
        <f ca="1">Screen_Ann_TO!J309+Screen_Ann_TO!J322</f>
        <v>12069.973890339423</v>
      </c>
      <c r="K24" s="5">
        <f ca="1">Screen_Ann_TO!K309+Screen_Ann_TO!K322</f>
        <v>12069.973890339423</v>
      </c>
      <c r="L24" s="5">
        <f ca="1">Screen_Ann_TO!L309+Screen_Ann_TO!L322</f>
        <v>12069.973890339423</v>
      </c>
      <c r="M24" s="5">
        <f ca="1">Screen_Ann_TO!M309+Screen_Ann_TO!M322</f>
        <v>12069.973890339423</v>
      </c>
      <c r="N24" s="5">
        <f ca="1">Screen_Ann_TO!N309+Screen_Ann_TO!N322</f>
        <v>12069.973890339423</v>
      </c>
      <c r="O24" s="5">
        <f ca="1">Screen_Ann_TO!O309+Screen_Ann_TO!O322</f>
        <v>12069.973890339423</v>
      </c>
    </row>
    <row r="25" spans="4:15" s="327" customFormat="1" ht="15" x14ac:dyDescent="0.2">
      <c r="D25" s="679" t="str">
        <f>"TOTAL "&amp;D14</f>
        <v>TOTAL Personnel Costs</v>
      </c>
      <c r="J25" s="562">
        <f t="shared" ref="J25:O25" ca="1" si="4">SUM(J15:J24)</f>
        <v>126004.11227154043</v>
      </c>
      <c r="K25" s="562">
        <f t="shared" ca="1" si="4"/>
        <v>126004.11227154043</v>
      </c>
      <c r="L25" s="562">
        <f t="shared" ca="1" si="4"/>
        <v>126004.11227154043</v>
      </c>
      <c r="M25" s="562">
        <f t="shared" ca="1" si="4"/>
        <v>126004.11227154043</v>
      </c>
      <c r="N25" s="562">
        <f t="shared" ca="1" si="4"/>
        <v>126004.11227154043</v>
      </c>
      <c r="O25" s="562">
        <f t="shared" ca="1" si="4"/>
        <v>126004.11227154043</v>
      </c>
    </row>
    <row r="26" spans="4:15" s="327" customFormat="1" x14ac:dyDescent="0.2"/>
    <row r="27" spans="4:15" s="327" customFormat="1" ht="15" x14ac:dyDescent="0.2">
      <c r="D27" s="646" t="str">
        <f>Screen_Ann_TO!D325</f>
        <v>Supply Costs</v>
      </c>
    </row>
    <row r="28" spans="4:15" s="327" customFormat="1" outlineLevel="1" x14ac:dyDescent="0.2">
      <c r="D28" s="660" t="str">
        <f>Screen_Ann_TO!D326</f>
        <v>Central</v>
      </c>
      <c r="J28" s="5">
        <f ca="1">Screen_Ann_TO!J326</f>
        <v>3915.2614605600011</v>
      </c>
      <c r="K28" s="5">
        <f ca="1">Screen_Ann_TO!K326</f>
        <v>3915.2614605600011</v>
      </c>
      <c r="L28" s="5">
        <f ca="1">Screen_Ann_TO!L326</f>
        <v>3915.2614605600011</v>
      </c>
      <c r="M28" s="5">
        <f ca="1">Screen_Ann_TO!M326</f>
        <v>3915.2614605600011</v>
      </c>
      <c r="N28" s="5">
        <f ca="1">Screen_Ann_TO!N326</f>
        <v>3915.2614605600011</v>
      </c>
      <c r="O28" s="5">
        <f ca="1">Screen_Ann_TO!O326</f>
        <v>3915.2614605600011</v>
      </c>
    </row>
    <row r="29" spans="4:15" s="327" customFormat="1" outlineLevel="1" x14ac:dyDescent="0.2">
      <c r="D29" s="660" t="str">
        <f>Screen_Ann_TO!D327</f>
        <v>Copperbelt</v>
      </c>
      <c r="J29" s="5">
        <f ca="1">Screen_Ann_TO!J327</f>
        <v>5498.1418713600015</v>
      </c>
      <c r="K29" s="5">
        <f ca="1">Screen_Ann_TO!K327</f>
        <v>5498.1418713600015</v>
      </c>
      <c r="L29" s="5">
        <f ca="1">Screen_Ann_TO!L327</f>
        <v>5498.1418713600015</v>
      </c>
      <c r="M29" s="5">
        <f ca="1">Screen_Ann_TO!M327</f>
        <v>5498.1418713600015</v>
      </c>
      <c r="N29" s="5">
        <f ca="1">Screen_Ann_TO!N327</f>
        <v>5498.1418713600015</v>
      </c>
      <c r="O29" s="5">
        <f ca="1">Screen_Ann_TO!O327</f>
        <v>5498.1418713600015</v>
      </c>
    </row>
    <row r="30" spans="4:15" s="327" customFormat="1" outlineLevel="1" x14ac:dyDescent="0.2">
      <c r="D30" s="660" t="str">
        <f>Screen_Ann_TO!D328</f>
        <v>Eastern</v>
      </c>
      <c r="J30" s="5">
        <f ca="1">Screen_Ann_TO!J328</f>
        <v>7081.0222821600019</v>
      </c>
      <c r="K30" s="5">
        <f ca="1">Screen_Ann_TO!K328</f>
        <v>7081.0222821600019</v>
      </c>
      <c r="L30" s="5">
        <f ca="1">Screen_Ann_TO!L328</f>
        <v>7081.0222821600019</v>
      </c>
      <c r="M30" s="5">
        <f ca="1">Screen_Ann_TO!M328</f>
        <v>7081.0222821600019</v>
      </c>
      <c r="N30" s="5">
        <f ca="1">Screen_Ann_TO!N328</f>
        <v>7081.0222821600019</v>
      </c>
      <c r="O30" s="5">
        <f ca="1">Screen_Ann_TO!O328</f>
        <v>7081.0222821600019</v>
      </c>
    </row>
    <row r="31" spans="4:15" s="327" customFormat="1" outlineLevel="1" x14ac:dyDescent="0.2">
      <c r="D31" s="660" t="str">
        <f>Screen_Ann_TO!D329</f>
        <v>Luapula</v>
      </c>
      <c r="J31" s="5">
        <f ca="1">Screen_Ann_TO!J329</f>
        <v>5498.1418713600015</v>
      </c>
      <c r="K31" s="5">
        <f ca="1">Screen_Ann_TO!K329</f>
        <v>5498.1418713600015</v>
      </c>
      <c r="L31" s="5">
        <f ca="1">Screen_Ann_TO!L329</f>
        <v>5498.1418713600015</v>
      </c>
      <c r="M31" s="5">
        <f ca="1">Screen_Ann_TO!M329</f>
        <v>5498.1418713600015</v>
      </c>
      <c r="N31" s="5">
        <f ca="1">Screen_Ann_TO!N329</f>
        <v>5498.1418713600015</v>
      </c>
      <c r="O31" s="5">
        <f ca="1">Screen_Ann_TO!O329</f>
        <v>5498.1418713600015</v>
      </c>
    </row>
    <row r="32" spans="4:15" s="327" customFormat="1" outlineLevel="1" x14ac:dyDescent="0.2">
      <c r="D32" s="660" t="str">
        <f>Screen_Ann_TO!D330</f>
        <v>Lusaka</v>
      </c>
      <c r="J32" s="5">
        <f ca="1">Screen_Ann_TO!J330</f>
        <v>19744.065568560003</v>
      </c>
      <c r="K32" s="5">
        <f ca="1">Screen_Ann_TO!K330</f>
        <v>19744.065568560003</v>
      </c>
      <c r="L32" s="5">
        <f ca="1">Screen_Ann_TO!L330</f>
        <v>19744.065568560003</v>
      </c>
      <c r="M32" s="5">
        <f ca="1">Screen_Ann_TO!M330</f>
        <v>19744.065568560003</v>
      </c>
      <c r="N32" s="5">
        <f ca="1">Screen_Ann_TO!N330</f>
        <v>19744.065568560003</v>
      </c>
      <c r="O32" s="5">
        <f ca="1">Screen_Ann_TO!O330</f>
        <v>19744.065568560003</v>
      </c>
    </row>
    <row r="33" spans="3:15" s="327" customFormat="1" outlineLevel="1" x14ac:dyDescent="0.2">
      <c r="D33" s="660" t="str">
        <f>Screen_Ann_TO!D331</f>
        <v>Muchinga</v>
      </c>
      <c r="J33" s="5">
        <f ca="1">Screen_Ann_TO!J331</f>
        <v>374.75031948000009</v>
      </c>
      <c r="K33" s="5">
        <f ca="1">Screen_Ann_TO!K331</f>
        <v>374.75031948000009</v>
      </c>
      <c r="L33" s="5">
        <f ca="1">Screen_Ann_TO!L331</f>
        <v>374.75031948000009</v>
      </c>
      <c r="M33" s="5">
        <f ca="1">Screen_Ann_TO!M331</f>
        <v>374.75031948000009</v>
      </c>
      <c r="N33" s="5">
        <f ca="1">Screen_Ann_TO!N331</f>
        <v>374.75031948000009</v>
      </c>
      <c r="O33" s="5">
        <f ca="1">Screen_Ann_TO!O331</f>
        <v>374.75031948000009</v>
      </c>
    </row>
    <row r="34" spans="3:15" s="327" customFormat="1" outlineLevel="1" x14ac:dyDescent="0.2">
      <c r="D34" s="660" t="str">
        <f>Screen_Ann_TO!D332</f>
        <v>Northern</v>
      </c>
      <c r="J34" s="5">
        <f ca="1">Screen_Ann_TO!J332</f>
        <v>1957.6307302800005</v>
      </c>
      <c r="K34" s="5">
        <f ca="1">Screen_Ann_TO!K332</f>
        <v>1957.6307302800005</v>
      </c>
      <c r="L34" s="5">
        <f ca="1">Screen_Ann_TO!L332</f>
        <v>1957.6307302800005</v>
      </c>
      <c r="M34" s="5">
        <f ca="1">Screen_Ann_TO!M332</f>
        <v>1957.6307302800005</v>
      </c>
      <c r="N34" s="5">
        <f ca="1">Screen_Ann_TO!N332</f>
        <v>1957.6307302800005</v>
      </c>
      <c r="O34" s="5">
        <f ca="1">Screen_Ann_TO!O332</f>
        <v>1957.6307302800005</v>
      </c>
    </row>
    <row r="35" spans="3:15" s="327" customFormat="1" outlineLevel="1" x14ac:dyDescent="0.2">
      <c r="D35" s="660" t="str">
        <f>Screen_Ann_TO!D333</f>
        <v>North-Western</v>
      </c>
      <c r="J35" s="5">
        <f ca="1">Screen_Ann_TO!J333</f>
        <v>2332.3810497600007</v>
      </c>
      <c r="K35" s="5">
        <f ca="1">Screen_Ann_TO!K333</f>
        <v>2332.3810497600007</v>
      </c>
      <c r="L35" s="5">
        <f ca="1">Screen_Ann_TO!L333</f>
        <v>2332.3810497600007</v>
      </c>
      <c r="M35" s="5">
        <f ca="1">Screen_Ann_TO!M333</f>
        <v>2332.3810497600007</v>
      </c>
      <c r="N35" s="5">
        <f ca="1">Screen_Ann_TO!N333</f>
        <v>2332.3810497600007</v>
      </c>
      <c r="O35" s="5">
        <f ca="1">Screen_Ann_TO!O333</f>
        <v>2332.3810497600007</v>
      </c>
    </row>
    <row r="36" spans="3:15" s="327" customFormat="1" outlineLevel="1" x14ac:dyDescent="0.2">
      <c r="D36" s="660" t="str">
        <f>Screen_Ann_TO!D334</f>
        <v>Southern</v>
      </c>
      <c r="J36" s="5">
        <f ca="1">Screen_Ann_TO!J334</f>
        <v>5498.1418713600015</v>
      </c>
      <c r="K36" s="5">
        <f ca="1">Screen_Ann_TO!K334</f>
        <v>5498.1418713600015</v>
      </c>
      <c r="L36" s="5">
        <f ca="1">Screen_Ann_TO!L334</f>
        <v>5498.1418713600015</v>
      </c>
      <c r="M36" s="5">
        <f ca="1">Screen_Ann_TO!M334</f>
        <v>5498.1418713600015</v>
      </c>
      <c r="N36" s="5">
        <f ca="1">Screen_Ann_TO!N334</f>
        <v>5498.1418713600015</v>
      </c>
      <c r="O36" s="5">
        <f ca="1">Screen_Ann_TO!O334</f>
        <v>5498.1418713600015</v>
      </c>
    </row>
    <row r="37" spans="3:15" s="327" customFormat="1" outlineLevel="1" x14ac:dyDescent="0.2">
      <c r="D37" s="660" t="str">
        <f>Screen_Ann_TO!D335</f>
        <v>Western</v>
      </c>
      <c r="J37" s="5">
        <f ca="1">Screen_Ann_TO!J335</f>
        <v>5498.1418713600015</v>
      </c>
      <c r="K37" s="5">
        <f ca="1">Screen_Ann_TO!K335</f>
        <v>5498.1418713600015</v>
      </c>
      <c r="L37" s="5">
        <f ca="1">Screen_Ann_TO!L335</f>
        <v>5498.1418713600015</v>
      </c>
      <c r="M37" s="5">
        <f ca="1">Screen_Ann_TO!M335</f>
        <v>5498.1418713600015</v>
      </c>
      <c r="N37" s="5">
        <f ca="1">Screen_Ann_TO!N335</f>
        <v>5498.1418713600015</v>
      </c>
      <c r="O37" s="5">
        <f ca="1">Screen_Ann_TO!O335</f>
        <v>5498.1418713600015</v>
      </c>
    </row>
    <row r="38" spans="3:15" s="327" customFormat="1" ht="15" x14ac:dyDescent="0.2">
      <c r="D38" s="679" t="str">
        <f>"TOTAL "&amp;D27</f>
        <v>TOTAL Supply Costs</v>
      </c>
      <c r="J38" s="562">
        <f t="shared" ref="J38:O38" ca="1" si="5">SUM(J28:J37)</f>
        <v>57397.678896240002</v>
      </c>
      <c r="K38" s="562">
        <f t="shared" ca="1" si="5"/>
        <v>57397.678896240002</v>
      </c>
      <c r="L38" s="562">
        <f t="shared" ca="1" si="5"/>
        <v>57397.678896240002</v>
      </c>
      <c r="M38" s="562">
        <f t="shared" ca="1" si="5"/>
        <v>57397.678896240002</v>
      </c>
      <c r="N38" s="562">
        <f t="shared" ca="1" si="5"/>
        <v>57397.678896240002</v>
      </c>
      <c r="O38" s="562">
        <f t="shared" ca="1" si="5"/>
        <v>57397.678896240002</v>
      </c>
    </row>
    <row r="39" spans="3:15" s="327" customFormat="1" x14ac:dyDescent="0.2"/>
    <row r="40" spans="3:15" s="327" customFormat="1" ht="15" x14ac:dyDescent="0.2">
      <c r="C40" s="658" t="s">
        <v>1939</v>
      </c>
    </row>
    <row r="41" spans="3:15" s="327" customFormat="1" hidden="1" outlineLevel="1" x14ac:dyDescent="0.2">
      <c r="D41" s="660" t="str">
        <f>Screen_BA!D137</f>
        <v>Central</v>
      </c>
      <c r="J41" s="5">
        <f t="shared" ref="J41:O50" ca="1" si="6">J28</f>
        <v>3915.2614605600011</v>
      </c>
      <c r="K41" s="5">
        <f t="shared" ca="1" si="6"/>
        <v>3915.2614605600011</v>
      </c>
      <c r="L41" s="5">
        <f t="shared" ca="1" si="6"/>
        <v>3915.2614605600011</v>
      </c>
      <c r="M41" s="5">
        <f t="shared" ca="1" si="6"/>
        <v>3915.2614605600011</v>
      </c>
      <c r="N41" s="5">
        <f t="shared" ca="1" si="6"/>
        <v>3915.2614605600011</v>
      </c>
      <c r="O41" s="5">
        <f t="shared" ca="1" si="6"/>
        <v>3915.2614605600011</v>
      </c>
    </row>
    <row r="42" spans="3:15" s="327" customFormat="1" hidden="1" outlineLevel="1" x14ac:dyDescent="0.2">
      <c r="D42" s="660" t="str">
        <f>Screen_BA!D138</f>
        <v>Copperbelt</v>
      </c>
      <c r="J42" s="5">
        <f t="shared" ca="1" si="6"/>
        <v>5498.1418713600015</v>
      </c>
      <c r="K42" s="5">
        <f t="shared" ca="1" si="6"/>
        <v>5498.1418713600015</v>
      </c>
      <c r="L42" s="5">
        <f t="shared" ca="1" si="6"/>
        <v>5498.1418713600015</v>
      </c>
      <c r="M42" s="5">
        <f t="shared" ca="1" si="6"/>
        <v>5498.1418713600015</v>
      </c>
      <c r="N42" s="5">
        <f t="shared" ca="1" si="6"/>
        <v>5498.1418713600015</v>
      </c>
      <c r="O42" s="5">
        <f t="shared" ca="1" si="6"/>
        <v>5498.1418713600015</v>
      </c>
    </row>
    <row r="43" spans="3:15" s="327" customFormat="1" hidden="1" outlineLevel="1" x14ac:dyDescent="0.2">
      <c r="D43" s="660" t="str">
        <f>Screen_BA!D139</f>
        <v>Eastern</v>
      </c>
      <c r="J43" s="5">
        <f t="shared" ca="1" si="6"/>
        <v>7081.0222821600019</v>
      </c>
      <c r="K43" s="5">
        <f t="shared" ca="1" si="6"/>
        <v>7081.0222821600019</v>
      </c>
      <c r="L43" s="5">
        <f t="shared" ca="1" si="6"/>
        <v>7081.0222821600019</v>
      </c>
      <c r="M43" s="5">
        <f t="shared" ca="1" si="6"/>
        <v>7081.0222821600019</v>
      </c>
      <c r="N43" s="5">
        <f t="shared" ca="1" si="6"/>
        <v>7081.0222821600019</v>
      </c>
      <c r="O43" s="5">
        <f t="shared" ca="1" si="6"/>
        <v>7081.0222821600019</v>
      </c>
    </row>
    <row r="44" spans="3:15" s="327" customFormat="1" hidden="1" outlineLevel="1" x14ac:dyDescent="0.2">
      <c r="D44" s="660" t="str">
        <f>Screen_BA!D140</f>
        <v>Luapula</v>
      </c>
      <c r="J44" s="5">
        <f t="shared" ca="1" si="6"/>
        <v>5498.1418713600015</v>
      </c>
      <c r="K44" s="5">
        <f t="shared" ca="1" si="6"/>
        <v>5498.1418713600015</v>
      </c>
      <c r="L44" s="5">
        <f t="shared" ca="1" si="6"/>
        <v>5498.1418713600015</v>
      </c>
      <c r="M44" s="5">
        <f t="shared" ca="1" si="6"/>
        <v>5498.1418713600015</v>
      </c>
      <c r="N44" s="5">
        <f t="shared" ca="1" si="6"/>
        <v>5498.1418713600015</v>
      </c>
      <c r="O44" s="5">
        <f t="shared" ca="1" si="6"/>
        <v>5498.1418713600015</v>
      </c>
    </row>
    <row r="45" spans="3:15" s="327" customFormat="1" hidden="1" outlineLevel="1" x14ac:dyDescent="0.2">
      <c r="D45" s="660" t="str">
        <f>Screen_BA!D141</f>
        <v>Lusaka</v>
      </c>
      <c r="J45" s="5">
        <f t="shared" ca="1" si="6"/>
        <v>19744.065568560003</v>
      </c>
      <c r="K45" s="5">
        <f t="shared" ca="1" si="6"/>
        <v>19744.065568560003</v>
      </c>
      <c r="L45" s="5">
        <f t="shared" ca="1" si="6"/>
        <v>19744.065568560003</v>
      </c>
      <c r="M45" s="5">
        <f t="shared" ca="1" si="6"/>
        <v>19744.065568560003</v>
      </c>
      <c r="N45" s="5">
        <f t="shared" ca="1" si="6"/>
        <v>19744.065568560003</v>
      </c>
      <c r="O45" s="5">
        <f t="shared" ca="1" si="6"/>
        <v>19744.065568560003</v>
      </c>
    </row>
    <row r="46" spans="3:15" s="327" customFormat="1" hidden="1" outlineLevel="1" x14ac:dyDescent="0.2">
      <c r="D46" s="660" t="str">
        <f>Screen_BA!D142</f>
        <v>Muchinga</v>
      </c>
      <c r="J46" s="5">
        <f t="shared" ca="1" si="6"/>
        <v>374.75031948000009</v>
      </c>
      <c r="K46" s="5">
        <f t="shared" ca="1" si="6"/>
        <v>374.75031948000009</v>
      </c>
      <c r="L46" s="5">
        <f t="shared" ca="1" si="6"/>
        <v>374.75031948000009</v>
      </c>
      <c r="M46" s="5">
        <f t="shared" ca="1" si="6"/>
        <v>374.75031948000009</v>
      </c>
      <c r="N46" s="5">
        <f t="shared" ca="1" si="6"/>
        <v>374.75031948000009</v>
      </c>
      <c r="O46" s="5">
        <f t="shared" ca="1" si="6"/>
        <v>374.75031948000009</v>
      </c>
    </row>
    <row r="47" spans="3:15" s="327" customFormat="1" hidden="1" outlineLevel="1" x14ac:dyDescent="0.2">
      <c r="D47" s="660" t="str">
        <f>Screen_BA!D143</f>
        <v>Northern</v>
      </c>
      <c r="J47" s="5">
        <f t="shared" ca="1" si="6"/>
        <v>1957.6307302800005</v>
      </c>
      <c r="K47" s="5">
        <f t="shared" ca="1" si="6"/>
        <v>1957.6307302800005</v>
      </c>
      <c r="L47" s="5">
        <f t="shared" ca="1" si="6"/>
        <v>1957.6307302800005</v>
      </c>
      <c r="M47" s="5">
        <f t="shared" ca="1" si="6"/>
        <v>1957.6307302800005</v>
      </c>
      <c r="N47" s="5">
        <f t="shared" ca="1" si="6"/>
        <v>1957.6307302800005</v>
      </c>
      <c r="O47" s="5">
        <f t="shared" ca="1" si="6"/>
        <v>1957.6307302800005</v>
      </c>
    </row>
    <row r="48" spans="3:15" s="327" customFormat="1" hidden="1" outlineLevel="1" x14ac:dyDescent="0.2">
      <c r="D48" s="660" t="str">
        <f>Screen_BA!D144</f>
        <v>North-Western</v>
      </c>
      <c r="J48" s="5">
        <f t="shared" ca="1" si="6"/>
        <v>2332.3810497600007</v>
      </c>
      <c r="K48" s="5">
        <f t="shared" ca="1" si="6"/>
        <v>2332.3810497600007</v>
      </c>
      <c r="L48" s="5">
        <f t="shared" ca="1" si="6"/>
        <v>2332.3810497600007</v>
      </c>
      <c r="M48" s="5">
        <f t="shared" ca="1" si="6"/>
        <v>2332.3810497600007</v>
      </c>
      <c r="N48" s="5">
        <f t="shared" ca="1" si="6"/>
        <v>2332.3810497600007</v>
      </c>
      <c r="O48" s="5">
        <f t="shared" ca="1" si="6"/>
        <v>2332.3810497600007</v>
      </c>
    </row>
    <row r="49" spans="3:15" s="327" customFormat="1" hidden="1" outlineLevel="1" x14ac:dyDescent="0.2">
      <c r="D49" s="660" t="str">
        <f>Screen_BA!D145</f>
        <v>Southern</v>
      </c>
      <c r="J49" s="5">
        <f t="shared" ca="1" si="6"/>
        <v>5498.1418713600015</v>
      </c>
      <c r="K49" s="5">
        <f t="shared" ca="1" si="6"/>
        <v>5498.1418713600015</v>
      </c>
      <c r="L49" s="5">
        <f t="shared" ca="1" si="6"/>
        <v>5498.1418713600015</v>
      </c>
      <c r="M49" s="5">
        <f t="shared" ca="1" si="6"/>
        <v>5498.1418713600015</v>
      </c>
      <c r="N49" s="5">
        <f t="shared" ca="1" si="6"/>
        <v>5498.1418713600015</v>
      </c>
      <c r="O49" s="5">
        <f t="shared" ca="1" si="6"/>
        <v>5498.1418713600015</v>
      </c>
    </row>
    <row r="50" spans="3:15" s="327" customFormat="1" hidden="1" outlineLevel="1" x14ac:dyDescent="0.2">
      <c r="D50" s="660" t="str">
        <f>Screen_BA!D146</f>
        <v>Western</v>
      </c>
      <c r="J50" s="5">
        <f t="shared" ca="1" si="6"/>
        <v>5498.1418713600015</v>
      </c>
      <c r="K50" s="5">
        <f t="shared" ca="1" si="6"/>
        <v>5498.1418713600015</v>
      </c>
      <c r="L50" s="5">
        <f t="shared" ca="1" si="6"/>
        <v>5498.1418713600015</v>
      </c>
      <c r="M50" s="5">
        <f t="shared" ca="1" si="6"/>
        <v>5498.1418713600015</v>
      </c>
      <c r="N50" s="5">
        <f t="shared" ca="1" si="6"/>
        <v>5498.1418713600015</v>
      </c>
      <c r="O50" s="5">
        <f t="shared" ca="1" si="6"/>
        <v>5498.1418713600015</v>
      </c>
    </row>
    <row r="51" spans="3:15" s="327" customFormat="1" ht="15.75" collapsed="1" thickBot="1" x14ac:dyDescent="0.25">
      <c r="D51" s="679" t="str">
        <f>"Total "&amp;C40</f>
        <v>Total Recurrent Financial Costs</v>
      </c>
      <c r="J51" s="624">
        <f t="shared" ref="J51:O51" ca="1" si="7">SUM(J41:J50)</f>
        <v>57397.678896240002</v>
      </c>
      <c r="K51" s="624">
        <f t="shared" ca="1" si="7"/>
        <v>57397.678896240002</v>
      </c>
      <c r="L51" s="624">
        <f t="shared" ca="1" si="7"/>
        <v>57397.678896240002</v>
      </c>
      <c r="M51" s="624">
        <f t="shared" ca="1" si="7"/>
        <v>57397.678896240002</v>
      </c>
      <c r="N51" s="624">
        <f t="shared" ca="1" si="7"/>
        <v>57397.678896240002</v>
      </c>
      <c r="O51" s="624">
        <f t="shared" ca="1" si="7"/>
        <v>57397.678896240002</v>
      </c>
    </row>
    <row r="52" spans="3:15" s="327" customFormat="1" ht="13.5" thickTop="1" x14ac:dyDescent="0.2"/>
    <row r="53" spans="3:15" s="327" customFormat="1" ht="15" x14ac:dyDescent="0.2">
      <c r="C53" s="658" t="s">
        <v>1940</v>
      </c>
    </row>
    <row r="54" spans="3:15" s="327" customFormat="1" hidden="1" outlineLevel="1" x14ac:dyDescent="0.2">
      <c r="D54" s="660" t="str">
        <f>Screen_BA!D137</f>
        <v>Central</v>
      </c>
      <c r="J54" s="5">
        <f t="shared" ref="J54:O63" ca="1" si="8">J15+J28</f>
        <v>12510.365899202296</v>
      </c>
      <c r="K54" s="5">
        <f t="shared" ca="1" si="8"/>
        <v>12510.365899202296</v>
      </c>
      <c r="L54" s="5">
        <f t="shared" ca="1" si="8"/>
        <v>12510.365899202296</v>
      </c>
      <c r="M54" s="5">
        <f t="shared" ca="1" si="8"/>
        <v>12510.365899202296</v>
      </c>
      <c r="N54" s="5">
        <f t="shared" ca="1" si="8"/>
        <v>12510.365899202296</v>
      </c>
      <c r="O54" s="5">
        <f t="shared" ca="1" si="8"/>
        <v>12510.365899202296</v>
      </c>
    </row>
    <row r="55" spans="3:15" s="327" customFormat="1" hidden="1" outlineLevel="1" x14ac:dyDescent="0.2">
      <c r="D55" s="660" t="str">
        <f>Screen_BA!D138</f>
        <v>Copperbelt</v>
      </c>
      <c r="J55" s="5">
        <f t="shared" ca="1" si="8"/>
        <v>17568.115761699424</v>
      </c>
      <c r="K55" s="5">
        <f t="shared" ca="1" si="8"/>
        <v>17568.115761699424</v>
      </c>
      <c r="L55" s="5">
        <f t="shared" ca="1" si="8"/>
        <v>17568.115761699424</v>
      </c>
      <c r="M55" s="5">
        <f t="shared" ca="1" si="8"/>
        <v>17568.115761699424</v>
      </c>
      <c r="N55" s="5">
        <f t="shared" ca="1" si="8"/>
        <v>17568.115761699424</v>
      </c>
      <c r="O55" s="5">
        <f t="shared" ca="1" si="8"/>
        <v>17568.115761699424</v>
      </c>
    </row>
    <row r="56" spans="3:15" s="327" customFormat="1" hidden="1" outlineLevel="1" x14ac:dyDescent="0.2">
      <c r="D56" s="660" t="str">
        <f>Screen_BA!D139</f>
        <v>Eastern</v>
      </c>
      <c r="J56" s="5">
        <f t="shared" ca="1" si="8"/>
        <v>22625.865624196551</v>
      </c>
      <c r="K56" s="5">
        <f t="shared" ca="1" si="8"/>
        <v>22625.865624196551</v>
      </c>
      <c r="L56" s="5">
        <f t="shared" ca="1" si="8"/>
        <v>22625.865624196551</v>
      </c>
      <c r="M56" s="5">
        <f t="shared" ca="1" si="8"/>
        <v>22625.865624196551</v>
      </c>
      <c r="N56" s="5">
        <f t="shared" ca="1" si="8"/>
        <v>22625.865624196551</v>
      </c>
      <c r="O56" s="5">
        <f t="shared" ca="1" si="8"/>
        <v>22625.865624196551</v>
      </c>
    </row>
    <row r="57" spans="3:15" s="327" customFormat="1" hidden="1" outlineLevel="1" x14ac:dyDescent="0.2">
      <c r="D57" s="660" t="str">
        <f>Screen_BA!D140</f>
        <v>Luapula</v>
      </c>
      <c r="J57" s="5">
        <f t="shared" ca="1" si="8"/>
        <v>17568.115761699424</v>
      </c>
      <c r="K57" s="5">
        <f t="shared" ca="1" si="8"/>
        <v>17568.115761699424</v>
      </c>
      <c r="L57" s="5">
        <f t="shared" ca="1" si="8"/>
        <v>17568.115761699424</v>
      </c>
      <c r="M57" s="5">
        <f t="shared" ca="1" si="8"/>
        <v>17568.115761699424</v>
      </c>
      <c r="N57" s="5">
        <f t="shared" ca="1" si="8"/>
        <v>17568.115761699424</v>
      </c>
      <c r="O57" s="5">
        <f t="shared" ca="1" si="8"/>
        <v>17568.115761699424</v>
      </c>
    </row>
    <row r="58" spans="3:15" s="327" customFormat="1" hidden="1" outlineLevel="1" x14ac:dyDescent="0.2">
      <c r="D58" s="660" t="str">
        <f>Screen_BA!D141</f>
        <v>Lusaka</v>
      </c>
      <c r="J58" s="5">
        <f t="shared" ca="1" si="8"/>
        <v>63087.864524173565</v>
      </c>
      <c r="K58" s="5">
        <f t="shared" ca="1" si="8"/>
        <v>63087.864524173565</v>
      </c>
      <c r="L58" s="5">
        <f t="shared" ca="1" si="8"/>
        <v>63087.864524173565</v>
      </c>
      <c r="M58" s="5">
        <f t="shared" ca="1" si="8"/>
        <v>63087.864524173565</v>
      </c>
      <c r="N58" s="5">
        <f t="shared" ca="1" si="8"/>
        <v>63087.864524173565</v>
      </c>
      <c r="O58" s="5">
        <f t="shared" ca="1" si="8"/>
        <v>63087.864524173565</v>
      </c>
    </row>
    <row r="59" spans="3:15" s="327" customFormat="1" hidden="1" outlineLevel="1" x14ac:dyDescent="0.2">
      <c r="D59" s="660" t="str">
        <f>Screen_BA!D142</f>
        <v>Muchinga</v>
      </c>
      <c r="J59" s="5">
        <f t="shared" ca="1" si="8"/>
        <v>1197.4330871040208</v>
      </c>
      <c r="K59" s="5">
        <f t="shared" ca="1" si="8"/>
        <v>1197.4330871040208</v>
      </c>
      <c r="L59" s="5">
        <f t="shared" ca="1" si="8"/>
        <v>1197.4330871040208</v>
      </c>
      <c r="M59" s="5">
        <f t="shared" ca="1" si="8"/>
        <v>1197.4330871040208</v>
      </c>
      <c r="N59" s="5">
        <f t="shared" ca="1" si="8"/>
        <v>1197.4330871040208</v>
      </c>
      <c r="O59" s="5">
        <f t="shared" ca="1" si="8"/>
        <v>1197.4330871040208</v>
      </c>
    </row>
    <row r="60" spans="3:15" s="327" customFormat="1" hidden="1" outlineLevel="1" x14ac:dyDescent="0.2">
      <c r="D60" s="660" t="str">
        <f>Screen_BA!D143</f>
        <v>Northern</v>
      </c>
      <c r="J60" s="5">
        <f t="shared" ca="1" si="8"/>
        <v>6255.1829496011478</v>
      </c>
      <c r="K60" s="5">
        <f t="shared" ca="1" si="8"/>
        <v>6255.1829496011478</v>
      </c>
      <c r="L60" s="5">
        <f t="shared" ca="1" si="8"/>
        <v>6255.1829496011478</v>
      </c>
      <c r="M60" s="5">
        <f t="shared" ca="1" si="8"/>
        <v>6255.1829496011478</v>
      </c>
      <c r="N60" s="5">
        <f t="shared" ca="1" si="8"/>
        <v>6255.1829496011478</v>
      </c>
      <c r="O60" s="5">
        <f t="shared" ca="1" si="8"/>
        <v>6255.1829496011478</v>
      </c>
    </row>
    <row r="61" spans="3:15" s="327" customFormat="1" hidden="1" outlineLevel="1" x14ac:dyDescent="0.2">
      <c r="D61" s="660" t="str">
        <f>Screen_BA!D144</f>
        <v>North-Western</v>
      </c>
      <c r="J61" s="5">
        <f t="shared" ca="1" si="8"/>
        <v>7452.6160367051689</v>
      </c>
      <c r="K61" s="5">
        <f t="shared" ca="1" si="8"/>
        <v>7452.6160367051689</v>
      </c>
      <c r="L61" s="5">
        <f t="shared" ca="1" si="8"/>
        <v>7452.6160367051689</v>
      </c>
      <c r="M61" s="5">
        <f t="shared" ca="1" si="8"/>
        <v>7452.6160367051689</v>
      </c>
      <c r="N61" s="5">
        <f t="shared" ca="1" si="8"/>
        <v>7452.6160367051689</v>
      </c>
      <c r="O61" s="5">
        <f t="shared" ca="1" si="8"/>
        <v>7452.6160367051689</v>
      </c>
    </row>
    <row r="62" spans="3:15" s="327" customFormat="1" hidden="1" outlineLevel="1" x14ac:dyDescent="0.2">
      <c r="D62" s="660" t="str">
        <f>Screen_BA!D145</f>
        <v>Southern</v>
      </c>
      <c r="J62" s="5">
        <f t="shared" ca="1" si="8"/>
        <v>17568.115761699424</v>
      </c>
      <c r="K62" s="5">
        <f t="shared" ca="1" si="8"/>
        <v>17568.115761699424</v>
      </c>
      <c r="L62" s="5">
        <f t="shared" ca="1" si="8"/>
        <v>17568.115761699424</v>
      </c>
      <c r="M62" s="5">
        <f t="shared" ca="1" si="8"/>
        <v>17568.115761699424</v>
      </c>
      <c r="N62" s="5">
        <f t="shared" ca="1" si="8"/>
        <v>17568.115761699424</v>
      </c>
      <c r="O62" s="5">
        <f t="shared" ca="1" si="8"/>
        <v>17568.115761699424</v>
      </c>
    </row>
    <row r="63" spans="3:15" s="327" customFormat="1" hidden="1" outlineLevel="1" x14ac:dyDescent="0.2">
      <c r="D63" s="660" t="str">
        <f>Screen_BA!D146</f>
        <v>Western</v>
      </c>
      <c r="J63" s="5">
        <f t="shared" ca="1" si="8"/>
        <v>17568.115761699424</v>
      </c>
      <c r="K63" s="5">
        <f t="shared" ca="1" si="8"/>
        <v>17568.115761699424</v>
      </c>
      <c r="L63" s="5">
        <f t="shared" ca="1" si="8"/>
        <v>17568.115761699424</v>
      </c>
      <c r="M63" s="5">
        <f t="shared" ca="1" si="8"/>
        <v>17568.115761699424</v>
      </c>
      <c r="N63" s="5">
        <f t="shared" ca="1" si="8"/>
        <v>17568.115761699424</v>
      </c>
      <c r="O63" s="5">
        <f t="shared" ca="1" si="8"/>
        <v>17568.115761699424</v>
      </c>
    </row>
    <row r="64" spans="3:15" s="327" customFormat="1" ht="15.75" collapsed="1" thickBot="1" x14ac:dyDescent="0.25">
      <c r="D64" s="679" t="str">
        <f>"Total "&amp;C53</f>
        <v>Total Recurrent Economic Costs</v>
      </c>
      <c r="J64" s="624">
        <f t="shared" ref="J64:O64" ca="1" si="9">SUM(J54:J63)</f>
        <v>183401.79116778047</v>
      </c>
      <c r="K64" s="624">
        <f t="shared" ca="1" si="9"/>
        <v>183401.79116778047</v>
      </c>
      <c r="L64" s="624">
        <f t="shared" ca="1" si="9"/>
        <v>183401.79116778047</v>
      </c>
      <c r="M64" s="624">
        <f t="shared" ca="1" si="9"/>
        <v>183401.79116778047</v>
      </c>
      <c r="N64" s="624">
        <f t="shared" ca="1" si="9"/>
        <v>183401.79116778047</v>
      </c>
      <c r="O64" s="624">
        <f t="shared" ca="1" si="9"/>
        <v>183401.79116778047</v>
      </c>
    </row>
    <row r="65" spans="3:15" s="327" customFormat="1" ht="13.5" thickTop="1" x14ac:dyDescent="0.2"/>
    <row r="66" spans="3:15" s="327" customFormat="1" ht="15.75" x14ac:dyDescent="0.2">
      <c r="C66" s="330" t="s">
        <v>1932</v>
      </c>
    </row>
    <row r="67" spans="3:15" s="327" customFormat="1" ht="15" x14ac:dyDescent="0.2">
      <c r="D67" s="646" t="str">
        <f>Screen_Ann_TO!D341</f>
        <v>Capex (Equip) NonAnnualized (Fin)</v>
      </c>
    </row>
    <row r="68" spans="3:15" s="327" customFormat="1" outlineLevel="1" x14ac:dyDescent="0.2">
      <c r="D68" s="660" t="str">
        <f>Screen_Ann_TO!D342</f>
        <v>Central</v>
      </c>
      <c r="J68" s="5">
        <f>Screen_Ann_TO!J342</f>
        <v>0</v>
      </c>
      <c r="K68" s="5">
        <f>Screen_Ann_TO!K342</f>
        <v>0</v>
      </c>
      <c r="L68" s="5">
        <f>Screen_Ann_TO!L342</f>
        <v>0</v>
      </c>
      <c r="M68" s="5">
        <f>Screen_Ann_TO!M342</f>
        <v>0</v>
      </c>
      <c r="N68" s="5">
        <f>Screen_Ann_TO!N342</f>
        <v>0</v>
      </c>
      <c r="O68" s="5">
        <f>Screen_Ann_TO!O342</f>
        <v>0</v>
      </c>
    </row>
    <row r="69" spans="3:15" s="327" customFormat="1" outlineLevel="1" x14ac:dyDescent="0.2">
      <c r="D69" s="660" t="str">
        <f>Screen_Ann_TO!D343</f>
        <v>Copperbelt</v>
      </c>
      <c r="J69" s="5">
        <f>Screen_Ann_TO!J343</f>
        <v>0</v>
      </c>
      <c r="K69" s="5">
        <f>Screen_Ann_TO!K343</f>
        <v>0</v>
      </c>
      <c r="L69" s="5">
        <f>Screen_Ann_TO!L343</f>
        <v>0</v>
      </c>
      <c r="M69" s="5">
        <f>Screen_Ann_TO!M343</f>
        <v>0</v>
      </c>
      <c r="N69" s="5">
        <f>Screen_Ann_TO!N343</f>
        <v>0</v>
      </c>
      <c r="O69" s="5">
        <f>Screen_Ann_TO!O343</f>
        <v>0</v>
      </c>
    </row>
    <row r="70" spans="3:15" s="327" customFormat="1" outlineLevel="1" x14ac:dyDescent="0.2">
      <c r="D70" s="660" t="str">
        <f>Screen_Ann_TO!D344</f>
        <v>Eastern</v>
      </c>
      <c r="J70" s="5">
        <f>Screen_Ann_TO!J344</f>
        <v>0</v>
      </c>
      <c r="K70" s="5">
        <f>Screen_Ann_TO!K344</f>
        <v>0</v>
      </c>
      <c r="L70" s="5">
        <f>Screen_Ann_TO!L344</f>
        <v>0</v>
      </c>
      <c r="M70" s="5">
        <f>Screen_Ann_TO!M344</f>
        <v>0</v>
      </c>
      <c r="N70" s="5">
        <f>Screen_Ann_TO!N344</f>
        <v>0</v>
      </c>
      <c r="O70" s="5">
        <f>Screen_Ann_TO!O344</f>
        <v>0</v>
      </c>
    </row>
    <row r="71" spans="3:15" s="327" customFormat="1" outlineLevel="1" x14ac:dyDescent="0.2">
      <c r="D71" s="660" t="str">
        <f>Screen_Ann_TO!D345</f>
        <v>Luapula</v>
      </c>
      <c r="J71" s="5">
        <f>Screen_Ann_TO!J345</f>
        <v>0</v>
      </c>
      <c r="K71" s="5">
        <f>Screen_Ann_TO!K345</f>
        <v>0</v>
      </c>
      <c r="L71" s="5">
        <f>Screen_Ann_TO!L345</f>
        <v>0</v>
      </c>
      <c r="M71" s="5">
        <f>Screen_Ann_TO!M345</f>
        <v>0</v>
      </c>
      <c r="N71" s="5">
        <f>Screen_Ann_TO!N345</f>
        <v>0</v>
      </c>
      <c r="O71" s="5">
        <f>Screen_Ann_TO!O345</f>
        <v>0</v>
      </c>
    </row>
    <row r="72" spans="3:15" s="327" customFormat="1" outlineLevel="1" x14ac:dyDescent="0.2">
      <c r="D72" s="660" t="str">
        <f>Screen_Ann_TO!D346</f>
        <v>Lusaka</v>
      </c>
      <c r="J72" s="5">
        <f>Screen_Ann_TO!J346</f>
        <v>0</v>
      </c>
      <c r="K72" s="5">
        <f>Screen_Ann_TO!K346</f>
        <v>0</v>
      </c>
      <c r="L72" s="5">
        <f>Screen_Ann_TO!L346</f>
        <v>0</v>
      </c>
      <c r="M72" s="5">
        <f>Screen_Ann_TO!M346</f>
        <v>0</v>
      </c>
      <c r="N72" s="5">
        <f>Screen_Ann_TO!N346</f>
        <v>0</v>
      </c>
      <c r="O72" s="5">
        <f>Screen_Ann_TO!O346</f>
        <v>0</v>
      </c>
    </row>
    <row r="73" spans="3:15" s="327" customFormat="1" outlineLevel="1" x14ac:dyDescent="0.2">
      <c r="D73" s="660" t="str">
        <f>Screen_Ann_TO!D347</f>
        <v>Muchinga</v>
      </c>
      <c r="J73" s="5">
        <f>Screen_Ann_TO!J347</f>
        <v>0</v>
      </c>
      <c r="K73" s="5">
        <f>Screen_Ann_TO!K347</f>
        <v>0</v>
      </c>
      <c r="L73" s="5">
        <f>Screen_Ann_TO!L347</f>
        <v>0</v>
      </c>
      <c r="M73" s="5">
        <f>Screen_Ann_TO!M347</f>
        <v>0</v>
      </c>
      <c r="N73" s="5">
        <f>Screen_Ann_TO!N347</f>
        <v>0</v>
      </c>
      <c r="O73" s="5">
        <f>Screen_Ann_TO!O347</f>
        <v>0</v>
      </c>
    </row>
    <row r="74" spans="3:15" s="327" customFormat="1" outlineLevel="1" x14ac:dyDescent="0.2">
      <c r="D74" s="660" t="str">
        <f>Screen_Ann_TO!D348</f>
        <v>Northern</v>
      </c>
      <c r="J74" s="5">
        <f>Screen_Ann_TO!J348</f>
        <v>0</v>
      </c>
      <c r="K74" s="5">
        <f>Screen_Ann_TO!K348</f>
        <v>0</v>
      </c>
      <c r="L74" s="5">
        <f>Screen_Ann_TO!L348</f>
        <v>0</v>
      </c>
      <c r="M74" s="5">
        <f>Screen_Ann_TO!M348</f>
        <v>0</v>
      </c>
      <c r="N74" s="5">
        <f>Screen_Ann_TO!N348</f>
        <v>0</v>
      </c>
      <c r="O74" s="5">
        <f>Screen_Ann_TO!O348</f>
        <v>0</v>
      </c>
    </row>
    <row r="75" spans="3:15" s="327" customFormat="1" outlineLevel="1" x14ac:dyDescent="0.2">
      <c r="D75" s="660" t="str">
        <f>Screen_Ann_TO!D349</f>
        <v>North-Western</v>
      </c>
      <c r="J75" s="5">
        <f>Screen_Ann_TO!J349</f>
        <v>0</v>
      </c>
      <c r="K75" s="5">
        <f>Screen_Ann_TO!K349</f>
        <v>0</v>
      </c>
      <c r="L75" s="5">
        <f>Screen_Ann_TO!L349</f>
        <v>0</v>
      </c>
      <c r="M75" s="5">
        <f>Screen_Ann_TO!M349</f>
        <v>0</v>
      </c>
      <c r="N75" s="5">
        <f>Screen_Ann_TO!N349</f>
        <v>0</v>
      </c>
      <c r="O75" s="5">
        <f>Screen_Ann_TO!O349</f>
        <v>0</v>
      </c>
    </row>
    <row r="76" spans="3:15" s="327" customFormat="1" outlineLevel="1" x14ac:dyDescent="0.2">
      <c r="D76" s="660" t="str">
        <f>Screen_Ann_TO!D350</f>
        <v>Southern</v>
      </c>
      <c r="J76" s="5">
        <f>Screen_Ann_TO!J350</f>
        <v>0</v>
      </c>
      <c r="K76" s="5">
        <f>Screen_Ann_TO!K350</f>
        <v>0</v>
      </c>
      <c r="L76" s="5">
        <f>Screen_Ann_TO!L350</f>
        <v>0</v>
      </c>
      <c r="M76" s="5">
        <f>Screen_Ann_TO!M350</f>
        <v>0</v>
      </c>
      <c r="N76" s="5">
        <f>Screen_Ann_TO!N350</f>
        <v>0</v>
      </c>
      <c r="O76" s="5">
        <f>Screen_Ann_TO!O350</f>
        <v>0</v>
      </c>
    </row>
    <row r="77" spans="3:15" s="327" customFormat="1" outlineLevel="1" x14ac:dyDescent="0.2">
      <c r="D77" s="660" t="str">
        <f>Screen_Ann_TO!D351</f>
        <v>Western</v>
      </c>
      <c r="J77" s="5">
        <f>Screen_Ann_TO!J351</f>
        <v>0</v>
      </c>
      <c r="K77" s="5">
        <f>Screen_Ann_TO!K351</f>
        <v>0</v>
      </c>
      <c r="L77" s="5">
        <f>Screen_Ann_TO!L351</f>
        <v>0</v>
      </c>
      <c r="M77" s="5">
        <f>Screen_Ann_TO!M351</f>
        <v>0</v>
      </c>
      <c r="N77" s="5">
        <f>Screen_Ann_TO!N351</f>
        <v>0</v>
      </c>
      <c r="O77" s="5">
        <f>Screen_Ann_TO!O351</f>
        <v>0</v>
      </c>
    </row>
    <row r="78" spans="3:15" s="327" customFormat="1" ht="15" x14ac:dyDescent="0.2">
      <c r="D78" s="679" t="str">
        <f>"Total "&amp;D67</f>
        <v>Total Capex (Equip) NonAnnualized (Fin)</v>
      </c>
      <c r="J78" s="562">
        <f t="shared" ref="J78:O78" si="10">SUM(J68:J77)</f>
        <v>0</v>
      </c>
      <c r="K78" s="562">
        <f t="shared" si="10"/>
        <v>0</v>
      </c>
      <c r="L78" s="562">
        <f t="shared" si="10"/>
        <v>0</v>
      </c>
      <c r="M78" s="562">
        <f t="shared" si="10"/>
        <v>0</v>
      </c>
      <c r="N78" s="562">
        <f t="shared" si="10"/>
        <v>0</v>
      </c>
      <c r="O78" s="562">
        <f t="shared" si="10"/>
        <v>0</v>
      </c>
    </row>
    <row r="79" spans="3:15" s="327" customFormat="1" x14ac:dyDescent="0.2"/>
    <row r="80" spans="3:15" s="327" customFormat="1" ht="15" x14ac:dyDescent="0.2">
      <c r="D80" s="646" t="str">
        <f>Screen_Ann_TO!D354</f>
        <v>Capex (Equip) Annualized (Fin)</v>
      </c>
    </row>
    <row r="81" spans="4:15" s="327" customFormat="1" outlineLevel="1" x14ac:dyDescent="0.2">
      <c r="D81" s="660" t="str">
        <f>Screen_Ann_TO!D355</f>
        <v>Central</v>
      </c>
      <c r="J81" s="5">
        <f>Screen_Ann_TO!J355</f>
        <v>2075.06</v>
      </c>
      <c r="K81" s="5">
        <f>Screen_Ann_TO!K355</f>
        <v>2075.06</v>
      </c>
      <c r="L81" s="5">
        <f>Screen_Ann_TO!L355</f>
        <v>2075.06</v>
      </c>
      <c r="M81" s="5">
        <f>Screen_Ann_TO!M355</f>
        <v>2075.06</v>
      </c>
      <c r="N81" s="5">
        <f>Screen_Ann_TO!N355</f>
        <v>2075.06</v>
      </c>
      <c r="O81" s="5">
        <f>Screen_Ann_TO!O355</f>
        <v>2075.06</v>
      </c>
    </row>
    <row r="82" spans="4:15" s="327" customFormat="1" outlineLevel="1" x14ac:dyDescent="0.2">
      <c r="D82" s="660" t="str">
        <f>Screen_Ann_TO!D356</f>
        <v>Copperbelt</v>
      </c>
      <c r="J82" s="5">
        <f>Screen_Ann_TO!J356</f>
        <v>2593.8249999999998</v>
      </c>
      <c r="K82" s="5">
        <f>Screen_Ann_TO!K356</f>
        <v>2593.8249999999998</v>
      </c>
      <c r="L82" s="5">
        <f>Screen_Ann_TO!L356</f>
        <v>2593.8249999999998</v>
      </c>
      <c r="M82" s="5">
        <f>Screen_Ann_TO!M356</f>
        <v>2593.8249999999998</v>
      </c>
      <c r="N82" s="5">
        <f>Screen_Ann_TO!N356</f>
        <v>2593.8249999999998</v>
      </c>
      <c r="O82" s="5">
        <f>Screen_Ann_TO!O356</f>
        <v>2593.8249999999998</v>
      </c>
    </row>
    <row r="83" spans="4:15" s="327" customFormat="1" outlineLevel="1" x14ac:dyDescent="0.2">
      <c r="D83" s="660" t="str">
        <f>Screen_Ann_TO!D357</f>
        <v>Eastern</v>
      </c>
      <c r="J83" s="5">
        <f>Screen_Ann_TO!J357</f>
        <v>3112.59</v>
      </c>
      <c r="K83" s="5">
        <f>Screen_Ann_TO!K357</f>
        <v>3112.59</v>
      </c>
      <c r="L83" s="5">
        <f>Screen_Ann_TO!L357</f>
        <v>3112.59</v>
      </c>
      <c r="M83" s="5">
        <f>Screen_Ann_TO!M357</f>
        <v>3112.59</v>
      </c>
      <c r="N83" s="5">
        <f>Screen_Ann_TO!N357</f>
        <v>3112.59</v>
      </c>
      <c r="O83" s="5">
        <f>Screen_Ann_TO!O357</f>
        <v>3112.59</v>
      </c>
    </row>
    <row r="84" spans="4:15" s="327" customFormat="1" outlineLevel="1" x14ac:dyDescent="0.2">
      <c r="D84" s="660" t="str">
        <f>Screen_Ann_TO!D358</f>
        <v>Luapula</v>
      </c>
      <c r="J84" s="5">
        <f>Screen_Ann_TO!J358</f>
        <v>2593.8249999999998</v>
      </c>
      <c r="K84" s="5">
        <f>Screen_Ann_TO!K358</f>
        <v>2593.8249999999998</v>
      </c>
      <c r="L84" s="5">
        <f>Screen_Ann_TO!L358</f>
        <v>2593.8249999999998</v>
      </c>
      <c r="M84" s="5">
        <f>Screen_Ann_TO!M358</f>
        <v>2593.8249999999998</v>
      </c>
      <c r="N84" s="5">
        <f>Screen_Ann_TO!N358</f>
        <v>2593.8249999999998</v>
      </c>
      <c r="O84" s="5">
        <f>Screen_Ann_TO!O358</f>
        <v>2593.8249999999998</v>
      </c>
    </row>
    <row r="85" spans="4:15" s="327" customFormat="1" outlineLevel="1" x14ac:dyDescent="0.2">
      <c r="D85" s="660" t="str">
        <f>Screen_Ann_TO!D359</f>
        <v>Lusaka</v>
      </c>
      <c r="J85" s="5">
        <f>Screen_Ann_TO!J359</f>
        <v>7262.71</v>
      </c>
      <c r="K85" s="5">
        <f>Screen_Ann_TO!K359</f>
        <v>7262.71</v>
      </c>
      <c r="L85" s="5">
        <f>Screen_Ann_TO!L359</f>
        <v>7262.71</v>
      </c>
      <c r="M85" s="5">
        <f>Screen_Ann_TO!M359</f>
        <v>7262.71</v>
      </c>
      <c r="N85" s="5">
        <f>Screen_Ann_TO!N359</f>
        <v>7262.71</v>
      </c>
      <c r="O85" s="5">
        <f>Screen_Ann_TO!O359</f>
        <v>7262.71</v>
      </c>
    </row>
    <row r="86" spans="4:15" s="327" customFormat="1" outlineLevel="1" x14ac:dyDescent="0.2">
      <c r="D86" s="660" t="str">
        <f>Screen_Ann_TO!D360</f>
        <v>Muchinga</v>
      </c>
      <c r="J86" s="5">
        <f>Screen_Ann_TO!J360</f>
        <v>518.76499999999999</v>
      </c>
      <c r="K86" s="5">
        <f>Screen_Ann_TO!K360</f>
        <v>518.76499999999999</v>
      </c>
      <c r="L86" s="5">
        <f>Screen_Ann_TO!L360</f>
        <v>518.76499999999999</v>
      </c>
      <c r="M86" s="5">
        <f>Screen_Ann_TO!M360</f>
        <v>518.76499999999999</v>
      </c>
      <c r="N86" s="5">
        <f>Screen_Ann_TO!N360</f>
        <v>518.76499999999999</v>
      </c>
      <c r="O86" s="5">
        <f>Screen_Ann_TO!O360</f>
        <v>518.76499999999999</v>
      </c>
    </row>
    <row r="87" spans="4:15" s="327" customFormat="1" outlineLevel="1" x14ac:dyDescent="0.2">
      <c r="D87" s="660" t="str">
        <f>Screen_Ann_TO!D361</f>
        <v>Northern</v>
      </c>
      <c r="J87" s="5">
        <f>Screen_Ann_TO!J361</f>
        <v>1037.53</v>
      </c>
      <c r="K87" s="5">
        <f>Screen_Ann_TO!K361</f>
        <v>1037.53</v>
      </c>
      <c r="L87" s="5">
        <f>Screen_Ann_TO!L361</f>
        <v>1037.53</v>
      </c>
      <c r="M87" s="5">
        <f>Screen_Ann_TO!M361</f>
        <v>1037.53</v>
      </c>
      <c r="N87" s="5">
        <f>Screen_Ann_TO!N361</f>
        <v>1037.53</v>
      </c>
      <c r="O87" s="5">
        <f>Screen_Ann_TO!O361</f>
        <v>1037.53</v>
      </c>
    </row>
    <row r="88" spans="4:15" s="327" customFormat="1" outlineLevel="1" x14ac:dyDescent="0.2">
      <c r="D88" s="660" t="str">
        <f>Screen_Ann_TO!D362</f>
        <v>North-Western</v>
      </c>
      <c r="J88" s="5">
        <f>Screen_Ann_TO!J362</f>
        <v>1556.2950000000001</v>
      </c>
      <c r="K88" s="5">
        <f>Screen_Ann_TO!K362</f>
        <v>1556.2950000000001</v>
      </c>
      <c r="L88" s="5">
        <f>Screen_Ann_TO!L362</f>
        <v>1556.2950000000001</v>
      </c>
      <c r="M88" s="5">
        <f>Screen_Ann_TO!M362</f>
        <v>1556.2950000000001</v>
      </c>
      <c r="N88" s="5">
        <f>Screen_Ann_TO!N362</f>
        <v>1556.2950000000001</v>
      </c>
      <c r="O88" s="5">
        <f>Screen_Ann_TO!O362</f>
        <v>1556.2950000000001</v>
      </c>
    </row>
    <row r="89" spans="4:15" s="327" customFormat="1" outlineLevel="1" x14ac:dyDescent="0.2">
      <c r="D89" s="660" t="str">
        <f>Screen_Ann_TO!D363</f>
        <v>Southern</v>
      </c>
      <c r="J89" s="5">
        <f>Screen_Ann_TO!J363</f>
        <v>2593.8249999999998</v>
      </c>
      <c r="K89" s="5">
        <f>Screen_Ann_TO!K363</f>
        <v>2593.8249999999998</v>
      </c>
      <c r="L89" s="5">
        <f>Screen_Ann_TO!L363</f>
        <v>2593.8249999999998</v>
      </c>
      <c r="M89" s="5">
        <f>Screen_Ann_TO!M363</f>
        <v>2593.8249999999998</v>
      </c>
      <c r="N89" s="5">
        <f>Screen_Ann_TO!N363</f>
        <v>2593.8249999999998</v>
      </c>
      <c r="O89" s="5">
        <f>Screen_Ann_TO!O363</f>
        <v>2593.8249999999998</v>
      </c>
    </row>
    <row r="90" spans="4:15" s="327" customFormat="1" outlineLevel="1" x14ac:dyDescent="0.2">
      <c r="D90" s="660" t="str">
        <f>Screen_Ann_TO!D364</f>
        <v>Western</v>
      </c>
      <c r="J90" s="5">
        <f>Screen_Ann_TO!J364</f>
        <v>2593.8249999999998</v>
      </c>
      <c r="K90" s="5">
        <f>Screen_Ann_TO!K364</f>
        <v>2593.8249999999998</v>
      </c>
      <c r="L90" s="5">
        <f>Screen_Ann_TO!L364</f>
        <v>2593.8249999999998</v>
      </c>
      <c r="M90" s="5">
        <f>Screen_Ann_TO!M364</f>
        <v>2593.8249999999998</v>
      </c>
      <c r="N90" s="5">
        <f>Screen_Ann_TO!N364</f>
        <v>2593.8249999999998</v>
      </c>
      <c r="O90" s="5">
        <f>Screen_Ann_TO!O364</f>
        <v>2593.8249999999998</v>
      </c>
    </row>
    <row r="91" spans="4:15" s="327" customFormat="1" ht="15" x14ac:dyDescent="0.2">
      <c r="D91" s="679" t="str">
        <f>"Total "&amp;D80</f>
        <v>Total Capex (Equip) Annualized (Fin)</v>
      </c>
      <c r="J91" s="562">
        <f t="shared" ref="J91:O91" si="11">SUM(J81:J90)</f>
        <v>25938.25</v>
      </c>
      <c r="K91" s="562">
        <f t="shared" si="11"/>
        <v>25938.25</v>
      </c>
      <c r="L91" s="562">
        <f t="shared" si="11"/>
        <v>25938.25</v>
      </c>
      <c r="M91" s="562">
        <f t="shared" si="11"/>
        <v>25938.25</v>
      </c>
      <c r="N91" s="562">
        <f t="shared" si="11"/>
        <v>25938.25</v>
      </c>
      <c r="O91" s="562">
        <f t="shared" si="11"/>
        <v>25938.25</v>
      </c>
    </row>
    <row r="92" spans="4:15" s="327" customFormat="1" x14ac:dyDescent="0.2"/>
    <row r="93" spans="4:15" s="327" customFormat="1" ht="15" x14ac:dyDescent="0.2">
      <c r="D93" s="646" t="str">
        <f>Screen_Ann_TO!D367</f>
        <v>Capex (Equip) NonAnnualized (Econ)</v>
      </c>
    </row>
    <row r="94" spans="4:15" s="327" customFormat="1" hidden="1" outlineLevel="1" x14ac:dyDescent="0.2">
      <c r="D94" s="660" t="str">
        <f>Screen_Ann_TO!D368</f>
        <v>Central</v>
      </c>
      <c r="J94" s="5">
        <f>Screen_Ann_TO!J368</f>
        <v>0</v>
      </c>
      <c r="K94" s="5">
        <f>Screen_Ann_TO!K368</f>
        <v>0</v>
      </c>
      <c r="L94" s="5">
        <f>Screen_Ann_TO!L368</f>
        <v>0</v>
      </c>
      <c r="M94" s="5">
        <f>Screen_Ann_TO!M368</f>
        <v>0</v>
      </c>
      <c r="N94" s="5">
        <f>Screen_Ann_TO!N368</f>
        <v>0</v>
      </c>
      <c r="O94" s="5">
        <f>Screen_Ann_TO!O368</f>
        <v>0</v>
      </c>
    </row>
    <row r="95" spans="4:15" s="327" customFormat="1" hidden="1" outlineLevel="1" x14ac:dyDescent="0.2">
      <c r="D95" s="660" t="str">
        <f>Screen_Ann_TO!D369</f>
        <v>Copperbelt</v>
      </c>
      <c r="J95" s="5">
        <f>Screen_Ann_TO!J369</f>
        <v>0</v>
      </c>
      <c r="K95" s="5">
        <f>Screen_Ann_TO!K369</f>
        <v>0</v>
      </c>
      <c r="L95" s="5">
        <f>Screen_Ann_TO!L369</f>
        <v>0</v>
      </c>
      <c r="M95" s="5">
        <f>Screen_Ann_TO!M369</f>
        <v>0</v>
      </c>
      <c r="N95" s="5">
        <f>Screen_Ann_TO!N369</f>
        <v>0</v>
      </c>
      <c r="O95" s="5">
        <f>Screen_Ann_TO!O369</f>
        <v>0</v>
      </c>
    </row>
    <row r="96" spans="4:15" s="327" customFormat="1" hidden="1" outlineLevel="1" x14ac:dyDescent="0.2">
      <c r="D96" s="660" t="str">
        <f>Screen_Ann_TO!D370</f>
        <v>Eastern</v>
      </c>
      <c r="J96" s="5">
        <f>Screen_Ann_TO!J370</f>
        <v>0</v>
      </c>
      <c r="K96" s="5">
        <f>Screen_Ann_TO!K370</f>
        <v>0</v>
      </c>
      <c r="L96" s="5">
        <f>Screen_Ann_TO!L370</f>
        <v>0</v>
      </c>
      <c r="M96" s="5">
        <f>Screen_Ann_TO!M370</f>
        <v>0</v>
      </c>
      <c r="N96" s="5">
        <f>Screen_Ann_TO!N370</f>
        <v>0</v>
      </c>
      <c r="O96" s="5">
        <f>Screen_Ann_TO!O370</f>
        <v>0</v>
      </c>
    </row>
    <row r="97" spans="4:15" s="327" customFormat="1" hidden="1" outlineLevel="1" x14ac:dyDescent="0.2">
      <c r="D97" s="660" t="str">
        <f>Screen_Ann_TO!D371</f>
        <v>Luapula</v>
      </c>
      <c r="J97" s="5">
        <f>Screen_Ann_TO!J371</f>
        <v>0</v>
      </c>
      <c r="K97" s="5">
        <f>Screen_Ann_TO!K371</f>
        <v>0</v>
      </c>
      <c r="L97" s="5">
        <f>Screen_Ann_TO!L371</f>
        <v>0</v>
      </c>
      <c r="M97" s="5">
        <f>Screen_Ann_TO!M371</f>
        <v>0</v>
      </c>
      <c r="N97" s="5">
        <f>Screen_Ann_TO!N371</f>
        <v>0</v>
      </c>
      <c r="O97" s="5">
        <f>Screen_Ann_TO!O371</f>
        <v>0</v>
      </c>
    </row>
    <row r="98" spans="4:15" s="327" customFormat="1" hidden="1" outlineLevel="1" x14ac:dyDescent="0.2">
      <c r="D98" s="660" t="str">
        <f>Screen_Ann_TO!D372</f>
        <v>Lusaka</v>
      </c>
      <c r="J98" s="5">
        <f>Screen_Ann_TO!J372</f>
        <v>0</v>
      </c>
      <c r="K98" s="5">
        <f>Screen_Ann_TO!K372</f>
        <v>0</v>
      </c>
      <c r="L98" s="5">
        <f>Screen_Ann_TO!L372</f>
        <v>0</v>
      </c>
      <c r="M98" s="5">
        <f>Screen_Ann_TO!M372</f>
        <v>0</v>
      </c>
      <c r="N98" s="5">
        <f>Screen_Ann_TO!N372</f>
        <v>0</v>
      </c>
      <c r="O98" s="5">
        <f>Screen_Ann_TO!O372</f>
        <v>0</v>
      </c>
    </row>
    <row r="99" spans="4:15" s="327" customFormat="1" hidden="1" outlineLevel="1" x14ac:dyDescent="0.2">
      <c r="D99" s="660" t="str">
        <f>Screen_Ann_TO!D373</f>
        <v>Muchinga</v>
      </c>
      <c r="J99" s="5">
        <f>Screen_Ann_TO!J373</f>
        <v>0</v>
      </c>
      <c r="K99" s="5">
        <f>Screen_Ann_TO!K373</f>
        <v>0</v>
      </c>
      <c r="L99" s="5">
        <f>Screen_Ann_TO!L373</f>
        <v>0</v>
      </c>
      <c r="M99" s="5">
        <f>Screen_Ann_TO!M373</f>
        <v>0</v>
      </c>
      <c r="N99" s="5">
        <f>Screen_Ann_TO!N373</f>
        <v>0</v>
      </c>
      <c r="O99" s="5">
        <f>Screen_Ann_TO!O373</f>
        <v>0</v>
      </c>
    </row>
    <row r="100" spans="4:15" s="327" customFormat="1" hidden="1" outlineLevel="1" x14ac:dyDescent="0.2">
      <c r="D100" s="660" t="str">
        <f>Screen_Ann_TO!D374</f>
        <v>Northern</v>
      </c>
      <c r="J100" s="5">
        <f>Screen_Ann_TO!J374</f>
        <v>0</v>
      </c>
      <c r="K100" s="5">
        <f>Screen_Ann_TO!K374</f>
        <v>0</v>
      </c>
      <c r="L100" s="5">
        <f>Screen_Ann_TO!L374</f>
        <v>0</v>
      </c>
      <c r="M100" s="5">
        <f>Screen_Ann_TO!M374</f>
        <v>0</v>
      </c>
      <c r="N100" s="5">
        <f>Screen_Ann_TO!N374</f>
        <v>0</v>
      </c>
      <c r="O100" s="5">
        <f>Screen_Ann_TO!O374</f>
        <v>0</v>
      </c>
    </row>
    <row r="101" spans="4:15" s="327" customFormat="1" hidden="1" outlineLevel="1" x14ac:dyDescent="0.2">
      <c r="D101" s="660" t="str">
        <f>Screen_Ann_TO!D375</f>
        <v>North-Western</v>
      </c>
      <c r="J101" s="5">
        <f>Screen_Ann_TO!J375</f>
        <v>0</v>
      </c>
      <c r="K101" s="5">
        <f>Screen_Ann_TO!K375</f>
        <v>0</v>
      </c>
      <c r="L101" s="5">
        <f>Screen_Ann_TO!L375</f>
        <v>0</v>
      </c>
      <c r="M101" s="5">
        <f>Screen_Ann_TO!M375</f>
        <v>0</v>
      </c>
      <c r="N101" s="5">
        <f>Screen_Ann_TO!N375</f>
        <v>0</v>
      </c>
      <c r="O101" s="5">
        <f>Screen_Ann_TO!O375</f>
        <v>0</v>
      </c>
    </row>
    <row r="102" spans="4:15" s="327" customFormat="1" hidden="1" outlineLevel="1" x14ac:dyDescent="0.2">
      <c r="D102" s="660" t="str">
        <f>Screen_Ann_TO!D376</f>
        <v>Southern</v>
      </c>
      <c r="J102" s="5">
        <f>Screen_Ann_TO!J376</f>
        <v>0</v>
      </c>
      <c r="K102" s="5">
        <f>Screen_Ann_TO!K376</f>
        <v>0</v>
      </c>
      <c r="L102" s="5">
        <f>Screen_Ann_TO!L376</f>
        <v>0</v>
      </c>
      <c r="M102" s="5">
        <f>Screen_Ann_TO!M376</f>
        <v>0</v>
      </c>
      <c r="N102" s="5">
        <f>Screen_Ann_TO!N376</f>
        <v>0</v>
      </c>
      <c r="O102" s="5">
        <f>Screen_Ann_TO!O376</f>
        <v>0</v>
      </c>
    </row>
    <row r="103" spans="4:15" s="327" customFormat="1" hidden="1" outlineLevel="1" x14ac:dyDescent="0.2">
      <c r="D103" s="660" t="str">
        <f>Screen_Ann_TO!D377</f>
        <v>Western</v>
      </c>
      <c r="J103" s="5">
        <f>Screen_Ann_TO!J377</f>
        <v>0</v>
      </c>
      <c r="K103" s="5">
        <f>Screen_Ann_TO!K377</f>
        <v>0</v>
      </c>
      <c r="L103" s="5">
        <f>Screen_Ann_TO!L377</f>
        <v>0</v>
      </c>
      <c r="M103" s="5">
        <f>Screen_Ann_TO!M377</f>
        <v>0</v>
      </c>
      <c r="N103" s="5">
        <f>Screen_Ann_TO!N377</f>
        <v>0</v>
      </c>
      <c r="O103" s="5">
        <f>Screen_Ann_TO!O377</f>
        <v>0</v>
      </c>
    </row>
    <row r="104" spans="4:15" s="327" customFormat="1" ht="15" collapsed="1" x14ac:dyDescent="0.2">
      <c r="D104" s="679" t="str">
        <f>"Total "&amp;D93</f>
        <v>Total Capex (Equip) NonAnnualized (Econ)</v>
      </c>
      <c r="J104" s="562">
        <f t="shared" ref="J104:O104" si="12">SUM(J94:J103)</f>
        <v>0</v>
      </c>
      <c r="K104" s="562">
        <f t="shared" si="12"/>
        <v>0</v>
      </c>
      <c r="L104" s="562">
        <f t="shared" si="12"/>
        <v>0</v>
      </c>
      <c r="M104" s="562">
        <f t="shared" si="12"/>
        <v>0</v>
      </c>
      <c r="N104" s="562">
        <f t="shared" si="12"/>
        <v>0</v>
      </c>
      <c r="O104" s="562">
        <f t="shared" si="12"/>
        <v>0</v>
      </c>
    </row>
    <row r="105" spans="4:15" s="327" customFormat="1" x14ac:dyDescent="0.2"/>
    <row r="106" spans="4:15" s="327" customFormat="1" ht="15" x14ac:dyDescent="0.2">
      <c r="D106" s="646" t="str">
        <f>Screen_Ann_TO!D380</f>
        <v>Capex (Equip) Annualized (Econ)</v>
      </c>
    </row>
    <row r="107" spans="4:15" s="327" customFormat="1" hidden="1" outlineLevel="1" x14ac:dyDescent="0.2">
      <c r="D107" s="660" t="str">
        <f>Screen_Ann_TO!D381</f>
        <v>Central</v>
      </c>
      <c r="J107" s="5">
        <f>Screen_Ann_TO!J381</f>
        <v>2292.691596705949</v>
      </c>
      <c r="K107" s="5">
        <f>Screen_Ann_TO!K381</f>
        <v>2292.691596705949</v>
      </c>
      <c r="L107" s="5">
        <f>Screen_Ann_TO!L381</f>
        <v>2292.691596705949</v>
      </c>
      <c r="M107" s="5">
        <f>Screen_Ann_TO!M381</f>
        <v>2292.691596705949</v>
      </c>
      <c r="N107" s="5">
        <f>Screen_Ann_TO!N381</f>
        <v>2292.691596705949</v>
      </c>
      <c r="O107" s="5">
        <f>Screen_Ann_TO!O381</f>
        <v>2292.691596705949</v>
      </c>
    </row>
    <row r="108" spans="4:15" s="327" customFormat="1" hidden="1" outlineLevel="1" x14ac:dyDescent="0.2">
      <c r="D108" s="660" t="str">
        <f>Screen_Ann_TO!D382</f>
        <v>Copperbelt</v>
      </c>
      <c r="J108" s="5">
        <f>Screen_Ann_TO!J382</f>
        <v>2865.8644958824361</v>
      </c>
      <c r="K108" s="5">
        <f>Screen_Ann_TO!K382</f>
        <v>2865.8644958824361</v>
      </c>
      <c r="L108" s="5">
        <f>Screen_Ann_TO!L382</f>
        <v>2865.8644958824361</v>
      </c>
      <c r="M108" s="5">
        <f>Screen_Ann_TO!M382</f>
        <v>2865.8644958824361</v>
      </c>
      <c r="N108" s="5">
        <f>Screen_Ann_TO!N382</f>
        <v>2865.8644958824361</v>
      </c>
      <c r="O108" s="5">
        <f>Screen_Ann_TO!O382</f>
        <v>2865.8644958824361</v>
      </c>
    </row>
    <row r="109" spans="4:15" s="327" customFormat="1" hidden="1" outlineLevel="1" x14ac:dyDescent="0.2">
      <c r="D109" s="660" t="str">
        <f>Screen_Ann_TO!D383</f>
        <v>Eastern</v>
      </c>
      <c r="J109" s="5">
        <f>Screen_Ann_TO!J383</f>
        <v>3439.0373950589237</v>
      </c>
      <c r="K109" s="5">
        <f>Screen_Ann_TO!K383</f>
        <v>3439.0373950589237</v>
      </c>
      <c r="L109" s="5">
        <f>Screen_Ann_TO!L383</f>
        <v>3439.0373950589237</v>
      </c>
      <c r="M109" s="5">
        <f>Screen_Ann_TO!M383</f>
        <v>3439.0373950589237</v>
      </c>
      <c r="N109" s="5">
        <f>Screen_Ann_TO!N383</f>
        <v>3439.0373950589237</v>
      </c>
      <c r="O109" s="5">
        <f>Screen_Ann_TO!O383</f>
        <v>3439.0373950589237</v>
      </c>
    </row>
    <row r="110" spans="4:15" s="327" customFormat="1" hidden="1" outlineLevel="1" x14ac:dyDescent="0.2">
      <c r="D110" s="660" t="str">
        <f>Screen_Ann_TO!D384</f>
        <v>Luapula</v>
      </c>
      <c r="J110" s="5">
        <f>Screen_Ann_TO!J384</f>
        <v>2865.8644958824361</v>
      </c>
      <c r="K110" s="5">
        <f>Screen_Ann_TO!K384</f>
        <v>2865.8644958824361</v>
      </c>
      <c r="L110" s="5">
        <f>Screen_Ann_TO!L384</f>
        <v>2865.8644958824361</v>
      </c>
      <c r="M110" s="5">
        <f>Screen_Ann_TO!M384</f>
        <v>2865.8644958824361</v>
      </c>
      <c r="N110" s="5">
        <f>Screen_Ann_TO!N384</f>
        <v>2865.8644958824361</v>
      </c>
      <c r="O110" s="5">
        <f>Screen_Ann_TO!O384</f>
        <v>2865.8644958824361</v>
      </c>
    </row>
    <row r="111" spans="4:15" s="327" customFormat="1" hidden="1" outlineLevel="1" x14ac:dyDescent="0.2">
      <c r="D111" s="660" t="str">
        <f>Screen_Ann_TO!D385</f>
        <v>Lusaka</v>
      </c>
      <c r="J111" s="5">
        <f>Screen_Ann_TO!J385</f>
        <v>8024.4205884708217</v>
      </c>
      <c r="K111" s="5">
        <f>Screen_Ann_TO!K385</f>
        <v>8024.4205884708217</v>
      </c>
      <c r="L111" s="5">
        <f>Screen_Ann_TO!L385</f>
        <v>8024.4205884708217</v>
      </c>
      <c r="M111" s="5">
        <f>Screen_Ann_TO!M385</f>
        <v>8024.4205884708217</v>
      </c>
      <c r="N111" s="5">
        <f>Screen_Ann_TO!N385</f>
        <v>8024.4205884708217</v>
      </c>
      <c r="O111" s="5">
        <f>Screen_Ann_TO!O385</f>
        <v>8024.4205884708217</v>
      </c>
    </row>
    <row r="112" spans="4:15" s="327" customFormat="1" hidden="1" outlineLevel="1" x14ac:dyDescent="0.2">
      <c r="D112" s="660" t="str">
        <f>Screen_Ann_TO!D386</f>
        <v>Muchinga</v>
      </c>
      <c r="J112" s="5">
        <f>Screen_Ann_TO!J386</f>
        <v>573.17289917648725</v>
      </c>
      <c r="K112" s="5">
        <f>Screen_Ann_TO!K386</f>
        <v>573.17289917648725</v>
      </c>
      <c r="L112" s="5">
        <f>Screen_Ann_TO!L386</f>
        <v>573.17289917648725</v>
      </c>
      <c r="M112" s="5">
        <f>Screen_Ann_TO!M386</f>
        <v>573.17289917648725</v>
      </c>
      <c r="N112" s="5">
        <f>Screen_Ann_TO!N386</f>
        <v>573.17289917648725</v>
      </c>
      <c r="O112" s="5">
        <f>Screen_Ann_TO!O386</f>
        <v>573.17289917648725</v>
      </c>
    </row>
    <row r="113" spans="3:15" s="327" customFormat="1" hidden="1" outlineLevel="1" x14ac:dyDescent="0.2">
      <c r="D113" s="660" t="str">
        <f>Screen_Ann_TO!D387</f>
        <v>Northern</v>
      </c>
      <c r="J113" s="5">
        <f>Screen_Ann_TO!J387</f>
        <v>1146.3457983529745</v>
      </c>
      <c r="K113" s="5">
        <f>Screen_Ann_TO!K387</f>
        <v>1146.3457983529745</v>
      </c>
      <c r="L113" s="5">
        <f>Screen_Ann_TO!L387</f>
        <v>1146.3457983529745</v>
      </c>
      <c r="M113" s="5">
        <f>Screen_Ann_TO!M387</f>
        <v>1146.3457983529745</v>
      </c>
      <c r="N113" s="5">
        <f>Screen_Ann_TO!N387</f>
        <v>1146.3457983529745</v>
      </c>
      <c r="O113" s="5">
        <f>Screen_Ann_TO!O387</f>
        <v>1146.3457983529745</v>
      </c>
    </row>
    <row r="114" spans="3:15" s="327" customFormat="1" hidden="1" outlineLevel="1" x14ac:dyDescent="0.2">
      <c r="D114" s="660" t="str">
        <f>Screen_Ann_TO!D388</f>
        <v>North-Western</v>
      </c>
      <c r="J114" s="5">
        <f>Screen_Ann_TO!J388</f>
        <v>1719.5186975294619</v>
      </c>
      <c r="K114" s="5">
        <f>Screen_Ann_TO!K388</f>
        <v>1719.5186975294619</v>
      </c>
      <c r="L114" s="5">
        <f>Screen_Ann_TO!L388</f>
        <v>1719.5186975294619</v>
      </c>
      <c r="M114" s="5">
        <f>Screen_Ann_TO!M388</f>
        <v>1719.5186975294619</v>
      </c>
      <c r="N114" s="5">
        <f>Screen_Ann_TO!N388</f>
        <v>1719.5186975294619</v>
      </c>
      <c r="O114" s="5">
        <f>Screen_Ann_TO!O388</f>
        <v>1719.5186975294619</v>
      </c>
    </row>
    <row r="115" spans="3:15" s="327" customFormat="1" hidden="1" outlineLevel="1" x14ac:dyDescent="0.2">
      <c r="D115" s="660" t="str">
        <f>Screen_Ann_TO!D389</f>
        <v>Southern</v>
      </c>
      <c r="J115" s="5">
        <f>Screen_Ann_TO!J389</f>
        <v>2865.8644958824361</v>
      </c>
      <c r="K115" s="5">
        <f>Screen_Ann_TO!K389</f>
        <v>2865.8644958824361</v>
      </c>
      <c r="L115" s="5">
        <f>Screen_Ann_TO!L389</f>
        <v>2865.8644958824361</v>
      </c>
      <c r="M115" s="5">
        <f>Screen_Ann_TO!M389</f>
        <v>2865.8644958824361</v>
      </c>
      <c r="N115" s="5">
        <f>Screen_Ann_TO!N389</f>
        <v>2865.8644958824361</v>
      </c>
      <c r="O115" s="5">
        <f>Screen_Ann_TO!O389</f>
        <v>2865.8644958824361</v>
      </c>
    </row>
    <row r="116" spans="3:15" s="327" customFormat="1" hidden="1" outlineLevel="1" x14ac:dyDescent="0.2">
      <c r="D116" s="660" t="str">
        <f>Screen_Ann_TO!D390</f>
        <v>Western</v>
      </c>
      <c r="J116" s="5">
        <f>Screen_Ann_TO!J390</f>
        <v>2865.8644958824361</v>
      </c>
      <c r="K116" s="5">
        <f>Screen_Ann_TO!K390</f>
        <v>2865.8644958824361</v>
      </c>
      <c r="L116" s="5">
        <f>Screen_Ann_TO!L390</f>
        <v>2865.8644958824361</v>
      </c>
      <c r="M116" s="5">
        <f>Screen_Ann_TO!M390</f>
        <v>2865.8644958824361</v>
      </c>
      <c r="N116" s="5">
        <f>Screen_Ann_TO!N390</f>
        <v>2865.8644958824361</v>
      </c>
      <c r="O116" s="5">
        <f>Screen_Ann_TO!O390</f>
        <v>2865.8644958824361</v>
      </c>
    </row>
    <row r="117" spans="3:15" s="327" customFormat="1" ht="15" collapsed="1" x14ac:dyDescent="0.2">
      <c r="D117" s="679" t="str">
        <f>"Total "&amp;D106</f>
        <v>Total Capex (Equip) Annualized (Econ)</v>
      </c>
      <c r="J117" s="562">
        <f t="shared" ref="J117:O117" si="13">SUM(J107:J116)</f>
        <v>28658.644958824363</v>
      </c>
      <c r="K117" s="562">
        <f t="shared" si="13"/>
        <v>28658.644958824363</v>
      </c>
      <c r="L117" s="562">
        <f t="shared" si="13"/>
        <v>28658.644958824363</v>
      </c>
      <c r="M117" s="562">
        <f t="shared" si="13"/>
        <v>28658.644958824363</v>
      </c>
      <c r="N117" s="562">
        <f t="shared" si="13"/>
        <v>28658.644958824363</v>
      </c>
      <c r="O117" s="562">
        <f t="shared" si="13"/>
        <v>28658.644958824363</v>
      </c>
    </row>
    <row r="118" spans="3:15" s="327" customFormat="1" x14ac:dyDescent="0.2"/>
    <row r="119" spans="3:15" s="327" customFormat="1" ht="15.75" x14ac:dyDescent="0.2">
      <c r="C119" s="330" t="s">
        <v>1937</v>
      </c>
    </row>
    <row r="120" spans="3:15" s="327" customFormat="1" ht="15.75" thickBot="1" x14ac:dyDescent="0.25">
      <c r="D120" s="658" t="s">
        <v>1941</v>
      </c>
      <c r="J120" s="624">
        <f t="shared" ref="J120:O120" ca="1" si="14">J51+J91</f>
        <v>83335.928896240002</v>
      </c>
      <c r="K120" s="624">
        <f t="shared" ca="1" si="14"/>
        <v>83335.928896240002</v>
      </c>
      <c r="L120" s="624">
        <f t="shared" ca="1" si="14"/>
        <v>83335.928896240002</v>
      </c>
      <c r="M120" s="624">
        <f t="shared" ca="1" si="14"/>
        <v>83335.928896240002</v>
      </c>
      <c r="N120" s="624">
        <f t="shared" ca="1" si="14"/>
        <v>83335.928896240002</v>
      </c>
      <c r="O120" s="624">
        <f t="shared" ca="1" si="14"/>
        <v>83335.928896240002</v>
      </c>
    </row>
    <row r="121" spans="3:15" s="327" customFormat="1" ht="13.5" thickTop="1" x14ac:dyDescent="0.2"/>
    <row r="122" spans="3:15" s="327" customFormat="1" ht="15.75" thickBot="1" x14ac:dyDescent="0.25">
      <c r="D122" s="658" t="s">
        <v>1942</v>
      </c>
      <c r="J122" s="624">
        <f t="shared" ref="J122:O122" ca="1" si="15">J64+J117</f>
        <v>212060.43612660482</v>
      </c>
      <c r="K122" s="624">
        <f t="shared" ca="1" si="15"/>
        <v>212060.43612660482</v>
      </c>
      <c r="L122" s="624">
        <f t="shared" ca="1" si="15"/>
        <v>212060.43612660482</v>
      </c>
      <c r="M122" s="624">
        <f t="shared" ca="1" si="15"/>
        <v>212060.43612660482</v>
      </c>
      <c r="N122" s="624">
        <f t="shared" ca="1" si="15"/>
        <v>212060.43612660482</v>
      </c>
      <c r="O122" s="624">
        <f t="shared" ca="1" si="15"/>
        <v>212060.43612660482</v>
      </c>
    </row>
    <row r="123" spans="3:15" s="327" customFormat="1" ht="13.5" thickTop="1" x14ac:dyDescent="0.2"/>
    <row r="124" spans="3:15" s="327" customFormat="1" x14ac:dyDescent="0.2">
      <c r="C124" s="716" t="str">
        <f>"Go to "&amp;HL_Screen_Ass</f>
        <v>Go to Visual Inspection with Acetic Acid - Assumptions</v>
      </c>
      <c r="D124" s="716"/>
      <c r="E124" s="716"/>
      <c r="F124" s="716"/>
      <c r="G124" s="716"/>
      <c r="H124" s="716"/>
      <c r="I124" s="716"/>
    </row>
    <row r="125" spans="3:15" s="327" customFormat="1" x14ac:dyDescent="0.2">
      <c r="C125" s="716" t="str">
        <f>"Go to "&amp;HL_Screen_Ann_Ass</f>
        <v>Go to Visual Inspection with Acetic Acid - Assumptions  Facilities</v>
      </c>
      <c r="D125" s="716"/>
      <c r="E125" s="716"/>
      <c r="F125" s="716"/>
      <c r="G125" s="716"/>
      <c r="H125" s="716"/>
      <c r="I125" s="716"/>
    </row>
    <row r="126" spans="3:15" s="327" customFormat="1" x14ac:dyDescent="0.2">
      <c r="C126" s="716" t="str">
        <f>"Go to "&amp;HL_Screen_Out</f>
        <v>Go to VIA Outputs</v>
      </c>
      <c r="D126" s="716"/>
      <c r="E126" s="716"/>
      <c r="F126" s="716"/>
      <c r="G126" s="716"/>
      <c r="H126" s="716"/>
      <c r="I126" s="716"/>
    </row>
    <row r="127" spans="3:15" s="327" customFormat="1" x14ac:dyDescent="0.2">
      <c r="C127" s="716" t="str">
        <f>"Go to "&amp;HL_Screen_Out_Sum_A</f>
        <v>Go to VIA - Outputs Summary</v>
      </c>
      <c r="D127" s="716"/>
      <c r="E127" s="716"/>
      <c r="F127" s="716"/>
      <c r="G127" s="716"/>
      <c r="H127" s="716"/>
      <c r="I127" s="716"/>
    </row>
  </sheetData>
  <sheetProtection password="F0F4" sheet="1" scenarios="1"/>
  <mergeCells count="5">
    <mergeCell ref="C126:I126"/>
    <mergeCell ref="C127:I127"/>
    <mergeCell ref="B3:F3"/>
    <mergeCell ref="C124:I124"/>
    <mergeCell ref="C125:I125"/>
  </mergeCells>
  <hyperlinks>
    <hyperlink ref="B4" location="HL_Sheet_Main_75" tooltip="Go to Previous Sheet" display="HL_Sheet_Main_75"/>
    <hyperlink ref="C124:I124" location="HL_Screen_Ass" tooltip="Click to follow hyperlink." display="HL_Screen_Ass"/>
    <hyperlink ref="C125:I125" location="HL_Screen_Ann_Ass" tooltip="Click to follow hyperlink." display="HL_Screen_Ann_Ass"/>
    <hyperlink ref="C126:I126" location="HL_Screen_Out" tooltip="Click to follow hyperlink." display="HL_Screen_Out"/>
    <hyperlink ref="C127:I127" location="HL_Screen_Out_Sum_A" tooltip="Click to follow hyperlink." display="HL_Screen_Out_Sum_A"/>
    <hyperlink ref="A4" location="$A$10" tooltip="Go to Top of Sheet" display="$A$10"/>
    <hyperlink ref="C4" location="HL_Sheet_Main_78" tooltip="Go to Next Sheet" display="HL_Sheet_Main_78"/>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pageSetUpPr autoPageBreaks="0"/>
  </sheetPr>
  <dimension ref="A1:O176"/>
  <sheetViews>
    <sheetView showGridLines="0" zoomScaleNormal="100" workbookViewId="0">
      <pane ySplit="9" topLeftCell="A144" activePane="bottomLeft" state="frozen"/>
      <selection pane="bottomLeft" activeCell="F4" sqref="F4"/>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1967</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329" t="s">
        <v>1943</v>
      </c>
    </row>
    <row r="13" spans="1:15" s="327" customFormat="1" x14ac:dyDescent="0.2"/>
    <row r="14" spans="1:15" s="327" customFormat="1" ht="18.75" x14ac:dyDescent="0.2">
      <c r="B14" s="329" t="s">
        <v>1900</v>
      </c>
    </row>
    <row r="15" spans="1:15" s="327" customFormat="1" ht="15.75" x14ac:dyDescent="0.2">
      <c r="C15" s="330" t="s">
        <v>1894</v>
      </c>
    </row>
    <row r="16" spans="1:15" s="327" customFormat="1" ht="15.75" x14ac:dyDescent="0.2">
      <c r="C16" s="18" t="str">
        <f>Diag_Ann_TO!D188</f>
        <v>Total Active Facilities</v>
      </c>
    </row>
    <row r="17" spans="3:15" s="327" customFormat="1" hidden="1" outlineLevel="1" x14ac:dyDescent="0.2">
      <c r="C17" s="660" t="str">
        <f>Diag_Ann_TO!D189</f>
        <v>Central</v>
      </c>
      <c r="J17" s="5">
        <f>Diag_Ann_TO!J189</f>
        <v>0</v>
      </c>
      <c r="K17" s="5">
        <f>Diag_Ann_TO!K189</f>
        <v>0</v>
      </c>
      <c r="L17" s="5">
        <f>Diag_Ann_TO!L189</f>
        <v>0</v>
      </c>
      <c r="M17" s="5">
        <f>Diag_Ann_TO!M189</f>
        <v>0</v>
      </c>
      <c r="N17" s="5">
        <f>Diag_Ann_TO!N189</f>
        <v>0</v>
      </c>
      <c r="O17" s="5">
        <f>Diag_Ann_TO!O189</f>
        <v>0</v>
      </c>
    </row>
    <row r="18" spans="3:15" s="327" customFormat="1" hidden="1" outlineLevel="1" x14ac:dyDescent="0.2">
      <c r="C18" s="660" t="str">
        <f>Diag_Ann_TO!D190</f>
        <v>Copperbelt</v>
      </c>
      <c r="J18" s="5">
        <f>Diag_Ann_TO!J190</f>
        <v>3</v>
      </c>
      <c r="K18" s="5">
        <f>Diag_Ann_TO!K190</f>
        <v>3</v>
      </c>
      <c r="L18" s="5">
        <f>Diag_Ann_TO!L190</f>
        <v>3</v>
      </c>
      <c r="M18" s="5">
        <f>Diag_Ann_TO!M190</f>
        <v>3</v>
      </c>
      <c r="N18" s="5">
        <f>Diag_Ann_TO!N190</f>
        <v>3</v>
      </c>
      <c r="O18" s="5">
        <f>Diag_Ann_TO!O190</f>
        <v>3</v>
      </c>
    </row>
    <row r="19" spans="3:15" s="327" customFormat="1" hidden="1" outlineLevel="1" x14ac:dyDescent="0.2">
      <c r="C19" s="660" t="str">
        <f>Diag_Ann_TO!D191</f>
        <v>Eastern</v>
      </c>
      <c r="J19" s="5">
        <f>Diag_Ann_TO!J191</f>
        <v>0</v>
      </c>
      <c r="K19" s="5">
        <f>Diag_Ann_TO!K191</f>
        <v>0</v>
      </c>
      <c r="L19" s="5">
        <f>Diag_Ann_TO!L191</f>
        <v>0</v>
      </c>
      <c r="M19" s="5">
        <f>Diag_Ann_TO!M191</f>
        <v>0</v>
      </c>
      <c r="N19" s="5">
        <f>Diag_Ann_TO!N191</f>
        <v>0</v>
      </c>
      <c r="O19" s="5">
        <f>Diag_Ann_TO!O191</f>
        <v>0</v>
      </c>
    </row>
    <row r="20" spans="3:15" s="327" customFormat="1" hidden="1" outlineLevel="1" x14ac:dyDescent="0.2">
      <c r="C20" s="660" t="str">
        <f>Diag_Ann_TO!D192</f>
        <v>Luapula</v>
      </c>
      <c r="J20" s="5">
        <f>Diag_Ann_TO!J192</f>
        <v>0</v>
      </c>
      <c r="K20" s="5">
        <f>Diag_Ann_TO!K192</f>
        <v>0</v>
      </c>
      <c r="L20" s="5">
        <f>Diag_Ann_TO!L192</f>
        <v>0</v>
      </c>
      <c r="M20" s="5">
        <f>Diag_Ann_TO!M192</f>
        <v>0</v>
      </c>
      <c r="N20" s="5">
        <f>Diag_Ann_TO!N192</f>
        <v>0</v>
      </c>
      <c r="O20" s="5">
        <f>Diag_Ann_TO!O192</f>
        <v>0</v>
      </c>
    </row>
    <row r="21" spans="3:15" s="327" customFormat="1" hidden="1" outlineLevel="1" x14ac:dyDescent="0.2">
      <c r="C21" s="660" t="str">
        <f>Diag_Ann_TO!D193</f>
        <v>Lusaka</v>
      </c>
      <c r="J21" s="5">
        <f>Diag_Ann_TO!J193</f>
        <v>1</v>
      </c>
      <c r="K21" s="5">
        <f>Diag_Ann_TO!K193</f>
        <v>1</v>
      </c>
      <c r="L21" s="5">
        <f>Diag_Ann_TO!L193</f>
        <v>1</v>
      </c>
      <c r="M21" s="5">
        <f>Diag_Ann_TO!M193</f>
        <v>1</v>
      </c>
      <c r="N21" s="5">
        <f>Diag_Ann_TO!N193</f>
        <v>1</v>
      </c>
      <c r="O21" s="5">
        <f>Diag_Ann_TO!O193</f>
        <v>1</v>
      </c>
    </row>
    <row r="22" spans="3:15" s="327" customFormat="1" hidden="1" outlineLevel="1" x14ac:dyDescent="0.2">
      <c r="C22" s="660" t="str">
        <f>Diag_Ann_TO!D194</f>
        <v>Muchinga</v>
      </c>
      <c r="J22" s="5">
        <f>Diag_Ann_TO!J194</f>
        <v>0</v>
      </c>
      <c r="K22" s="5">
        <f>Diag_Ann_TO!K194</f>
        <v>0</v>
      </c>
      <c r="L22" s="5">
        <f>Diag_Ann_TO!L194</f>
        <v>0</v>
      </c>
      <c r="M22" s="5">
        <f>Diag_Ann_TO!M194</f>
        <v>0</v>
      </c>
      <c r="N22" s="5">
        <f>Diag_Ann_TO!N194</f>
        <v>0</v>
      </c>
      <c r="O22" s="5">
        <f>Diag_Ann_TO!O194</f>
        <v>0</v>
      </c>
    </row>
    <row r="23" spans="3:15" s="327" customFormat="1" hidden="1" outlineLevel="1" x14ac:dyDescent="0.2">
      <c r="C23" s="660" t="str">
        <f>Diag_Ann_TO!D195</f>
        <v>Northern</v>
      </c>
      <c r="J23" s="5">
        <f>Diag_Ann_TO!J195</f>
        <v>0</v>
      </c>
      <c r="K23" s="5">
        <f>Diag_Ann_TO!K195</f>
        <v>0</v>
      </c>
      <c r="L23" s="5">
        <f>Diag_Ann_TO!L195</f>
        <v>0</v>
      </c>
      <c r="M23" s="5">
        <f>Diag_Ann_TO!M195</f>
        <v>0</v>
      </c>
      <c r="N23" s="5">
        <f>Diag_Ann_TO!N195</f>
        <v>0</v>
      </c>
      <c r="O23" s="5">
        <f>Diag_Ann_TO!O195</f>
        <v>0</v>
      </c>
    </row>
    <row r="24" spans="3:15" s="327" customFormat="1" hidden="1" outlineLevel="1" x14ac:dyDescent="0.2">
      <c r="C24" s="660" t="str">
        <f>Diag_Ann_TO!D196</f>
        <v>North-Western</v>
      </c>
      <c r="J24" s="5">
        <f>Diag_Ann_TO!J196</f>
        <v>0</v>
      </c>
      <c r="K24" s="5">
        <f>Diag_Ann_TO!K196</f>
        <v>0</v>
      </c>
      <c r="L24" s="5">
        <f>Diag_Ann_TO!L196</f>
        <v>0</v>
      </c>
      <c r="M24" s="5">
        <f>Diag_Ann_TO!M196</f>
        <v>0</v>
      </c>
      <c r="N24" s="5">
        <f>Diag_Ann_TO!N196</f>
        <v>0</v>
      </c>
      <c r="O24" s="5">
        <f>Diag_Ann_TO!O196</f>
        <v>0</v>
      </c>
    </row>
    <row r="25" spans="3:15" s="327" customFormat="1" hidden="1" outlineLevel="1" x14ac:dyDescent="0.2">
      <c r="C25" s="660" t="str">
        <f>Diag_Ann_TO!D197</f>
        <v>Southern</v>
      </c>
      <c r="J25" s="5">
        <f>Diag_Ann_TO!J197</f>
        <v>0</v>
      </c>
      <c r="K25" s="5">
        <f>Diag_Ann_TO!K197</f>
        <v>0</v>
      </c>
      <c r="L25" s="5">
        <f>Diag_Ann_TO!L197</f>
        <v>0</v>
      </c>
      <c r="M25" s="5">
        <f>Diag_Ann_TO!M197</f>
        <v>0</v>
      </c>
      <c r="N25" s="5">
        <f>Diag_Ann_TO!N197</f>
        <v>0</v>
      </c>
      <c r="O25" s="5">
        <f>Diag_Ann_TO!O197</f>
        <v>0</v>
      </c>
    </row>
    <row r="26" spans="3:15" s="327" customFormat="1" hidden="1" outlineLevel="1" x14ac:dyDescent="0.2">
      <c r="C26" s="660" t="str">
        <f>Diag_Ann_TO!D198</f>
        <v>Western</v>
      </c>
      <c r="J26" s="5">
        <f>Diag_Ann_TO!J198</f>
        <v>0</v>
      </c>
      <c r="K26" s="5">
        <f>Diag_Ann_TO!K198</f>
        <v>0</v>
      </c>
      <c r="L26" s="5">
        <f>Diag_Ann_TO!L198</f>
        <v>0</v>
      </c>
      <c r="M26" s="5">
        <f>Diag_Ann_TO!M198</f>
        <v>0</v>
      </c>
      <c r="N26" s="5">
        <f>Diag_Ann_TO!N198</f>
        <v>0</v>
      </c>
      <c r="O26" s="5">
        <f>Diag_Ann_TO!O198</f>
        <v>0</v>
      </c>
    </row>
    <row r="27" spans="3:15" s="327" customFormat="1" ht="15.75" collapsed="1" thickBot="1" x14ac:dyDescent="0.25">
      <c r="C27" s="646" t="str">
        <f>C16</f>
        <v>Total Active Facilities</v>
      </c>
      <c r="J27" s="624">
        <f t="shared" ref="J27:O27" si="4">SUM(J17:J26)</f>
        <v>4</v>
      </c>
      <c r="K27" s="624">
        <f t="shared" si="4"/>
        <v>4</v>
      </c>
      <c r="L27" s="624">
        <f t="shared" si="4"/>
        <v>4</v>
      </c>
      <c r="M27" s="624">
        <f t="shared" si="4"/>
        <v>4</v>
      </c>
      <c r="N27" s="624">
        <f t="shared" si="4"/>
        <v>4</v>
      </c>
      <c r="O27" s="624">
        <f t="shared" si="4"/>
        <v>4</v>
      </c>
    </row>
    <row r="28" spans="3:15" s="327" customFormat="1" ht="13.5" thickTop="1" x14ac:dyDescent="0.2"/>
    <row r="29" spans="3:15" s="327" customFormat="1" ht="15.75" x14ac:dyDescent="0.2">
      <c r="C29" s="330" t="s">
        <v>102</v>
      </c>
    </row>
    <row r="30" spans="3:15" s="327" customFormat="1" ht="15.75" x14ac:dyDescent="0.2">
      <c r="C30" s="18" t="str">
        <f>Diag_Ann_TO!D215</f>
        <v>Maximum Procedures</v>
      </c>
    </row>
    <row r="31" spans="3:15" s="327" customFormat="1" hidden="1" outlineLevel="1" x14ac:dyDescent="0.2">
      <c r="C31" s="660" t="str">
        <f>Diag_Ann_TO!D216</f>
        <v>Central</v>
      </c>
      <c r="J31" s="5">
        <f>Diag_Ann_TO!J216</f>
        <v>0</v>
      </c>
      <c r="K31" s="5">
        <f>Diag_Ann_TO!K216</f>
        <v>0</v>
      </c>
      <c r="L31" s="5">
        <f>Diag_Ann_TO!L216</f>
        <v>0</v>
      </c>
      <c r="M31" s="5">
        <f>Diag_Ann_TO!M216</f>
        <v>0</v>
      </c>
      <c r="N31" s="5">
        <f>Diag_Ann_TO!N216</f>
        <v>0</v>
      </c>
      <c r="O31" s="5">
        <f>Diag_Ann_TO!O216</f>
        <v>0</v>
      </c>
    </row>
    <row r="32" spans="3:15" s="327" customFormat="1" hidden="1" outlineLevel="1" x14ac:dyDescent="0.2">
      <c r="C32" s="660" t="str">
        <f>Diag_Ann_TO!D217</f>
        <v>Copperbelt</v>
      </c>
      <c r="J32" s="5">
        <f>Diag_Ann_TO!J217</f>
        <v>16674</v>
      </c>
      <c r="K32" s="5">
        <f>Diag_Ann_TO!K217</f>
        <v>16674</v>
      </c>
      <c r="L32" s="5">
        <f>Diag_Ann_TO!L217</f>
        <v>16674</v>
      </c>
      <c r="M32" s="5">
        <f>Diag_Ann_TO!M217</f>
        <v>16674</v>
      </c>
      <c r="N32" s="5">
        <f>Diag_Ann_TO!N217</f>
        <v>16674</v>
      </c>
      <c r="O32" s="5">
        <f>Diag_Ann_TO!O217</f>
        <v>16674</v>
      </c>
    </row>
    <row r="33" spans="1:15" s="327" customFormat="1" hidden="1" outlineLevel="1" x14ac:dyDescent="0.2">
      <c r="C33" s="660" t="str">
        <f>Diag_Ann_TO!D218</f>
        <v>Eastern</v>
      </c>
      <c r="J33" s="5">
        <f>Diag_Ann_TO!J218</f>
        <v>0</v>
      </c>
      <c r="K33" s="5">
        <f>Diag_Ann_TO!K218</f>
        <v>0</v>
      </c>
      <c r="L33" s="5">
        <f>Diag_Ann_TO!L218</f>
        <v>0</v>
      </c>
      <c r="M33" s="5">
        <f>Diag_Ann_TO!M218</f>
        <v>0</v>
      </c>
      <c r="N33" s="5">
        <f>Diag_Ann_TO!N218</f>
        <v>0</v>
      </c>
      <c r="O33" s="5">
        <f>Diag_Ann_TO!O218</f>
        <v>0</v>
      </c>
    </row>
    <row r="34" spans="1:15" s="327" customFormat="1" hidden="1" outlineLevel="1" x14ac:dyDescent="0.2">
      <c r="C34" s="660" t="str">
        <f>Diag_Ann_TO!D219</f>
        <v>Luapula</v>
      </c>
      <c r="J34" s="5">
        <f>Diag_Ann_TO!J219</f>
        <v>0</v>
      </c>
      <c r="K34" s="5">
        <f>Diag_Ann_TO!K219</f>
        <v>0</v>
      </c>
      <c r="L34" s="5">
        <f>Diag_Ann_TO!L219</f>
        <v>0</v>
      </c>
      <c r="M34" s="5">
        <f>Diag_Ann_TO!M219</f>
        <v>0</v>
      </c>
      <c r="N34" s="5">
        <f>Diag_Ann_TO!N219</f>
        <v>0</v>
      </c>
      <c r="O34" s="5">
        <f>Diag_Ann_TO!O219</f>
        <v>0</v>
      </c>
    </row>
    <row r="35" spans="1:15" s="327" customFormat="1" hidden="1" outlineLevel="1" x14ac:dyDescent="0.2">
      <c r="C35" s="660" t="str">
        <f>Diag_Ann_TO!D220</f>
        <v>Lusaka</v>
      </c>
      <c r="J35" s="5">
        <f>Diag_Ann_TO!J220</f>
        <v>5558</v>
      </c>
      <c r="K35" s="5">
        <f>Diag_Ann_TO!K220</f>
        <v>5558</v>
      </c>
      <c r="L35" s="5">
        <f>Diag_Ann_TO!L220</f>
        <v>5558</v>
      </c>
      <c r="M35" s="5">
        <f>Diag_Ann_TO!M220</f>
        <v>5558</v>
      </c>
      <c r="N35" s="5">
        <f>Diag_Ann_TO!N220</f>
        <v>5558</v>
      </c>
      <c r="O35" s="5">
        <f>Diag_Ann_TO!O220</f>
        <v>5558</v>
      </c>
    </row>
    <row r="36" spans="1:15" s="327" customFormat="1" hidden="1" outlineLevel="1" x14ac:dyDescent="0.2">
      <c r="C36" s="660" t="str">
        <f>Diag_Ann_TO!D221</f>
        <v>Muchinga</v>
      </c>
      <c r="J36" s="5">
        <f>Diag_Ann_TO!J221</f>
        <v>0</v>
      </c>
      <c r="K36" s="5">
        <f>Diag_Ann_TO!K221</f>
        <v>0</v>
      </c>
      <c r="L36" s="5">
        <f>Diag_Ann_TO!L221</f>
        <v>0</v>
      </c>
      <c r="M36" s="5">
        <f>Diag_Ann_TO!M221</f>
        <v>0</v>
      </c>
      <c r="N36" s="5">
        <f>Diag_Ann_TO!N221</f>
        <v>0</v>
      </c>
      <c r="O36" s="5">
        <f>Diag_Ann_TO!O221</f>
        <v>0</v>
      </c>
    </row>
    <row r="37" spans="1:15" s="327" customFormat="1" hidden="1" outlineLevel="1" x14ac:dyDescent="0.2">
      <c r="C37" s="660" t="str">
        <f>Diag_Ann_TO!D222</f>
        <v>Northern</v>
      </c>
      <c r="J37" s="5">
        <f>Diag_Ann_TO!J222</f>
        <v>0</v>
      </c>
      <c r="K37" s="5">
        <f>Diag_Ann_TO!K222</f>
        <v>0</v>
      </c>
      <c r="L37" s="5">
        <f>Diag_Ann_TO!L222</f>
        <v>0</v>
      </c>
      <c r="M37" s="5">
        <f>Diag_Ann_TO!M222</f>
        <v>0</v>
      </c>
      <c r="N37" s="5">
        <f>Diag_Ann_TO!N222</f>
        <v>0</v>
      </c>
      <c r="O37" s="5">
        <f>Diag_Ann_TO!O222</f>
        <v>0</v>
      </c>
    </row>
    <row r="38" spans="1:15" s="327" customFormat="1" hidden="1" outlineLevel="1" x14ac:dyDescent="0.2">
      <c r="C38" s="660" t="str">
        <f>Diag_Ann_TO!D223</f>
        <v>North-Western</v>
      </c>
      <c r="J38" s="5">
        <f>Diag_Ann_TO!J223</f>
        <v>0</v>
      </c>
      <c r="K38" s="5">
        <f>Diag_Ann_TO!K223</f>
        <v>0</v>
      </c>
      <c r="L38" s="5">
        <f>Diag_Ann_TO!L223</f>
        <v>0</v>
      </c>
      <c r="M38" s="5">
        <f>Diag_Ann_TO!M223</f>
        <v>0</v>
      </c>
      <c r="N38" s="5">
        <f>Diag_Ann_TO!N223</f>
        <v>0</v>
      </c>
      <c r="O38" s="5">
        <f>Diag_Ann_TO!O223</f>
        <v>0</v>
      </c>
    </row>
    <row r="39" spans="1:15" s="327" customFormat="1" hidden="1" outlineLevel="1" x14ac:dyDescent="0.2">
      <c r="C39" s="660" t="str">
        <f>Diag_Ann_TO!D224</f>
        <v>Southern</v>
      </c>
      <c r="J39" s="5">
        <f>Diag_Ann_TO!J224</f>
        <v>0</v>
      </c>
      <c r="K39" s="5">
        <f>Diag_Ann_TO!K224</f>
        <v>0</v>
      </c>
      <c r="L39" s="5">
        <f>Diag_Ann_TO!L224</f>
        <v>0</v>
      </c>
      <c r="M39" s="5">
        <f>Diag_Ann_TO!M224</f>
        <v>0</v>
      </c>
      <c r="N39" s="5">
        <f>Diag_Ann_TO!N224</f>
        <v>0</v>
      </c>
      <c r="O39" s="5">
        <f>Diag_Ann_TO!O224</f>
        <v>0</v>
      </c>
    </row>
    <row r="40" spans="1:15" s="327" customFormat="1" hidden="1" outlineLevel="1" x14ac:dyDescent="0.2">
      <c r="C40" s="660" t="str">
        <f>Diag_Ann_TO!D225</f>
        <v>Western</v>
      </c>
      <c r="J40" s="5">
        <f>Diag_Ann_TO!J225</f>
        <v>0</v>
      </c>
      <c r="K40" s="5">
        <f>Diag_Ann_TO!K225</f>
        <v>0</v>
      </c>
      <c r="L40" s="5">
        <f>Diag_Ann_TO!L225</f>
        <v>0</v>
      </c>
      <c r="M40" s="5">
        <f>Diag_Ann_TO!M225</f>
        <v>0</v>
      </c>
      <c r="N40" s="5">
        <f>Diag_Ann_TO!N225</f>
        <v>0</v>
      </c>
      <c r="O40" s="5">
        <f>Diag_Ann_TO!O225</f>
        <v>0</v>
      </c>
    </row>
    <row r="41" spans="1:15" s="327" customFormat="1" ht="15.75" collapsed="1" thickBot="1" x14ac:dyDescent="0.25">
      <c r="C41" s="679" t="str">
        <f>"Total "&amp;C30</f>
        <v>Total Maximum Procedures</v>
      </c>
      <c r="J41" s="624">
        <f t="shared" ref="J41:O41" si="5">SUM(J31:J40)</f>
        <v>22232</v>
      </c>
      <c r="K41" s="624">
        <f t="shared" si="5"/>
        <v>22232</v>
      </c>
      <c r="L41" s="624">
        <f t="shared" si="5"/>
        <v>22232</v>
      </c>
      <c r="M41" s="624">
        <f t="shared" si="5"/>
        <v>22232</v>
      </c>
      <c r="N41" s="624">
        <f t="shared" si="5"/>
        <v>22232</v>
      </c>
      <c r="O41" s="624">
        <f t="shared" si="5"/>
        <v>22232</v>
      </c>
    </row>
    <row r="42" spans="1:15" s="327" customFormat="1" ht="13.5" thickTop="1" x14ac:dyDescent="0.2"/>
    <row r="43" spans="1:15" s="327" customFormat="1" ht="15" x14ac:dyDescent="0.2">
      <c r="A43" s="658" t="s">
        <v>1899</v>
      </c>
      <c r="I43" s="649" t="str">
        <f>IF(Diag_Ann_TA!H214,"YES!","NO.")</f>
        <v>YES!</v>
      </c>
    </row>
    <row r="44" spans="1:15" s="327" customFormat="1" x14ac:dyDescent="0.2"/>
    <row r="45" spans="1:15" s="327" customFormat="1" x14ac:dyDescent="0.2"/>
    <row r="46" spans="1:15" s="327" customFormat="1" ht="18.75" x14ac:dyDescent="0.2">
      <c r="B46" s="329" t="s">
        <v>1898</v>
      </c>
    </row>
    <row r="47" spans="1:15" s="327" customFormat="1" ht="15.75" x14ac:dyDescent="0.2">
      <c r="C47" s="330" t="s">
        <v>1964</v>
      </c>
    </row>
    <row r="48" spans="1:15" s="327" customFormat="1" outlineLevel="1" x14ac:dyDescent="0.2">
      <c r="C48" s="660" t="str">
        <f>Diag_Ann_TO!D229</f>
        <v>Central</v>
      </c>
      <c r="J48" s="5">
        <f ca="1">Diag_Ann_TA!J217*Diag_BA!$J$12</f>
        <v>57.88</v>
      </c>
      <c r="K48" s="5">
        <f ca="1">Diag_Ann_TA!K217*Diag_BA!$J$12</f>
        <v>57.88</v>
      </c>
      <c r="L48" s="5">
        <f ca="1">Diag_Ann_TA!L217*Diag_BA!$J$12</f>
        <v>57.88</v>
      </c>
      <c r="M48" s="5">
        <f ca="1">Diag_Ann_TA!M217*Diag_BA!$J$12</f>
        <v>57.88</v>
      </c>
      <c r="N48" s="5">
        <f ca="1">Diag_Ann_TA!N217*Diag_BA!$J$12</f>
        <v>57.88</v>
      </c>
      <c r="O48" s="5">
        <f ca="1">Diag_Ann_TA!O217*Diag_BA!$J$12</f>
        <v>57.88</v>
      </c>
    </row>
    <row r="49" spans="2:15" s="327" customFormat="1" outlineLevel="1" x14ac:dyDescent="0.2">
      <c r="C49" s="660" t="str">
        <f>Diag_Ann_TO!D230</f>
        <v>Copperbelt</v>
      </c>
      <c r="J49" s="5">
        <f ca="1">Diag_Ann_TA!J218*Diag_BA!$J$12</f>
        <v>81.28</v>
      </c>
      <c r="K49" s="5">
        <f ca="1">Diag_Ann_TA!K218*Diag_BA!$J$12</f>
        <v>81.28</v>
      </c>
      <c r="L49" s="5">
        <f ca="1">Diag_Ann_TA!L218*Diag_BA!$J$12</f>
        <v>81.28</v>
      </c>
      <c r="M49" s="5">
        <f ca="1">Diag_Ann_TA!M218*Diag_BA!$J$12</f>
        <v>81.28</v>
      </c>
      <c r="N49" s="5">
        <f ca="1">Diag_Ann_TA!N218*Diag_BA!$J$12</f>
        <v>81.28</v>
      </c>
      <c r="O49" s="5">
        <f ca="1">Diag_Ann_TA!O218*Diag_BA!$J$12</f>
        <v>81.28</v>
      </c>
    </row>
    <row r="50" spans="2:15" s="327" customFormat="1" outlineLevel="1" x14ac:dyDescent="0.2">
      <c r="C50" s="660" t="str">
        <f>Diag_Ann_TO!D231</f>
        <v>Eastern</v>
      </c>
      <c r="J50" s="5">
        <f ca="1">Diag_Ann_TA!J219*Diag_BA!$J$12</f>
        <v>104.68</v>
      </c>
      <c r="K50" s="5">
        <f ca="1">Diag_Ann_TA!K219*Diag_BA!$J$12</f>
        <v>104.68</v>
      </c>
      <c r="L50" s="5">
        <f ca="1">Diag_Ann_TA!L219*Diag_BA!$J$12</f>
        <v>104.68</v>
      </c>
      <c r="M50" s="5">
        <f ca="1">Diag_Ann_TA!M219*Diag_BA!$J$12</f>
        <v>104.68</v>
      </c>
      <c r="N50" s="5">
        <f ca="1">Diag_Ann_TA!N219*Diag_BA!$J$12</f>
        <v>104.68</v>
      </c>
      <c r="O50" s="5">
        <f ca="1">Diag_Ann_TA!O219*Diag_BA!$J$12</f>
        <v>104.68</v>
      </c>
    </row>
    <row r="51" spans="2:15" s="327" customFormat="1" outlineLevel="1" x14ac:dyDescent="0.2">
      <c r="C51" s="660" t="str">
        <f>Diag_Ann_TO!D232</f>
        <v>Luapula</v>
      </c>
      <c r="J51" s="5">
        <f ca="1">Diag_Ann_TA!J220*Diag_BA!$J$12</f>
        <v>81.28</v>
      </c>
      <c r="K51" s="5">
        <f ca="1">Diag_Ann_TA!K220*Diag_BA!$J$12</f>
        <v>81.28</v>
      </c>
      <c r="L51" s="5">
        <f ca="1">Diag_Ann_TA!L220*Diag_BA!$J$12</f>
        <v>81.28</v>
      </c>
      <c r="M51" s="5">
        <f ca="1">Diag_Ann_TA!M220*Diag_BA!$J$12</f>
        <v>81.28</v>
      </c>
      <c r="N51" s="5">
        <f ca="1">Diag_Ann_TA!N220*Diag_BA!$J$12</f>
        <v>81.28</v>
      </c>
      <c r="O51" s="5">
        <f ca="1">Diag_Ann_TA!O220*Diag_BA!$J$12</f>
        <v>81.28</v>
      </c>
    </row>
    <row r="52" spans="2:15" s="327" customFormat="1" outlineLevel="1" x14ac:dyDescent="0.2">
      <c r="C52" s="660" t="str">
        <f>Diag_Ann_TO!D233</f>
        <v>Lusaka</v>
      </c>
      <c r="J52" s="5">
        <f ca="1">Diag_Ann_TA!J221*Diag_BA!$J$12</f>
        <v>291.88</v>
      </c>
      <c r="K52" s="5">
        <f ca="1">Diag_Ann_TA!K221*Diag_BA!$J$12</f>
        <v>291.88</v>
      </c>
      <c r="L52" s="5">
        <f ca="1">Diag_Ann_TA!L221*Diag_BA!$J$12</f>
        <v>291.88</v>
      </c>
      <c r="M52" s="5">
        <f ca="1">Diag_Ann_TA!M221*Diag_BA!$J$12</f>
        <v>291.88</v>
      </c>
      <c r="N52" s="5">
        <f ca="1">Diag_Ann_TA!N221*Diag_BA!$J$12</f>
        <v>291.88</v>
      </c>
      <c r="O52" s="5">
        <f ca="1">Diag_Ann_TA!O221*Diag_BA!$J$12</f>
        <v>291.88</v>
      </c>
    </row>
    <row r="53" spans="2:15" s="327" customFormat="1" outlineLevel="1" x14ac:dyDescent="0.2">
      <c r="C53" s="660" t="str">
        <f>Diag_Ann_TO!D234</f>
        <v>Muchinga</v>
      </c>
      <c r="J53" s="5">
        <f ca="1">Diag_Ann_TA!J222*Diag_BA!$J$12</f>
        <v>5.54</v>
      </c>
      <c r="K53" s="5">
        <f ca="1">Diag_Ann_TA!K222*Diag_BA!$J$12</f>
        <v>5.54</v>
      </c>
      <c r="L53" s="5">
        <f ca="1">Diag_Ann_TA!L222*Diag_BA!$J$12</f>
        <v>5.54</v>
      </c>
      <c r="M53" s="5">
        <f ca="1">Diag_Ann_TA!M222*Diag_BA!$J$12</f>
        <v>5.54</v>
      </c>
      <c r="N53" s="5">
        <f ca="1">Diag_Ann_TA!N222*Diag_BA!$J$12</f>
        <v>5.54</v>
      </c>
      <c r="O53" s="5">
        <f ca="1">Diag_Ann_TA!O222*Diag_BA!$J$12</f>
        <v>5.54</v>
      </c>
    </row>
    <row r="54" spans="2:15" s="327" customFormat="1" outlineLevel="1" x14ac:dyDescent="0.2">
      <c r="C54" s="660" t="str">
        <f>Diag_Ann_TO!D235</f>
        <v>Northern</v>
      </c>
      <c r="J54" s="5">
        <f ca="1">Diag_Ann_TA!J223*Diag_BA!$J$12</f>
        <v>28.94</v>
      </c>
      <c r="K54" s="5">
        <f ca="1">Diag_Ann_TA!K223*Diag_BA!$J$12</f>
        <v>28.94</v>
      </c>
      <c r="L54" s="5">
        <f ca="1">Diag_Ann_TA!L223*Diag_BA!$J$12</f>
        <v>28.94</v>
      </c>
      <c r="M54" s="5">
        <f ca="1">Diag_Ann_TA!M223*Diag_BA!$J$12</f>
        <v>28.94</v>
      </c>
      <c r="N54" s="5">
        <f ca="1">Diag_Ann_TA!N223*Diag_BA!$J$12</f>
        <v>28.94</v>
      </c>
      <c r="O54" s="5">
        <f ca="1">Diag_Ann_TA!O223*Diag_BA!$J$12</f>
        <v>28.94</v>
      </c>
    </row>
    <row r="55" spans="2:15" s="327" customFormat="1" outlineLevel="1" x14ac:dyDescent="0.2">
      <c r="C55" s="660" t="str">
        <f>Diag_Ann_TO!D236</f>
        <v>North-Western</v>
      </c>
      <c r="J55" s="5">
        <f ca="1">Diag_Ann_TA!J224*Diag_BA!$J$12</f>
        <v>34.480000000000004</v>
      </c>
      <c r="K55" s="5">
        <f ca="1">Diag_Ann_TA!K224*Diag_BA!$J$12</f>
        <v>34.480000000000004</v>
      </c>
      <c r="L55" s="5">
        <f ca="1">Diag_Ann_TA!L224*Diag_BA!$J$12</f>
        <v>34.480000000000004</v>
      </c>
      <c r="M55" s="5">
        <f ca="1">Diag_Ann_TA!M224*Diag_BA!$J$12</f>
        <v>34.480000000000004</v>
      </c>
      <c r="N55" s="5">
        <f ca="1">Diag_Ann_TA!N224*Diag_BA!$J$12</f>
        <v>34.480000000000004</v>
      </c>
      <c r="O55" s="5">
        <f ca="1">Diag_Ann_TA!O224*Diag_BA!$J$12</f>
        <v>34.480000000000004</v>
      </c>
    </row>
    <row r="56" spans="2:15" s="327" customFormat="1" outlineLevel="1" x14ac:dyDescent="0.2">
      <c r="C56" s="660" t="str">
        <f>Diag_Ann_TO!D237</f>
        <v>Southern</v>
      </c>
      <c r="J56" s="5">
        <f ca="1">Diag_Ann_TA!J225*Diag_BA!$J$12</f>
        <v>81.28</v>
      </c>
      <c r="K56" s="5">
        <f ca="1">Diag_Ann_TA!K225*Diag_BA!$J$12</f>
        <v>81.28</v>
      </c>
      <c r="L56" s="5">
        <f ca="1">Diag_Ann_TA!L225*Diag_BA!$J$12</f>
        <v>81.28</v>
      </c>
      <c r="M56" s="5">
        <f ca="1">Diag_Ann_TA!M225*Diag_BA!$J$12</f>
        <v>81.28</v>
      </c>
      <c r="N56" s="5">
        <f ca="1">Diag_Ann_TA!N225*Diag_BA!$J$12</f>
        <v>81.28</v>
      </c>
      <c r="O56" s="5">
        <f ca="1">Diag_Ann_TA!O225*Diag_BA!$J$12</f>
        <v>81.28</v>
      </c>
    </row>
    <row r="57" spans="2:15" s="327" customFormat="1" outlineLevel="1" x14ac:dyDescent="0.2">
      <c r="C57" s="660" t="str">
        <f>Diag_Ann_TO!D238</f>
        <v>Western</v>
      </c>
      <c r="J57" s="5">
        <f ca="1">Diag_Ann_TA!J226*Diag_BA!$J$12</f>
        <v>81.28</v>
      </c>
      <c r="K57" s="5">
        <f ca="1">Diag_Ann_TA!K226*Diag_BA!$J$12</f>
        <v>81.28</v>
      </c>
      <c r="L57" s="5">
        <f ca="1">Diag_Ann_TA!L226*Diag_BA!$J$12</f>
        <v>81.28</v>
      </c>
      <c r="M57" s="5">
        <f ca="1">Diag_Ann_TA!M226*Diag_BA!$J$12</f>
        <v>81.28</v>
      </c>
      <c r="N57" s="5">
        <f ca="1">Diag_Ann_TA!N226*Diag_BA!$J$12</f>
        <v>81.28</v>
      </c>
      <c r="O57" s="5">
        <f ca="1">Diag_Ann_TA!O226*Diag_BA!$J$12</f>
        <v>81.28</v>
      </c>
    </row>
    <row r="58" spans="2:15" s="327" customFormat="1" ht="15.75" thickBot="1" x14ac:dyDescent="0.25">
      <c r="C58" s="679" t="str">
        <f>"Total "&amp;C47</f>
        <v>Total Screened Patients Referred for BIOP-H</v>
      </c>
      <c r="J58" s="624">
        <f t="shared" ref="J58:O58" ca="1" si="6">SUM(J48:J57)</f>
        <v>848.52</v>
      </c>
      <c r="K58" s="624">
        <f t="shared" ca="1" si="6"/>
        <v>848.52</v>
      </c>
      <c r="L58" s="624">
        <f t="shared" ca="1" si="6"/>
        <v>848.52</v>
      </c>
      <c r="M58" s="624">
        <f t="shared" ca="1" si="6"/>
        <v>848.52</v>
      </c>
      <c r="N58" s="624">
        <f t="shared" ca="1" si="6"/>
        <v>848.52</v>
      </c>
      <c r="O58" s="624">
        <f t="shared" ca="1" si="6"/>
        <v>848.52</v>
      </c>
    </row>
    <row r="59" spans="2:15" s="327" customFormat="1" ht="13.5" thickTop="1" x14ac:dyDescent="0.2"/>
    <row r="60" spans="2:15" s="327" customFormat="1" x14ac:dyDescent="0.2"/>
    <row r="61" spans="2:15" s="327" customFormat="1" ht="18.75" x14ac:dyDescent="0.2">
      <c r="B61" s="329" t="s">
        <v>1895</v>
      </c>
    </row>
    <row r="62" spans="2:15" s="327" customFormat="1" ht="15.75" x14ac:dyDescent="0.2">
      <c r="C62" s="330" t="s">
        <v>1965</v>
      </c>
    </row>
    <row r="63" spans="2:15" s="327" customFormat="1" outlineLevel="1" x14ac:dyDescent="0.2">
      <c r="C63" s="660" t="str">
        <f>Diag_Ann_TA!D217</f>
        <v>Central</v>
      </c>
      <c r="J63" s="5">
        <f ca="1">Diag_Ann_TO!J229</f>
        <v>29</v>
      </c>
      <c r="K63" s="5">
        <f ca="1">Diag_Ann_TO!K229</f>
        <v>29</v>
      </c>
      <c r="L63" s="5">
        <f ca="1">Diag_Ann_TO!L229</f>
        <v>29</v>
      </c>
      <c r="M63" s="5">
        <f ca="1">Diag_Ann_TO!M229</f>
        <v>29</v>
      </c>
      <c r="N63" s="5">
        <f ca="1">Diag_Ann_TO!N229</f>
        <v>29</v>
      </c>
      <c r="O63" s="5">
        <f ca="1">Diag_Ann_TO!O229</f>
        <v>29</v>
      </c>
    </row>
    <row r="64" spans="2:15" s="327" customFormat="1" outlineLevel="1" x14ac:dyDescent="0.2">
      <c r="C64" s="660" t="str">
        <f>Diag_Ann_TA!D218</f>
        <v>Copperbelt</v>
      </c>
      <c r="J64" s="5">
        <f ca="1">Diag_Ann_TO!J230</f>
        <v>41</v>
      </c>
      <c r="K64" s="5">
        <f ca="1">Diag_Ann_TO!K230</f>
        <v>41</v>
      </c>
      <c r="L64" s="5">
        <f ca="1">Diag_Ann_TO!L230</f>
        <v>41</v>
      </c>
      <c r="M64" s="5">
        <f ca="1">Diag_Ann_TO!M230</f>
        <v>41</v>
      </c>
      <c r="N64" s="5">
        <f ca="1">Diag_Ann_TO!N230</f>
        <v>41</v>
      </c>
      <c r="O64" s="5">
        <f ca="1">Diag_Ann_TO!O230</f>
        <v>41</v>
      </c>
    </row>
    <row r="65" spans="2:15" s="327" customFormat="1" outlineLevel="1" x14ac:dyDescent="0.2">
      <c r="C65" s="660" t="str">
        <f>Diag_Ann_TA!D219</f>
        <v>Eastern</v>
      </c>
      <c r="J65" s="5">
        <f ca="1">Diag_Ann_TO!J231</f>
        <v>52</v>
      </c>
      <c r="K65" s="5">
        <f ca="1">Diag_Ann_TO!K231</f>
        <v>52</v>
      </c>
      <c r="L65" s="5">
        <f ca="1">Diag_Ann_TO!L231</f>
        <v>52</v>
      </c>
      <c r="M65" s="5">
        <f ca="1">Diag_Ann_TO!M231</f>
        <v>52</v>
      </c>
      <c r="N65" s="5">
        <f ca="1">Diag_Ann_TO!N231</f>
        <v>52</v>
      </c>
      <c r="O65" s="5">
        <f ca="1">Diag_Ann_TO!O231</f>
        <v>52</v>
      </c>
    </row>
    <row r="66" spans="2:15" s="327" customFormat="1" outlineLevel="1" x14ac:dyDescent="0.2">
      <c r="C66" s="660" t="str">
        <f>Diag_Ann_TA!D220</f>
        <v>Luapula</v>
      </c>
      <c r="J66" s="5">
        <f ca="1">Diag_Ann_TO!J232</f>
        <v>41</v>
      </c>
      <c r="K66" s="5">
        <f ca="1">Diag_Ann_TO!K232</f>
        <v>41</v>
      </c>
      <c r="L66" s="5">
        <f ca="1">Diag_Ann_TO!L232</f>
        <v>41</v>
      </c>
      <c r="M66" s="5">
        <f ca="1">Diag_Ann_TO!M232</f>
        <v>41</v>
      </c>
      <c r="N66" s="5">
        <f ca="1">Diag_Ann_TO!N232</f>
        <v>41</v>
      </c>
      <c r="O66" s="5">
        <f ca="1">Diag_Ann_TO!O232</f>
        <v>41</v>
      </c>
    </row>
    <row r="67" spans="2:15" s="327" customFormat="1" outlineLevel="1" x14ac:dyDescent="0.2">
      <c r="C67" s="660" t="str">
        <f>Diag_Ann_TA!D221</f>
        <v>Lusaka</v>
      </c>
      <c r="J67" s="5">
        <f ca="1">Diag_Ann_TO!J233</f>
        <v>146</v>
      </c>
      <c r="K67" s="5">
        <f ca="1">Diag_Ann_TO!K233</f>
        <v>146</v>
      </c>
      <c r="L67" s="5">
        <f ca="1">Diag_Ann_TO!L233</f>
        <v>146</v>
      </c>
      <c r="M67" s="5">
        <f ca="1">Diag_Ann_TO!M233</f>
        <v>146</v>
      </c>
      <c r="N67" s="5">
        <f ca="1">Diag_Ann_TO!N233</f>
        <v>146</v>
      </c>
      <c r="O67" s="5">
        <f ca="1">Diag_Ann_TO!O233</f>
        <v>146</v>
      </c>
    </row>
    <row r="68" spans="2:15" s="327" customFormat="1" outlineLevel="1" x14ac:dyDescent="0.2">
      <c r="C68" s="660" t="str">
        <f>Diag_Ann_TA!D222</f>
        <v>Muchinga</v>
      </c>
      <c r="J68" s="5">
        <f ca="1">Diag_Ann_TO!J234</f>
        <v>3</v>
      </c>
      <c r="K68" s="5">
        <f ca="1">Diag_Ann_TO!K234</f>
        <v>3</v>
      </c>
      <c r="L68" s="5">
        <f ca="1">Diag_Ann_TO!L234</f>
        <v>3</v>
      </c>
      <c r="M68" s="5">
        <f ca="1">Diag_Ann_TO!M234</f>
        <v>3</v>
      </c>
      <c r="N68" s="5">
        <f ca="1">Diag_Ann_TO!N234</f>
        <v>3</v>
      </c>
      <c r="O68" s="5">
        <f ca="1">Diag_Ann_TO!O234</f>
        <v>3</v>
      </c>
    </row>
    <row r="69" spans="2:15" s="327" customFormat="1" outlineLevel="1" x14ac:dyDescent="0.2">
      <c r="C69" s="660" t="str">
        <f>Diag_Ann_TA!D223</f>
        <v>Northern</v>
      </c>
      <c r="J69" s="5">
        <f ca="1">Diag_Ann_TO!J235</f>
        <v>14</v>
      </c>
      <c r="K69" s="5">
        <f ca="1">Diag_Ann_TO!K235</f>
        <v>14</v>
      </c>
      <c r="L69" s="5">
        <f ca="1">Diag_Ann_TO!L235</f>
        <v>14</v>
      </c>
      <c r="M69" s="5">
        <f ca="1">Diag_Ann_TO!M235</f>
        <v>14</v>
      </c>
      <c r="N69" s="5">
        <f ca="1">Diag_Ann_TO!N235</f>
        <v>14</v>
      </c>
      <c r="O69" s="5">
        <f ca="1">Diag_Ann_TO!O235</f>
        <v>14</v>
      </c>
    </row>
    <row r="70" spans="2:15" s="327" customFormat="1" outlineLevel="1" x14ac:dyDescent="0.2">
      <c r="C70" s="660" t="str">
        <f>Diag_Ann_TA!D224</f>
        <v>North-Western</v>
      </c>
      <c r="J70" s="5">
        <f ca="1">Diag_Ann_TO!J236</f>
        <v>17</v>
      </c>
      <c r="K70" s="5">
        <f ca="1">Diag_Ann_TO!K236</f>
        <v>17</v>
      </c>
      <c r="L70" s="5">
        <f ca="1">Diag_Ann_TO!L236</f>
        <v>17</v>
      </c>
      <c r="M70" s="5">
        <f ca="1">Diag_Ann_TO!M236</f>
        <v>17</v>
      </c>
      <c r="N70" s="5">
        <f ca="1">Diag_Ann_TO!N236</f>
        <v>17</v>
      </c>
      <c r="O70" s="5">
        <f ca="1">Diag_Ann_TO!O236</f>
        <v>17</v>
      </c>
    </row>
    <row r="71" spans="2:15" s="327" customFormat="1" outlineLevel="1" x14ac:dyDescent="0.2">
      <c r="C71" s="660" t="str">
        <f>Diag_Ann_TA!D225</f>
        <v>Southern</v>
      </c>
      <c r="J71" s="5">
        <f ca="1">Diag_Ann_TO!J237</f>
        <v>41</v>
      </c>
      <c r="K71" s="5">
        <f ca="1">Diag_Ann_TO!K237</f>
        <v>41</v>
      </c>
      <c r="L71" s="5">
        <f ca="1">Diag_Ann_TO!L237</f>
        <v>41</v>
      </c>
      <c r="M71" s="5">
        <f ca="1">Diag_Ann_TO!M237</f>
        <v>41</v>
      </c>
      <c r="N71" s="5">
        <f ca="1">Diag_Ann_TO!N237</f>
        <v>41</v>
      </c>
      <c r="O71" s="5">
        <f ca="1">Diag_Ann_TO!O237</f>
        <v>41</v>
      </c>
    </row>
    <row r="72" spans="2:15" s="327" customFormat="1" outlineLevel="1" x14ac:dyDescent="0.2">
      <c r="C72" s="660" t="str">
        <f>Diag_Ann_TA!D226</f>
        <v>Western</v>
      </c>
      <c r="J72" s="5">
        <f ca="1">Diag_Ann_TO!J238</f>
        <v>41</v>
      </c>
      <c r="K72" s="5">
        <f ca="1">Diag_Ann_TO!K238</f>
        <v>41</v>
      </c>
      <c r="L72" s="5">
        <f ca="1">Diag_Ann_TO!L238</f>
        <v>41</v>
      </c>
      <c r="M72" s="5">
        <f ca="1">Diag_Ann_TO!M238</f>
        <v>41</v>
      </c>
      <c r="N72" s="5">
        <f ca="1">Diag_Ann_TO!N238</f>
        <v>41</v>
      </c>
      <c r="O72" s="5">
        <f ca="1">Diag_Ann_TO!O238</f>
        <v>41</v>
      </c>
    </row>
    <row r="73" spans="2:15" s="327" customFormat="1" ht="15.75" thickBot="1" x14ac:dyDescent="0.25">
      <c r="C73" s="679" t="str">
        <f>"Total "&amp;C62</f>
        <v>Total Referred Patients Seeking BIOP-H</v>
      </c>
      <c r="J73" s="624">
        <f t="shared" ref="J73:O73" ca="1" si="7">SUM(J63:J72)</f>
        <v>425</v>
      </c>
      <c r="K73" s="624">
        <f t="shared" ca="1" si="7"/>
        <v>425</v>
      </c>
      <c r="L73" s="624">
        <f t="shared" ca="1" si="7"/>
        <v>425</v>
      </c>
      <c r="M73" s="624">
        <f t="shared" ca="1" si="7"/>
        <v>425</v>
      </c>
      <c r="N73" s="624">
        <f t="shared" ca="1" si="7"/>
        <v>425</v>
      </c>
      <c r="O73" s="624">
        <f t="shared" ca="1" si="7"/>
        <v>425</v>
      </c>
    </row>
    <row r="74" spans="2:15" s="327" customFormat="1" ht="13.5" thickTop="1" x14ac:dyDescent="0.2"/>
    <row r="75" spans="2:15" s="327" customFormat="1" ht="15.75" x14ac:dyDescent="0.2">
      <c r="C75" s="330" t="s">
        <v>1893</v>
      </c>
      <c r="J75" s="14">
        <f t="shared" ref="J75:O75" ca="1" si="8">MAX((J73-J41),0)</f>
        <v>0</v>
      </c>
      <c r="K75" s="14">
        <f t="shared" ca="1" si="8"/>
        <v>0</v>
      </c>
      <c r="L75" s="14">
        <f t="shared" ca="1" si="8"/>
        <v>0</v>
      </c>
      <c r="M75" s="14">
        <f t="shared" ca="1" si="8"/>
        <v>0</v>
      </c>
      <c r="N75" s="14">
        <f t="shared" ca="1" si="8"/>
        <v>0</v>
      </c>
      <c r="O75" s="14">
        <f t="shared" ca="1" si="8"/>
        <v>0</v>
      </c>
    </row>
    <row r="76" spans="2:15" s="327" customFormat="1" x14ac:dyDescent="0.2"/>
    <row r="77" spans="2:15" s="327" customFormat="1" ht="18.75" x14ac:dyDescent="0.2">
      <c r="B77" s="329" t="s">
        <v>8</v>
      </c>
    </row>
    <row r="78" spans="2:15" s="327" customFormat="1" ht="15.75" x14ac:dyDescent="0.2">
      <c r="C78" s="330" t="s">
        <v>1901</v>
      </c>
    </row>
    <row r="79" spans="2:15" s="327" customFormat="1" hidden="1" outlineLevel="1" x14ac:dyDescent="0.2">
      <c r="C79" s="660" t="str">
        <f>Diag_Ann_TO!D268</f>
        <v>Central</v>
      </c>
      <c r="J79" s="5">
        <f ca="1">Diag_Ann_TO!J268</f>
        <v>29</v>
      </c>
      <c r="K79" s="5">
        <f ca="1">Diag_Ann_TO!K268</f>
        <v>29</v>
      </c>
      <c r="L79" s="5">
        <f ca="1">Diag_Ann_TO!L268</f>
        <v>29</v>
      </c>
      <c r="M79" s="5">
        <f ca="1">Diag_Ann_TO!M268</f>
        <v>29</v>
      </c>
      <c r="N79" s="5">
        <f ca="1">Diag_Ann_TO!N268</f>
        <v>29</v>
      </c>
      <c r="O79" s="5">
        <f ca="1">Diag_Ann_TO!O268</f>
        <v>29</v>
      </c>
    </row>
    <row r="80" spans="2:15" s="327" customFormat="1" hidden="1" outlineLevel="1" x14ac:dyDescent="0.2">
      <c r="C80" s="660" t="str">
        <f>Diag_Ann_TO!D269</f>
        <v>Copperbelt</v>
      </c>
      <c r="J80" s="5">
        <f ca="1">Diag_Ann_TO!J269</f>
        <v>41</v>
      </c>
      <c r="K80" s="5">
        <f ca="1">Diag_Ann_TO!K269</f>
        <v>41</v>
      </c>
      <c r="L80" s="5">
        <f ca="1">Diag_Ann_TO!L269</f>
        <v>41</v>
      </c>
      <c r="M80" s="5">
        <f ca="1">Diag_Ann_TO!M269</f>
        <v>41</v>
      </c>
      <c r="N80" s="5">
        <f ca="1">Diag_Ann_TO!N269</f>
        <v>41</v>
      </c>
      <c r="O80" s="5">
        <f ca="1">Diag_Ann_TO!O269</f>
        <v>41</v>
      </c>
    </row>
    <row r="81" spans="3:15" s="327" customFormat="1" hidden="1" outlineLevel="1" x14ac:dyDescent="0.2">
      <c r="C81" s="660" t="str">
        <f>Diag_Ann_TO!D270</f>
        <v>Eastern</v>
      </c>
      <c r="J81" s="5">
        <f ca="1">Diag_Ann_TO!J270</f>
        <v>52</v>
      </c>
      <c r="K81" s="5">
        <f ca="1">Diag_Ann_TO!K270</f>
        <v>52</v>
      </c>
      <c r="L81" s="5">
        <f ca="1">Diag_Ann_TO!L270</f>
        <v>52</v>
      </c>
      <c r="M81" s="5">
        <f ca="1">Diag_Ann_TO!M270</f>
        <v>52</v>
      </c>
      <c r="N81" s="5">
        <f ca="1">Diag_Ann_TO!N270</f>
        <v>52</v>
      </c>
      <c r="O81" s="5">
        <f ca="1">Diag_Ann_TO!O270</f>
        <v>52</v>
      </c>
    </row>
    <row r="82" spans="3:15" s="327" customFormat="1" hidden="1" outlineLevel="1" x14ac:dyDescent="0.2">
      <c r="C82" s="660" t="str">
        <f>Diag_Ann_TO!D271</f>
        <v>Luapula</v>
      </c>
      <c r="J82" s="5">
        <f ca="1">Diag_Ann_TO!J271</f>
        <v>41</v>
      </c>
      <c r="K82" s="5">
        <f ca="1">Diag_Ann_TO!K271</f>
        <v>41</v>
      </c>
      <c r="L82" s="5">
        <f ca="1">Diag_Ann_TO!L271</f>
        <v>41</v>
      </c>
      <c r="M82" s="5">
        <f ca="1">Diag_Ann_TO!M271</f>
        <v>41</v>
      </c>
      <c r="N82" s="5">
        <f ca="1">Diag_Ann_TO!N271</f>
        <v>41</v>
      </c>
      <c r="O82" s="5">
        <f ca="1">Diag_Ann_TO!O271</f>
        <v>41</v>
      </c>
    </row>
    <row r="83" spans="3:15" s="327" customFormat="1" hidden="1" outlineLevel="1" x14ac:dyDescent="0.2">
      <c r="C83" s="660" t="str">
        <f>Diag_Ann_TO!D272</f>
        <v>Lusaka</v>
      </c>
      <c r="J83" s="5">
        <f ca="1">Diag_Ann_TO!J272</f>
        <v>146</v>
      </c>
      <c r="K83" s="5">
        <f ca="1">Diag_Ann_TO!K272</f>
        <v>146</v>
      </c>
      <c r="L83" s="5">
        <f ca="1">Diag_Ann_TO!L272</f>
        <v>146</v>
      </c>
      <c r="M83" s="5">
        <f ca="1">Diag_Ann_TO!M272</f>
        <v>146</v>
      </c>
      <c r="N83" s="5">
        <f ca="1">Diag_Ann_TO!N272</f>
        <v>146</v>
      </c>
      <c r="O83" s="5">
        <f ca="1">Diag_Ann_TO!O272</f>
        <v>146</v>
      </c>
    </row>
    <row r="84" spans="3:15" s="327" customFormat="1" hidden="1" outlineLevel="1" x14ac:dyDescent="0.2">
      <c r="C84" s="660" t="str">
        <f>Diag_Ann_TO!D273</f>
        <v>Muchinga</v>
      </c>
      <c r="J84" s="5">
        <f ca="1">Diag_Ann_TO!J273</f>
        <v>3</v>
      </c>
      <c r="K84" s="5">
        <f ca="1">Diag_Ann_TO!K273</f>
        <v>3</v>
      </c>
      <c r="L84" s="5">
        <f ca="1">Diag_Ann_TO!L273</f>
        <v>3</v>
      </c>
      <c r="M84" s="5">
        <f ca="1">Diag_Ann_TO!M273</f>
        <v>3</v>
      </c>
      <c r="N84" s="5">
        <f ca="1">Diag_Ann_TO!N273</f>
        <v>3</v>
      </c>
      <c r="O84" s="5">
        <f ca="1">Diag_Ann_TO!O273</f>
        <v>3</v>
      </c>
    </row>
    <row r="85" spans="3:15" s="327" customFormat="1" hidden="1" outlineLevel="1" x14ac:dyDescent="0.2">
      <c r="C85" s="660" t="str">
        <f>Diag_Ann_TO!D274</f>
        <v>Northern</v>
      </c>
      <c r="J85" s="5">
        <f ca="1">Diag_Ann_TO!J274</f>
        <v>14</v>
      </c>
      <c r="K85" s="5">
        <f ca="1">Diag_Ann_TO!K274</f>
        <v>14</v>
      </c>
      <c r="L85" s="5">
        <f ca="1">Diag_Ann_TO!L274</f>
        <v>14</v>
      </c>
      <c r="M85" s="5">
        <f ca="1">Diag_Ann_TO!M274</f>
        <v>14</v>
      </c>
      <c r="N85" s="5">
        <f ca="1">Diag_Ann_TO!N274</f>
        <v>14</v>
      </c>
      <c r="O85" s="5">
        <f ca="1">Diag_Ann_TO!O274</f>
        <v>14</v>
      </c>
    </row>
    <row r="86" spans="3:15" s="327" customFormat="1" hidden="1" outlineLevel="1" x14ac:dyDescent="0.2">
      <c r="C86" s="660" t="str">
        <f>Diag_Ann_TO!D275</f>
        <v>North-Western</v>
      </c>
      <c r="J86" s="5">
        <f ca="1">Diag_Ann_TO!J275</f>
        <v>17</v>
      </c>
      <c r="K86" s="5">
        <f ca="1">Diag_Ann_TO!K275</f>
        <v>17</v>
      </c>
      <c r="L86" s="5">
        <f ca="1">Diag_Ann_TO!L275</f>
        <v>17</v>
      </c>
      <c r="M86" s="5">
        <f ca="1">Diag_Ann_TO!M275</f>
        <v>17</v>
      </c>
      <c r="N86" s="5">
        <f ca="1">Diag_Ann_TO!N275</f>
        <v>17</v>
      </c>
      <c r="O86" s="5">
        <f ca="1">Diag_Ann_TO!O275</f>
        <v>17</v>
      </c>
    </row>
    <row r="87" spans="3:15" s="327" customFormat="1" hidden="1" outlineLevel="1" x14ac:dyDescent="0.2">
      <c r="C87" s="660" t="str">
        <f>Diag_Ann_TO!D276</f>
        <v>Southern</v>
      </c>
      <c r="J87" s="5">
        <f ca="1">Diag_Ann_TO!J276</f>
        <v>41</v>
      </c>
      <c r="K87" s="5">
        <f ca="1">Diag_Ann_TO!K276</f>
        <v>41</v>
      </c>
      <c r="L87" s="5">
        <f ca="1">Diag_Ann_TO!L276</f>
        <v>41</v>
      </c>
      <c r="M87" s="5">
        <f ca="1">Diag_Ann_TO!M276</f>
        <v>41</v>
      </c>
      <c r="N87" s="5">
        <f ca="1">Diag_Ann_TO!N276</f>
        <v>41</v>
      </c>
      <c r="O87" s="5">
        <f ca="1">Diag_Ann_TO!O276</f>
        <v>41</v>
      </c>
    </row>
    <row r="88" spans="3:15" s="327" customFormat="1" hidden="1" outlineLevel="1" x14ac:dyDescent="0.2">
      <c r="C88" s="660" t="str">
        <f>Diag_Ann_TO!D277</f>
        <v>Western</v>
      </c>
      <c r="J88" s="5">
        <f ca="1">Diag_Ann_TO!J277</f>
        <v>41</v>
      </c>
      <c r="K88" s="5">
        <f ca="1">Diag_Ann_TO!K277</f>
        <v>41</v>
      </c>
      <c r="L88" s="5">
        <f ca="1">Diag_Ann_TO!L277</f>
        <v>41</v>
      </c>
      <c r="M88" s="5">
        <f ca="1">Diag_Ann_TO!M277</f>
        <v>41</v>
      </c>
      <c r="N88" s="5">
        <f ca="1">Diag_Ann_TO!N277</f>
        <v>41</v>
      </c>
      <c r="O88" s="5">
        <f ca="1">Diag_Ann_TO!O277</f>
        <v>41</v>
      </c>
    </row>
    <row r="89" spans="3:15" s="327" customFormat="1" ht="15.75" collapsed="1" thickBot="1" x14ac:dyDescent="0.25">
      <c r="C89" s="646" t="str">
        <f>Diag_Ann_TA!D227</f>
        <v>Total Screened Population</v>
      </c>
      <c r="J89" s="624">
        <f t="shared" ref="J89:O89" ca="1" si="9">SUM(J79:J88)</f>
        <v>425</v>
      </c>
      <c r="K89" s="624">
        <f t="shared" ca="1" si="9"/>
        <v>425</v>
      </c>
      <c r="L89" s="624">
        <f t="shared" ca="1" si="9"/>
        <v>425</v>
      </c>
      <c r="M89" s="624">
        <f t="shared" ca="1" si="9"/>
        <v>425</v>
      </c>
      <c r="N89" s="624">
        <f t="shared" ca="1" si="9"/>
        <v>425</v>
      </c>
      <c r="O89" s="624">
        <f t="shared" ca="1" si="9"/>
        <v>425</v>
      </c>
    </row>
    <row r="90" spans="3:15" s="327" customFormat="1" ht="13.5" thickTop="1" x14ac:dyDescent="0.2"/>
    <row r="91" spans="3:15" s="327" customFormat="1" x14ac:dyDescent="0.2"/>
    <row r="92" spans="3:15" s="327" customFormat="1" ht="15.75" x14ac:dyDescent="0.2">
      <c r="C92" s="330" t="s">
        <v>1902</v>
      </c>
    </row>
    <row r="93" spans="3:15" s="327" customFormat="1" hidden="1" outlineLevel="1" x14ac:dyDescent="0.2">
      <c r="C93" s="660" t="str">
        <f>Diag_Ann_TO!D281</f>
        <v>Central</v>
      </c>
      <c r="J93" s="5">
        <f ca="1">Diag_Ann_TO!J281</f>
        <v>0</v>
      </c>
      <c r="K93" s="5">
        <f ca="1">Diag_Ann_TO!K281</f>
        <v>0</v>
      </c>
      <c r="L93" s="5">
        <f ca="1">Diag_Ann_TO!L281</f>
        <v>0</v>
      </c>
      <c r="M93" s="5">
        <f ca="1">Diag_Ann_TO!M281</f>
        <v>0</v>
      </c>
      <c r="N93" s="5">
        <f ca="1">Diag_Ann_TO!N281</f>
        <v>0</v>
      </c>
      <c r="O93" s="5">
        <f ca="1">Diag_Ann_TO!O281</f>
        <v>0</v>
      </c>
    </row>
    <row r="94" spans="3:15" s="327" customFormat="1" hidden="1" outlineLevel="1" x14ac:dyDescent="0.2">
      <c r="C94" s="660" t="str">
        <f>Diag_Ann_TO!D282</f>
        <v>Copperbelt</v>
      </c>
      <c r="J94" s="5">
        <f ca="1">Diag_Ann_TO!J282</f>
        <v>221</v>
      </c>
      <c r="K94" s="5">
        <f ca="1">Diag_Ann_TO!K282</f>
        <v>221</v>
      </c>
      <c r="L94" s="5">
        <f ca="1">Diag_Ann_TO!L282</f>
        <v>221</v>
      </c>
      <c r="M94" s="5">
        <f ca="1">Diag_Ann_TO!M282</f>
        <v>221</v>
      </c>
      <c r="N94" s="5">
        <f ca="1">Diag_Ann_TO!N282</f>
        <v>221</v>
      </c>
      <c r="O94" s="5">
        <f ca="1">Diag_Ann_TO!O282</f>
        <v>221</v>
      </c>
    </row>
    <row r="95" spans="3:15" s="327" customFormat="1" hidden="1" outlineLevel="1" x14ac:dyDescent="0.2">
      <c r="C95" s="660" t="str">
        <f>Diag_Ann_TO!D283</f>
        <v>Eastern</v>
      </c>
      <c r="J95" s="5">
        <f ca="1">Diag_Ann_TO!J283</f>
        <v>0</v>
      </c>
      <c r="K95" s="5">
        <f ca="1">Diag_Ann_TO!K283</f>
        <v>0</v>
      </c>
      <c r="L95" s="5">
        <f ca="1">Diag_Ann_TO!L283</f>
        <v>0</v>
      </c>
      <c r="M95" s="5">
        <f ca="1">Diag_Ann_TO!M283</f>
        <v>0</v>
      </c>
      <c r="N95" s="5">
        <f ca="1">Diag_Ann_TO!N283</f>
        <v>0</v>
      </c>
      <c r="O95" s="5">
        <f ca="1">Diag_Ann_TO!O283</f>
        <v>0</v>
      </c>
    </row>
    <row r="96" spans="3:15" s="327" customFormat="1" hidden="1" outlineLevel="1" x14ac:dyDescent="0.2">
      <c r="C96" s="660" t="str">
        <f>Diag_Ann_TO!D284</f>
        <v>Luapula</v>
      </c>
      <c r="J96" s="5">
        <f ca="1">Diag_Ann_TO!J284</f>
        <v>0</v>
      </c>
      <c r="K96" s="5">
        <f ca="1">Diag_Ann_TO!K284</f>
        <v>0</v>
      </c>
      <c r="L96" s="5">
        <f ca="1">Diag_Ann_TO!L284</f>
        <v>0</v>
      </c>
      <c r="M96" s="5">
        <f ca="1">Diag_Ann_TO!M284</f>
        <v>0</v>
      </c>
      <c r="N96" s="5">
        <f ca="1">Diag_Ann_TO!N284</f>
        <v>0</v>
      </c>
      <c r="O96" s="5">
        <f ca="1">Diag_Ann_TO!O284</f>
        <v>0</v>
      </c>
    </row>
    <row r="97" spans="2:15" s="327" customFormat="1" hidden="1" outlineLevel="1" x14ac:dyDescent="0.2">
      <c r="C97" s="660" t="str">
        <f>Diag_Ann_TO!D285</f>
        <v>Lusaka</v>
      </c>
      <c r="J97" s="5">
        <f ca="1">Diag_Ann_TO!J285</f>
        <v>204</v>
      </c>
      <c r="K97" s="5">
        <f ca="1">Diag_Ann_TO!K285</f>
        <v>204</v>
      </c>
      <c r="L97" s="5">
        <f ca="1">Diag_Ann_TO!L285</f>
        <v>204</v>
      </c>
      <c r="M97" s="5">
        <f ca="1">Diag_Ann_TO!M285</f>
        <v>204</v>
      </c>
      <c r="N97" s="5">
        <f ca="1">Diag_Ann_TO!N285</f>
        <v>204</v>
      </c>
      <c r="O97" s="5">
        <f ca="1">Diag_Ann_TO!O285</f>
        <v>204</v>
      </c>
    </row>
    <row r="98" spans="2:15" s="327" customFormat="1" hidden="1" outlineLevel="1" x14ac:dyDescent="0.2">
      <c r="C98" s="660" t="str">
        <f>Diag_Ann_TO!D286</f>
        <v>Muchinga</v>
      </c>
      <c r="J98" s="5">
        <f ca="1">Diag_Ann_TO!J286</f>
        <v>0</v>
      </c>
      <c r="K98" s="5">
        <f ca="1">Diag_Ann_TO!K286</f>
        <v>0</v>
      </c>
      <c r="L98" s="5">
        <f ca="1">Diag_Ann_TO!L286</f>
        <v>0</v>
      </c>
      <c r="M98" s="5">
        <f ca="1">Diag_Ann_TO!M286</f>
        <v>0</v>
      </c>
      <c r="N98" s="5">
        <f ca="1">Diag_Ann_TO!N286</f>
        <v>0</v>
      </c>
      <c r="O98" s="5">
        <f ca="1">Diag_Ann_TO!O286</f>
        <v>0</v>
      </c>
    </row>
    <row r="99" spans="2:15" s="327" customFormat="1" hidden="1" outlineLevel="1" x14ac:dyDescent="0.2">
      <c r="C99" s="660" t="str">
        <f>Diag_Ann_TO!D287</f>
        <v>Northern</v>
      </c>
      <c r="J99" s="5">
        <f ca="1">Diag_Ann_TO!J287</f>
        <v>0</v>
      </c>
      <c r="K99" s="5">
        <f ca="1">Diag_Ann_TO!K287</f>
        <v>0</v>
      </c>
      <c r="L99" s="5">
        <f ca="1">Diag_Ann_TO!L287</f>
        <v>0</v>
      </c>
      <c r="M99" s="5">
        <f ca="1">Diag_Ann_TO!M287</f>
        <v>0</v>
      </c>
      <c r="N99" s="5">
        <f ca="1">Diag_Ann_TO!N287</f>
        <v>0</v>
      </c>
      <c r="O99" s="5">
        <f ca="1">Diag_Ann_TO!O287</f>
        <v>0</v>
      </c>
    </row>
    <row r="100" spans="2:15" s="327" customFormat="1" hidden="1" outlineLevel="1" x14ac:dyDescent="0.2">
      <c r="C100" s="660" t="str">
        <f>Diag_Ann_TO!D288</f>
        <v>North-Western</v>
      </c>
      <c r="J100" s="5">
        <f ca="1">Diag_Ann_TO!J288</f>
        <v>0</v>
      </c>
      <c r="K100" s="5">
        <f ca="1">Diag_Ann_TO!K288</f>
        <v>0</v>
      </c>
      <c r="L100" s="5">
        <f ca="1">Diag_Ann_TO!L288</f>
        <v>0</v>
      </c>
      <c r="M100" s="5">
        <f ca="1">Diag_Ann_TO!M288</f>
        <v>0</v>
      </c>
      <c r="N100" s="5">
        <f ca="1">Diag_Ann_TO!N288</f>
        <v>0</v>
      </c>
      <c r="O100" s="5">
        <f ca="1">Diag_Ann_TO!O288</f>
        <v>0</v>
      </c>
    </row>
    <row r="101" spans="2:15" s="327" customFormat="1" hidden="1" outlineLevel="1" x14ac:dyDescent="0.2">
      <c r="C101" s="660" t="str">
        <f>Diag_Ann_TO!D289</f>
        <v>Southern</v>
      </c>
      <c r="J101" s="5">
        <f ca="1">Diag_Ann_TO!J289</f>
        <v>0</v>
      </c>
      <c r="K101" s="5">
        <f ca="1">Diag_Ann_TO!K289</f>
        <v>0</v>
      </c>
      <c r="L101" s="5">
        <f ca="1">Diag_Ann_TO!L289</f>
        <v>0</v>
      </c>
      <c r="M101" s="5">
        <f ca="1">Diag_Ann_TO!M289</f>
        <v>0</v>
      </c>
      <c r="N101" s="5">
        <f ca="1">Diag_Ann_TO!N289</f>
        <v>0</v>
      </c>
      <c r="O101" s="5">
        <f ca="1">Diag_Ann_TO!O289</f>
        <v>0</v>
      </c>
    </row>
    <row r="102" spans="2:15" s="327" customFormat="1" hidden="1" outlineLevel="1" x14ac:dyDescent="0.2">
      <c r="C102" s="660" t="str">
        <f>Diag_Ann_TO!D290</f>
        <v>Western</v>
      </c>
      <c r="J102" s="5">
        <f ca="1">Diag_Ann_TO!J290</f>
        <v>0</v>
      </c>
      <c r="K102" s="5">
        <f ca="1">Diag_Ann_TO!K290</f>
        <v>0</v>
      </c>
      <c r="L102" s="5">
        <f ca="1">Diag_Ann_TO!L290</f>
        <v>0</v>
      </c>
      <c r="M102" s="5">
        <f ca="1">Diag_Ann_TO!M290</f>
        <v>0</v>
      </c>
      <c r="N102" s="5">
        <f ca="1">Diag_Ann_TO!N290</f>
        <v>0</v>
      </c>
      <c r="O102" s="5">
        <f ca="1">Diag_Ann_TO!O290</f>
        <v>0</v>
      </c>
    </row>
    <row r="103" spans="2:15" s="327" customFormat="1" ht="15.75" collapsed="1" thickBot="1" x14ac:dyDescent="0.25">
      <c r="C103" s="646" t="str">
        <f>C92</f>
        <v>Total Procedures Supplied (by Province Providing)</v>
      </c>
      <c r="J103" s="624">
        <f t="shared" ref="J103:O103" ca="1" si="10">SUM(J93:J102)</f>
        <v>425</v>
      </c>
      <c r="K103" s="624">
        <f t="shared" ca="1" si="10"/>
        <v>425</v>
      </c>
      <c r="L103" s="624">
        <f t="shared" ca="1" si="10"/>
        <v>425</v>
      </c>
      <c r="M103" s="624">
        <f t="shared" ca="1" si="10"/>
        <v>425</v>
      </c>
      <c r="N103" s="624">
        <f t="shared" ca="1" si="10"/>
        <v>425</v>
      </c>
      <c r="O103" s="624">
        <f t="shared" ca="1" si="10"/>
        <v>425</v>
      </c>
    </row>
    <row r="104" spans="2:15" s="327" customFormat="1" ht="13.5" thickTop="1" x14ac:dyDescent="0.2"/>
    <row r="105" spans="2:15" s="327" customFormat="1" ht="18.75" x14ac:dyDescent="0.2">
      <c r="B105" s="329" t="s">
        <v>1904</v>
      </c>
    </row>
    <row r="106" spans="2:15" s="327" customFormat="1" x14ac:dyDescent="0.2"/>
    <row r="107" spans="2:15" s="327" customFormat="1" ht="15.75" x14ac:dyDescent="0.2">
      <c r="C107" s="330" t="s">
        <v>1966</v>
      </c>
      <c r="I107" s="13">
        <f>Reg_Pop_Ann_TA!H78</f>
        <v>0.83</v>
      </c>
    </row>
    <row r="108" spans="2:15" s="327" customFormat="1" hidden="1" outlineLevel="1" x14ac:dyDescent="0.2">
      <c r="C108" s="660" t="str">
        <f>Diag_Ann_TO!D268</f>
        <v>Central</v>
      </c>
      <c r="J108" s="5">
        <f t="shared" ref="J108:O117" ca="1" si="11">ROUND(J79*$I$107,0)</f>
        <v>24</v>
      </c>
      <c r="K108" s="5">
        <f t="shared" ca="1" si="11"/>
        <v>24</v>
      </c>
      <c r="L108" s="5">
        <f t="shared" ca="1" si="11"/>
        <v>24</v>
      </c>
      <c r="M108" s="5">
        <f t="shared" ca="1" si="11"/>
        <v>24</v>
      </c>
      <c r="N108" s="5">
        <f t="shared" ca="1" si="11"/>
        <v>24</v>
      </c>
      <c r="O108" s="5">
        <f t="shared" ca="1" si="11"/>
        <v>24</v>
      </c>
    </row>
    <row r="109" spans="2:15" s="327" customFormat="1" hidden="1" outlineLevel="1" x14ac:dyDescent="0.2">
      <c r="C109" s="660" t="str">
        <f>Diag_Ann_TO!D269</f>
        <v>Copperbelt</v>
      </c>
      <c r="J109" s="5">
        <f t="shared" ca="1" si="11"/>
        <v>34</v>
      </c>
      <c r="K109" s="5">
        <f t="shared" ca="1" si="11"/>
        <v>34</v>
      </c>
      <c r="L109" s="5">
        <f t="shared" ca="1" si="11"/>
        <v>34</v>
      </c>
      <c r="M109" s="5">
        <f t="shared" ca="1" si="11"/>
        <v>34</v>
      </c>
      <c r="N109" s="5">
        <f t="shared" ca="1" si="11"/>
        <v>34</v>
      </c>
      <c r="O109" s="5">
        <f t="shared" ca="1" si="11"/>
        <v>34</v>
      </c>
    </row>
    <row r="110" spans="2:15" s="327" customFormat="1" hidden="1" outlineLevel="1" x14ac:dyDescent="0.2">
      <c r="C110" s="660" t="str">
        <f>Diag_Ann_TO!D270</f>
        <v>Eastern</v>
      </c>
      <c r="J110" s="5">
        <f t="shared" ca="1" si="11"/>
        <v>43</v>
      </c>
      <c r="K110" s="5">
        <f t="shared" ca="1" si="11"/>
        <v>43</v>
      </c>
      <c r="L110" s="5">
        <f t="shared" ca="1" si="11"/>
        <v>43</v>
      </c>
      <c r="M110" s="5">
        <f t="shared" ca="1" si="11"/>
        <v>43</v>
      </c>
      <c r="N110" s="5">
        <f t="shared" ca="1" si="11"/>
        <v>43</v>
      </c>
      <c r="O110" s="5">
        <f t="shared" ca="1" si="11"/>
        <v>43</v>
      </c>
    </row>
    <row r="111" spans="2:15" s="327" customFormat="1" hidden="1" outlineLevel="1" x14ac:dyDescent="0.2">
      <c r="C111" s="660" t="str">
        <f>Diag_Ann_TO!D271</f>
        <v>Luapula</v>
      </c>
      <c r="J111" s="5">
        <f t="shared" ca="1" si="11"/>
        <v>34</v>
      </c>
      <c r="K111" s="5">
        <f t="shared" ca="1" si="11"/>
        <v>34</v>
      </c>
      <c r="L111" s="5">
        <f t="shared" ca="1" si="11"/>
        <v>34</v>
      </c>
      <c r="M111" s="5">
        <f t="shared" ca="1" si="11"/>
        <v>34</v>
      </c>
      <c r="N111" s="5">
        <f t="shared" ca="1" si="11"/>
        <v>34</v>
      </c>
      <c r="O111" s="5">
        <f t="shared" ca="1" si="11"/>
        <v>34</v>
      </c>
    </row>
    <row r="112" spans="2:15" s="327" customFormat="1" hidden="1" outlineLevel="1" x14ac:dyDescent="0.2">
      <c r="C112" s="660" t="str">
        <f>Diag_Ann_TO!D272</f>
        <v>Lusaka</v>
      </c>
      <c r="J112" s="5">
        <f t="shared" ca="1" si="11"/>
        <v>121</v>
      </c>
      <c r="K112" s="5">
        <f t="shared" ca="1" si="11"/>
        <v>121</v>
      </c>
      <c r="L112" s="5">
        <f t="shared" ca="1" si="11"/>
        <v>121</v>
      </c>
      <c r="M112" s="5">
        <f t="shared" ca="1" si="11"/>
        <v>121</v>
      </c>
      <c r="N112" s="5">
        <f t="shared" ca="1" si="11"/>
        <v>121</v>
      </c>
      <c r="O112" s="5">
        <f t="shared" ca="1" si="11"/>
        <v>121</v>
      </c>
    </row>
    <row r="113" spans="3:15" s="327" customFormat="1" hidden="1" outlineLevel="1" x14ac:dyDescent="0.2">
      <c r="C113" s="660" t="str">
        <f>Diag_Ann_TO!D273</f>
        <v>Muchinga</v>
      </c>
      <c r="J113" s="5">
        <f t="shared" ca="1" si="11"/>
        <v>2</v>
      </c>
      <c r="K113" s="5">
        <f t="shared" ca="1" si="11"/>
        <v>2</v>
      </c>
      <c r="L113" s="5">
        <f t="shared" ca="1" si="11"/>
        <v>2</v>
      </c>
      <c r="M113" s="5">
        <f t="shared" ca="1" si="11"/>
        <v>2</v>
      </c>
      <c r="N113" s="5">
        <f t="shared" ca="1" si="11"/>
        <v>2</v>
      </c>
      <c r="O113" s="5">
        <f t="shared" ca="1" si="11"/>
        <v>2</v>
      </c>
    </row>
    <row r="114" spans="3:15" s="327" customFormat="1" hidden="1" outlineLevel="1" x14ac:dyDescent="0.2">
      <c r="C114" s="660" t="str">
        <f>Diag_Ann_TO!D274</f>
        <v>Northern</v>
      </c>
      <c r="J114" s="5">
        <f t="shared" ca="1" si="11"/>
        <v>12</v>
      </c>
      <c r="K114" s="5">
        <f t="shared" ca="1" si="11"/>
        <v>12</v>
      </c>
      <c r="L114" s="5">
        <f t="shared" ca="1" si="11"/>
        <v>12</v>
      </c>
      <c r="M114" s="5">
        <f t="shared" ca="1" si="11"/>
        <v>12</v>
      </c>
      <c r="N114" s="5">
        <f t="shared" ca="1" si="11"/>
        <v>12</v>
      </c>
      <c r="O114" s="5">
        <f t="shared" ca="1" si="11"/>
        <v>12</v>
      </c>
    </row>
    <row r="115" spans="3:15" s="327" customFormat="1" hidden="1" outlineLevel="1" x14ac:dyDescent="0.2">
      <c r="C115" s="660" t="str">
        <f>Diag_Ann_TO!D275</f>
        <v>North-Western</v>
      </c>
      <c r="J115" s="5">
        <f t="shared" ca="1" si="11"/>
        <v>14</v>
      </c>
      <c r="K115" s="5">
        <f t="shared" ca="1" si="11"/>
        <v>14</v>
      </c>
      <c r="L115" s="5">
        <f t="shared" ca="1" si="11"/>
        <v>14</v>
      </c>
      <c r="M115" s="5">
        <f t="shared" ca="1" si="11"/>
        <v>14</v>
      </c>
      <c r="N115" s="5">
        <f t="shared" ca="1" si="11"/>
        <v>14</v>
      </c>
      <c r="O115" s="5">
        <f t="shared" ca="1" si="11"/>
        <v>14</v>
      </c>
    </row>
    <row r="116" spans="3:15" s="327" customFormat="1" hidden="1" outlineLevel="1" x14ac:dyDescent="0.2">
      <c r="C116" s="660" t="str">
        <f>Diag_Ann_TO!D276</f>
        <v>Southern</v>
      </c>
      <c r="J116" s="5">
        <f t="shared" ca="1" si="11"/>
        <v>34</v>
      </c>
      <c r="K116" s="5">
        <f t="shared" ca="1" si="11"/>
        <v>34</v>
      </c>
      <c r="L116" s="5">
        <f t="shared" ca="1" si="11"/>
        <v>34</v>
      </c>
      <c r="M116" s="5">
        <f t="shared" ca="1" si="11"/>
        <v>34</v>
      </c>
      <c r="N116" s="5">
        <f t="shared" ca="1" si="11"/>
        <v>34</v>
      </c>
      <c r="O116" s="5">
        <f t="shared" ca="1" si="11"/>
        <v>34</v>
      </c>
    </row>
    <row r="117" spans="3:15" s="327" customFormat="1" hidden="1" outlineLevel="1" x14ac:dyDescent="0.2">
      <c r="C117" s="660" t="str">
        <f>Diag_Ann_TO!D277</f>
        <v>Western</v>
      </c>
      <c r="J117" s="5">
        <f t="shared" ca="1" si="11"/>
        <v>34</v>
      </c>
      <c r="K117" s="5">
        <f t="shared" ca="1" si="11"/>
        <v>34</v>
      </c>
      <c r="L117" s="5">
        <f t="shared" ca="1" si="11"/>
        <v>34</v>
      </c>
      <c r="M117" s="5">
        <f t="shared" ca="1" si="11"/>
        <v>34</v>
      </c>
      <c r="N117" s="5">
        <f t="shared" ca="1" si="11"/>
        <v>34</v>
      </c>
      <c r="O117" s="5">
        <f t="shared" ca="1" si="11"/>
        <v>34</v>
      </c>
    </row>
    <row r="118" spans="3:15" s="327" customFormat="1" ht="15.75" collapsed="1" thickBot="1" x14ac:dyDescent="0.25">
      <c r="C118" s="679" t="str">
        <f>"Total "&amp;C107</f>
        <v>Total Women Requiring no Referral</v>
      </c>
      <c r="J118" s="624">
        <f t="shared" ref="J118:O118" ca="1" si="12">SUM(J108:J117)</f>
        <v>352</v>
      </c>
      <c r="K118" s="624">
        <f t="shared" ca="1" si="12"/>
        <v>352</v>
      </c>
      <c r="L118" s="624">
        <f t="shared" ca="1" si="12"/>
        <v>352</v>
      </c>
      <c r="M118" s="624">
        <f t="shared" ca="1" si="12"/>
        <v>352</v>
      </c>
      <c r="N118" s="624">
        <f t="shared" ca="1" si="12"/>
        <v>352</v>
      </c>
      <c r="O118" s="624">
        <f t="shared" ca="1" si="12"/>
        <v>352</v>
      </c>
    </row>
    <row r="119" spans="3:15" s="327" customFormat="1" ht="13.5" thickTop="1" x14ac:dyDescent="0.2"/>
    <row r="120" spans="3:15" s="327" customFormat="1" ht="15.75" x14ac:dyDescent="0.2">
      <c r="C120" s="26" t="str">
        <f>"Women Referred for "&amp;Reg_Pop_Ann_TA!D82</f>
        <v>Women Referred for SURG</v>
      </c>
      <c r="I120" s="13">
        <f>Reg_Pop_Ann_TA!H82</f>
        <v>0.04</v>
      </c>
    </row>
    <row r="121" spans="3:15" s="327" customFormat="1" hidden="1" outlineLevel="1" x14ac:dyDescent="0.2">
      <c r="C121" s="660" t="str">
        <f>Diag_Ann_TO!D268</f>
        <v>Central</v>
      </c>
      <c r="J121" s="5">
        <f t="shared" ref="J121:O130" ca="1" si="13">ROUND(J79*$I$120,0)</f>
        <v>1</v>
      </c>
      <c r="K121" s="5">
        <f t="shared" ca="1" si="13"/>
        <v>1</v>
      </c>
      <c r="L121" s="5">
        <f t="shared" ca="1" si="13"/>
        <v>1</v>
      </c>
      <c r="M121" s="5">
        <f t="shared" ca="1" si="13"/>
        <v>1</v>
      </c>
      <c r="N121" s="5">
        <f t="shared" ca="1" si="13"/>
        <v>1</v>
      </c>
      <c r="O121" s="5">
        <f t="shared" ca="1" si="13"/>
        <v>1</v>
      </c>
    </row>
    <row r="122" spans="3:15" s="327" customFormat="1" hidden="1" outlineLevel="1" x14ac:dyDescent="0.2">
      <c r="C122" s="660" t="str">
        <f>Diag_Ann_TO!D269</f>
        <v>Copperbelt</v>
      </c>
      <c r="J122" s="5">
        <f t="shared" ca="1" si="13"/>
        <v>2</v>
      </c>
      <c r="K122" s="5">
        <f t="shared" ca="1" si="13"/>
        <v>2</v>
      </c>
      <c r="L122" s="5">
        <f t="shared" ca="1" si="13"/>
        <v>2</v>
      </c>
      <c r="M122" s="5">
        <f t="shared" ca="1" si="13"/>
        <v>2</v>
      </c>
      <c r="N122" s="5">
        <f t="shared" ca="1" si="13"/>
        <v>2</v>
      </c>
      <c r="O122" s="5">
        <f t="shared" ca="1" si="13"/>
        <v>2</v>
      </c>
    </row>
    <row r="123" spans="3:15" s="327" customFormat="1" hidden="1" outlineLevel="1" x14ac:dyDescent="0.2">
      <c r="C123" s="660" t="str">
        <f>Diag_Ann_TO!D270</f>
        <v>Eastern</v>
      </c>
      <c r="J123" s="5">
        <f t="shared" ca="1" si="13"/>
        <v>2</v>
      </c>
      <c r="K123" s="5">
        <f t="shared" ca="1" si="13"/>
        <v>2</v>
      </c>
      <c r="L123" s="5">
        <f t="shared" ca="1" si="13"/>
        <v>2</v>
      </c>
      <c r="M123" s="5">
        <f t="shared" ca="1" si="13"/>
        <v>2</v>
      </c>
      <c r="N123" s="5">
        <f t="shared" ca="1" si="13"/>
        <v>2</v>
      </c>
      <c r="O123" s="5">
        <f t="shared" ca="1" si="13"/>
        <v>2</v>
      </c>
    </row>
    <row r="124" spans="3:15" s="327" customFormat="1" hidden="1" outlineLevel="1" x14ac:dyDescent="0.2">
      <c r="C124" s="660" t="str">
        <f>Diag_Ann_TO!D271</f>
        <v>Luapula</v>
      </c>
      <c r="J124" s="5">
        <f t="shared" ca="1" si="13"/>
        <v>2</v>
      </c>
      <c r="K124" s="5">
        <f t="shared" ca="1" si="13"/>
        <v>2</v>
      </c>
      <c r="L124" s="5">
        <f t="shared" ca="1" si="13"/>
        <v>2</v>
      </c>
      <c r="M124" s="5">
        <f t="shared" ca="1" si="13"/>
        <v>2</v>
      </c>
      <c r="N124" s="5">
        <f t="shared" ca="1" si="13"/>
        <v>2</v>
      </c>
      <c r="O124" s="5">
        <f t="shared" ca="1" si="13"/>
        <v>2</v>
      </c>
    </row>
    <row r="125" spans="3:15" s="327" customFormat="1" hidden="1" outlineLevel="1" x14ac:dyDescent="0.2">
      <c r="C125" s="660" t="str">
        <f>Diag_Ann_TO!D272</f>
        <v>Lusaka</v>
      </c>
      <c r="J125" s="5">
        <f t="shared" ca="1" si="13"/>
        <v>6</v>
      </c>
      <c r="K125" s="5">
        <f t="shared" ca="1" si="13"/>
        <v>6</v>
      </c>
      <c r="L125" s="5">
        <f t="shared" ca="1" si="13"/>
        <v>6</v>
      </c>
      <c r="M125" s="5">
        <f t="shared" ca="1" si="13"/>
        <v>6</v>
      </c>
      <c r="N125" s="5">
        <f t="shared" ca="1" si="13"/>
        <v>6</v>
      </c>
      <c r="O125" s="5">
        <f t="shared" ca="1" si="13"/>
        <v>6</v>
      </c>
    </row>
    <row r="126" spans="3:15" s="327" customFormat="1" hidden="1" outlineLevel="1" x14ac:dyDescent="0.2">
      <c r="C126" s="660" t="str">
        <f>Diag_Ann_TO!D273</f>
        <v>Muchinga</v>
      </c>
      <c r="J126" s="5">
        <f t="shared" ca="1" si="13"/>
        <v>0</v>
      </c>
      <c r="K126" s="5">
        <f t="shared" ca="1" si="13"/>
        <v>0</v>
      </c>
      <c r="L126" s="5">
        <f t="shared" ca="1" si="13"/>
        <v>0</v>
      </c>
      <c r="M126" s="5">
        <f t="shared" ca="1" si="13"/>
        <v>0</v>
      </c>
      <c r="N126" s="5">
        <f t="shared" ca="1" si="13"/>
        <v>0</v>
      </c>
      <c r="O126" s="5">
        <f t="shared" ca="1" si="13"/>
        <v>0</v>
      </c>
    </row>
    <row r="127" spans="3:15" s="327" customFormat="1" hidden="1" outlineLevel="1" x14ac:dyDescent="0.2">
      <c r="C127" s="660" t="str">
        <f>Diag_Ann_TO!D274</f>
        <v>Northern</v>
      </c>
      <c r="J127" s="5">
        <f t="shared" ca="1" si="13"/>
        <v>1</v>
      </c>
      <c r="K127" s="5">
        <f t="shared" ca="1" si="13"/>
        <v>1</v>
      </c>
      <c r="L127" s="5">
        <f t="shared" ca="1" si="13"/>
        <v>1</v>
      </c>
      <c r="M127" s="5">
        <f t="shared" ca="1" si="13"/>
        <v>1</v>
      </c>
      <c r="N127" s="5">
        <f t="shared" ca="1" si="13"/>
        <v>1</v>
      </c>
      <c r="O127" s="5">
        <f t="shared" ca="1" si="13"/>
        <v>1</v>
      </c>
    </row>
    <row r="128" spans="3:15" s="327" customFormat="1" hidden="1" outlineLevel="1" x14ac:dyDescent="0.2">
      <c r="C128" s="660" t="str">
        <f>Diag_Ann_TO!D275</f>
        <v>North-Western</v>
      </c>
      <c r="J128" s="5">
        <f t="shared" ca="1" si="13"/>
        <v>1</v>
      </c>
      <c r="K128" s="5">
        <f t="shared" ca="1" si="13"/>
        <v>1</v>
      </c>
      <c r="L128" s="5">
        <f t="shared" ca="1" si="13"/>
        <v>1</v>
      </c>
      <c r="M128" s="5">
        <f t="shared" ca="1" si="13"/>
        <v>1</v>
      </c>
      <c r="N128" s="5">
        <f t="shared" ca="1" si="13"/>
        <v>1</v>
      </c>
      <c r="O128" s="5">
        <f t="shared" ca="1" si="13"/>
        <v>1</v>
      </c>
    </row>
    <row r="129" spans="3:15" s="327" customFormat="1" hidden="1" outlineLevel="1" x14ac:dyDescent="0.2">
      <c r="C129" s="660" t="str">
        <f>Diag_Ann_TO!D276</f>
        <v>Southern</v>
      </c>
      <c r="J129" s="5">
        <f t="shared" ca="1" si="13"/>
        <v>2</v>
      </c>
      <c r="K129" s="5">
        <f t="shared" ca="1" si="13"/>
        <v>2</v>
      </c>
      <c r="L129" s="5">
        <f t="shared" ca="1" si="13"/>
        <v>2</v>
      </c>
      <c r="M129" s="5">
        <f t="shared" ca="1" si="13"/>
        <v>2</v>
      </c>
      <c r="N129" s="5">
        <f t="shared" ca="1" si="13"/>
        <v>2</v>
      </c>
      <c r="O129" s="5">
        <f t="shared" ca="1" si="13"/>
        <v>2</v>
      </c>
    </row>
    <row r="130" spans="3:15" s="327" customFormat="1" hidden="1" outlineLevel="1" x14ac:dyDescent="0.2">
      <c r="C130" s="660" t="str">
        <f>Diag_Ann_TO!D277</f>
        <v>Western</v>
      </c>
      <c r="J130" s="5">
        <f t="shared" ca="1" si="13"/>
        <v>2</v>
      </c>
      <c r="K130" s="5">
        <f t="shared" ca="1" si="13"/>
        <v>2</v>
      </c>
      <c r="L130" s="5">
        <f t="shared" ca="1" si="13"/>
        <v>2</v>
      </c>
      <c r="M130" s="5">
        <f t="shared" ca="1" si="13"/>
        <v>2</v>
      </c>
      <c r="N130" s="5">
        <f t="shared" ca="1" si="13"/>
        <v>2</v>
      </c>
      <c r="O130" s="5">
        <f t="shared" ca="1" si="13"/>
        <v>2</v>
      </c>
    </row>
    <row r="131" spans="3:15" s="327" customFormat="1" ht="15.75" collapsed="1" thickBot="1" x14ac:dyDescent="0.25">
      <c r="C131" s="679" t="str">
        <f>"Total "&amp;C120</f>
        <v>Total Women Referred for SURG</v>
      </c>
      <c r="J131" s="624">
        <f t="shared" ref="J131:O131" ca="1" si="14">SUM(J121:J130)</f>
        <v>19</v>
      </c>
      <c r="K131" s="624">
        <f t="shared" ca="1" si="14"/>
        <v>19</v>
      </c>
      <c r="L131" s="624">
        <f t="shared" ca="1" si="14"/>
        <v>19</v>
      </c>
      <c r="M131" s="624">
        <f t="shared" ca="1" si="14"/>
        <v>19</v>
      </c>
      <c r="N131" s="624">
        <f t="shared" ca="1" si="14"/>
        <v>19</v>
      </c>
      <c r="O131" s="624">
        <f t="shared" ca="1" si="14"/>
        <v>19</v>
      </c>
    </row>
    <row r="132" spans="3:15" s="327" customFormat="1" ht="13.5" thickTop="1" x14ac:dyDescent="0.2"/>
    <row r="133" spans="3:15" s="327" customFormat="1" ht="15.75" x14ac:dyDescent="0.2">
      <c r="C133" s="26" t="str">
        <f>"Women Referred for "&amp;Reg_Pop_Ann_TA!D83</f>
        <v>Women Referred for Chemo</v>
      </c>
      <c r="I133" s="13">
        <f>Reg_Pop_Ann_TA!H83</f>
        <v>0.05</v>
      </c>
    </row>
    <row r="134" spans="3:15" s="327" customFormat="1" hidden="1" outlineLevel="1" x14ac:dyDescent="0.2">
      <c r="C134" s="660" t="str">
        <f>Diag_Ann_TO!D268</f>
        <v>Central</v>
      </c>
      <c r="J134" s="5">
        <f t="shared" ref="J134:O143" ca="1" si="15">ROUND(J79*$I$133,0)</f>
        <v>1</v>
      </c>
      <c r="K134" s="5">
        <f t="shared" ca="1" si="15"/>
        <v>1</v>
      </c>
      <c r="L134" s="5">
        <f t="shared" ca="1" si="15"/>
        <v>1</v>
      </c>
      <c r="M134" s="5">
        <f t="shared" ca="1" si="15"/>
        <v>1</v>
      </c>
      <c r="N134" s="5">
        <f t="shared" ca="1" si="15"/>
        <v>1</v>
      </c>
      <c r="O134" s="5">
        <f t="shared" ca="1" si="15"/>
        <v>1</v>
      </c>
    </row>
    <row r="135" spans="3:15" s="327" customFormat="1" hidden="1" outlineLevel="1" x14ac:dyDescent="0.2">
      <c r="C135" s="660" t="str">
        <f>Diag_Ann_TO!D269</f>
        <v>Copperbelt</v>
      </c>
      <c r="J135" s="5">
        <f t="shared" ca="1" si="15"/>
        <v>2</v>
      </c>
      <c r="K135" s="5">
        <f t="shared" ca="1" si="15"/>
        <v>2</v>
      </c>
      <c r="L135" s="5">
        <f t="shared" ca="1" si="15"/>
        <v>2</v>
      </c>
      <c r="M135" s="5">
        <f t="shared" ca="1" si="15"/>
        <v>2</v>
      </c>
      <c r="N135" s="5">
        <f t="shared" ca="1" si="15"/>
        <v>2</v>
      </c>
      <c r="O135" s="5">
        <f t="shared" ca="1" si="15"/>
        <v>2</v>
      </c>
    </row>
    <row r="136" spans="3:15" s="327" customFormat="1" hidden="1" outlineLevel="1" x14ac:dyDescent="0.2">
      <c r="C136" s="660" t="str">
        <f>Diag_Ann_TO!D270</f>
        <v>Eastern</v>
      </c>
      <c r="J136" s="5">
        <f t="shared" ca="1" si="15"/>
        <v>3</v>
      </c>
      <c r="K136" s="5">
        <f t="shared" ca="1" si="15"/>
        <v>3</v>
      </c>
      <c r="L136" s="5">
        <f t="shared" ca="1" si="15"/>
        <v>3</v>
      </c>
      <c r="M136" s="5">
        <f t="shared" ca="1" si="15"/>
        <v>3</v>
      </c>
      <c r="N136" s="5">
        <f t="shared" ca="1" si="15"/>
        <v>3</v>
      </c>
      <c r="O136" s="5">
        <f t="shared" ca="1" si="15"/>
        <v>3</v>
      </c>
    </row>
    <row r="137" spans="3:15" s="327" customFormat="1" hidden="1" outlineLevel="1" x14ac:dyDescent="0.2">
      <c r="C137" s="660" t="str">
        <f>Diag_Ann_TO!D271</f>
        <v>Luapula</v>
      </c>
      <c r="J137" s="5">
        <f t="shared" ca="1" si="15"/>
        <v>2</v>
      </c>
      <c r="K137" s="5">
        <f t="shared" ca="1" si="15"/>
        <v>2</v>
      </c>
      <c r="L137" s="5">
        <f t="shared" ca="1" si="15"/>
        <v>2</v>
      </c>
      <c r="M137" s="5">
        <f t="shared" ca="1" si="15"/>
        <v>2</v>
      </c>
      <c r="N137" s="5">
        <f t="shared" ca="1" si="15"/>
        <v>2</v>
      </c>
      <c r="O137" s="5">
        <f t="shared" ca="1" si="15"/>
        <v>2</v>
      </c>
    </row>
    <row r="138" spans="3:15" s="327" customFormat="1" hidden="1" outlineLevel="1" x14ac:dyDescent="0.2">
      <c r="C138" s="660" t="str">
        <f>Diag_Ann_TO!D272</f>
        <v>Lusaka</v>
      </c>
      <c r="J138" s="5">
        <f t="shared" ca="1" si="15"/>
        <v>7</v>
      </c>
      <c r="K138" s="5">
        <f t="shared" ca="1" si="15"/>
        <v>7</v>
      </c>
      <c r="L138" s="5">
        <f t="shared" ca="1" si="15"/>
        <v>7</v>
      </c>
      <c r="M138" s="5">
        <f t="shared" ca="1" si="15"/>
        <v>7</v>
      </c>
      <c r="N138" s="5">
        <f t="shared" ca="1" si="15"/>
        <v>7</v>
      </c>
      <c r="O138" s="5">
        <f t="shared" ca="1" si="15"/>
        <v>7</v>
      </c>
    </row>
    <row r="139" spans="3:15" s="327" customFormat="1" hidden="1" outlineLevel="1" x14ac:dyDescent="0.2">
      <c r="C139" s="660" t="str">
        <f>Diag_Ann_TO!D273</f>
        <v>Muchinga</v>
      </c>
      <c r="J139" s="5">
        <f t="shared" ca="1" si="15"/>
        <v>0</v>
      </c>
      <c r="K139" s="5">
        <f t="shared" ca="1" si="15"/>
        <v>0</v>
      </c>
      <c r="L139" s="5">
        <f t="shared" ca="1" si="15"/>
        <v>0</v>
      </c>
      <c r="M139" s="5">
        <f t="shared" ca="1" si="15"/>
        <v>0</v>
      </c>
      <c r="N139" s="5">
        <f t="shared" ca="1" si="15"/>
        <v>0</v>
      </c>
      <c r="O139" s="5">
        <f t="shared" ca="1" si="15"/>
        <v>0</v>
      </c>
    </row>
    <row r="140" spans="3:15" s="327" customFormat="1" hidden="1" outlineLevel="1" x14ac:dyDescent="0.2">
      <c r="C140" s="660" t="str">
        <f>Diag_Ann_TO!D274</f>
        <v>Northern</v>
      </c>
      <c r="J140" s="5">
        <f t="shared" ca="1" si="15"/>
        <v>1</v>
      </c>
      <c r="K140" s="5">
        <f t="shared" ca="1" si="15"/>
        <v>1</v>
      </c>
      <c r="L140" s="5">
        <f t="shared" ca="1" si="15"/>
        <v>1</v>
      </c>
      <c r="M140" s="5">
        <f t="shared" ca="1" si="15"/>
        <v>1</v>
      </c>
      <c r="N140" s="5">
        <f t="shared" ca="1" si="15"/>
        <v>1</v>
      </c>
      <c r="O140" s="5">
        <f t="shared" ca="1" si="15"/>
        <v>1</v>
      </c>
    </row>
    <row r="141" spans="3:15" s="327" customFormat="1" hidden="1" outlineLevel="1" x14ac:dyDescent="0.2">
      <c r="C141" s="660" t="str">
        <f>Diag_Ann_TO!D275</f>
        <v>North-Western</v>
      </c>
      <c r="J141" s="5">
        <f t="shared" ca="1" si="15"/>
        <v>1</v>
      </c>
      <c r="K141" s="5">
        <f t="shared" ca="1" si="15"/>
        <v>1</v>
      </c>
      <c r="L141" s="5">
        <f t="shared" ca="1" si="15"/>
        <v>1</v>
      </c>
      <c r="M141" s="5">
        <f t="shared" ca="1" si="15"/>
        <v>1</v>
      </c>
      <c r="N141" s="5">
        <f t="shared" ca="1" si="15"/>
        <v>1</v>
      </c>
      <c r="O141" s="5">
        <f t="shared" ca="1" si="15"/>
        <v>1</v>
      </c>
    </row>
    <row r="142" spans="3:15" s="327" customFormat="1" hidden="1" outlineLevel="1" x14ac:dyDescent="0.2">
      <c r="C142" s="660" t="str">
        <f>Diag_Ann_TO!D276</f>
        <v>Southern</v>
      </c>
      <c r="J142" s="5">
        <f t="shared" ca="1" si="15"/>
        <v>2</v>
      </c>
      <c r="K142" s="5">
        <f t="shared" ca="1" si="15"/>
        <v>2</v>
      </c>
      <c r="L142" s="5">
        <f t="shared" ca="1" si="15"/>
        <v>2</v>
      </c>
      <c r="M142" s="5">
        <f t="shared" ca="1" si="15"/>
        <v>2</v>
      </c>
      <c r="N142" s="5">
        <f t="shared" ca="1" si="15"/>
        <v>2</v>
      </c>
      <c r="O142" s="5">
        <f t="shared" ca="1" si="15"/>
        <v>2</v>
      </c>
    </row>
    <row r="143" spans="3:15" s="327" customFormat="1" hidden="1" outlineLevel="1" x14ac:dyDescent="0.2">
      <c r="C143" s="660" t="str">
        <f>Diag_Ann_TO!D277</f>
        <v>Western</v>
      </c>
      <c r="J143" s="5">
        <f t="shared" ca="1" si="15"/>
        <v>2</v>
      </c>
      <c r="K143" s="5">
        <f t="shared" ca="1" si="15"/>
        <v>2</v>
      </c>
      <c r="L143" s="5">
        <f t="shared" ca="1" si="15"/>
        <v>2</v>
      </c>
      <c r="M143" s="5">
        <f t="shared" ca="1" si="15"/>
        <v>2</v>
      </c>
      <c r="N143" s="5">
        <f t="shared" ca="1" si="15"/>
        <v>2</v>
      </c>
      <c r="O143" s="5">
        <f t="shared" ca="1" si="15"/>
        <v>2</v>
      </c>
    </row>
    <row r="144" spans="3:15" s="327" customFormat="1" ht="15.75" collapsed="1" thickBot="1" x14ac:dyDescent="0.25">
      <c r="C144" s="679" t="str">
        <f>"Total "&amp;C133</f>
        <v>Total Women Referred for Chemo</v>
      </c>
      <c r="J144" s="624">
        <f t="shared" ref="J144:O144" ca="1" si="16">SUM(J134:J143)</f>
        <v>21</v>
      </c>
      <c r="K144" s="624">
        <f t="shared" ca="1" si="16"/>
        <v>21</v>
      </c>
      <c r="L144" s="624">
        <f t="shared" ca="1" si="16"/>
        <v>21</v>
      </c>
      <c r="M144" s="624">
        <f t="shared" ca="1" si="16"/>
        <v>21</v>
      </c>
      <c r="N144" s="624">
        <f t="shared" ca="1" si="16"/>
        <v>21</v>
      </c>
      <c r="O144" s="624">
        <f t="shared" ca="1" si="16"/>
        <v>21</v>
      </c>
    </row>
    <row r="145" spans="3:15" s="327" customFormat="1" ht="13.5" thickTop="1" x14ac:dyDescent="0.2"/>
    <row r="146" spans="3:15" s="327" customFormat="1" ht="15.75" x14ac:dyDescent="0.2">
      <c r="C146" s="26" t="str">
        <f>"Women Referred for "&amp;Reg_Pop_Ann_TA!D84</f>
        <v>Women Referred for RADIO</v>
      </c>
      <c r="I146" s="13">
        <f>Reg_Pop_Ann_TA!H84</f>
        <v>0.05</v>
      </c>
    </row>
    <row r="147" spans="3:15" s="327" customFormat="1" hidden="1" outlineLevel="1" x14ac:dyDescent="0.2">
      <c r="C147" s="660" t="str">
        <f>Diag_Ann_TO!D268</f>
        <v>Central</v>
      </c>
      <c r="J147" s="5">
        <f t="shared" ref="J147:O156" ca="1" si="17">ROUND(J79*$I$146,0)</f>
        <v>1</v>
      </c>
      <c r="K147" s="5">
        <f t="shared" ca="1" si="17"/>
        <v>1</v>
      </c>
      <c r="L147" s="5">
        <f t="shared" ca="1" si="17"/>
        <v>1</v>
      </c>
      <c r="M147" s="5">
        <f t="shared" ca="1" si="17"/>
        <v>1</v>
      </c>
      <c r="N147" s="5">
        <f t="shared" ca="1" si="17"/>
        <v>1</v>
      </c>
      <c r="O147" s="5">
        <f t="shared" ca="1" si="17"/>
        <v>1</v>
      </c>
    </row>
    <row r="148" spans="3:15" s="327" customFormat="1" hidden="1" outlineLevel="1" x14ac:dyDescent="0.2">
      <c r="C148" s="660" t="str">
        <f>Diag_Ann_TO!D269</f>
        <v>Copperbelt</v>
      </c>
      <c r="J148" s="5">
        <f t="shared" ca="1" si="17"/>
        <v>2</v>
      </c>
      <c r="K148" s="5">
        <f t="shared" ca="1" si="17"/>
        <v>2</v>
      </c>
      <c r="L148" s="5">
        <f t="shared" ca="1" si="17"/>
        <v>2</v>
      </c>
      <c r="M148" s="5">
        <f t="shared" ca="1" si="17"/>
        <v>2</v>
      </c>
      <c r="N148" s="5">
        <f t="shared" ca="1" si="17"/>
        <v>2</v>
      </c>
      <c r="O148" s="5">
        <f t="shared" ca="1" si="17"/>
        <v>2</v>
      </c>
    </row>
    <row r="149" spans="3:15" s="327" customFormat="1" hidden="1" outlineLevel="1" x14ac:dyDescent="0.2">
      <c r="C149" s="660" t="str">
        <f>Diag_Ann_TO!D270</f>
        <v>Eastern</v>
      </c>
      <c r="J149" s="5">
        <f t="shared" ca="1" si="17"/>
        <v>3</v>
      </c>
      <c r="K149" s="5">
        <f t="shared" ca="1" si="17"/>
        <v>3</v>
      </c>
      <c r="L149" s="5">
        <f t="shared" ca="1" si="17"/>
        <v>3</v>
      </c>
      <c r="M149" s="5">
        <f t="shared" ca="1" si="17"/>
        <v>3</v>
      </c>
      <c r="N149" s="5">
        <f t="shared" ca="1" si="17"/>
        <v>3</v>
      </c>
      <c r="O149" s="5">
        <f t="shared" ca="1" si="17"/>
        <v>3</v>
      </c>
    </row>
    <row r="150" spans="3:15" s="327" customFormat="1" hidden="1" outlineLevel="1" x14ac:dyDescent="0.2">
      <c r="C150" s="660" t="str">
        <f>Diag_Ann_TO!D271</f>
        <v>Luapula</v>
      </c>
      <c r="J150" s="5">
        <f t="shared" ca="1" si="17"/>
        <v>2</v>
      </c>
      <c r="K150" s="5">
        <f t="shared" ca="1" si="17"/>
        <v>2</v>
      </c>
      <c r="L150" s="5">
        <f t="shared" ca="1" si="17"/>
        <v>2</v>
      </c>
      <c r="M150" s="5">
        <f t="shared" ca="1" si="17"/>
        <v>2</v>
      </c>
      <c r="N150" s="5">
        <f t="shared" ca="1" si="17"/>
        <v>2</v>
      </c>
      <c r="O150" s="5">
        <f t="shared" ca="1" si="17"/>
        <v>2</v>
      </c>
    </row>
    <row r="151" spans="3:15" s="327" customFormat="1" hidden="1" outlineLevel="1" x14ac:dyDescent="0.2">
      <c r="C151" s="660" t="str">
        <f>Diag_Ann_TO!D272</f>
        <v>Lusaka</v>
      </c>
      <c r="J151" s="5">
        <f t="shared" ca="1" si="17"/>
        <v>7</v>
      </c>
      <c r="K151" s="5">
        <f t="shared" ca="1" si="17"/>
        <v>7</v>
      </c>
      <c r="L151" s="5">
        <f t="shared" ca="1" si="17"/>
        <v>7</v>
      </c>
      <c r="M151" s="5">
        <f t="shared" ca="1" si="17"/>
        <v>7</v>
      </c>
      <c r="N151" s="5">
        <f t="shared" ca="1" si="17"/>
        <v>7</v>
      </c>
      <c r="O151" s="5">
        <f t="shared" ca="1" si="17"/>
        <v>7</v>
      </c>
    </row>
    <row r="152" spans="3:15" s="327" customFormat="1" hidden="1" outlineLevel="1" x14ac:dyDescent="0.2">
      <c r="C152" s="660" t="str">
        <f>Diag_Ann_TO!D273</f>
        <v>Muchinga</v>
      </c>
      <c r="J152" s="5">
        <f t="shared" ca="1" si="17"/>
        <v>0</v>
      </c>
      <c r="K152" s="5">
        <f t="shared" ca="1" si="17"/>
        <v>0</v>
      </c>
      <c r="L152" s="5">
        <f t="shared" ca="1" si="17"/>
        <v>0</v>
      </c>
      <c r="M152" s="5">
        <f t="shared" ca="1" si="17"/>
        <v>0</v>
      </c>
      <c r="N152" s="5">
        <f t="shared" ca="1" si="17"/>
        <v>0</v>
      </c>
      <c r="O152" s="5">
        <f t="shared" ca="1" si="17"/>
        <v>0</v>
      </c>
    </row>
    <row r="153" spans="3:15" s="327" customFormat="1" hidden="1" outlineLevel="1" x14ac:dyDescent="0.2">
      <c r="C153" s="660" t="str">
        <f>Diag_Ann_TO!D274</f>
        <v>Northern</v>
      </c>
      <c r="J153" s="5">
        <f t="shared" ca="1" si="17"/>
        <v>1</v>
      </c>
      <c r="K153" s="5">
        <f t="shared" ca="1" si="17"/>
        <v>1</v>
      </c>
      <c r="L153" s="5">
        <f t="shared" ca="1" si="17"/>
        <v>1</v>
      </c>
      <c r="M153" s="5">
        <f t="shared" ca="1" si="17"/>
        <v>1</v>
      </c>
      <c r="N153" s="5">
        <f t="shared" ca="1" si="17"/>
        <v>1</v>
      </c>
      <c r="O153" s="5">
        <f t="shared" ca="1" si="17"/>
        <v>1</v>
      </c>
    </row>
    <row r="154" spans="3:15" s="327" customFormat="1" hidden="1" outlineLevel="1" x14ac:dyDescent="0.2">
      <c r="C154" s="660" t="str">
        <f>Diag_Ann_TO!D275</f>
        <v>North-Western</v>
      </c>
      <c r="J154" s="5">
        <f t="shared" ca="1" si="17"/>
        <v>1</v>
      </c>
      <c r="K154" s="5">
        <f t="shared" ca="1" si="17"/>
        <v>1</v>
      </c>
      <c r="L154" s="5">
        <f t="shared" ca="1" si="17"/>
        <v>1</v>
      </c>
      <c r="M154" s="5">
        <f t="shared" ca="1" si="17"/>
        <v>1</v>
      </c>
      <c r="N154" s="5">
        <f t="shared" ca="1" si="17"/>
        <v>1</v>
      </c>
      <c r="O154" s="5">
        <f t="shared" ca="1" si="17"/>
        <v>1</v>
      </c>
    </row>
    <row r="155" spans="3:15" s="327" customFormat="1" hidden="1" outlineLevel="1" x14ac:dyDescent="0.2">
      <c r="C155" s="660" t="str">
        <f>Diag_Ann_TO!D276</f>
        <v>Southern</v>
      </c>
      <c r="J155" s="5">
        <f t="shared" ca="1" si="17"/>
        <v>2</v>
      </c>
      <c r="K155" s="5">
        <f t="shared" ca="1" si="17"/>
        <v>2</v>
      </c>
      <c r="L155" s="5">
        <f t="shared" ca="1" si="17"/>
        <v>2</v>
      </c>
      <c r="M155" s="5">
        <f t="shared" ca="1" si="17"/>
        <v>2</v>
      </c>
      <c r="N155" s="5">
        <f t="shared" ca="1" si="17"/>
        <v>2</v>
      </c>
      <c r="O155" s="5">
        <f t="shared" ca="1" si="17"/>
        <v>2</v>
      </c>
    </row>
    <row r="156" spans="3:15" s="327" customFormat="1" hidden="1" outlineLevel="1" x14ac:dyDescent="0.2">
      <c r="C156" s="660" t="str">
        <f>Diag_Ann_TO!D277</f>
        <v>Western</v>
      </c>
      <c r="J156" s="5">
        <f t="shared" ca="1" si="17"/>
        <v>2</v>
      </c>
      <c r="K156" s="5">
        <f t="shared" ca="1" si="17"/>
        <v>2</v>
      </c>
      <c r="L156" s="5">
        <f t="shared" ca="1" si="17"/>
        <v>2</v>
      </c>
      <c r="M156" s="5">
        <f t="shared" ca="1" si="17"/>
        <v>2</v>
      </c>
      <c r="N156" s="5">
        <f t="shared" ca="1" si="17"/>
        <v>2</v>
      </c>
      <c r="O156" s="5">
        <f t="shared" ca="1" si="17"/>
        <v>2</v>
      </c>
    </row>
    <row r="157" spans="3:15" s="327" customFormat="1" ht="15.75" collapsed="1" thickBot="1" x14ac:dyDescent="0.25">
      <c r="C157" s="679" t="str">
        <f>"Total "&amp;C146</f>
        <v>Total Women Referred for RADIO</v>
      </c>
      <c r="J157" s="624">
        <f t="shared" ref="J157:O157" ca="1" si="18">SUM(J147:J156)</f>
        <v>21</v>
      </c>
      <c r="K157" s="624">
        <f t="shared" ca="1" si="18"/>
        <v>21</v>
      </c>
      <c r="L157" s="624">
        <f t="shared" ca="1" si="18"/>
        <v>21</v>
      </c>
      <c r="M157" s="624">
        <f t="shared" ca="1" si="18"/>
        <v>21</v>
      </c>
      <c r="N157" s="624">
        <f t="shared" ca="1" si="18"/>
        <v>21</v>
      </c>
      <c r="O157" s="624">
        <f t="shared" ca="1" si="18"/>
        <v>21</v>
      </c>
    </row>
    <row r="158" spans="3:15" s="327" customFormat="1" ht="13.5" thickTop="1" x14ac:dyDescent="0.2"/>
    <row r="159" spans="3:15" s="327" customFormat="1" ht="15.75" x14ac:dyDescent="0.2">
      <c r="C159" s="26" t="str">
        <f>"Women Referred for "&amp;Reg_Pop_Ann_TA!D85</f>
        <v>Women Referred for PALL</v>
      </c>
      <c r="I159" s="13">
        <f>Reg_Pop_Ann_TA!H85</f>
        <v>0.03</v>
      </c>
    </row>
    <row r="160" spans="3:15" s="327" customFormat="1" hidden="1" outlineLevel="1" x14ac:dyDescent="0.2">
      <c r="C160" s="660" t="str">
        <f>Diag_Ann_TO!D268</f>
        <v>Central</v>
      </c>
      <c r="J160" s="5">
        <f t="shared" ref="J160:O169" ca="1" si="19">ROUND(J79*$I$159,0)</f>
        <v>1</v>
      </c>
      <c r="K160" s="5">
        <f t="shared" ca="1" si="19"/>
        <v>1</v>
      </c>
      <c r="L160" s="5">
        <f t="shared" ca="1" si="19"/>
        <v>1</v>
      </c>
      <c r="M160" s="5">
        <f t="shared" ca="1" si="19"/>
        <v>1</v>
      </c>
      <c r="N160" s="5">
        <f t="shared" ca="1" si="19"/>
        <v>1</v>
      </c>
      <c r="O160" s="5">
        <f t="shared" ca="1" si="19"/>
        <v>1</v>
      </c>
    </row>
    <row r="161" spans="3:15" s="327" customFormat="1" hidden="1" outlineLevel="1" x14ac:dyDescent="0.2">
      <c r="C161" s="660" t="str">
        <f>Diag_Ann_TO!D269</f>
        <v>Copperbelt</v>
      </c>
      <c r="J161" s="5">
        <f t="shared" ca="1" si="19"/>
        <v>1</v>
      </c>
      <c r="K161" s="5">
        <f t="shared" ca="1" si="19"/>
        <v>1</v>
      </c>
      <c r="L161" s="5">
        <f t="shared" ca="1" si="19"/>
        <v>1</v>
      </c>
      <c r="M161" s="5">
        <f t="shared" ca="1" si="19"/>
        <v>1</v>
      </c>
      <c r="N161" s="5">
        <f t="shared" ca="1" si="19"/>
        <v>1</v>
      </c>
      <c r="O161" s="5">
        <f t="shared" ca="1" si="19"/>
        <v>1</v>
      </c>
    </row>
    <row r="162" spans="3:15" s="327" customFormat="1" hidden="1" outlineLevel="1" x14ac:dyDescent="0.2">
      <c r="C162" s="660" t="str">
        <f>Diag_Ann_TO!D270</f>
        <v>Eastern</v>
      </c>
      <c r="J162" s="5">
        <f t="shared" ca="1" si="19"/>
        <v>2</v>
      </c>
      <c r="K162" s="5">
        <f t="shared" ca="1" si="19"/>
        <v>2</v>
      </c>
      <c r="L162" s="5">
        <f t="shared" ca="1" si="19"/>
        <v>2</v>
      </c>
      <c r="M162" s="5">
        <f t="shared" ca="1" si="19"/>
        <v>2</v>
      </c>
      <c r="N162" s="5">
        <f t="shared" ca="1" si="19"/>
        <v>2</v>
      </c>
      <c r="O162" s="5">
        <f t="shared" ca="1" si="19"/>
        <v>2</v>
      </c>
    </row>
    <row r="163" spans="3:15" s="327" customFormat="1" hidden="1" outlineLevel="1" x14ac:dyDescent="0.2">
      <c r="C163" s="660" t="str">
        <f>Diag_Ann_TO!D271</f>
        <v>Luapula</v>
      </c>
      <c r="J163" s="5">
        <f t="shared" ca="1" si="19"/>
        <v>1</v>
      </c>
      <c r="K163" s="5">
        <f t="shared" ca="1" si="19"/>
        <v>1</v>
      </c>
      <c r="L163" s="5">
        <f t="shared" ca="1" si="19"/>
        <v>1</v>
      </c>
      <c r="M163" s="5">
        <f t="shared" ca="1" si="19"/>
        <v>1</v>
      </c>
      <c r="N163" s="5">
        <f t="shared" ca="1" si="19"/>
        <v>1</v>
      </c>
      <c r="O163" s="5">
        <f t="shared" ca="1" si="19"/>
        <v>1</v>
      </c>
    </row>
    <row r="164" spans="3:15" s="327" customFormat="1" hidden="1" outlineLevel="1" x14ac:dyDescent="0.2">
      <c r="C164" s="660" t="str">
        <f>Diag_Ann_TO!D272</f>
        <v>Lusaka</v>
      </c>
      <c r="J164" s="5">
        <f t="shared" ca="1" si="19"/>
        <v>4</v>
      </c>
      <c r="K164" s="5">
        <f t="shared" ca="1" si="19"/>
        <v>4</v>
      </c>
      <c r="L164" s="5">
        <f t="shared" ca="1" si="19"/>
        <v>4</v>
      </c>
      <c r="M164" s="5">
        <f t="shared" ca="1" si="19"/>
        <v>4</v>
      </c>
      <c r="N164" s="5">
        <f t="shared" ca="1" si="19"/>
        <v>4</v>
      </c>
      <c r="O164" s="5">
        <f t="shared" ca="1" si="19"/>
        <v>4</v>
      </c>
    </row>
    <row r="165" spans="3:15" s="327" customFormat="1" hidden="1" outlineLevel="1" x14ac:dyDescent="0.2">
      <c r="C165" s="660" t="str">
        <f>Diag_Ann_TO!D273</f>
        <v>Muchinga</v>
      </c>
      <c r="J165" s="5">
        <f t="shared" ca="1" si="19"/>
        <v>0</v>
      </c>
      <c r="K165" s="5">
        <f t="shared" ca="1" si="19"/>
        <v>0</v>
      </c>
      <c r="L165" s="5">
        <f t="shared" ca="1" si="19"/>
        <v>0</v>
      </c>
      <c r="M165" s="5">
        <f t="shared" ca="1" si="19"/>
        <v>0</v>
      </c>
      <c r="N165" s="5">
        <f t="shared" ca="1" si="19"/>
        <v>0</v>
      </c>
      <c r="O165" s="5">
        <f t="shared" ca="1" si="19"/>
        <v>0</v>
      </c>
    </row>
    <row r="166" spans="3:15" s="327" customFormat="1" hidden="1" outlineLevel="1" x14ac:dyDescent="0.2">
      <c r="C166" s="660" t="str">
        <f>Diag_Ann_TO!D274</f>
        <v>Northern</v>
      </c>
      <c r="J166" s="5">
        <f t="shared" ca="1" si="19"/>
        <v>0</v>
      </c>
      <c r="K166" s="5">
        <f t="shared" ca="1" si="19"/>
        <v>0</v>
      </c>
      <c r="L166" s="5">
        <f t="shared" ca="1" si="19"/>
        <v>0</v>
      </c>
      <c r="M166" s="5">
        <f t="shared" ca="1" si="19"/>
        <v>0</v>
      </c>
      <c r="N166" s="5">
        <f t="shared" ca="1" si="19"/>
        <v>0</v>
      </c>
      <c r="O166" s="5">
        <f t="shared" ca="1" si="19"/>
        <v>0</v>
      </c>
    </row>
    <row r="167" spans="3:15" s="327" customFormat="1" hidden="1" outlineLevel="1" x14ac:dyDescent="0.2">
      <c r="C167" s="660" t="str">
        <f>Diag_Ann_TO!D275</f>
        <v>North-Western</v>
      </c>
      <c r="J167" s="5">
        <f t="shared" ca="1" si="19"/>
        <v>1</v>
      </c>
      <c r="K167" s="5">
        <f t="shared" ca="1" si="19"/>
        <v>1</v>
      </c>
      <c r="L167" s="5">
        <f t="shared" ca="1" si="19"/>
        <v>1</v>
      </c>
      <c r="M167" s="5">
        <f t="shared" ca="1" si="19"/>
        <v>1</v>
      </c>
      <c r="N167" s="5">
        <f t="shared" ca="1" si="19"/>
        <v>1</v>
      </c>
      <c r="O167" s="5">
        <f t="shared" ca="1" si="19"/>
        <v>1</v>
      </c>
    </row>
    <row r="168" spans="3:15" s="327" customFormat="1" hidden="1" outlineLevel="1" x14ac:dyDescent="0.2">
      <c r="C168" s="660" t="str">
        <f>Diag_Ann_TO!D276</f>
        <v>Southern</v>
      </c>
      <c r="J168" s="5">
        <f t="shared" ca="1" si="19"/>
        <v>1</v>
      </c>
      <c r="K168" s="5">
        <f t="shared" ca="1" si="19"/>
        <v>1</v>
      </c>
      <c r="L168" s="5">
        <f t="shared" ca="1" si="19"/>
        <v>1</v>
      </c>
      <c r="M168" s="5">
        <f t="shared" ca="1" si="19"/>
        <v>1</v>
      </c>
      <c r="N168" s="5">
        <f t="shared" ca="1" si="19"/>
        <v>1</v>
      </c>
      <c r="O168" s="5">
        <f t="shared" ca="1" si="19"/>
        <v>1</v>
      </c>
    </row>
    <row r="169" spans="3:15" s="327" customFormat="1" hidden="1" outlineLevel="1" x14ac:dyDescent="0.2">
      <c r="C169" s="660" t="str">
        <f>Diag_Ann_TO!D277</f>
        <v>Western</v>
      </c>
      <c r="J169" s="5">
        <f t="shared" ca="1" si="19"/>
        <v>1</v>
      </c>
      <c r="K169" s="5">
        <f t="shared" ca="1" si="19"/>
        <v>1</v>
      </c>
      <c r="L169" s="5">
        <f t="shared" ca="1" si="19"/>
        <v>1</v>
      </c>
      <c r="M169" s="5">
        <f t="shared" ca="1" si="19"/>
        <v>1</v>
      </c>
      <c r="N169" s="5">
        <f t="shared" ca="1" si="19"/>
        <v>1</v>
      </c>
      <c r="O169" s="5">
        <f t="shared" ca="1" si="19"/>
        <v>1</v>
      </c>
    </row>
    <row r="170" spans="3:15" s="327" customFormat="1" ht="15.75" collapsed="1" thickBot="1" x14ac:dyDescent="0.25">
      <c r="C170" s="679" t="str">
        <f>"Total "&amp;C159</f>
        <v>Total Women Referred for PALL</v>
      </c>
      <c r="J170" s="624">
        <f t="shared" ref="J170:O170" ca="1" si="20">SUM(J160:J169)</f>
        <v>12</v>
      </c>
      <c r="K170" s="624">
        <f t="shared" ca="1" si="20"/>
        <v>12</v>
      </c>
      <c r="L170" s="624">
        <f t="shared" ca="1" si="20"/>
        <v>12</v>
      </c>
      <c r="M170" s="624">
        <f t="shared" ca="1" si="20"/>
        <v>12</v>
      </c>
      <c r="N170" s="624">
        <f t="shared" ca="1" si="20"/>
        <v>12</v>
      </c>
      <c r="O170" s="624">
        <f t="shared" ca="1" si="20"/>
        <v>12</v>
      </c>
    </row>
    <row r="171" spans="3:15" s="327" customFormat="1" ht="13.5" thickTop="1" x14ac:dyDescent="0.2"/>
    <row r="172" spans="3:15" s="327" customFormat="1" x14ac:dyDescent="0.2"/>
    <row r="173" spans="3:15" s="327" customFormat="1" x14ac:dyDescent="0.2">
      <c r="C173" s="716" t="str">
        <f>"Go to "&amp;HL_Diag_Ass</f>
        <v>Go to Biopsy and Histopathology Assumptions</v>
      </c>
      <c r="D173" s="716"/>
      <c r="E173" s="716"/>
      <c r="F173" s="716"/>
      <c r="G173" s="716"/>
      <c r="H173" s="716"/>
      <c r="I173" s="716"/>
    </row>
    <row r="174" spans="3:15" s="327" customFormat="1" x14ac:dyDescent="0.2">
      <c r="C174" s="716" t="str">
        <f>"Go to "&amp;HL_Diag_Ann_Ass</f>
        <v>Go to Diagnostic Services - Annual Assumptions</v>
      </c>
      <c r="D174" s="716"/>
      <c r="E174" s="716"/>
      <c r="F174" s="716"/>
      <c r="G174" s="716"/>
      <c r="H174" s="716"/>
      <c r="I174" s="716"/>
    </row>
    <row r="175" spans="3:15" s="327" customFormat="1" x14ac:dyDescent="0.2">
      <c r="C175" s="716" t="str">
        <f>"Go to "&amp;HL_Diag_Out</f>
        <v>Go to BIOP-H - Outputs</v>
      </c>
      <c r="D175" s="716"/>
      <c r="E175" s="716"/>
      <c r="F175" s="716"/>
      <c r="G175" s="716"/>
      <c r="H175" s="716"/>
      <c r="I175" s="716"/>
    </row>
    <row r="176" spans="3:15" s="327" customFormat="1" x14ac:dyDescent="0.2">
      <c r="C176" s="716" t="str">
        <f>"Go to "&amp;HL_Diag_Out_Sum_A</f>
        <v>Go to BIOP-H - Cost Summary (USD)</v>
      </c>
      <c r="D176" s="716"/>
      <c r="E176" s="716"/>
      <c r="F176" s="716"/>
      <c r="G176" s="716"/>
      <c r="H176" s="716"/>
      <c r="I176" s="716"/>
    </row>
  </sheetData>
  <sheetProtection password="F0F4" sheet="1" scenarios="1"/>
  <mergeCells count="5">
    <mergeCell ref="C175:I175"/>
    <mergeCell ref="C176:I176"/>
    <mergeCell ref="B3:F3"/>
    <mergeCell ref="C173:I173"/>
    <mergeCell ref="C174:I174"/>
  </mergeCells>
  <hyperlinks>
    <hyperlink ref="C173:I173" location="HL_Diag_Ass" tooltip="Click to follow hyperlink." display="HL_Diag_Ass"/>
    <hyperlink ref="C174:I174" location="HL_Diag_Ann_Ass" tooltip="Click to follow hyperlink." display="HL_Diag_Ann_Ass"/>
    <hyperlink ref="C175:I175" location="HL_Diag_Out" tooltip="Click to follow hyperlink." display="HL_Diag_Out"/>
    <hyperlink ref="C176:I176" location="HL_Diag_Out_Sum_A" tooltip="Click to follow hyperlink." display="HL_Diag_Out_Sum_A"/>
    <hyperlink ref="A4" location="$A$10" tooltip="Go to Top of Sheet" display="$A$10"/>
    <hyperlink ref="B4" location="HL_Sheet_Main_77" tooltip="Go to Previous Sheet" display="HL_Sheet_Main_77"/>
    <hyperlink ref="C4" location="HL_Sheet_Main_79" tooltip="Go to Next Sheet" display="HL_Sheet_Main_79"/>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pageSetUpPr autoPageBreaks="0"/>
  </sheetPr>
  <dimension ref="A1:O143"/>
  <sheetViews>
    <sheetView showGridLines="0" zoomScaleNormal="100" workbookViewId="0">
      <pane ySplit="9" topLeftCell="A119" activePane="bottomLeft" state="frozen"/>
      <selection pane="bottomLeft" activeCell="K157" sqref="K157:K158"/>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1968</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outlineLevel="2" x14ac:dyDescent="0.2">
      <c r="B8" s="680" t="s">
        <v>72</v>
      </c>
      <c r="J8" s="5">
        <f>COLUMNS($J8:J8)</f>
        <v>1</v>
      </c>
      <c r="K8" s="5">
        <f>COLUMNS($J8:K8)</f>
        <v>2</v>
      </c>
      <c r="L8" s="5">
        <f>COLUMNS($J8:L8)</f>
        <v>3</v>
      </c>
      <c r="M8" s="5">
        <f>COLUMNS($J8:M8)</f>
        <v>4</v>
      </c>
      <c r="N8" s="5">
        <f>COLUMNS($J8:N8)</f>
        <v>5</v>
      </c>
      <c r="O8" s="5">
        <f>COLUMNS($J8:O8)</f>
        <v>6</v>
      </c>
    </row>
    <row r="9" spans="1:15" s="327" customFormat="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x14ac:dyDescent="0.2"/>
    <row r="11" spans="1:15" s="327" customFormat="1" x14ac:dyDescent="0.2"/>
    <row r="12" spans="1:15" s="327" customFormat="1" ht="18.75" x14ac:dyDescent="0.2">
      <c r="B12" s="648" t="str">
        <f>"BIOP-H - Cost Summary ("&amp;INDEX(LU_Diag_Denom,DD_TS_Denom)&amp;")"</f>
        <v>BIOP-H - Cost Summary (USD)</v>
      </c>
    </row>
    <row r="13" spans="1:15" s="327" customFormat="1" x14ac:dyDescent="0.2"/>
    <row r="14" spans="1:15" s="327" customFormat="1" ht="15.75" x14ac:dyDescent="0.2">
      <c r="C14" s="330" t="s">
        <v>1931</v>
      </c>
    </row>
    <row r="15" spans="1:15" s="327" customFormat="1" ht="15" x14ac:dyDescent="0.2">
      <c r="D15" s="658" t="s">
        <v>1928</v>
      </c>
    </row>
    <row r="16" spans="1:15" s="327" customFormat="1" hidden="1" outlineLevel="1" x14ac:dyDescent="0.2">
      <c r="D16" s="660" t="str">
        <f>Diag_Ann_TO!D309</f>
        <v>Central</v>
      </c>
      <c r="J16" s="5">
        <f ca="1">Diag_Ann_TO!J309+Diag_Ann_TO!J322</f>
        <v>0</v>
      </c>
      <c r="K16" s="5">
        <f ca="1">Diag_Ann_TO!K309+Diag_Ann_TO!K322</f>
        <v>0</v>
      </c>
      <c r="L16" s="5">
        <f ca="1">Diag_Ann_TO!L309+Diag_Ann_TO!L322</f>
        <v>0</v>
      </c>
      <c r="M16" s="5">
        <f ca="1">Diag_Ann_TO!M309+Diag_Ann_TO!M322</f>
        <v>0</v>
      </c>
      <c r="N16" s="5">
        <f ca="1">Diag_Ann_TO!N309+Diag_Ann_TO!N322</f>
        <v>0</v>
      </c>
      <c r="O16" s="5">
        <f ca="1">Diag_Ann_TO!O309+Diag_Ann_TO!O322</f>
        <v>0</v>
      </c>
    </row>
    <row r="17" spans="4:15" s="327" customFormat="1" hidden="1" outlineLevel="1" x14ac:dyDescent="0.2">
      <c r="D17" s="660" t="str">
        <f>Diag_Ann_TO!D310</f>
        <v>Copperbelt</v>
      </c>
      <c r="J17" s="5">
        <f ca="1">Diag_Ann_TO!J310+Diag_Ann_TO!J323</f>
        <v>949.17961270670139</v>
      </c>
      <c r="K17" s="5">
        <f ca="1">Diag_Ann_TO!K310+Diag_Ann_TO!K323</f>
        <v>949.17961270670139</v>
      </c>
      <c r="L17" s="5">
        <f ca="1">Diag_Ann_TO!L310+Diag_Ann_TO!L323</f>
        <v>949.17961270670139</v>
      </c>
      <c r="M17" s="5">
        <f ca="1">Diag_Ann_TO!M310+Diag_Ann_TO!M323</f>
        <v>949.17961270670139</v>
      </c>
      <c r="N17" s="5">
        <f ca="1">Diag_Ann_TO!N310+Diag_Ann_TO!N323</f>
        <v>949.17961270670139</v>
      </c>
      <c r="O17" s="5">
        <f ca="1">Diag_Ann_TO!O310+Diag_Ann_TO!O323</f>
        <v>949.17961270670139</v>
      </c>
    </row>
    <row r="18" spans="4:15" s="327" customFormat="1" hidden="1" outlineLevel="1" x14ac:dyDescent="0.2">
      <c r="D18" s="660" t="str">
        <f>Diag_Ann_TO!D311</f>
        <v>Eastern</v>
      </c>
      <c r="J18" s="5">
        <f ca="1">Diag_Ann_TO!J311+Diag_Ann_TO!J324</f>
        <v>0</v>
      </c>
      <c r="K18" s="5">
        <f ca="1">Diag_Ann_TO!K311+Diag_Ann_TO!K324</f>
        <v>0</v>
      </c>
      <c r="L18" s="5">
        <f ca="1">Diag_Ann_TO!L311+Diag_Ann_TO!L324</f>
        <v>0</v>
      </c>
      <c r="M18" s="5">
        <f ca="1">Diag_Ann_TO!M311+Diag_Ann_TO!M324</f>
        <v>0</v>
      </c>
      <c r="N18" s="5">
        <f ca="1">Diag_Ann_TO!N311+Diag_Ann_TO!N324</f>
        <v>0</v>
      </c>
      <c r="O18" s="5">
        <f ca="1">Diag_Ann_TO!O311+Diag_Ann_TO!O324</f>
        <v>0</v>
      </c>
    </row>
    <row r="19" spans="4:15" s="327" customFormat="1" hidden="1" outlineLevel="1" x14ac:dyDescent="0.2">
      <c r="D19" s="660" t="str">
        <f>Diag_Ann_TO!D312</f>
        <v>Luapula</v>
      </c>
      <c r="J19" s="5">
        <f ca="1">Diag_Ann_TO!J312+Diag_Ann_TO!J325</f>
        <v>0</v>
      </c>
      <c r="K19" s="5">
        <f ca="1">Diag_Ann_TO!K312+Diag_Ann_TO!K325</f>
        <v>0</v>
      </c>
      <c r="L19" s="5">
        <f ca="1">Diag_Ann_TO!L312+Diag_Ann_TO!L325</f>
        <v>0</v>
      </c>
      <c r="M19" s="5">
        <f ca="1">Diag_Ann_TO!M312+Diag_Ann_TO!M325</f>
        <v>0</v>
      </c>
      <c r="N19" s="5">
        <f ca="1">Diag_Ann_TO!N312+Diag_Ann_TO!N325</f>
        <v>0</v>
      </c>
      <c r="O19" s="5">
        <f ca="1">Diag_Ann_TO!O312+Diag_Ann_TO!O325</f>
        <v>0</v>
      </c>
    </row>
    <row r="20" spans="4:15" s="327" customFormat="1" hidden="1" outlineLevel="1" x14ac:dyDescent="0.2">
      <c r="D20" s="660" t="str">
        <f>Diag_Ann_TO!D313</f>
        <v>Lusaka</v>
      </c>
      <c r="J20" s="5">
        <f ca="1">Diag_Ann_TO!J313+Diag_Ann_TO!J326</f>
        <v>876.16579634464745</v>
      </c>
      <c r="K20" s="5">
        <f ca="1">Diag_Ann_TO!K313+Diag_Ann_TO!K326</f>
        <v>876.16579634464745</v>
      </c>
      <c r="L20" s="5">
        <f ca="1">Diag_Ann_TO!L313+Diag_Ann_TO!L326</f>
        <v>876.16579634464745</v>
      </c>
      <c r="M20" s="5">
        <f ca="1">Diag_Ann_TO!M313+Diag_Ann_TO!M326</f>
        <v>876.16579634464745</v>
      </c>
      <c r="N20" s="5">
        <f ca="1">Diag_Ann_TO!N313+Diag_Ann_TO!N326</f>
        <v>876.16579634464745</v>
      </c>
      <c r="O20" s="5">
        <f ca="1">Diag_Ann_TO!O313+Diag_Ann_TO!O326</f>
        <v>876.16579634464745</v>
      </c>
    </row>
    <row r="21" spans="4:15" s="327" customFormat="1" hidden="1" outlineLevel="1" x14ac:dyDescent="0.2">
      <c r="D21" s="660" t="str">
        <f>Diag_Ann_TO!D314</f>
        <v>Muchinga</v>
      </c>
      <c r="J21" s="5">
        <f ca="1">Diag_Ann_TO!J314+Diag_Ann_TO!J327</f>
        <v>0</v>
      </c>
      <c r="K21" s="5">
        <f ca="1">Diag_Ann_TO!K314+Diag_Ann_TO!K327</f>
        <v>0</v>
      </c>
      <c r="L21" s="5">
        <f ca="1">Diag_Ann_TO!L314+Diag_Ann_TO!L327</f>
        <v>0</v>
      </c>
      <c r="M21" s="5">
        <f ca="1">Diag_Ann_TO!M314+Diag_Ann_TO!M327</f>
        <v>0</v>
      </c>
      <c r="N21" s="5">
        <f ca="1">Diag_Ann_TO!N314+Diag_Ann_TO!N327</f>
        <v>0</v>
      </c>
      <c r="O21" s="5">
        <f ca="1">Diag_Ann_TO!O314+Diag_Ann_TO!O327</f>
        <v>0</v>
      </c>
    </row>
    <row r="22" spans="4:15" s="327" customFormat="1" hidden="1" outlineLevel="1" x14ac:dyDescent="0.2">
      <c r="D22" s="660" t="str">
        <f>Diag_Ann_TO!D315</f>
        <v>Northern</v>
      </c>
      <c r="J22" s="5">
        <f ca="1">Diag_Ann_TO!J315+Diag_Ann_TO!J328</f>
        <v>0</v>
      </c>
      <c r="K22" s="5">
        <f ca="1">Diag_Ann_TO!K315+Diag_Ann_TO!K328</f>
        <v>0</v>
      </c>
      <c r="L22" s="5">
        <f ca="1">Diag_Ann_TO!L315+Diag_Ann_TO!L328</f>
        <v>0</v>
      </c>
      <c r="M22" s="5">
        <f ca="1">Diag_Ann_TO!M315+Diag_Ann_TO!M328</f>
        <v>0</v>
      </c>
      <c r="N22" s="5">
        <f ca="1">Diag_Ann_TO!N315+Diag_Ann_TO!N328</f>
        <v>0</v>
      </c>
      <c r="O22" s="5">
        <f ca="1">Diag_Ann_TO!O315+Diag_Ann_TO!O328</f>
        <v>0</v>
      </c>
    </row>
    <row r="23" spans="4:15" s="327" customFormat="1" hidden="1" outlineLevel="1" x14ac:dyDescent="0.2">
      <c r="D23" s="660" t="str">
        <f>Diag_Ann_TO!D316</f>
        <v>North-Western</v>
      </c>
      <c r="J23" s="5">
        <f ca="1">Diag_Ann_TO!J316+Diag_Ann_TO!J329</f>
        <v>0</v>
      </c>
      <c r="K23" s="5">
        <f ca="1">Diag_Ann_TO!K316+Diag_Ann_TO!K329</f>
        <v>0</v>
      </c>
      <c r="L23" s="5">
        <f ca="1">Diag_Ann_TO!L316+Diag_Ann_TO!L329</f>
        <v>0</v>
      </c>
      <c r="M23" s="5">
        <f ca="1">Diag_Ann_TO!M316+Diag_Ann_TO!M329</f>
        <v>0</v>
      </c>
      <c r="N23" s="5">
        <f ca="1">Diag_Ann_TO!N316+Diag_Ann_TO!N329</f>
        <v>0</v>
      </c>
      <c r="O23" s="5">
        <f ca="1">Diag_Ann_TO!O316+Diag_Ann_TO!O329</f>
        <v>0</v>
      </c>
    </row>
    <row r="24" spans="4:15" s="327" customFormat="1" hidden="1" outlineLevel="1" x14ac:dyDescent="0.2">
      <c r="D24" s="660" t="str">
        <f>Diag_Ann_TO!D317</f>
        <v>Southern</v>
      </c>
      <c r="J24" s="5">
        <f ca="1">Diag_Ann_TO!J317+Diag_Ann_TO!J330</f>
        <v>0</v>
      </c>
      <c r="K24" s="5">
        <f ca="1">Diag_Ann_TO!K317+Diag_Ann_TO!K330</f>
        <v>0</v>
      </c>
      <c r="L24" s="5">
        <f ca="1">Diag_Ann_TO!L317+Diag_Ann_TO!L330</f>
        <v>0</v>
      </c>
      <c r="M24" s="5">
        <f ca="1">Diag_Ann_TO!M317+Diag_Ann_TO!M330</f>
        <v>0</v>
      </c>
      <c r="N24" s="5">
        <f ca="1">Diag_Ann_TO!N317+Diag_Ann_TO!N330</f>
        <v>0</v>
      </c>
      <c r="O24" s="5">
        <f ca="1">Diag_Ann_TO!O317+Diag_Ann_TO!O330</f>
        <v>0</v>
      </c>
    </row>
    <row r="25" spans="4:15" s="327" customFormat="1" hidden="1" outlineLevel="1" x14ac:dyDescent="0.2">
      <c r="D25" s="660" t="str">
        <f>Diag_Ann_TO!D318</f>
        <v>Western</v>
      </c>
      <c r="J25" s="5">
        <f ca="1">Diag_Ann_TO!J318+Diag_Ann_TO!J331</f>
        <v>0</v>
      </c>
      <c r="K25" s="5">
        <f ca="1">Diag_Ann_TO!K318+Diag_Ann_TO!K331</f>
        <v>0</v>
      </c>
      <c r="L25" s="5">
        <f ca="1">Diag_Ann_TO!L318+Diag_Ann_TO!L331</f>
        <v>0</v>
      </c>
      <c r="M25" s="5">
        <f ca="1">Diag_Ann_TO!M318+Diag_Ann_TO!M331</f>
        <v>0</v>
      </c>
      <c r="N25" s="5">
        <f ca="1">Diag_Ann_TO!N318+Diag_Ann_TO!N331</f>
        <v>0</v>
      </c>
      <c r="O25" s="5">
        <f ca="1">Diag_Ann_TO!O318+Diag_Ann_TO!O331</f>
        <v>0</v>
      </c>
    </row>
    <row r="26" spans="4:15" s="327" customFormat="1" ht="15" collapsed="1" x14ac:dyDescent="0.2">
      <c r="D26" s="679" t="str">
        <f>"Total "&amp;D15</f>
        <v>Total Personnel Costs</v>
      </c>
      <c r="J26" s="562">
        <f t="shared" ref="J26:O26" ca="1" si="4">SUM(J16:J25)</f>
        <v>1825.3454090513487</v>
      </c>
      <c r="K26" s="562">
        <f t="shared" ca="1" si="4"/>
        <v>1825.3454090513487</v>
      </c>
      <c r="L26" s="562">
        <f t="shared" ca="1" si="4"/>
        <v>1825.3454090513487</v>
      </c>
      <c r="M26" s="562">
        <f t="shared" ca="1" si="4"/>
        <v>1825.3454090513487</v>
      </c>
      <c r="N26" s="562">
        <f t="shared" ca="1" si="4"/>
        <v>1825.3454090513487</v>
      </c>
      <c r="O26" s="562">
        <f t="shared" ca="1" si="4"/>
        <v>1825.3454090513487</v>
      </c>
    </row>
    <row r="27" spans="4:15" s="327" customFormat="1" x14ac:dyDescent="0.2"/>
    <row r="28" spans="4:15" s="327" customFormat="1" ht="15" x14ac:dyDescent="0.2">
      <c r="D28" s="658" t="s">
        <v>105</v>
      </c>
    </row>
    <row r="29" spans="4:15" s="327" customFormat="1" hidden="1" outlineLevel="1" x14ac:dyDescent="0.2">
      <c r="D29" s="660" t="str">
        <f>Diag_Ann_TO!D296</f>
        <v>Central</v>
      </c>
      <c r="J29" s="5">
        <f ca="1">Diag_Ann_TO!J296</f>
        <v>0</v>
      </c>
      <c r="K29" s="5">
        <f ca="1">Diag_Ann_TO!K296</f>
        <v>0</v>
      </c>
      <c r="L29" s="5">
        <f ca="1">Diag_Ann_TO!L296</f>
        <v>0</v>
      </c>
      <c r="M29" s="5">
        <f ca="1">Diag_Ann_TO!M296</f>
        <v>0</v>
      </c>
      <c r="N29" s="5">
        <f ca="1">Diag_Ann_TO!N296</f>
        <v>0</v>
      </c>
      <c r="O29" s="5">
        <f ca="1">Diag_Ann_TO!O296</f>
        <v>0</v>
      </c>
    </row>
    <row r="30" spans="4:15" s="327" customFormat="1" hidden="1" outlineLevel="1" x14ac:dyDescent="0.2">
      <c r="D30" s="660" t="str">
        <f>Diag_Ann_TO!D297</f>
        <v>Copperbelt</v>
      </c>
      <c r="J30" s="5">
        <f ca="1">Diag_Ann_TO!J297</f>
        <v>457.17602579999999</v>
      </c>
      <c r="K30" s="5">
        <f ca="1">Diag_Ann_TO!K297</f>
        <v>457.17602579999999</v>
      </c>
      <c r="L30" s="5">
        <f ca="1">Diag_Ann_TO!L297</f>
        <v>457.17602579999999</v>
      </c>
      <c r="M30" s="5">
        <f ca="1">Diag_Ann_TO!M297</f>
        <v>457.17602579999999</v>
      </c>
      <c r="N30" s="5">
        <f ca="1">Diag_Ann_TO!N297</f>
        <v>457.17602579999999</v>
      </c>
      <c r="O30" s="5">
        <f ca="1">Diag_Ann_TO!O297</f>
        <v>457.17602579999999</v>
      </c>
    </row>
    <row r="31" spans="4:15" s="327" customFormat="1" hidden="1" outlineLevel="1" x14ac:dyDescent="0.2">
      <c r="D31" s="660" t="str">
        <f>Diag_Ann_TO!D298</f>
        <v>Eastern</v>
      </c>
      <c r="J31" s="5">
        <f ca="1">Diag_Ann_TO!J298</f>
        <v>0</v>
      </c>
      <c r="K31" s="5">
        <f ca="1">Diag_Ann_TO!K298</f>
        <v>0</v>
      </c>
      <c r="L31" s="5">
        <f ca="1">Diag_Ann_TO!L298</f>
        <v>0</v>
      </c>
      <c r="M31" s="5">
        <f ca="1">Diag_Ann_TO!M298</f>
        <v>0</v>
      </c>
      <c r="N31" s="5">
        <f ca="1">Diag_Ann_TO!N298</f>
        <v>0</v>
      </c>
      <c r="O31" s="5">
        <f ca="1">Diag_Ann_TO!O298</f>
        <v>0</v>
      </c>
    </row>
    <row r="32" spans="4:15" s="327" customFormat="1" hidden="1" outlineLevel="1" x14ac:dyDescent="0.2">
      <c r="D32" s="660" t="str">
        <f>Diag_Ann_TO!D299</f>
        <v>Luapula</v>
      </c>
      <c r="J32" s="5">
        <f ca="1">Diag_Ann_TO!J299</f>
        <v>0</v>
      </c>
      <c r="K32" s="5">
        <f ca="1">Diag_Ann_TO!K299</f>
        <v>0</v>
      </c>
      <c r="L32" s="5">
        <f ca="1">Diag_Ann_TO!L299</f>
        <v>0</v>
      </c>
      <c r="M32" s="5">
        <f ca="1">Diag_Ann_TO!M299</f>
        <v>0</v>
      </c>
      <c r="N32" s="5">
        <f ca="1">Diag_Ann_TO!N299</f>
        <v>0</v>
      </c>
      <c r="O32" s="5">
        <f ca="1">Diag_Ann_TO!O299</f>
        <v>0</v>
      </c>
    </row>
    <row r="33" spans="4:15" s="327" customFormat="1" hidden="1" outlineLevel="1" x14ac:dyDescent="0.2">
      <c r="D33" s="660" t="str">
        <f>Diag_Ann_TO!D300</f>
        <v>Lusaka</v>
      </c>
      <c r="J33" s="5">
        <f ca="1">Diag_Ann_TO!J300</f>
        <v>422.0086392</v>
      </c>
      <c r="K33" s="5">
        <f ca="1">Diag_Ann_TO!K300</f>
        <v>422.0086392</v>
      </c>
      <c r="L33" s="5">
        <f ca="1">Diag_Ann_TO!L300</f>
        <v>422.0086392</v>
      </c>
      <c r="M33" s="5">
        <f ca="1">Diag_Ann_TO!M300</f>
        <v>422.0086392</v>
      </c>
      <c r="N33" s="5">
        <f ca="1">Diag_Ann_TO!N300</f>
        <v>422.0086392</v>
      </c>
      <c r="O33" s="5">
        <f ca="1">Diag_Ann_TO!O300</f>
        <v>422.0086392</v>
      </c>
    </row>
    <row r="34" spans="4:15" s="327" customFormat="1" hidden="1" outlineLevel="1" x14ac:dyDescent="0.2">
      <c r="D34" s="660" t="str">
        <f>Diag_Ann_TO!D301</f>
        <v>Muchinga</v>
      </c>
      <c r="J34" s="5">
        <f ca="1">Diag_Ann_TO!J301</f>
        <v>0</v>
      </c>
      <c r="K34" s="5">
        <f ca="1">Diag_Ann_TO!K301</f>
        <v>0</v>
      </c>
      <c r="L34" s="5">
        <f ca="1">Diag_Ann_TO!L301</f>
        <v>0</v>
      </c>
      <c r="M34" s="5">
        <f ca="1">Diag_Ann_TO!M301</f>
        <v>0</v>
      </c>
      <c r="N34" s="5">
        <f ca="1">Diag_Ann_TO!N301</f>
        <v>0</v>
      </c>
      <c r="O34" s="5">
        <f ca="1">Diag_Ann_TO!O301</f>
        <v>0</v>
      </c>
    </row>
    <row r="35" spans="4:15" s="327" customFormat="1" hidden="1" outlineLevel="1" x14ac:dyDescent="0.2">
      <c r="D35" s="660" t="str">
        <f>Diag_Ann_TO!D302</f>
        <v>Northern</v>
      </c>
      <c r="J35" s="5">
        <f ca="1">Diag_Ann_TO!J302</f>
        <v>0</v>
      </c>
      <c r="K35" s="5">
        <f ca="1">Diag_Ann_TO!K302</f>
        <v>0</v>
      </c>
      <c r="L35" s="5">
        <f ca="1">Diag_Ann_TO!L302</f>
        <v>0</v>
      </c>
      <c r="M35" s="5">
        <f ca="1">Diag_Ann_TO!M302</f>
        <v>0</v>
      </c>
      <c r="N35" s="5">
        <f ca="1">Diag_Ann_TO!N302</f>
        <v>0</v>
      </c>
      <c r="O35" s="5">
        <f ca="1">Diag_Ann_TO!O302</f>
        <v>0</v>
      </c>
    </row>
    <row r="36" spans="4:15" s="327" customFormat="1" hidden="1" outlineLevel="1" x14ac:dyDescent="0.2">
      <c r="D36" s="660" t="str">
        <f>Diag_Ann_TO!D303</f>
        <v>North-Western</v>
      </c>
      <c r="J36" s="5">
        <f ca="1">Diag_Ann_TO!J303</f>
        <v>0</v>
      </c>
      <c r="K36" s="5">
        <f ca="1">Diag_Ann_TO!K303</f>
        <v>0</v>
      </c>
      <c r="L36" s="5">
        <f ca="1">Diag_Ann_TO!L303</f>
        <v>0</v>
      </c>
      <c r="M36" s="5">
        <f ca="1">Diag_Ann_TO!M303</f>
        <v>0</v>
      </c>
      <c r="N36" s="5">
        <f ca="1">Diag_Ann_TO!N303</f>
        <v>0</v>
      </c>
      <c r="O36" s="5">
        <f ca="1">Diag_Ann_TO!O303</f>
        <v>0</v>
      </c>
    </row>
    <row r="37" spans="4:15" s="327" customFormat="1" hidden="1" outlineLevel="1" x14ac:dyDescent="0.2">
      <c r="D37" s="660" t="str">
        <f>Diag_Ann_TO!D304</f>
        <v>Southern</v>
      </c>
      <c r="J37" s="5">
        <f ca="1">Diag_Ann_TO!J304</f>
        <v>0</v>
      </c>
      <c r="K37" s="5">
        <f ca="1">Diag_Ann_TO!K304</f>
        <v>0</v>
      </c>
      <c r="L37" s="5">
        <f ca="1">Diag_Ann_TO!L304</f>
        <v>0</v>
      </c>
      <c r="M37" s="5">
        <f ca="1">Diag_Ann_TO!M304</f>
        <v>0</v>
      </c>
      <c r="N37" s="5">
        <f ca="1">Diag_Ann_TO!N304</f>
        <v>0</v>
      </c>
      <c r="O37" s="5">
        <f ca="1">Diag_Ann_TO!O304</f>
        <v>0</v>
      </c>
    </row>
    <row r="38" spans="4:15" s="327" customFormat="1" hidden="1" outlineLevel="1" x14ac:dyDescent="0.2">
      <c r="D38" s="660" t="str">
        <f>Diag_Ann_TO!D305</f>
        <v>Western</v>
      </c>
      <c r="J38" s="5">
        <f ca="1">Diag_Ann_TO!J305</f>
        <v>0</v>
      </c>
      <c r="K38" s="5">
        <f ca="1">Diag_Ann_TO!K305</f>
        <v>0</v>
      </c>
      <c r="L38" s="5">
        <f ca="1">Diag_Ann_TO!L305</f>
        <v>0</v>
      </c>
      <c r="M38" s="5">
        <f ca="1">Diag_Ann_TO!M305</f>
        <v>0</v>
      </c>
      <c r="N38" s="5">
        <f ca="1">Diag_Ann_TO!N305</f>
        <v>0</v>
      </c>
      <c r="O38" s="5">
        <f ca="1">Diag_Ann_TO!O305</f>
        <v>0</v>
      </c>
    </row>
    <row r="39" spans="4:15" s="327" customFormat="1" ht="15" collapsed="1" x14ac:dyDescent="0.2">
      <c r="D39" s="679" t="str">
        <f>"Total "&amp;D28</f>
        <v>Total Supply Costs</v>
      </c>
      <c r="J39" s="562">
        <f t="shared" ref="J39:O39" ca="1" si="5">SUM(J29:J38)</f>
        <v>879.184665</v>
      </c>
      <c r="K39" s="562">
        <f t="shared" ca="1" si="5"/>
        <v>879.184665</v>
      </c>
      <c r="L39" s="562">
        <f t="shared" ca="1" si="5"/>
        <v>879.184665</v>
      </c>
      <c r="M39" s="562">
        <f t="shared" ca="1" si="5"/>
        <v>879.184665</v>
      </c>
      <c r="N39" s="562">
        <f t="shared" ca="1" si="5"/>
        <v>879.184665</v>
      </c>
      <c r="O39" s="562">
        <f t="shared" ca="1" si="5"/>
        <v>879.184665</v>
      </c>
    </row>
    <row r="40" spans="4:15" s="327" customFormat="1" x14ac:dyDescent="0.2"/>
    <row r="41" spans="4:15" s="327" customFormat="1" ht="15" x14ac:dyDescent="0.2">
      <c r="D41" s="658" t="s">
        <v>1969</v>
      </c>
    </row>
    <row r="42" spans="4:15" s="327" customFormat="1" hidden="1" outlineLevel="1" x14ac:dyDescent="0.2">
      <c r="D42" s="660" t="str">
        <f>Diag_Ann_TO!D335</f>
        <v>Central</v>
      </c>
      <c r="J42" s="5">
        <f ca="1">Diag_Ann_TO!J335</f>
        <v>0</v>
      </c>
      <c r="K42" s="5">
        <f ca="1">Diag_Ann_TO!K335</f>
        <v>0</v>
      </c>
      <c r="L42" s="5">
        <f ca="1">Diag_Ann_TO!L335</f>
        <v>0</v>
      </c>
      <c r="M42" s="5">
        <f ca="1">Diag_Ann_TO!M335</f>
        <v>0</v>
      </c>
      <c r="N42" s="5">
        <f ca="1">Diag_Ann_TO!N335</f>
        <v>0</v>
      </c>
      <c r="O42" s="5">
        <f ca="1">Diag_Ann_TO!O335</f>
        <v>0</v>
      </c>
    </row>
    <row r="43" spans="4:15" s="327" customFormat="1" hidden="1" outlineLevel="1" x14ac:dyDescent="0.2">
      <c r="D43" s="660" t="str">
        <f>Diag_Ann_TO!D336</f>
        <v>Copperbelt</v>
      </c>
      <c r="J43" s="5">
        <f ca="1">Diag_Ann_TO!J336</f>
        <v>2309.4499999999998</v>
      </c>
      <c r="K43" s="5">
        <f ca="1">Diag_Ann_TO!K336</f>
        <v>2309.4499999999998</v>
      </c>
      <c r="L43" s="5">
        <f ca="1">Diag_Ann_TO!L336</f>
        <v>2309.4499999999998</v>
      </c>
      <c r="M43" s="5">
        <f ca="1">Diag_Ann_TO!M336</f>
        <v>2309.4499999999998</v>
      </c>
      <c r="N43" s="5">
        <f ca="1">Diag_Ann_TO!N336</f>
        <v>2309.4499999999998</v>
      </c>
      <c r="O43" s="5">
        <f ca="1">Diag_Ann_TO!O336</f>
        <v>2309.4499999999998</v>
      </c>
    </row>
    <row r="44" spans="4:15" s="327" customFormat="1" hidden="1" outlineLevel="1" x14ac:dyDescent="0.2">
      <c r="D44" s="660" t="str">
        <f>Diag_Ann_TO!D337</f>
        <v>Eastern</v>
      </c>
      <c r="J44" s="5">
        <f ca="1">Diag_Ann_TO!J337</f>
        <v>0</v>
      </c>
      <c r="K44" s="5">
        <f ca="1">Diag_Ann_TO!K337</f>
        <v>0</v>
      </c>
      <c r="L44" s="5">
        <f ca="1">Diag_Ann_TO!L337</f>
        <v>0</v>
      </c>
      <c r="M44" s="5">
        <f ca="1">Diag_Ann_TO!M337</f>
        <v>0</v>
      </c>
      <c r="N44" s="5">
        <f ca="1">Diag_Ann_TO!N337</f>
        <v>0</v>
      </c>
      <c r="O44" s="5">
        <f ca="1">Diag_Ann_TO!O337</f>
        <v>0</v>
      </c>
    </row>
    <row r="45" spans="4:15" s="327" customFormat="1" hidden="1" outlineLevel="1" x14ac:dyDescent="0.2">
      <c r="D45" s="660" t="str">
        <f>Diag_Ann_TO!D338</f>
        <v>Luapula</v>
      </c>
      <c r="J45" s="5">
        <f ca="1">Diag_Ann_TO!J338</f>
        <v>0</v>
      </c>
      <c r="K45" s="5">
        <f ca="1">Diag_Ann_TO!K338</f>
        <v>0</v>
      </c>
      <c r="L45" s="5">
        <f ca="1">Diag_Ann_TO!L338</f>
        <v>0</v>
      </c>
      <c r="M45" s="5">
        <f ca="1">Diag_Ann_TO!M338</f>
        <v>0</v>
      </c>
      <c r="N45" s="5">
        <f ca="1">Diag_Ann_TO!N338</f>
        <v>0</v>
      </c>
      <c r="O45" s="5">
        <f ca="1">Diag_Ann_TO!O338</f>
        <v>0</v>
      </c>
    </row>
    <row r="46" spans="4:15" s="327" customFormat="1" hidden="1" outlineLevel="1" x14ac:dyDescent="0.2">
      <c r="D46" s="660" t="str">
        <f>Diag_Ann_TO!D339</f>
        <v>Lusaka</v>
      </c>
      <c r="J46" s="5">
        <f ca="1">Diag_Ann_TO!J339</f>
        <v>2131.7999999999997</v>
      </c>
      <c r="K46" s="5">
        <f ca="1">Diag_Ann_TO!K339</f>
        <v>2131.7999999999997</v>
      </c>
      <c r="L46" s="5">
        <f ca="1">Diag_Ann_TO!L339</f>
        <v>2131.7999999999997</v>
      </c>
      <c r="M46" s="5">
        <f ca="1">Diag_Ann_TO!M339</f>
        <v>2131.7999999999997</v>
      </c>
      <c r="N46" s="5">
        <f ca="1">Diag_Ann_TO!N339</f>
        <v>2131.7999999999997</v>
      </c>
      <c r="O46" s="5">
        <f ca="1">Diag_Ann_TO!O339</f>
        <v>2131.7999999999997</v>
      </c>
    </row>
    <row r="47" spans="4:15" s="327" customFormat="1" hidden="1" outlineLevel="1" x14ac:dyDescent="0.2">
      <c r="D47" s="660" t="str">
        <f>Diag_Ann_TO!D340</f>
        <v>Muchinga</v>
      </c>
      <c r="J47" s="5">
        <f ca="1">Diag_Ann_TO!J340</f>
        <v>0</v>
      </c>
      <c r="K47" s="5">
        <f ca="1">Diag_Ann_TO!K340</f>
        <v>0</v>
      </c>
      <c r="L47" s="5">
        <f ca="1">Diag_Ann_TO!L340</f>
        <v>0</v>
      </c>
      <c r="M47" s="5">
        <f ca="1">Diag_Ann_TO!M340</f>
        <v>0</v>
      </c>
      <c r="N47" s="5">
        <f ca="1">Diag_Ann_TO!N340</f>
        <v>0</v>
      </c>
      <c r="O47" s="5">
        <f ca="1">Diag_Ann_TO!O340</f>
        <v>0</v>
      </c>
    </row>
    <row r="48" spans="4:15" s="327" customFormat="1" hidden="1" outlineLevel="1" x14ac:dyDescent="0.2">
      <c r="D48" s="660" t="str">
        <f>Diag_Ann_TO!D341</f>
        <v>Northern</v>
      </c>
      <c r="J48" s="5">
        <f ca="1">Diag_Ann_TO!J341</f>
        <v>0</v>
      </c>
      <c r="K48" s="5">
        <f ca="1">Diag_Ann_TO!K341</f>
        <v>0</v>
      </c>
      <c r="L48" s="5">
        <f ca="1">Diag_Ann_TO!L341</f>
        <v>0</v>
      </c>
      <c r="M48" s="5">
        <f ca="1">Diag_Ann_TO!M341</f>
        <v>0</v>
      </c>
      <c r="N48" s="5">
        <f ca="1">Diag_Ann_TO!N341</f>
        <v>0</v>
      </c>
      <c r="O48" s="5">
        <f ca="1">Diag_Ann_TO!O341</f>
        <v>0</v>
      </c>
    </row>
    <row r="49" spans="4:15" s="327" customFormat="1" hidden="1" outlineLevel="1" x14ac:dyDescent="0.2">
      <c r="D49" s="660" t="str">
        <f>Diag_Ann_TO!D342</f>
        <v>North-Western</v>
      </c>
      <c r="J49" s="5">
        <f ca="1">Diag_Ann_TO!J342</f>
        <v>0</v>
      </c>
      <c r="K49" s="5">
        <f ca="1">Diag_Ann_TO!K342</f>
        <v>0</v>
      </c>
      <c r="L49" s="5">
        <f ca="1">Diag_Ann_TO!L342</f>
        <v>0</v>
      </c>
      <c r="M49" s="5">
        <f ca="1">Diag_Ann_TO!M342</f>
        <v>0</v>
      </c>
      <c r="N49" s="5">
        <f ca="1">Diag_Ann_TO!N342</f>
        <v>0</v>
      </c>
      <c r="O49" s="5">
        <f ca="1">Diag_Ann_TO!O342</f>
        <v>0</v>
      </c>
    </row>
    <row r="50" spans="4:15" s="327" customFormat="1" hidden="1" outlineLevel="1" x14ac:dyDescent="0.2">
      <c r="D50" s="660" t="str">
        <f>Diag_Ann_TO!D343</f>
        <v>Southern</v>
      </c>
      <c r="J50" s="5">
        <f ca="1">Diag_Ann_TO!J343</f>
        <v>0</v>
      </c>
      <c r="K50" s="5">
        <f ca="1">Diag_Ann_TO!K343</f>
        <v>0</v>
      </c>
      <c r="L50" s="5">
        <f ca="1">Diag_Ann_TO!L343</f>
        <v>0</v>
      </c>
      <c r="M50" s="5">
        <f ca="1">Diag_Ann_TO!M343</f>
        <v>0</v>
      </c>
      <c r="N50" s="5">
        <f ca="1">Diag_Ann_TO!N343</f>
        <v>0</v>
      </c>
      <c r="O50" s="5">
        <f ca="1">Diag_Ann_TO!O343</f>
        <v>0</v>
      </c>
    </row>
    <row r="51" spans="4:15" s="327" customFormat="1" hidden="1" outlineLevel="1" x14ac:dyDescent="0.2">
      <c r="D51" s="660" t="str">
        <f>Diag_Ann_TO!D344</f>
        <v>Western</v>
      </c>
      <c r="J51" s="5">
        <f ca="1">Diag_Ann_TO!J344</f>
        <v>0</v>
      </c>
      <c r="K51" s="5">
        <f ca="1">Diag_Ann_TO!K344</f>
        <v>0</v>
      </c>
      <c r="L51" s="5">
        <f ca="1">Diag_Ann_TO!L344</f>
        <v>0</v>
      </c>
      <c r="M51" s="5">
        <f ca="1">Diag_Ann_TO!M344</f>
        <v>0</v>
      </c>
      <c r="N51" s="5">
        <f ca="1">Diag_Ann_TO!N344</f>
        <v>0</v>
      </c>
      <c r="O51" s="5">
        <f ca="1">Diag_Ann_TO!O344</f>
        <v>0</v>
      </c>
    </row>
    <row r="52" spans="4:15" s="327" customFormat="1" ht="15" collapsed="1" x14ac:dyDescent="0.2">
      <c r="D52" s="679" t="str">
        <f>"Total "&amp;D41</f>
        <v>Total Lab Tests and Other Direct Costs (ODC)</v>
      </c>
      <c r="J52" s="562">
        <f t="shared" ref="J52:O52" ca="1" si="6">SUM(J42:J51)</f>
        <v>4441.25</v>
      </c>
      <c r="K52" s="562">
        <f t="shared" ca="1" si="6"/>
        <v>4441.25</v>
      </c>
      <c r="L52" s="562">
        <f t="shared" ca="1" si="6"/>
        <v>4441.25</v>
      </c>
      <c r="M52" s="562">
        <f t="shared" ca="1" si="6"/>
        <v>4441.25</v>
      </c>
      <c r="N52" s="562">
        <f t="shared" ca="1" si="6"/>
        <v>4441.25</v>
      </c>
      <c r="O52" s="562">
        <f t="shared" ca="1" si="6"/>
        <v>4441.25</v>
      </c>
    </row>
    <row r="53" spans="4:15" s="327" customFormat="1" x14ac:dyDescent="0.2"/>
    <row r="54" spans="4:15" s="327" customFormat="1" ht="15" x14ac:dyDescent="0.2">
      <c r="D54" s="658" t="s">
        <v>1939</v>
      </c>
    </row>
    <row r="55" spans="4:15" s="327" customFormat="1" hidden="1" outlineLevel="1" x14ac:dyDescent="0.2">
      <c r="D55" s="660" t="str">
        <f>Diag_BA!D130</f>
        <v>Central</v>
      </c>
      <c r="J55" s="5">
        <f t="shared" ref="J55:O64" ca="1" si="7">J29+J42</f>
        <v>0</v>
      </c>
      <c r="K55" s="5">
        <f t="shared" ca="1" si="7"/>
        <v>0</v>
      </c>
      <c r="L55" s="5">
        <f t="shared" ca="1" si="7"/>
        <v>0</v>
      </c>
      <c r="M55" s="5">
        <f t="shared" ca="1" si="7"/>
        <v>0</v>
      </c>
      <c r="N55" s="5">
        <f t="shared" ca="1" si="7"/>
        <v>0</v>
      </c>
      <c r="O55" s="5">
        <f t="shared" ca="1" si="7"/>
        <v>0</v>
      </c>
    </row>
    <row r="56" spans="4:15" s="327" customFormat="1" hidden="1" outlineLevel="1" x14ac:dyDescent="0.2">
      <c r="D56" s="660" t="str">
        <f>Diag_BA!D131</f>
        <v>Copperbelt</v>
      </c>
      <c r="J56" s="5">
        <f t="shared" ca="1" si="7"/>
        <v>2766.6260257999998</v>
      </c>
      <c r="K56" s="5">
        <f t="shared" ca="1" si="7"/>
        <v>2766.6260257999998</v>
      </c>
      <c r="L56" s="5">
        <f t="shared" ca="1" si="7"/>
        <v>2766.6260257999998</v>
      </c>
      <c r="M56" s="5">
        <f t="shared" ca="1" si="7"/>
        <v>2766.6260257999998</v>
      </c>
      <c r="N56" s="5">
        <f t="shared" ca="1" si="7"/>
        <v>2766.6260257999998</v>
      </c>
      <c r="O56" s="5">
        <f t="shared" ca="1" si="7"/>
        <v>2766.6260257999998</v>
      </c>
    </row>
    <row r="57" spans="4:15" s="327" customFormat="1" hidden="1" outlineLevel="1" x14ac:dyDescent="0.2">
      <c r="D57" s="660" t="str">
        <f>Diag_BA!D132</f>
        <v>Eastern</v>
      </c>
      <c r="J57" s="5">
        <f t="shared" ca="1" si="7"/>
        <v>0</v>
      </c>
      <c r="K57" s="5">
        <f t="shared" ca="1" si="7"/>
        <v>0</v>
      </c>
      <c r="L57" s="5">
        <f t="shared" ca="1" si="7"/>
        <v>0</v>
      </c>
      <c r="M57" s="5">
        <f t="shared" ca="1" si="7"/>
        <v>0</v>
      </c>
      <c r="N57" s="5">
        <f t="shared" ca="1" si="7"/>
        <v>0</v>
      </c>
      <c r="O57" s="5">
        <f t="shared" ca="1" si="7"/>
        <v>0</v>
      </c>
    </row>
    <row r="58" spans="4:15" s="327" customFormat="1" hidden="1" outlineLevel="1" x14ac:dyDescent="0.2">
      <c r="D58" s="660" t="str">
        <f>Diag_BA!D133</f>
        <v>Luapula</v>
      </c>
      <c r="J58" s="5">
        <f t="shared" ca="1" si="7"/>
        <v>0</v>
      </c>
      <c r="K58" s="5">
        <f t="shared" ca="1" si="7"/>
        <v>0</v>
      </c>
      <c r="L58" s="5">
        <f t="shared" ca="1" si="7"/>
        <v>0</v>
      </c>
      <c r="M58" s="5">
        <f t="shared" ca="1" si="7"/>
        <v>0</v>
      </c>
      <c r="N58" s="5">
        <f t="shared" ca="1" si="7"/>
        <v>0</v>
      </c>
      <c r="O58" s="5">
        <f t="shared" ca="1" si="7"/>
        <v>0</v>
      </c>
    </row>
    <row r="59" spans="4:15" s="327" customFormat="1" hidden="1" outlineLevel="1" x14ac:dyDescent="0.2">
      <c r="D59" s="660" t="str">
        <f>Diag_BA!D134</f>
        <v>Lusaka</v>
      </c>
      <c r="J59" s="5">
        <f t="shared" ca="1" si="7"/>
        <v>2553.8086391999996</v>
      </c>
      <c r="K59" s="5">
        <f t="shared" ca="1" si="7"/>
        <v>2553.8086391999996</v>
      </c>
      <c r="L59" s="5">
        <f t="shared" ca="1" si="7"/>
        <v>2553.8086391999996</v>
      </c>
      <c r="M59" s="5">
        <f t="shared" ca="1" si="7"/>
        <v>2553.8086391999996</v>
      </c>
      <c r="N59" s="5">
        <f t="shared" ca="1" si="7"/>
        <v>2553.8086391999996</v>
      </c>
      <c r="O59" s="5">
        <f t="shared" ca="1" si="7"/>
        <v>2553.8086391999996</v>
      </c>
    </row>
    <row r="60" spans="4:15" s="327" customFormat="1" hidden="1" outlineLevel="1" x14ac:dyDescent="0.2">
      <c r="D60" s="660" t="str">
        <f>Diag_BA!D135</f>
        <v>Muchinga</v>
      </c>
      <c r="J60" s="5">
        <f t="shared" ca="1" si="7"/>
        <v>0</v>
      </c>
      <c r="K60" s="5">
        <f t="shared" ca="1" si="7"/>
        <v>0</v>
      </c>
      <c r="L60" s="5">
        <f t="shared" ca="1" si="7"/>
        <v>0</v>
      </c>
      <c r="M60" s="5">
        <f t="shared" ca="1" si="7"/>
        <v>0</v>
      </c>
      <c r="N60" s="5">
        <f t="shared" ca="1" si="7"/>
        <v>0</v>
      </c>
      <c r="O60" s="5">
        <f t="shared" ca="1" si="7"/>
        <v>0</v>
      </c>
    </row>
    <row r="61" spans="4:15" s="327" customFormat="1" hidden="1" outlineLevel="1" x14ac:dyDescent="0.2">
      <c r="D61" s="660" t="str">
        <f>Diag_BA!D136</f>
        <v>Northern</v>
      </c>
      <c r="J61" s="5">
        <f t="shared" ca="1" si="7"/>
        <v>0</v>
      </c>
      <c r="K61" s="5">
        <f t="shared" ca="1" si="7"/>
        <v>0</v>
      </c>
      <c r="L61" s="5">
        <f t="shared" ca="1" si="7"/>
        <v>0</v>
      </c>
      <c r="M61" s="5">
        <f t="shared" ca="1" si="7"/>
        <v>0</v>
      </c>
      <c r="N61" s="5">
        <f t="shared" ca="1" si="7"/>
        <v>0</v>
      </c>
      <c r="O61" s="5">
        <f t="shared" ca="1" si="7"/>
        <v>0</v>
      </c>
    </row>
    <row r="62" spans="4:15" s="327" customFormat="1" hidden="1" outlineLevel="1" x14ac:dyDescent="0.2">
      <c r="D62" s="660" t="str">
        <f>Diag_BA!D137</f>
        <v>North-Western</v>
      </c>
      <c r="J62" s="5">
        <f t="shared" ca="1" si="7"/>
        <v>0</v>
      </c>
      <c r="K62" s="5">
        <f t="shared" ca="1" si="7"/>
        <v>0</v>
      </c>
      <c r="L62" s="5">
        <f t="shared" ca="1" si="7"/>
        <v>0</v>
      </c>
      <c r="M62" s="5">
        <f t="shared" ca="1" si="7"/>
        <v>0</v>
      </c>
      <c r="N62" s="5">
        <f t="shared" ca="1" si="7"/>
        <v>0</v>
      </c>
      <c r="O62" s="5">
        <f t="shared" ca="1" si="7"/>
        <v>0</v>
      </c>
    </row>
    <row r="63" spans="4:15" s="327" customFormat="1" hidden="1" outlineLevel="1" x14ac:dyDescent="0.2">
      <c r="D63" s="660" t="str">
        <f>Diag_BA!D138</f>
        <v>Southern</v>
      </c>
      <c r="J63" s="5">
        <f t="shared" ca="1" si="7"/>
        <v>0</v>
      </c>
      <c r="K63" s="5">
        <f t="shared" ca="1" si="7"/>
        <v>0</v>
      </c>
      <c r="L63" s="5">
        <f t="shared" ca="1" si="7"/>
        <v>0</v>
      </c>
      <c r="M63" s="5">
        <f t="shared" ca="1" si="7"/>
        <v>0</v>
      </c>
      <c r="N63" s="5">
        <f t="shared" ca="1" si="7"/>
        <v>0</v>
      </c>
      <c r="O63" s="5">
        <f t="shared" ca="1" si="7"/>
        <v>0</v>
      </c>
    </row>
    <row r="64" spans="4:15" s="327" customFormat="1" hidden="1" outlineLevel="1" x14ac:dyDescent="0.2">
      <c r="D64" s="660" t="str">
        <f>Diag_BA!D139</f>
        <v>Western</v>
      </c>
      <c r="J64" s="5">
        <f t="shared" ca="1" si="7"/>
        <v>0</v>
      </c>
      <c r="K64" s="5">
        <f t="shared" ca="1" si="7"/>
        <v>0</v>
      </c>
      <c r="L64" s="5">
        <f t="shared" ca="1" si="7"/>
        <v>0</v>
      </c>
      <c r="M64" s="5">
        <f t="shared" ca="1" si="7"/>
        <v>0</v>
      </c>
      <c r="N64" s="5">
        <f t="shared" ca="1" si="7"/>
        <v>0</v>
      </c>
      <c r="O64" s="5">
        <f t="shared" ca="1" si="7"/>
        <v>0</v>
      </c>
    </row>
    <row r="65" spans="4:15" s="327" customFormat="1" ht="15.75" collapsed="1" thickBot="1" x14ac:dyDescent="0.25">
      <c r="D65" s="679" t="str">
        <f>"Total "&amp;D54</f>
        <v>Total Recurrent Financial Costs</v>
      </c>
      <c r="J65" s="624">
        <f t="shared" ref="J65:O65" ca="1" si="8">SUM(J55:J64)</f>
        <v>5320.4346649999989</v>
      </c>
      <c r="K65" s="624">
        <f t="shared" ca="1" si="8"/>
        <v>5320.4346649999989</v>
      </c>
      <c r="L65" s="624">
        <f t="shared" ca="1" si="8"/>
        <v>5320.4346649999989</v>
      </c>
      <c r="M65" s="624">
        <f t="shared" ca="1" si="8"/>
        <v>5320.4346649999989</v>
      </c>
      <c r="N65" s="624">
        <f t="shared" ca="1" si="8"/>
        <v>5320.4346649999989</v>
      </c>
      <c r="O65" s="624">
        <f t="shared" ca="1" si="8"/>
        <v>5320.4346649999989</v>
      </c>
    </row>
    <row r="66" spans="4:15" s="327" customFormat="1" ht="13.5" thickTop="1" x14ac:dyDescent="0.2"/>
    <row r="67" spans="4:15" s="327" customFormat="1" ht="15" x14ac:dyDescent="0.2">
      <c r="D67" s="658" t="s">
        <v>1940</v>
      </c>
    </row>
    <row r="68" spans="4:15" s="327" customFormat="1" hidden="1" outlineLevel="1" x14ac:dyDescent="0.2">
      <c r="D68" s="660" t="str">
        <f>Diag_BA!D130</f>
        <v>Central</v>
      </c>
      <c r="J68" s="5">
        <f t="shared" ref="J68:O77" ca="1" si="9">J16+J29+J42</f>
        <v>0</v>
      </c>
      <c r="K68" s="5">
        <f t="shared" ca="1" si="9"/>
        <v>0</v>
      </c>
      <c r="L68" s="5">
        <f t="shared" ca="1" si="9"/>
        <v>0</v>
      </c>
      <c r="M68" s="5">
        <f t="shared" ca="1" si="9"/>
        <v>0</v>
      </c>
      <c r="N68" s="5">
        <f t="shared" ca="1" si="9"/>
        <v>0</v>
      </c>
      <c r="O68" s="5">
        <f t="shared" ca="1" si="9"/>
        <v>0</v>
      </c>
    </row>
    <row r="69" spans="4:15" s="327" customFormat="1" hidden="1" outlineLevel="1" x14ac:dyDescent="0.2">
      <c r="D69" s="660" t="str">
        <f>Diag_BA!D131</f>
        <v>Copperbelt</v>
      </c>
      <c r="J69" s="5">
        <f t="shared" ca="1" si="9"/>
        <v>3715.8056385067011</v>
      </c>
      <c r="K69" s="5">
        <f t="shared" ca="1" si="9"/>
        <v>3715.8056385067011</v>
      </c>
      <c r="L69" s="5">
        <f t="shared" ca="1" si="9"/>
        <v>3715.8056385067011</v>
      </c>
      <c r="M69" s="5">
        <f t="shared" ca="1" si="9"/>
        <v>3715.8056385067011</v>
      </c>
      <c r="N69" s="5">
        <f t="shared" ca="1" si="9"/>
        <v>3715.8056385067011</v>
      </c>
      <c r="O69" s="5">
        <f t="shared" ca="1" si="9"/>
        <v>3715.8056385067011</v>
      </c>
    </row>
    <row r="70" spans="4:15" s="327" customFormat="1" hidden="1" outlineLevel="1" x14ac:dyDescent="0.2">
      <c r="D70" s="660" t="str">
        <f>Diag_BA!D132</f>
        <v>Eastern</v>
      </c>
      <c r="J70" s="5">
        <f t="shared" ca="1" si="9"/>
        <v>0</v>
      </c>
      <c r="K70" s="5">
        <f t="shared" ca="1" si="9"/>
        <v>0</v>
      </c>
      <c r="L70" s="5">
        <f t="shared" ca="1" si="9"/>
        <v>0</v>
      </c>
      <c r="M70" s="5">
        <f t="shared" ca="1" si="9"/>
        <v>0</v>
      </c>
      <c r="N70" s="5">
        <f t="shared" ca="1" si="9"/>
        <v>0</v>
      </c>
      <c r="O70" s="5">
        <f t="shared" ca="1" si="9"/>
        <v>0</v>
      </c>
    </row>
    <row r="71" spans="4:15" s="327" customFormat="1" hidden="1" outlineLevel="1" x14ac:dyDescent="0.2">
      <c r="D71" s="660" t="str">
        <f>Diag_BA!D133</f>
        <v>Luapula</v>
      </c>
      <c r="J71" s="5">
        <f t="shared" ca="1" si="9"/>
        <v>0</v>
      </c>
      <c r="K71" s="5">
        <f t="shared" ca="1" si="9"/>
        <v>0</v>
      </c>
      <c r="L71" s="5">
        <f t="shared" ca="1" si="9"/>
        <v>0</v>
      </c>
      <c r="M71" s="5">
        <f t="shared" ca="1" si="9"/>
        <v>0</v>
      </c>
      <c r="N71" s="5">
        <f t="shared" ca="1" si="9"/>
        <v>0</v>
      </c>
      <c r="O71" s="5">
        <f t="shared" ca="1" si="9"/>
        <v>0</v>
      </c>
    </row>
    <row r="72" spans="4:15" s="327" customFormat="1" hidden="1" outlineLevel="1" x14ac:dyDescent="0.2">
      <c r="D72" s="660" t="str">
        <f>Diag_BA!D134</f>
        <v>Lusaka</v>
      </c>
      <c r="J72" s="5">
        <f t="shared" ca="1" si="9"/>
        <v>3429.9744355446473</v>
      </c>
      <c r="K72" s="5">
        <f t="shared" ca="1" si="9"/>
        <v>3429.9744355446473</v>
      </c>
      <c r="L72" s="5">
        <f t="shared" ca="1" si="9"/>
        <v>3429.9744355446473</v>
      </c>
      <c r="M72" s="5">
        <f t="shared" ca="1" si="9"/>
        <v>3429.9744355446473</v>
      </c>
      <c r="N72" s="5">
        <f t="shared" ca="1" si="9"/>
        <v>3429.9744355446473</v>
      </c>
      <c r="O72" s="5">
        <f t="shared" ca="1" si="9"/>
        <v>3429.9744355446473</v>
      </c>
    </row>
    <row r="73" spans="4:15" s="327" customFormat="1" hidden="1" outlineLevel="1" x14ac:dyDescent="0.2">
      <c r="D73" s="660" t="str">
        <f>Diag_BA!D135</f>
        <v>Muchinga</v>
      </c>
      <c r="J73" s="5">
        <f t="shared" ca="1" si="9"/>
        <v>0</v>
      </c>
      <c r="K73" s="5">
        <f t="shared" ca="1" si="9"/>
        <v>0</v>
      </c>
      <c r="L73" s="5">
        <f t="shared" ca="1" si="9"/>
        <v>0</v>
      </c>
      <c r="M73" s="5">
        <f t="shared" ca="1" si="9"/>
        <v>0</v>
      </c>
      <c r="N73" s="5">
        <f t="shared" ca="1" si="9"/>
        <v>0</v>
      </c>
      <c r="O73" s="5">
        <f t="shared" ca="1" si="9"/>
        <v>0</v>
      </c>
    </row>
    <row r="74" spans="4:15" s="327" customFormat="1" hidden="1" outlineLevel="1" x14ac:dyDescent="0.2">
      <c r="D74" s="660" t="str">
        <f>Diag_BA!D136</f>
        <v>Northern</v>
      </c>
      <c r="J74" s="5">
        <f t="shared" ca="1" si="9"/>
        <v>0</v>
      </c>
      <c r="K74" s="5">
        <f t="shared" ca="1" si="9"/>
        <v>0</v>
      </c>
      <c r="L74" s="5">
        <f t="shared" ca="1" si="9"/>
        <v>0</v>
      </c>
      <c r="M74" s="5">
        <f t="shared" ca="1" si="9"/>
        <v>0</v>
      </c>
      <c r="N74" s="5">
        <f t="shared" ca="1" si="9"/>
        <v>0</v>
      </c>
      <c r="O74" s="5">
        <f t="shared" ca="1" si="9"/>
        <v>0</v>
      </c>
    </row>
    <row r="75" spans="4:15" s="327" customFormat="1" hidden="1" outlineLevel="1" x14ac:dyDescent="0.2">
      <c r="D75" s="660" t="str">
        <f>Diag_BA!D137</f>
        <v>North-Western</v>
      </c>
      <c r="J75" s="5">
        <f t="shared" ca="1" si="9"/>
        <v>0</v>
      </c>
      <c r="K75" s="5">
        <f t="shared" ca="1" si="9"/>
        <v>0</v>
      </c>
      <c r="L75" s="5">
        <f t="shared" ca="1" si="9"/>
        <v>0</v>
      </c>
      <c r="M75" s="5">
        <f t="shared" ca="1" si="9"/>
        <v>0</v>
      </c>
      <c r="N75" s="5">
        <f t="shared" ca="1" si="9"/>
        <v>0</v>
      </c>
      <c r="O75" s="5">
        <f t="shared" ca="1" si="9"/>
        <v>0</v>
      </c>
    </row>
    <row r="76" spans="4:15" s="327" customFormat="1" hidden="1" outlineLevel="1" x14ac:dyDescent="0.2">
      <c r="D76" s="660" t="str">
        <f>Diag_BA!D138</f>
        <v>Southern</v>
      </c>
      <c r="J76" s="5">
        <f t="shared" ca="1" si="9"/>
        <v>0</v>
      </c>
      <c r="K76" s="5">
        <f t="shared" ca="1" si="9"/>
        <v>0</v>
      </c>
      <c r="L76" s="5">
        <f t="shared" ca="1" si="9"/>
        <v>0</v>
      </c>
      <c r="M76" s="5">
        <f t="shared" ca="1" si="9"/>
        <v>0</v>
      </c>
      <c r="N76" s="5">
        <f t="shared" ca="1" si="9"/>
        <v>0</v>
      </c>
      <c r="O76" s="5">
        <f t="shared" ca="1" si="9"/>
        <v>0</v>
      </c>
    </row>
    <row r="77" spans="4:15" s="327" customFormat="1" hidden="1" outlineLevel="1" x14ac:dyDescent="0.2">
      <c r="D77" s="660" t="str">
        <f>Diag_BA!D139</f>
        <v>Western</v>
      </c>
      <c r="J77" s="5">
        <f t="shared" ca="1" si="9"/>
        <v>0</v>
      </c>
      <c r="K77" s="5">
        <f t="shared" ca="1" si="9"/>
        <v>0</v>
      </c>
      <c r="L77" s="5">
        <f t="shared" ca="1" si="9"/>
        <v>0</v>
      </c>
      <c r="M77" s="5">
        <f t="shared" ca="1" si="9"/>
        <v>0</v>
      </c>
      <c r="N77" s="5">
        <f t="shared" ca="1" si="9"/>
        <v>0</v>
      </c>
      <c r="O77" s="5">
        <f t="shared" ca="1" si="9"/>
        <v>0</v>
      </c>
    </row>
    <row r="78" spans="4:15" s="327" customFormat="1" ht="15.75" collapsed="1" thickBot="1" x14ac:dyDescent="0.25">
      <c r="D78" s="679" t="str">
        <f>"Total "&amp;D67</f>
        <v>Total Recurrent Economic Costs</v>
      </c>
      <c r="J78" s="624">
        <f t="shared" ref="J78:O78" ca="1" si="10">SUM(J68:J77)</f>
        <v>7145.7800740513485</v>
      </c>
      <c r="K78" s="624">
        <f t="shared" ca="1" si="10"/>
        <v>7145.7800740513485</v>
      </c>
      <c r="L78" s="624">
        <f t="shared" ca="1" si="10"/>
        <v>7145.7800740513485</v>
      </c>
      <c r="M78" s="624">
        <f t="shared" ca="1" si="10"/>
        <v>7145.7800740513485</v>
      </c>
      <c r="N78" s="624">
        <f t="shared" ca="1" si="10"/>
        <v>7145.7800740513485</v>
      </c>
      <c r="O78" s="624">
        <f t="shared" ca="1" si="10"/>
        <v>7145.7800740513485</v>
      </c>
    </row>
    <row r="79" spans="4:15" s="327" customFormat="1" ht="13.5" thickTop="1" x14ac:dyDescent="0.2"/>
    <row r="80" spans="4:15" s="327" customFormat="1" x14ac:dyDescent="0.2"/>
    <row r="81" spans="3:15" s="327" customFormat="1" ht="15.75" x14ac:dyDescent="0.2">
      <c r="C81" s="330" t="s">
        <v>1932</v>
      </c>
    </row>
    <row r="82" spans="3:15" s="327" customFormat="1" ht="15" x14ac:dyDescent="0.2">
      <c r="D82" s="646" t="str">
        <f>Diag_Ann_TO!D350</f>
        <v>NonAnnualized Capital Expenditure (Financial)</v>
      </c>
    </row>
    <row r="83" spans="3:15" s="327" customFormat="1" hidden="1" outlineLevel="1" x14ac:dyDescent="0.2">
      <c r="D83" s="660" t="str">
        <f>Diag_Ann_TO!D351</f>
        <v>Central</v>
      </c>
      <c r="J83" s="5">
        <f>Diag_Ann_TO!J351</f>
        <v>0</v>
      </c>
      <c r="K83" s="5">
        <f>Diag_Ann_TO!K351</f>
        <v>0</v>
      </c>
      <c r="L83" s="5">
        <f>Diag_Ann_TO!L351</f>
        <v>0</v>
      </c>
      <c r="M83" s="5">
        <f>Diag_Ann_TO!M351</f>
        <v>0</v>
      </c>
      <c r="N83" s="5">
        <f>Diag_Ann_TO!N351</f>
        <v>0</v>
      </c>
      <c r="O83" s="5">
        <f>Diag_Ann_TO!O351</f>
        <v>0</v>
      </c>
    </row>
    <row r="84" spans="3:15" s="327" customFormat="1" hidden="1" outlineLevel="1" x14ac:dyDescent="0.2">
      <c r="D84" s="660" t="str">
        <f>Diag_Ann_TO!D352</f>
        <v>Copperbelt</v>
      </c>
      <c r="J84" s="5">
        <f>Diag_Ann_TO!J352</f>
        <v>135</v>
      </c>
      <c r="K84" s="5">
        <f>Diag_Ann_TO!K352</f>
        <v>0</v>
      </c>
      <c r="L84" s="5">
        <f>Diag_Ann_TO!L352</f>
        <v>0</v>
      </c>
      <c r="M84" s="5">
        <f>Diag_Ann_TO!M352</f>
        <v>0</v>
      </c>
      <c r="N84" s="5">
        <f>Diag_Ann_TO!N352</f>
        <v>0</v>
      </c>
      <c r="O84" s="5">
        <f>Diag_Ann_TO!O352</f>
        <v>0</v>
      </c>
    </row>
    <row r="85" spans="3:15" s="327" customFormat="1" hidden="1" outlineLevel="1" x14ac:dyDescent="0.2">
      <c r="D85" s="660" t="str">
        <f>Diag_Ann_TO!D353</f>
        <v>Eastern</v>
      </c>
      <c r="J85" s="5">
        <f>Diag_Ann_TO!J353</f>
        <v>0</v>
      </c>
      <c r="K85" s="5">
        <f>Diag_Ann_TO!K353</f>
        <v>0</v>
      </c>
      <c r="L85" s="5">
        <f>Diag_Ann_TO!L353</f>
        <v>0</v>
      </c>
      <c r="M85" s="5">
        <f>Diag_Ann_TO!M353</f>
        <v>0</v>
      </c>
      <c r="N85" s="5">
        <f>Diag_Ann_TO!N353</f>
        <v>0</v>
      </c>
      <c r="O85" s="5">
        <f>Diag_Ann_TO!O353</f>
        <v>0</v>
      </c>
    </row>
    <row r="86" spans="3:15" s="327" customFormat="1" hidden="1" outlineLevel="1" x14ac:dyDescent="0.2">
      <c r="D86" s="660" t="str">
        <f>Diag_Ann_TO!D354</f>
        <v>Luapula</v>
      </c>
      <c r="J86" s="5">
        <f>Diag_Ann_TO!J354</f>
        <v>0</v>
      </c>
      <c r="K86" s="5">
        <f>Diag_Ann_TO!K354</f>
        <v>0</v>
      </c>
      <c r="L86" s="5">
        <f>Diag_Ann_TO!L354</f>
        <v>0</v>
      </c>
      <c r="M86" s="5">
        <f>Diag_Ann_TO!M354</f>
        <v>0</v>
      </c>
      <c r="N86" s="5">
        <f>Diag_Ann_TO!N354</f>
        <v>0</v>
      </c>
      <c r="O86" s="5">
        <f>Diag_Ann_TO!O354</f>
        <v>0</v>
      </c>
    </row>
    <row r="87" spans="3:15" s="327" customFormat="1" hidden="1" outlineLevel="1" x14ac:dyDescent="0.2">
      <c r="D87" s="660" t="str">
        <f>Diag_Ann_TO!D355</f>
        <v>Lusaka</v>
      </c>
      <c r="J87" s="5">
        <f>Diag_Ann_TO!J355</f>
        <v>45</v>
      </c>
      <c r="K87" s="5">
        <f>Diag_Ann_TO!K355</f>
        <v>0</v>
      </c>
      <c r="L87" s="5">
        <f>Diag_Ann_TO!L355</f>
        <v>0</v>
      </c>
      <c r="M87" s="5">
        <f>Diag_Ann_TO!M355</f>
        <v>0</v>
      </c>
      <c r="N87" s="5">
        <f>Diag_Ann_TO!N355</f>
        <v>0</v>
      </c>
      <c r="O87" s="5">
        <f>Diag_Ann_TO!O355</f>
        <v>0</v>
      </c>
    </row>
    <row r="88" spans="3:15" s="327" customFormat="1" hidden="1" outlineLevel="1" x14ac:dyDescent="0.2">
      <c r="D88" s="660" t="str">
        <f>Diag_Ann_TO!D356</f>
        <v>Muchinga</v>
      </c>
      <c r="J88" s="5">
        <f>Diag_Ann_TO!J356</f>
        <v>0</v>
      </c>
      <c r="K88" s="5">
        <f>Diag_Ann_TO!K356</f>
        <v>0</v>
      </c>
      <c r="L88" s="5">
        <f>Diag_Ann_TO!L356</f>
        <v>0</v>
      </c>
      <c r="M88" s="5">
        <f>Diag_Ann_TO!M356</f>
        <v>0</v>
      </c>
      <c r="N88" s="5">
        <f>Diag_Ann_TO!N356</f>
        <v>0</v>
      </c>
      <c r="O88" s="5">
        <f>Diag_Ann_TO!O356</f>
        <v>0</v>
      </c>
    </row>
    <row r="89" spans="3:15" s="327" customFormat="1" hidden="1" outlineLevel="1" x14ac:dyDescent="0.2">
      <c r="D89" s="660" t="str">
        <f>Diag_Ann_TO!D357</f>
        <v>Northern</v>
      </c>
      <c r="J89" s="5">
        <f>Diag_Ann_TO!J357</f>
        <v>0</v>
      </c>
      <c r="K89" s="5">
        <f>Diag_Ann_TO!K357</f>
        <v>0</v>
      </c>
      <c r="L89" s="5">
        <f>Diag_Ann_TO!L357</f>
        <v>0</v>
      </c>
      <c r="M89" s="5">
        <f>Diag_Ann_TO!M357</f>
        <v>0</v>
      </c>
      <c r="N89" s="5">
        <f>Diag_Ann_TO!N357</f>
        <v>0</v>
      </c>
      <c r="O89" s="5">
        <f>Diag_Ann_TO!O357</f>
        <v>0</v>
      </c>
    </row>
    <row r="90" spans="3:15" s="327" customFormat="1" hidden="1" outlineLevel="1" x14ac:dyDescent="0.2">
      <c r="D90" s="660" t="str">
        <f>Diag_Ann_TO!D358</f>
        <v>North-Western</v>
      </c>
      <c r="J90" s="5">
        <f>Diag_Ann_TO!J358</f>
        <v>0</v>
      </c>
      <c r="K90" s="5">
        <f>Diag_Ann_TO!K358</f>
        <v>0</v>
      </c>
      <c r="L90" s="5">
        <f>Diag_Ann_TO!L358</f>
        <v>0</v>
      </c>
      <c r="M90" s="5">
        <f>Diag_Ann_TO!M358</f>
        <v>0</v>
      </c>
      <c r="N90" s="5">
        <f>Diag_Ann_TO!N358</f>
        <v>0</v>
      </c>
      <c r="O90" s="5">
        <f>Diag_Ann_TO!O358</f>
        <v>0</v>
      </c>
    </row>
    <row r="91" spans="3:15" s="327" customFormat="1" hidden="1" outlineLevel="1" x14ac:dyDescent="0.2">
      <c r="D91" s="660" t="str">
        <f>Diag_Ann_TO!D359</f>
        <v>Southern</v>
      </c>
      <c r="J91" s="5">
        <f>Diag_Ann_TO!J359</f>
        <v>0</v>
      </c>
      <c r="K91" s="5">
        <f>Diag_Ann_TO!K359</f>
        <v>0</v>
      </c>
      <c r="L91" s="5">
        <f>Diag_Ann_TO!L359</f>
        <v>0</v>
      </c>
      <c r="M91" s="5">
        <f>Diag_Ann_TO!M359</f>
        <v>0</v>
      </c>
      <c r="N91" s="5">
        <f>Diag_Ann_TO!N359</f>
        <v>0</v>
      </c>
      <c r="O91" s="5">
        <f>Diag_Ann_TO!O359</f>
        <v>0</v>
      </c>
    </row>
    <row r="92" spans="3:15" s="327" customFormat="1" hidden="1" outlineLevel="1" x14ac:dyDescent="0.2">
      <c r="D92" s="660" t="str">
        <f>Diag_Ann_TO!D360</f>
        <v>Western</v>
      </c>
      <c r="J92" s="5">
        <f>Diag_Ann_TO!J360</f>
        <v>0</v>
      </c>
      <c r="K92" s="5">
        <f>Diag_Ann_TO!K360</f>
        <v>0</v>
      </c>
      <c r="L92" s="5">
        <f>Diag_Ann_TO!L360</f>
        <v>0</v>
      </c>
      <c r="M92" s="5">
        <f>Diag_Ann_TO!M360</f>
        <v>0</v>
      </c>
      <c r="N92" s="5">
        <f>Diag_Ann_TO!N360</f>
        <v>0</v>
      </c>
      <c r="O92" s="5">
        <f>Diag_Ann_TO!O360</f>
        <v>0</v>
      </c>
    </row>
    <row r="93" spans="3:15" s="327" customFormat="1" ht="15.75" collapsed="1" thickBot="1" x14ac:dyDescent="0.25">
      <c r="D93" s="679" t="str">
        <f>"Total "&amp;D82</f>
        <v>Total NonAnnualized Capital Expenditure (Financial)</v>
      </c>
      <c r="J93" s="624">
        <f t="shared" ref="J93:O93" si="11">SUM(J83:J92)</f>
        <v>180</v>
      </c>
      <c r="K93" s="624">
        <f t="shared" si="11"/>
        <v>0</v>
      </c>
      <c r="L93" s="624">
        <f t="shared" si="11"/>
        <v>0</v>
      </c>
      <c r="M93" s="624">
        <f t="shared" si="11"/>
        <v>0</v>
      </c>
      <c r="N93" s="624">
        <f t="shared" si="11"/>
        <v>0</v>
      </c>
      <c r="O93" s="624">
        <f t="shared" si="11"/>
        <v>0</v>
      </c>
    </row>
    <row r="94" spans="3:15" s="327" customFormat="1" ht="13.5" thickTop="1" x14ac:dyDescent="0.2"/>
    <row r="95" spans="3:15" s="327" customFormat="1" ht="15" x14ac:dyDescent="0.2">
      <c r="D95" s="646" t="str">
        <f>Diag_Ann_TO!D362</f>
        <v>Annualized Capital Expenditure (Financial)</v>
      </c>
    </row>
    <row r="96" spans="3:15" s="327" customFormat="1" hidden="1" outlineLevel="1" x14ac:dyDescent="0.2">
      <c r="D96" s="660" t="str">
        <f>Diag_Ann_TO!D363</f>
        <v>Central</v>
      </c>
      <c r="J96" s="5">
        <f>Diag_Ann_TO!J363</f>
        <v>0</v>
      </c>
      <c r="K96" s="5">
        <f>Diag_Ann_TO!K363</f>
        <v>0</v>
      </c>
      <c r="L96" s="5">
        <f>Diag_Ann_TO!L363</f>
        <v>0</v>
      </c>
      <c r="M96" s="5">
        <f>Diag_Ann_TO!M363</f>
        <v>0</v>
      </c>
      <c r="N96" s="5">
        <f>Diag_Ann_TO!N363</f>
        <v>0</v>
      </c>
      <c r="O96" s="5">
        <f>Diag_Ann_TO!O363</f>
        <v>0</v>
      </c>
    </row>
    <row r="97" spans="4:15" s="327" customFormat="1" hidden="1" outlineLevel="1" x14ac:dyDescent="0.2">
      <c r="D97" s="660" t="str">
        <f>Diag_Ann_TO!D364</f>
        <v>Copperbelt</v>
      </c>
      <c r="J97" s="5">
        <f>Diag_Ann_TO!J364</f>
        <v>38.8125</v>
      </c>
      <c r="K97" s="5">
        <f>Diag_Ann_TO!K364</f>
        <v>38.8125</v>
      </c>
      <c r="L97" s="5">
        <f>Diag_Ann_TO!L364</f>
        <v>38.8125</v>
      </c>
      <c r="M97" s="5">
        <f>Diag_Ann_TO!M364</f>
        <v>38.8125</v>
      </c>
      <c r="N97" s="5">
        <f>Diag_Ann_TO!N364</f>
        <v>38.8125</v>
      </c>
      <c r="O97" s="5">
        <f>Diag_Ann_TO!O364</f>
        <v>38.8125</v>
      </c>
    </row>
    <row r="98" spans="4:15" s="327" customFormat="1" hidden="1" outlineLevel="1" x14ac:dyDescent="0.2">
      <c r="D98" s="660" t="str">
        <f>Diag_Ann_TO!D365</f>
        <v>Eastern</v>
      </c>
      <c r="J98" s="5">
        <f>Diag_Ann_TO!J365</f>
        <v>0</v>
      </c>
      <c r="K98" s="5">
        <f>Diag_Ann_TO!K365</f>
        <v>0</v>
      </c>
      <c r="L98" s="5">
        <f>Diag_Ann_TO!L365</f>
        <v>0</v>
      </c>
      <c r="M98" s="5">
        <f>Diag_Ann_TO!M365</f>
        <v>0</v>
      </c>
      <c r="N98" s="5">
        <f>Diag_Ann_TO!N365</f>
        <v>0</v>
      </c>
      <c r="O98" s="5">
        <f>Diag_Ann_TO!O365</f>
        <v>0</v>
      </c>
    </row>
    <row r="99" spans="4:15" s="327" customFormat="1" hidden="1" outlineLevel="1" x14ac:dyDescent="0.2">
      <c r="D99" s="660" t="str">
        <f>Diag_Ann_TO!D366</f>
        <v>Luapula</v>
      </c>
      <c r="J99" s="5">
        <f>Diag_Ann_TO!J366</f>
        <v>0</v>
      </c>
      <c r="K99" s="5">
        <f>Diag_Ann_TO!K366</f>
        <v>0</v>
      </c>
      <c r="L99" s="5">
        <f>Diag_Ann_TO!L366</f>
        <v>0</v>
      </c>
      <c r="M99" s="5">
        <f>Diag_Ann_TO!M366</f>
        <v>0</v>
      </c>
      <c r="N99" s="5">
        <f>Diag_Ann_TO!N366</f>
        <v>0</v>
      </c>
      <c r="O99" s="5">
        <f>Diag_Ann_TO!O366</f>
        <v>0</v>
      </c>
    </row>
    <row r="100" spans="4:15" s="327" customFormat="1" hidden="1" outlineLevel="1" x14ac:dyDescent="0.2">
      <c r="D100" s="660" t="str">
        <f>Diag_Ann_TO!D367</f>
        <v>Lusaka</v>
      </c>
      <c r="J100" s="5">
        <f>Diag_Ann_TO!J367</f>
        <v>12.9375</v>
      </c>
      <c r="K100" s="5">
        <f>Diag_Ann_TO!K367</f>
        <v>12.9375</v>
      </c>
      <c r="L100" s="5">
        <f>Diag_Ann_TO!L367</f>
        <v>12.9375</v>
      </c>
      <c r="M100" s="5">
        <f>Diag_Ann_TO!M367</f>
        <v>12.9375</v>
      </c>
      <c r="N100" s="5">
        <f>Diag_Ann_TO!N367</f>
        <v>12.9375</v>
      </c>
      <c r="O100" s="5">
        <f>Diag_Ann_TO!O367</f>
        <v>12.9375</v>
      </c>
    </row>
    <row r="101" spans="4:15" s="327" customFormat="1" hidden="1" outlineLevel="1" x14ac:dyDescent="0.2">
      <c r="D101" s="660" t="str">
        <f>Diag_Ann_TO!D368</f>
        <v>Muchinga</v>
      </c>
      <c r="J101" s="5">
        <f>Diag_Ann_TO!J368</f>
        <v>0</v>
      </c>
      <c r="K101" s="5">
        <f>Diag_Ann_TO!K368</f>
        <v>0</v>
      </c>
      <c r="L101" s="5">
        <f>Diag_Ann_TO!L368</f>
        <v>0</v>
      </c>
      <c r="M101" s="5">
        <f>Diag_Ann_TO!M368</f>
        <v>0</v>
      </c>
      <c r="N101" s="5">
        <f>Diag_Ann_TO!N368</f>
        <v>0</v>
      </c>
      <c r="O101" s="5">
        <f>Diag_Ann_TO!O368</f>
        <v>0</v>
      </c>
    </row>
    <row r="102" spans="4:15" s="327" customFormat="1" hidden="1" outlineLevel="1" x14ac:dyDescent="0.2">
      <c r="D102" s="660" t="str">
        <f>Diag_Ann_TO!D369</f>
        <v>Northern</v>
      </c>
      <c r="J102" s="5">
        <f>Diag_Ann_TO!J369</f>
        <v>0</v>
      </c>
      <c r="K102" s="5">
        <f>Diag_Ann_TO!K369</f>
        <v>0</v>
      </c>
      <c r="L102" s="5">
        <f>Diag_Ann_TO!L369</f>
        <v>0</v>
      </c>
      <c r="M102" s="5">
        <f>Diag_Ann_TO!M369</f>
        <v>0</v>
      </c>
      <c r="N102" s="5">
        <f>Diag_Ann_TO!N369</f>
        <v>0</v>
      </c>
      <c r="O102" s="5">
        <f>Diag_Ann_TO!O369</f>
        <v>0</v>
      </c>
    </row>
    <row r="103" spans="4:15" s="327" customFormat="1" hidden="1" outlineLevel="1" x14ac:dyDescent="0.2">
      <c r="D103" s="660" t="str">
        <f>Diag_Ann_TO!D370</f>
        <v>North-Western</v>
      </c>
      <c r="J103" s="5">
        <f>Diag_Ann_TO!J370</f>
        <v>0</v>
      </c>
      <c r="K103" s="5">
        <f>Diag_Ann_TO!K370</f>
        <v>0</v>
      </c>
      <c r="L103" s="5">
        <f>Diag_Ann_TO!L370</f>
        <v>0</v>
      </c>
      <c r="M103" s="5">
        <f>Diag_Ann_TO!M370</f>
        <v>0</v>
      </c>
      <c r="N103" s="5">
        <f>Diag_Ann_TO!N370</f>
        <v>0</v>
      </c>
      <c r="O103" s="5">
        <f>Diag_Ann_TO!O370</f>
        <v>0</v>
      </c>
    </row>
    <row r="104" spans="4:15" s="327" customFormat="1" hidden="1" outlineLevel="1" x14ac:dyDescent="0.2">
      <c r="D104" s="660" t="str">
        <f>Diag_Ann_TO!D371</f>
        <v>Southern</v>
      </c>
      <c r="J104" s="5">
        <f>Diag_Ann_TO!J371</f>
        <v>0</v>
      </c>
      <c r="K104" s="5">
        <f>Diag_Ann_TO!K371</f>
        <v>0</v>
      </c>
      <c r="L104" s="5">
        <f>Diag_Ann_TO!L371</f>
        <v>0</v>
      </c>
      <c r="M104" s="5">
        <f>Diag_Ann_TO!M371</f>
        <v>0</v>
      </c>
      <c r="N104" s="5">
        <f>Diag_Ann_TO!N371</f>
        <v>0</v>
      </c>
      <c r="O104" s="5">
        <f>Diag_Ann_TO!O371</f>
        <v>0</v>
      </c>
    </row>
    <row r="105" spans="4:15" s="327" customFormat="1" hidden="1" outlineLevel="1" x14ac:dyDescent="0.2">
      <c r="D105" s="660" t="str">
        <f>Diag_Ann_TO!D372</f>
        <v>Western</v>
      </c>
      <c r="J105" s="5">
        <f>Diag_Ann_TO!J372</f>
        <v>0</v>
      </c>
      <c r="K105" s="5">
        <f>Diag_Ann_TO!K372</f>
        <v>0</v>
      </c>
      <c r="L105" s="5">
        <f>Diag_Ann_TO!L372</f>
        <v>0</v>
      </c>
      <c r="M105" s="5">
        <f>Diag_Ann_TO!M372</f>
        <v>0</v>
      </c>
      <c r="N105" s="5">
        <f>Diag_Ann_TO!N372</f>
        <v>0</v>
      </c>
      <c r="O105" s="5">
        <f>Diag_Ann_TO!O372</f>
        <v>0</v>
      </c>
    </row>
    <row r="106" spans="4:15" s="327" customFormat="1" ht="15.75" collapsed="1" thickBot="1" x14ac:dyDescent="0.25">
      <c r="D106" s="679" t="str">
        <f>"Total "&amp;D95</f>
        <v>Total Annualized Capital Expenditure (Financial)</v>
      </c>
      <c r="J106" s="624">
        <f t="shared" ref="J106:O106" si="12">SUM(J96:J105)</f>
        <v>51.75</v>
      </c>
      <c r="K106" s="624">
        <f t="shared" si="12"/>
        <v>51.75</v>
      </c>
      <c r="L106" s="624">
        <f t="shared" si="12"/>
        <v>51.75</v>
      </c>
      <c r="M106" s="624">
        <f t="shared" si="12"/>
        <v>51.75</v>
      </c>
      <c r="N106" s="624">
        <f t="shared" si="12"/>
        <v>51.75</v>
      </c>
      <c r="O106" s="624">
        <f t="shared" si="12"/>
        <v>51.75</v>
      </c>
    </row>
    <row r="107" spans="4:15" s="327" customFormat="1" ht="13.5" thickTop="1" x14ac:dyDescent="0.2"/>
    <row r="108" spans="4:15" s="327" customFormat="1" ht="15" x14ac:dyDescent="0.2">
      <c r="D108" s="646" t="str">
        <f>Diag_Ann_TO!D375</f>
        <v>NonAnnualized Capital Expenditure (Economic)</v>
      </c>
    </row>
    <row r="109" spans="4:15" s="327" customFormat="1" hidden="1" outlineLevel="1" x14ac:dyDescent="0.2">
      <c r="D109" s="660" t="str">
        <f>Diag_Ann_TO!D376</f>
        <v>Central</v>
      </c>
      <c r="J109" s="5">
        <f>Diag_Ann_TO!J376</f>
        <v>0</v>
      </c>
      <c r="K109" s="5">
        <f>Diag_Ann_TO!K376</f>
        <v>0</v>
      </c>
      <c r="L109" s="5">
        <f>Diag_Ann_TO!L376</f>
        <v>0</v>
      </c>
      <c r="M109" s="5">
        <f>Diag_Ann_TO!M376</f>
        <v>0</v>
      </c>
      <c r="N109" s="5">
        <f>Diag_Ann_TO!N376</f>
        <v>0</v>
      </c>
      <c r="O109" s="5">
        <f>Diag_Ann_TO!O376</f>
        <v>0</v>
      </c>
    </row>
    <row r="110" spans="4:15" s="327" customFormat="1" hidden="1" outlineLevel="1" x14ac:dyDescent="0.2">
      <c r="D110" s="660" t="str">
        <f>Diag_Ann_TO!D377</f>
        <v>Copperbelt</v>
      </c>
      <c r="J110" s="5">
        <f>Diag_Ann_TO!J377</f>
        <v>38.8125</v>
      </c>
      <c r="K110" s="5">
        <f>Diag_Ann_TO!K377</f>
        <v>38.8125</v>
      </c>
      <c r="L110" s="5">
        <f>Diag_Ann_TO!L377</f>
        <v>38.8125</v>
      </c>
      <c r="M110" s="5">
        <f>Diag_Ann_TO!M377</f>
        <v>38.8125</v>
      </c>
      <c r="N110" s="5">
        <f>Diag_Ann_TO!N377</f>
        <v>38.8125</v>
      </c>
      <c r="O110" s="5">
        <f>Diag_Ann_TO!O377</f>
        <v>38.8125</v>
      </c>
    </row>
    <row r="111" spans="4:15" s="327" customFormat="1" hidden="1" outlineLevel="1" x14ac:dyDescent="0.2">
      <c r="D111" s="660" t="str">
        <f>Diag_Ann_TO!D378</f>
        <v>Eastern</v>
      </c>
      <c r="J111" s="5">
        <f>Diag_Ann_TO!J378</f>
        <v>0</v>
      </c>
      <c r="K111" s="5">
        <f>Diag_Ann_TO!K378</f>
        <v>0</v>
      </c>
      <c r="L111" s="5">
        <f>Diag_Ann_TO!L378</f>
        <v>0</v>
      </c>
      <c r="M111" s="5">
        <f>Diag_Ann_TO!M378</f>
        <v>0</v>
      </c>
      <c r="N111" s="5">
        <f>Diag_Ann_TO!N378</f>
        <v>0</v>
      </c>
      <c r="O111" s="5">
        <f>Diag_Ann_TO!O378</f>
        <v>0</v>
      </c>
    </row>
    <row r="112" spans="4:15" s="327" customFormat="1" hidden="1" outlineLevel="1" x14ac:dyDescent="0.2">
      <c r="D112" s="660" t="str">
        <f>Diag_Ann_TO!D379</f>
        <v>Luapula</v>
      </c>
      <c r="J112" s="5">
        <f>Diag_Ann_TO!J379</f>
        <v>0</v>
      </c>
      <c r="K112" s="5">
        <f>Diag_Ann_TO!K379</f>
        <v>0</v>
      </c>
      <c r="L112" s="5">
        <f>Diag_Ann_TO!L379</f>
        <v>0</v>
      </c>
      <c r="M112" s="5">
        <f>Diag_Ann_TO!M379</f>
        <v>0</v>
      </c>
      <c r="N112" s="5">
        <f>Diag_Ann_TO!N379</f>
        <v>0</v>
      </c>
      <c r="O112" s="5">
        <f>Diag_Ann_TO!O379</f>
        <v>0</v>
      </c>
    </row>
    <row r="113" spans="4:15" s="327" customFormat="1" hidden="1" outlineLevel="1" x14ac:dyDescent="0.2">
      <c r="D113" s="660" t="str">
        <f>Diag_Ann_TO!D380</f>
        <v>Lusaka</v>
      </c>
      <c r="J113" s="5">
        <f>Diag_Ann_TO!J380</f>
        <v>12.9375</v>
      </c>
      <c r="K113" s="5">
        <f>Diag_Ann_TO!K380</f>
        <v>12.9375</v>
      </c>
      <c r="L113" s="5">
        <f>Diag_Ann_TO!L380</f>
        <v>12.9375</v>
      </c>
      <c r="M113" s="5">
        <f>Diag_Ann_TO!M380</f>
        <v>12.9375</v>
      </c>
      <c r="N113" s="5">
        <f>Diag_Ann_TO!N380</f>
        <v>12.9375</v>
      </c>
      <c r="O113" s="5">
        <f>Diag_Ann_TO!O380</f>
        <v>12.9375</v>
      </c>
    </row>
    <row r="114" spans="4:15" s="327" customFormat="1" hidden="1" outlineLevel="1" x14ac:dyDescent="0.2">
      <c r="D114" s="660" t="str">
        <f>Diag_Ann_TO!D381</f>
        <v>Muchinga</v>
      </c>
      <c r="J114" s="5">
        <f>Diag_Ann_TO!J381</f>
        <v>0</v>
      </c>
      <c r="K114" s="5">
        <f>Diag_Ann_TO!K381</f>
        <v>0</v>
      </c>
      <c r="L114" s="5">
        <f>Diag_Ann_TO!L381</f>
        <v>0</v>
      </c>
      <c r="M114" s="5">
        <f>Diag_Ann_TO!M381</f>
        <v>0</v>
      </c>
      <c r="N114" s="5">
        <f>Diag_Ann_TO!N381</f>
        <v>0</v>
      </c>
      <c r="O114" s="5">
        <f>Diag_Ann_TO!O381</f>
        <v>0</v>
      </c>
    </row>
    <row r="115" spans="4:15" s="327" customFormat="1" hidden="1" outlineLevel="1" x14ac:dyDescent="0.2">
      <c r="D115" s="660" t="str">
        <f>Diag_Ann_TO!D382</f>
        <v>Northern</v>
      </c>
      <c r="J115" s="5">
        <f>Diag_Ann_TO!J382</f>
        <v>0</v>
      </c>
      <c r="K115" s="5">
        <f>Diag_Ann_TO!K382</f>
        <v>0</v>
      </c>
      <c r="L115" s="5">
        <f>Diag_Ann_TO!L382</f>
        <v>0</v>
      </c>
      <c r="M115" s="5">
        <f>Diag_Ann_TO!M382</f>
        <v>0</v>
      </c>
      <c r="N115" s="5">
        <f>Diag_Ann_TO!N382</f>
        <v>0</v>
      </c>
      <c r="O115" s="5">
        <f>Diag_Ann_TO!O382</f>
        <v>0</v>
      </c>
    </row>
    <row r="116" spans="4:15" s="327" customFormat="1" hidden="1" outlineLevel="1" x14ac:dyDescent="0.2">
      <c r="D116" s="660" t="str">
        <f>Diag_Ann_TO!D383</f>
        <v>North-Western</v>
      </c>
      <c r="J116" s="5">
        <f>Diag_Ann_TO!J383</f>
        <v>0</v>
      </c>
      <c r="K116" s="5">
        <f>Diag_Ann_TO!K383</f>
        <v>0</v>
      </c>
      <c r="L116" s="5">
        <f>Diag_Ann_TO!L383</f>
        <v>0</v>
      </c>
      <c r="M116" s="5">
        <f>Diag_Ann_TO!M383</f>
        <v>0</v>
      </c>
      <c r="N116" s="5">
        <f>Diag_Ann_TO!N383</f>
        <v>0</v>
      </c>
      <c r="O116" s="5">
        <f>Diag_Ann_TO!O383</f>
        <v>0</v>
      </c>
    </row>
    <row r="117" spans="4:15" s="327" customFormat="1" hidden="1" outlineLevel="1" x14ac:dyDescent="0.2">
      <c r="D117" s="660" t="str">
        <f>Diag_Ann_TO!D384</f>
        <v>Southern</v>
      </c>
      <c r="J117" s="5">
        <f>Diag_Ann_TO!J384</f>
        <v>0</v>
      </c>
      <c r="K117" s="5">
        <f>Diag_Ann_TO!K384</f>
        <v>0</v>
      </c>
      <c r="L117" s="5">
        <f>Diag_Ann_TO!L384</f>
        <v>0</v>
      </c>
      <c r="M117" s="5">
        <f>Diag_Ann_TO!M384</f>
        <v>0</v>
      </c>
      <c r="N117" s="5">
        <f>Diag_Ann_TO!N384</f>
        <v>0</v>
      </c>
      <c r="O117" s="5">
        <f>Diag_Ann_TO!O384</f>
        <v>0</v>
      </c>
    </row>
    <row r="118" spans="4:15" s="327" customFormat="1" hidden="1" outlineLevel="1" x14ac:dyDescent="0.2">
      <c r="D118" s="660" t="str">
        <f>Diag_Ann_TO!D385</f>
        <v>Western</v>
      </c>
      <c r="J118" s="5">
        <f>Diag_Ann_TO!J385</f>
        <v>0</v>
      </c>
      <c r="K118" s="5">
        <f>Diag_Ann_TO!K385</f>
        <v>0</v>
      </c>
      <c r="L118" s="5">
        <f>Diag_Ann_TO!L385</f>
        <v>0</v>
      </c>
      <c r="M118" s="5">
        <f>Diag_Ann_TO!M385</f>
        <v>0</v>
      </c>
      <c r="N118" s="5">
        <f>Diag_Ann_TO!N385</f>
        <v>0</v>
      </c>
      <c r="O118" s="5">
        <f>Diag_Ann_TO!O385</f>
        <v>0</v>
      </c>
    </row>
    <row r="119" spans="4:15" s="327" customFormat="1" ht="15.75" collapsed="1" thickBot="1" x14ac:dyDescent="0.25">
      <c r="D119" s="679" t="str">
        <f>"Total "&amp;D108</f>
        <v>Total NonAnnualized Capital Expenditure (Economic)</v>
      </c>
      <c r="J119" s="624">
        <f t="shared" ref="J119:O119" si="13">SUM(J109:J118)</f>
        <v>51.75</v>
      </c>
      <c r="K119" s="624">
        <f t="shared" si="13"/>
        <v>51.75</v>
      </c>
      <c r="L119" s="624">
        <f t="shared" si="13"/>
        <v>51.75</v>
      </c>
      <c r="M119" s="624">
        <f t="shared" si="13"/>
        <v>51.75</v>
      </c>
      <c r="N119" s="624">
        <f t="shared" si="13"/>
        <v>51.75</v>
      </c>
      <c r="O119" s="624">
        <f t="shared" si="13"/>
        <v>51.75</v>
      </c>
    </row>
    <row r="120" spans="4:15" s="327" customFormat="1" ht="13.5" thickTop="1" x14ac:dyDescent="0.2"/>
    <row r="121" spans="4:15" s="327" customFormat="1" ht="15" x14ac:dyDescent="0.2">
      <c r="D121" s="646" t="str">
        <f>Diag_Ann_TO!D387</f>
        <v>Annualized Capital Expenditure (Economic)</v>
      </c>
    </row>
    <row r="122" spans="4:15" s="327" customFormat="1" hidden="1" outlineLevel="1" x14ac:dyDescent="0.2">
      <c r="D122" s="660" t="str">
        <f>Diag_Ann_TO!D388</f>
        <v>Central</v>
      </c>
      <c r="J122" s="5">
        <f>Diag_Ann_TO!J388</f>
        <v>0</v>
      </c>
      <c r="K122" s="5">
        <f>Diag_Ann_TO!K388</f>
        <v>0</v>
      </c>
      <c r="L122" s="5">
        <f>Diag_Ann_TO!L388</f>
        <v>0</v>
      </c>
      <c r="M122" s="5">
        <f>Diag_Ann_TO!M388</f>
        <v>0</v>
      </c>
      <c r="N122" s="5">
        <f>Diag_Ann_TO!N388</f>
        <v>0</v>
      </c>
      <c r="O122" s="5">
        <f>Diag_Ann_TO!O388</f>
        <v>0</v>
      </c>
    </row>
    <row r="123" spans="4:15" s="327" customFormat="1" hidden="1" outlineLevel="1" x14ac:dyDescent="0.2">
      <c r="D123" s="660" t="str">
        <f>Diag_Ann_TO!D389</f>
        <v>Copperbelt</v>
      </c>
      <c r="J123" s="5">
        <f>Diag_Ann_TO!J389</f>
        <v>41.766448766226063</v>
      </c>
      <c r="K123" s="5">
        <f>Diag_Ann_TO!K389</f>
        <v>41.766448766226063</v>
      </c>
      <c r="L123" s="5">
        <f>Diag_Ann_TO!L389</f>
        <v>41.766448766226063</v>
      </c>
      <c r="M123" s="5">
        <f>Diag_Ann_TO!M389</f>
        <v>41.766448766226063</v>
      </c>
      <c r="N123" s="5">
        <f>Diag_Ann_TO!N389</f>
        <v>41.766448766226063</v>
      </c>
      <c r="O123" s="5">
        <f>Diag_Ann_TO!O389</f>
        <v>41.766448766226063</v>
      </c>
    </row>
    <row r="124" spans="4:15" s="327" customFormat="1" hidden="1" outlineLevel="1" x14ac:dyDescent="0.2">
      <c r="D124" s="660" t="str">
        <f>Diag_Ann_TO!D390</f>
        <v>Eastern</v>
      </c>
      <c r="J124" s="5">
        <f>Diag_Ann_TO!J390</f>
        <v>0</v>
      </c>
      <c r="K124" s="5">
        <f>Diag_Ann_TO!K390</f>
        <v>0</v>
      </c>
      <c r="L124" s="5">
        <f>Diag_Ann_TO!L390</f>
        <v>0</v>
      </c>
      <c r="M124" s="5">
        <f>Diag_Ann_TO!M390</f>
        <v>0</v>
      </c>
      <c r="N124" s="5">
        <f>Diag_Ann_TO!N390</f>
        <v>0</v>
      </c>
      <c r="O124" s="5">
        <f>Diag_Ann_TO!O390</f>
        <v>0</v>
      </c>
    </row>
    <row r="125" spans="4:15" s="327" customFormat="1" hidden="1" outlineLevel="1" x14ac:dyDescent="0.2">
      <c r="D125" s="660" t="str">
        <f>Diag_Ann_TO!D391</f>
        <v>Luapula</v>
      </c>
      <c r="J125" s="5">
        <f>Diag_Ann_TO!J391</f>
        <v>0</v>
      </c>
      <c r="K125" s="5">
        <f>Diag_Ann_TO!K391</f>
        <v>0</v>
      </c>
      <c r="L125" s="5">
        <f>Diag_Ann_TO!L391</f>
        <v>0</v>
      </c>
      <c r="M125" s="5">
        <f>Diag_Ann_TO!M391</f>
        <v>0</v>
      </c>
      <c r="N125" s="5">
        <f>Diag_Ann_TO!N391</f>
        <v>0</v>
      </c>
      <c r="O125" s="5">
        <f>Diag_Ann_TO!O391</f>
        <v>0</v>
      </c>
    </row>
    <row r="126" spans="4:15" s="327" customFormat="1" hidden="1" outlineLevel="1" x14ac:dyDescent="0.2">
      <c r="D126" s="660" t="str">
        <f>Diag_Ann_TO!D392</f>
        <v>Lusaka</v>
      </c>
      <c r="J126" s="5">
        <f>Diag_Ann_TO!J392</f>
        <v>13.922149588742021</v>
      </c>
      <c r="K126" s="5">
        <f>Diag_Ann_TO!K392</f>
        <v>13.922149588742021</v>
      </c>
      <c r="L126" s="5">
        <f>Diag_Ann_TO!L392</f>
        <v>13.922149588742021</v>
      </c>
      <c r="M126" s="5">
        <f>Diag_Ann_TO!M392</f>
        <v>13.922149588742021</v>
      </c>
      <c r="N126" s="5">
        <f>Diag_Ann_TO!N392</f>
        <v>13.922149588742021</v>
      </c>
      <c r="O126" s="5">
        <f>Diag_Ann_TO!O392</f>
        <v>13.922149588742021</v>
      </c>
    </row>
    <row r="127" spans="4:15" s="327" customFormat="1" hidden="1" outlineLevel="1" x14ac:dyDescent="0.2">
      <c r="D127" s="660" t="str">
        <f>Diag_Ann_TO!D393</f>
        <v>Muchinga</v>
      </c>
      <c r="J127" s="5">
        <f>Diag_Ann_TO!J393</f>
        <v>0</v>
      </c>
      <c r="K127" s="5">
        <f>Diag_Ann_TO!K393</f>
        <v>0</v>
      </c>
      <c r="L127" s="5">
        <f>Diag_Ann_TO!L393</f>
        <v>0</v>
      </c>
      <c r="M127" s="5">
        <f>Diag_Ann_TO!M393</f>
        <v>0</v>
      </c>
      <c r="N127" s="5">
        <f>Diag_Ann_TO!N393</f>
        <v>0</v>
      </c>
      <c r="O127" s="5">
        <f>Diag_Ann_TO!O393</f>
        <v>0</v>
      </c>
    </row>
    <row r="128" spans="4:15" s="327" customFormat="1" hidden="1" outlineLevel="1" x14ac:dyDescent="0.2">
      <c r="D128" s="660" t="str">
        <f>Diag_Ann_TO!D394</f>
        <v>Northern</v>
      </c>
      <c r="J128" s="5">
        <f>Diag_Ann_TO!J394</f>
        <v>0</v>
      </c>
      <c r="K128" s="5">
        <f>Diag_Ann_TO!K394</f>
        <v>0</v>
      </c>
      <c r="L128" s="5">
        <f>Diag_Ann_TO!L394</f>
        <v>0</v>
      </c>
      <c r="M128" s="5">
        <f>Diag_Ann_TO!M394</f>
        <v>0</v>
      </c>
      <c r="N128" s="5">
        <f>Diag_Ann_TO!N394</f>
        <v>0</v>
      </c>
      <c r="O128" s="5">
        <f>Diag_Ann_TO!O394</f>
        <v>0</v>
      </c>
    </row>
    <row r="129" spans="3:15" s="327" customFormat="1" hidden="1" outlineLevel="1" x14ac:dyDescent="0.2">
      <c r="D129" s="660" t="str">
        <f>Diag_Ann_TO!D395</f>
        <v>North-Western</v>
      </c>
      <c r="J129" s="5">
        <f>Diag_Ann_TO!J395</f>
        <v>0</v>
      </c>
      <c r="K129" s="5">
        <f>Diag_Ann_TO!K395</f>
        <v>0</v>
      </c>
      <c r="L129" s="5">
        <f>Diag_Ann_TO!L395</f>
        <v>0</v>
      </c>
      <c r="M129" s="5">
        <f>Diag_Ann_TO!M395</f>
        <v>0</v>
      </c>
      <c r="N129" s="5">
        <f>Diag_Ann_TO!N395</f>
        <v>0</v>
      </c>
      <c r="O129" s="5">
        <f>Diag_Ann_TO!O395</f>
        <v>0</v>
      </c>
    </row>
    <row r="130" spans="3:15" s="327" customFormat="1" hidden="1" outlineLevel="1" x14ac:dyDescent="0.2">
      <c r="D130" s="660" t="str">
        <f>Diag_Ann_TO!D396</f>
        <v>Southern</v>
      </c>
      <c r="J130" s="5">
        <f>Diag_Ann_TO!J396</f>
        <v>0</v>
      </c>
      <c r="K130" s="5">
        <f>Diag_Ann_TO!K396</f>
        <v>0</v>
      </c>
      <c r="L130" s="5">
        <f>Diag_Ann_TO!L396</f>
        <v>0</v>
      </c>
      <c r="M130" s="5">
        <f>Diag_Ann_TO!M396</f>
        <v>0</v>
      </c>
      <c r="N130" s="5">
        <f>Diag_Ann_TO!N396</f>
        <v>0</v>
      </c>
      <c r="O130" s="5">
        <f>Diag_Ann_TO!O396</f>
        <v>0</v>
      </c>
    </row>
    <row r="131" spans="3:15" s="327" customFormat="1" hidden="1" outlineLevel="1" x14ac:dyDescent="0.2">
      <c r="D131" s="660" t="str">
        <f>Diag_Ann_TO!D397</f>
        <v>Western</v>
      </c>
      <c r="J131" s="5">
        <f>Diag_Ann_TO!J397</f>
        <v>0</v>
      </c>
      <c r="K131" s="5">
        <f>Diag_Ann_TO!K397</f>
        <v>0</v>
      </c>
      <c r="L131" s="5">
        <f>Diag_Ann_TO!L397</f>
        <v>0</v>
      </c>
      <c r="M131" s="5">
        <f>Diag_Ann_TO!M397</f>
        <v>0</v>
      </c>
      <c r="N131" s="5">
        <f>Diag_Ann_TO!N397</f>
        <v>0</v>
      </c>
      <c r="O131" s="5">
        <f>Diag_Ann_TO!O397</f>
        <v>0</v>
      </c>
    </row>
    <row r="132" spans="3:15" s="327" customFormat="1" ht="15.75" collapsed="1" thickBot="1" x14ac:dyDescent="0.25">
      <c r="D132" s="679" t="str">
        <f>"Total "&amp;D121</f>
        <v>Total Annualized Capital Expenditure (Economic)</v>
      </c>
      <c r="J132" s="624">
        <f t="shared" ref="J132:O132" si="14">SUM(J122:J131)</f>
        <v>55.688598354968086</v>
      </c>
      <c r="K132" s="624">
        <f t="shared" si="14"/>
        <v>55.688598354968086</v>
      </c>
      <c r="L132" s="624">
        <f t="shared" si="14"/>
        <v>55.688598354968086</v>
      </c>
      <c r="M132" s="624">
        <f t="shared" si="14"/>
        <v>55.688598354968086</v>
      </c>
      <c r="N132" s="624">
        <f t="shared" si="14"/>
        <v>55.688598354968086</v>
      </c>
      <c r="O132" s="624">
        <f t="shared" si="14"/>
        <v>55.688598354968086</v>
      </c>
    </row>
    <row r="133" spans="3:15" s="327" customFormat="1" ht="13.5" thickTop="1" x14ac:dyDescent="0.2"/>
    <row r="134" spans="3:15" s="327" customFormat="1" x14ac:dyDescent="0.2"/>
    <row r="135" spans="3:15" s="327" customFormat="1" ht="15.75" x14ac:dyDescent="0.2">
      <c r="C135" s="330" t="s">
        <v>1937</v>
      </c>
    </row>
    <row r="136" spans="3:15" s="327" customFormat="1" ht="15.75" thickBot="1" x14ac:dyDescent="0.25">
      <c r="D136" s="658" t="s">
        <v>1941</v>
      </c>
      <c r="J136" s="624">
        <f t="shared" ref="J136:O136" ca="1" si="15">J65+J106</f>
        <v>5372.1846649999989</v>
      </c>
      <c r="K136" s="624">
        <f t="shared" ca="1" si="15"/>
        <v>5372.1846649999989</v>
      </c>
      <c r="L136" s="624">
        <f t="shared" ca="1" si="15"/>
        <v>5372.1846649999989</v>
      </c>
      <c r="M136" s="624">
        <f t="shared" ca="1" si="15"/>
        <v>5372.1846649999989</v>
      </c>
      <c r="N136" s="624">
        <f t="shared" ca="1" si="15"/>
        <v>5372.1846649999989</v>
      </c>
      <c r="O136" s="624">
        <f t="shared" ca="1" si="15"/>
        <v>5372.1846649999989</v>
      </c>
    </row>
    <row r="137" spans="3:15" s="327" customFormat="1" ht="13.5" thickTop="1" x14ac:dyDescent="0.2"/>
    <row r="138" spans="3:15" s="327" customFormat="1" ht="15.75" thickBot="1" x14ac:dyDescent="0.25">
      <c r="D138" s="658" t="s">
        <v>1942</v>
      </c>
      <c r="J138" s="624">
        <f t="shared" ref="J138:O138" ca="1" si="16">J78+J132</f>
        <v>7201.4686724063167</v>
      </c>
      <c r="K138" s="624">
        <f t="shared" ca="1" si="16"/>
        <v>7201.4686724063167</v>
      </c>
      <c r="L138" s="624">
        <f t="shared" ca="1" si="16"/>
        <v>7201.4686724063167</v>
      </c>
      <c r="M138" s="624">
        <f t="shared" ca="1" si="16"/>
        <v>7201.4686724063167</v>
      </c>
      <c r="N138" s="624">
        <f t="shared" ca="1" si="16"/>
        <v>7201.4686724063167</v>
      </c>
      <c r="O138" s="624">
        <f t="shared" ca="1" si="16"/>
        <v>7201.4686724063167</v>
      </c>
    </row>
    <row r="139" spans="3:15" s="327" customFormat="1" ht="13.5" thickTop="1" x14ac:dyDescent="0.2"/>
    <row r="140" spans="3:15" s="327" customFormat="1" x14ac:dyDescent="0.2">
      <c r="C140" s="716" t="str">
        <f>"Go to "&amp;HL_Diag_Ass</f>
        <v>Go to Biopsy and Histopathology Assumptions</v>
      </c>
      <c r="D140" s="716"/>
      <c r="E140" s="716"/>
      <c r="F140" s="716"/>
      <c r="G140" s="716"/>
      <c r="H140" s="716"/>
      <c r="I140" s="716"/>
    </row>
    <row r="141" spans="3:15" s="327" customFormat="1" x14ac:dyDescent="0.2">
      <c r="C141" s="716" t="str">
        <f>"Go to "&amp;HL_Diag_Ann_Ass</f>
        <v>Go to Diagnostic Services - Annual Assumptions</v>
      </c>
      <c r="D141" s="716"/>
      <c r="E141" s="716"/>
      <c r="F141" s="716"/>
      <c r="G141" s="716"/>
      <c r="H141" s="716"/>
      <c r="I141" s="716"/>
    </row>
    <row r="142" spans="3:15" s="327" customFormat="1" x14ac:dyDescent="0.2">
      <c r="C142" s="716" t="str">
        <f>"Go to "&amp;HL_Diag_Out</f>
        <v>Go to BIOP-H - Outputs</v>
      </c>
      <c r="D142" s="716"/>
      <c r="E142" s="716"/>
      <c r="F142" s="716"/>
      <c r="G142" s="716"/>
      <c r="H142" s="716"/>
      <c r="I142" s="716"/>
    </row>
    <row r="143" spans="3:15" s="327" customFormat="1" x14ac:dyDescent="0.2">
      <c r="C143" s="716" t="str">
        <f>"Go to "&amp;HL_Diag_Out_Sum</f>
        <v>Go to BIOP-H - Summary</v>
      </c>
      <c r="D143" s="716"/>
      <c r="E143" s="716"/>
      <c r="F143" s="716"/>
      <c r="G143" s="716"/>
      <c r="H143" s="716"/>
      <c r="I143" s="716"/>
    </row>
  </sheetData>
  <sheetProtection password="F0F4" sheet="1" scenarios="1"/>
  <mergeCells count="5">
    <mergeCell ref="C142:I142"/>
    <mergeCell ref="C143:I143"/>
    <mergeCell ref="B3:F3"/>
    <mergeCell ref="C140:I140"/>
    <mergeCell ref="C141:I141"/>
  </mergeCells>
  <hyperlinks>
    <hyperlink ref="C140:I140" location="HL_Diag_Ass" tooltip="Click to follow hyperlink." display="HL_Diag_Ass"/>
    <hyperlink ref="C141:I141" location="HL_Diag_Ann_Ass" tooltip="Click to follow hyperlink." display="HL_Diag_Ann_Ass"/>
    <hyperlink ref="C142:I142" location="HL_Diag_Out" tooltip="Click to follow hyperlink." display="HL_Diag_Out"/>
    <hyperlink ref="C143:I143" location="HL_Diag_Out_Sum" tooltip="Click to follow hyperlink." display="HL_Diag_Out_Sum"/>
    <hyperlink ref="A4" location="$A$10" tooltip="Go to Top of Sheet" display="$A$10"/>
    <hyperlink ref="B4" location="HL_Sheet_Main_78" tooltip="Go to Previous Sheet" display="HL_Sheet_Main_78"/>
    <hyperlink ref="C4" location="HL_Sheet_Main_80" tooltip="Go to Next Sheet" display="HL_Sheet_Main_80"/>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06"/>
  <sheetViews>
    <sheetView showGridLines="0" zoomScaleNormal="100" workbookViewId="0">
      <pane ySplit="9" topLeftCell="A10" activePane="bottomLeft" state="frozen"/>
      <selection pane="bottomLeft" activeCell="F4" sqref="F4"/>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1952</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329" t="s">
        <v>1952</v>
      </c>
    </row>
    <row r="13" spans="1:15" s="327" customFormat="1" x14ac:dyDescent="0.2"/>
    <row r="14" spans="1:15" s="327" customFormat="1" ht="18.75" x14ac:dyDescent="0.2">
      <c r="B14" s="329" t="s">
        <v>1900</v>
      </c>
    </row>
    <row r="15" spans="1:15" s="327" customFormat="1" ht="15.75" x14ac:dyDescent="0.2">
      <c r="C15" s="330" t="s">
        <v>1894</v>
      </c>
    </row>
    <row r="16" spans="1:15" s="327" customFormat="1" ht="15.75" x14ac:dyDescent="0.2">
      <c r="C16" s="18" t="str">
        <f>Intv_Ann_TO!D191</f>
        <v>Total Active Facilities Offering Cryo -SV</v>
      </c>
    </row>
    <row r="17" spans="3:15" s="327" customFormat="1" hidden="1" outlineLevel="1" x14ac:dyDescent="0.2">
      <c r="C17" s="660" t="str">
        <f>Intv_Ann_TO!D192</f>
        <v>Central</v>
      </c>
      <c r="J17" s="5">
        <f>Intv_Ann_TO!J192</f>
        <v>2</v>
      </c>
      <c r="K17" s="5">
        <f>Intv_Ann_TO!K192</f>
        <v>2</v>
      </c>
      <c r="L17" s="5">
        <f>Intv_Ann_TO!L192</f>
        <v>2</v>
      </c>
      <c r="M17" s="5">
        <f>Intv_Ann_TO!M192</f>
        <v>2</v>
      </c>
      <c r="N17" s="5">
        <f>Intv_Ann_TO!N192</f>
        <v>2</v>
      </c>
      <c r="O17" s="5">
        <f>Intv_Ann_TO!O192</f>
        <v>2</v>
      </c>
    </row>
    <row r="18" spans="3:15" s="327" customFormat="1" hidden="1" outlineLevel="1" x14ac:dyDescent="0.2">
      <c r="C18" s="660" t="str">
        <f>Intv_Ann_TO!D193</f>
        <v>Copperbelt</v>
      </c>
      <c r="J18" s="5">
        <f>Intv_Ann_TO!J193</f>
        <v>3</v>
      </c>
      <c r="K18" s="5">
        <f>Intv_Ann_TO!K193</f>
        <v>3</v>
      </c>
      <c r="L18" s="5">
        <f>Intv_Ann_TO!L193</f>
        <v>3</v>
      </c>
      <c r="M18" s="5">
        <f>Intv_Ann_TO!M193</f>
        <v>3</v>
      </c>
      <c r="N18" s="5">
        <f>Intv_Ann_TO!N193</f>
        <v>3</v>
      </c>
      <c r="O18" s="5">
        <f>Intv_Ann_TO!O193</f>
        <v>3</v>
      </c>
    </row>
    <row r="19" spans="3:15" s="327" customFormat="1" hidden="1" outlineLevel="1" x14ac:dyDescent="0.2">
      <c r="C19" s="660" t="str">
        <f>Intv_Ann_TO!D194</f>
        <v>Eastern</v>
      </c>
      <c r="J19" s="5">
        <f>Intv_Ann_TO!J194</f>
        <v>4</v>
      </c>
      <c r="K19" s="5">
        <f>Intv_Ann_TO!K194</f>
        <v>4</v>
      </c>
      <c r="L19" s="5">
        <f>Intv_Ann_TO!L194</f>
        <v>4</v>
      </c>
      <c r="M19" s="5">
        <f>Intv_Ann_TO!M194</f>
        <v>4</v>
      </c>
      <c r="N19" s="5">
        <f>Intv_Ann_TO!N194</f>
        <v>4</v>
      </c>
      <c r="O19" s="5">
        <f>Intv_Ann_TO!O194</f>
        <v>4</v>
      </c>
    </row>
    <row r="20" spans="3:15" s="327" customFormat="1" hidden="1" outlineLevel="1" x14ac:dyDescent="0.2">
      <c r="C20" s="660" t="str">
        <f>Intv_Ann_TO!D195</f>
        <v>Luapula</v>
      </c>
      <c r="J20" s="5">
        <f>Intv_Ann_TO!J195</f>
        <v>2</v>
      </c>
      <c r="K20" s="5">
        <f>Intv_Ann_TO!K195</f>
        <v>2</v>
      </c>
      <c r="L20" s="5">
        <f>Intv_Ann_TO!L195</f>
        <v>2</v>
      </c>
      <c r="M20" s="5">
        <f>Intv_Ann_TO!M195</f>
        <v>2</v>
      </c>
      <c r="N20" s="5">
        <f>Intv_Ann_TO!N195</f>
        <v>2</v>
      </c>
      <c r="O20" s="5">
        <f>Intv_Ann_TO!O195</f>
        <v>2</v>
      </c>
    </row>
    <row r="21" spans="3:15" s="327" customFormat="1" hidden="1" outlineLevel="1" x14ac:dyDescent="0.2">
      <c r="C21" s="660" t="str">
        <f>Intv_Ann_TO!D196</f>
        <v>Lusaka</v>
      </c>
      <c r="J21" s="5">
        <f>Intv_Ann_TO!J196</f>
        <v>12</v>
      </c>
      <c r="K21" s="5">
        <f>Intv_Ann_TO!K196</f>
        <v>12</v>
      </c>
      <c r="L21" s="5">
        <f>Intv_Ann_TO!L196</f>
        <v>12</v>
      </c>
      <c r="M21" s="5">
        <f>Intv_Ann_TO!M196</f>
        <v>12</v>
      </c>
      <c r="N21" s="5">
        <f>Intv_Ann_TO!N196</f>
        <v>12</v>
      </c>
      <c r="O21" s="5">
        <f>Intv_Ann_TO!O196</f>
        <v>12</v>
      </c>
    </row>
    <row r="22" spans="3:15" s="327" customFormat="1" hidden="1" outlineLevel="1" x14ac:dyDescent="0.2">
      <c r="C22" s="660" t="str">
        <f>Intv_Ann_TO!D197</f>
        <v>Muchinga</v>
      </c>
      <c r="J22" s="5">
        <f>Intv_Ann_TO!J197</f>
        <v>0</v>
      </c>
      <c r="K22" s="5">
        <f>Intv_Ann_TO!K197</f>
        <v>0</v>
      </c>
      <c r="L22" s="5">
        <f>Intv_Ann_TO!L197</f>
        <v>0</v>
      </c>
      <c r="M22" s="5">
        <f>Intv_Ann_TO!M197</f>
        <v>0</v>
      </c>
      <c r="N22" s="5">
        <f>Intv_Ann_TO!N197</f>
        <v>0</v>
      </c>
      <c r="O22" s="5">
        <f>Intv_Ann_TO!O197</f>
        <v>0</v>
      </c>
    </row>
    <row r="23" spans="3:15" s="327" customFormat="1" hidden="1" outlineLevel="1" x14ac:dyDescent="0.2">
      <c r="C23" s="660" t="str">
        <f>Intv_Ann_TO!D198</f>
        <v>Northern</v>
      </c>
      <c r="J23" s="5">
        <f>Intv_Ann_TO!J198</f>
        <v>1</v>
      </c>
      <c r="K23" s="5">
        <f>Intv_Ann_TO!K198</f>
        <v>1</v>
      </c>
      <c r="L23" s="5">
        <f>Intv_Ann_TO!L198</f>
        <v>1</v>
      </c>
      <c r="M23" s="5">
        <f>Intv_Ann_TO!M198</f>
        <v>1</v>
      </c>
      <c r="N23" s="5">
        <f>Intv_Ann_TO!N198</f>
        <v>1</v>
      </c>
      <c r="O23" s="5">
        <f>Intv_Ann_TO!O198</f>
        <v>1</v>
      </c>
    </row>
    <row r="24" spans="3:15" s="327" customFormat="1" hidden="1" outlineLevel="1" x14ac:dyDescent="0.2">
      <c r="C24" s="660" t="str">
        <f>Intv_Ann_TO!D199</f>
        <v>North-Western</v>
      </c>
      <c r="J24" s="5">
        <f>Intv_Ann_TO!J199</f>
        <v>1</v>
      </c>
      <c r="K24" s="5">
        <f>Intv_Ann_TO!K199</f>
        <v>1</v>
      </c>
      <c r="L24" s="5">
        <f>Intv_Ann_TO!L199</f>
        <v>1</v>
      </c>
      <c r="M24" s="5">
        <f>Intv_Ann_TO!M199</f>
        <v>1</v>
      </c>
      <c r="N24" s="5">
        <f>Intv_Ann_TO!N199</f>
        <v>1</v>
      </c>
      <c r="O24" s="5">
        <f>Intv_Ann_TO!O199</f>
        <v>1</v>
      </c>
    </row>
    <row r="25" spans="3:15" s="327" customFormat="1" hidden="1" outlineLevel="1" x14ac:dyDescent="0.2">
      <c r="C25" s="660" t="str">
        <f>Intv_Ann_TO!D200</f>
        <v>Southern</v>
      </c>
      <c r="J25" s="5">
        <f>Intv_Ann_TO!J200</f>
        <v>3</v>
      </c>
      <c r="K25" s="5">
        <f>Intv_Ann_TO!K200</f>
        <v>3</v>
      </c>
      <c r="L25" s="5">
        <f>Intv_Ann_TO!L200</f>
        <v>3</v>
      </c>
      <c r="M25" s="5">
        <f>Intv_Ann_TO!M200</f>
        <v>3</v>
      </c>
      <c r="N25" s="5">
        <f>Intv_Ann_TO!N200</f>
        <v>3</v>
      </c>
      <c r="O25" s="5">
        <f>Intv_Ann_TO!O200</f>
        <v>3</v>
      </c>
    </row>
    <row r="26" spans="3:15" s="327" customFormat="1" hidden="1" outlineLevel="1" x14ac:dyDescent="0.2">
      <c r="C26" s="660" t="str">
        <f>Intv_Ann_TO!D201</f>
        <v>Western</v>
      </c>
      <c r="J26" s="5">
        <f>Intv_Ann_TO!J201</f>
        <v>3</v>
      </c>
      <c r="K26" s="5">
        <f>Intv_Ann_TO!K201</f>
        <v>3</v>
      </c>
      <c r="L26" s="5">
        <f>Intv_Ann_TO!L201</f>
        <v>3</v>
      </c>
      <c r="M26" s="5">
        <f>Intv_Ann_TO!M201</f>
        <v>3</v>
      </c>
      <c r="N26" s="5">
        <f>Intv_Ann_TO!N201</f>
        <v>3</v>
      </c>
      <c r="O26" s="5">
        <f>Intv_Ann_TO!O201</f>
        <v>3</v>
      </c>
    </row>
    <row r="27" spans="3:15" s="327" customFormat="1" ht="15.75" collapsed="1" thickBot="1" x14ac:dyDescent="0.25">
      <c r="C27" s="646" t="str">
        <f>C16</f>
        <v>Total Active Facilities Offering Cryo -SV</v>
      </c>
      <c r="J27" s="650">
        <f t="shared" ref="J27:O27" si="4">SUM(J17:J26)</f>
        <v>31</v>
      </c>
      <c r="K27" s="650">
        <f t="shared" si="4"/>
        <v>31</v>
      </c>
      <c r="L27" s="650">
        <f t="shared" si="4"/>
        <v>31</v>
      </c>
      <c r="M27" s="650">
        <f t="shared" si="4"/>
        <v>31</v>
      </c>
      <c r="N27" s="650">
        <f t="shared" si="4"/>
        <v>31</v>
      </c>
      <c r="O27" s="650">
        <f t="shared" si="4"/>
        <v>31</v>
      </c>
    </row>
    <row r="28" spans="3:15" s="327" customFormat="1" ht="13.5" thickTop="1" x14ac:dyDescent="0.2"/>
    <row r="29" spans="3:15" s="327" customFormat="1" ht="15.75" x14ac:dyDescent="0.2">
      <c r="C29" s="330" t="s">
        <v>102</v>
      </c>
    </row>
    <row r="30" spans="3:15" s="327" customFormat="1" ht="15.75" x14ac:dyDescent="0.2">
      <c r="C30" s="18" t="str">
        <f>Intv_Ann_TO!D219</f>
        <v>Maximum Procedures</v>
      </c>
    </row>
    <row r="31" spans="3:15" s="327" customFormat="1" hidden="1" outlineLevel="1" x14ac:dyDescent="0.2">
      <c r="C31" s="660" t="str">
        <f>Intv_Ann_TO!D220</f>
        <v>Central</v>
      </c>
      <c r="J31" s="5">
        <f>Intv_Ann_TO!J220</f>
        <v>2956</v>
      </c>
      <c r="K31" s="5">
        <f>Intv_Ann_TO!K220</f>
        <v>2956</v>
      </c>
      <c r="L31" s="5">
        <f>Intv_Ann_TO!L220</f>
        <v>2956</v>
      </c>
      <c r="M31" s="5">
        <f>Intv_Ann_TO!M220</f>
        <v>2956</v>
      </c>
      <c r="N31" s="5">
        <f>Intv_Ann_TO!N220</f>
        <v>2956</v>
      </c>
      <c r="O31" s="5">
        <f>Intv_Ann_TO!O220</f>
        <v>2956</v>
      </c>
    </row>
    <row r="32" spans="3:15" s="327" customFormat="1" hidden="1" outlineLevel="1" x14ac:dyDescent="0.2">
      <c r="C32" s="660" t="str">
        <f>Intv_Ann_TO!D221</f>
        <v>Copperbelt</v>
      </c>
      <c r="J32" s="5">
        <f>Intv_Ann_TO!J221</f>
        <v>4434</v>
      </c>
      <c r="K32" s="5">
        <f>Intv_Ann_TO!K221</f>
        <v>4434</v>
      </c>
      <c r="L32" s="5">
        <f>Intv_Ann_TO!L221</f>
        <v>4434</v>
      </c>
      <c r="M32" s="5">
        <f>Intv_Ann_TO!M221</f>
        <v>4434</v>
      </c>
      <c r="N32" s="5">
        <f>Intv_Ann_TO!N221</f>
        <v>4434</v>
      </c>
      <c r="O32" s="5">
        <f>Intv_Ann_TO!O221</f>
        <v>4434</v>
      </c>
    </row>
    <row r="33" spans="1:15" s="327" customFormat="1" hidden="1" outlineLevel="1" x14ac:dyDescent="0.2">
      <c r="C33" s="660" t="str">
        <f>Intv_Ann_TO!D222</f>
        <v>Eastern</v>
      </c>
      <c r="J33" s="5">
        <f>Intv_Ann_TO!J222</f>
        <v>5912</v>
      </c>
      <c r="K33" s="5">
        <f>Intv_Ann_TO!K222</f>
        <v>5912</v>
      </c>
      <c r="L33" s="5">
        <f>Intv_Ann_TO!L222</f>
        <v>5912</v>
      </c>
      <c r="M33" s="5">
        <f>Intv_Ann_TO!M222</f>
        <v>5912</v>
      </c>
      <c r="N33" s="5">
        <f>Intv_Ann_TO!N222</f>
        <v>5912</v>
      </c>
      <c r="O33" s="5">
        <f>Intv_Ann_TO!O222</f>
        <v>5912</v>
      </c>
    </row>
    <row r="34" spans="1:15" s="327" customFormat="1" hidden="1" outlineLevel="1" x14ac:dyDescent="0.2">
      <c r="C34" s="660" t="str">
        <f>Intv_Ann_TO!D223</f>
        <v>Luapula</v>
      </c>
      <c r="J34" s="5">
        <f>Intv_Ann_TO!J223</f>
        <v>2956</v>
      </c>
      <c r="K34" s="5">
        <f>Intv_Ann_TO!K223</f>
        <v>2956</v>
      </c>
      <c r="L34" s="5">
        <f>Intv_Ann_TO!L223</f>
        <v>2956</v>
      </c>
      <c r="M34" s="5">
        <f>Intv_Ann_TO!M223</f>
        <v>2956</v>
      </c>
      <c r="N34" s="5">
        <f>Intv_Ann_TO!N223</f>
        <v>2956</v>
      </c>
      <c r="O34" s="5">
        <f>Intv_Ann_TO!O223</f>
        <v>2956</v>
      </c>
    </row>
    <row r="35" spans="1:15" s="327" customFormat="1" hidden="1" outlineLevel="1" x14ac:dyDescent="0.2">
      <c r="C35" s="660" t="str">
        <f>Intv_Ann_TO!D224</f>
        <v>Lusaka</v>
      </c>
      <c r="J35" s="5">
        <f>Intv_Ann_TO!J224</f>
        <v>17735</v>
      </c>
      <c r="K35" s="5">
        <f>Intv_Ann_TO!K224</f>
        <v>17735</v>
      </c>
      <c r="L35" s="5">
        <f>Intv_Ann_TO!L224</f>
        <v>17735</v>
      </c>
      <c r="M35" s="5">
        <f>Intv_Ann_TO!M224</f>
        <v>17735</v>
      </c>
      <c r="N35" s="5">
        <f>Intv_Ann_TO!N224</f>
        <v>17735</v>
      </c>
      <c r="O35" s="5">
        <f>Intv_Ann_TO!O224</f>
        <v>17735</v>
      </c>
    </row>
    <row r="36" spans="1:15" s="327" customFormat="1" hidden="1" outlineLevel="1" x14ac:dyDescent="0.2">
      <c r="C36" s="660" t="str">
        <f>Intv_Ann_TO!D225</f>
        <v>Muchinga</v>
      </c>
      <c r="J36" s="5">
        <f>Intv_Ann_TO!J225</f>
        <v>0</v>
      </c>
      <c r="K36" s="5">
        <f>Intv_Ann_TO!K225</f>
        <v>0</v>
      </c>
      <c r="L36" s="5">
        <f>Intv_Ann_TO!L225</f>
        <v>0</v>
      </c>
      <c r="M36" s="5">
        <f>Intv_Ann_TO!M225</f>
        <v>0</v>
      </c>
      <c r="N36" s="5">
        <f>Intv_Ann_TO!N225</f>
        <v>0</v>
      </c>
      <c r="O36" s="5">
        <f>Intv_Ann_TO!O225</f>
        <v>0</v>
      </c>
    </row>
    <row r="37" spans="1:15" s="327" customFormat="1" hidden="1" outlineLevel="1" x14ac:dyDescent="0.2">
      <c r="C37" s="660" t="str">
        <f>Intv_Ann_TO!D226</f>
        <v>Northern</v>
      </c>
      <c r="J37" s="5">
        <f>Intv_Ann_TO!J226</f>
        <v>1478</v>
      </c>
      <c r="K37" s="5">
        <f>Intv_Ann_TO!K226</f>
        <v>1478</v>
      </c>
      <c r="L37" s="5">
        <f>Intv_Ann_TO!L226</f>
        <v>1478</v>
      </c>
      <c r="M37" s="5">
        <f>Intv_Ann_TO!M226</f>
        <v>1478</v>
      </c>
      <c r="N37" s="5">
        <f>Intv_Ann_TO!N226</f>
        <v>1478</v>
      </c>
      <c r="O37" s="5">
        <f>Intv_Ann_TO!O226</f>
        <v>1478</v>
      </c>
    </row>
    <row r="38" spans="1:15" s="327" customFormat="1" hidden="1" outlineLevel="1" x14ac:dyDescent="0.2">
      <c r="C38" s="660" t="str">
        <f>Intv_Ann_TO!D227</f>
        <v>North-Western</v>
      </c>
      <c r="J38" s="5">
        <f>Intv_Ann_TO!J227</f>
        <v>1478</v>
      </c>
      <c r="K38" s="5">
        <f>Intv_Ann_TO!K227</f>
        <v>1478</v>
      </c>
      <c r="L38" s="5">
        <f>Intv_Ann_TO!L227</f>
        <v>1478</v>
      </c>
      <c r="M38" s="5">
        <f>Intv_Ann_TO!M227</f>
        <v>1478</v>
      </c>
      <c r="N38" s="5">
        <f>Intv_Ann_TO!N227</f>
        <v>1478</v>
      </c>
      <c r="O38" s="5">
        <f>Intv_Ann_TO!O227</f>
        <v>1478</v>
      </c>
    </row>
    <row r="39" spans="1:15" s="327" customFormat="1" hidden="1" outlineLevel="1" x14ac:dyDescent="0.2">
      <c r="C39" s="660" t="str">
        <f>Intv_Ann_TO!D228</f>
        <v>Southern</v>
      </c>
      <c r="J39" s="5">
        <f>Intv_Ann_TO!J228</f>
        <v>4434</v>
      </c>
      <c r="K39" s="5">
        <f>Intv_Ann_TO!K228</f>
        <v>4434</v>
      </c>
      <c r="L39" s="5">
        <f>Intv_Ann_TO!L228</f>
        <v>4434</v>
      </c>
      <c r="M39" s="5">
        <f>Intv_Ann_TO!M228</f>
        <v>4434</v>
      </c>
      <c r="N39" s="5">
        <f>Intv_Ann_TO!N228</f>
        <v>4434</v>
      </c>
      <c r="O39" s="5">
        <f>Intv_Ann_TO!O228</f>
        <v>4434</v>
      </c>
    </row>
    <row r="40" spans="1:15" s="327" customFormat="1" hidden="1" outlineLevel="1" x14ac:dyDescent="0.2">
      <c r="C40" s="660" t="str">
        <f>Intv_Ann_TO!D229</f>
        <v>Western</v>
      </c>
      <c r="J40" s="5">
        <f>Intv_Ann_TO!J229</f>
        <v>4434</v>
      </c>
      <c r="K40" s="5">
        <f>Intv_Ann_TO!K229</f>
        <v>4434</v>
      </c>
      <c r="L40" s="5">
        <f>Intv_Ann_TO!L229</f>
        <v>4434</v>
      </c>
      <c r="M40" s="5">
        <f>Intv_Ann_TO!M229</f>
        <v>4434</v>
      </c>
      <c r="N40" s="5">
        <f>Intv_Ann_TO!N229</f>
        <v>4434</v>
      </c>
      <c r="O40" s="5">
        <f>Intv_Ann_TO!O229</f>
        <v>4434</v>
      </c>
    </row>
    <row r="41" spans="1:15" s="327" customFormat="1" ht="15.75" collapsed="1" thickBot="1" x14ac:dyDescent="0.25">
      <c r="C41" s="679" t="str">
        <f>"Total "&amp;C30</f>
        <v>Total Maximum Procedures</v>
      </c>
      <c r="J41" s="624">
        <f t="shared" ref="J41:O41" si="5">SUM(J31:J40)</f>
        <v>45817</v>
      </c>
      <c r="K41" s="624">
        <f t="shared" si="5"/>
        <v>45817</v>
      </c>
      <c r="L41" s="624">
        <f t="shared" si="5"/>
        <v>45817</v>
      </c>
      <c r="M41" s="624">
        <f t="shared" si="5"/>
        <v>45817</v>
      </c>
      <c r="N41" s="624">
        <f t="shared" si="5"/>
        <v>45817</v>
      </c>
      <c r="O41" s="624">
        <f t="shared" si="5"/>
        <v>45817</v>
      </c>
    </row>
    <row r="42" spans="1:15" s="327" customFormat="1" ht="13.5" thickTop="1" x14ac:dyDescent="0.2"/>
    <row r="43" spans="1:15" s="327" customFormat="1" ht="15" x14ac:dyDescent="0.2">
      <c r="A43" s="658" t="s">
        <v>1899</v>
      </c>
      <c r="I43" s="649" t="str">
        <f>IF(Intv_Ann_TA!H182,"YES!","NO.")</f>
        <v>YES!</v>
      </c>
    </row>
    <row r="44" spans="1:15" s="327" customFormat="1" x14ac:dyDescent="0.2"/>
    <row r="45" spans="1:15" s="327" customFormat="1" ht="18.75" x14ac:dyDescent="0.2">
      <c r="B45" s="329" t="s">
        <v>1898</v>
      </c>
    </row>
    <row r="46" spans="1:15" s="327" customFormat="1" ht="15.75" x14ac:dyDescent="0.2">
      <c r="C46" s="330" t="s">
        <v>1970</v>
      </c>
    </row>
    <row r="47" spans="1:15" s="327" customFormat="1" hidden="1" outlineLevel="1" x14ac:dyDescent="0.2">
      <c r="C47" s="660" t="str">
        <f>Intv_Ann_TA!D185</f>
        <v>Central</v>
      </c>
      <c r="J47" s="5">
        <f ca="1">Intv_Ann_TA!J185*Intv_BA!$J$12</f>
        <v>613.52800000000002</v>
      </c>
      <c r="K47" s="5">
        <f ca="1">Intv_Ann_TA!K185*Intv_BA!$J$12</f>
        <v>613.52800000000002</v>
      </c>
      <c r="L47" s="5">
        <f ca="1">Intv_Ann_TA!L185*Intv_BA!$J$12</f>
        <v>613.52800000000002</v>
      </c>
      <c r="M47" s="5">
        <f ca="1">Intv_Ann_TA!M185*Intv_BA!$J$12</f>
        <v>613.52800000000002</v>
      </c>
      <c r="N47" s="5">
        <f ca="1">Intv_Ann_TA!N185*Intv_BA!$J$12</f>
        <v>613.52800000000002</v>
      </c>
      <c r="O47" s="5">
        <f ca="1">Intv_Ann_TA!O185*Intv_BA!$J$12</f>
        <v>613.52800000000002</v>
      </c>
    </row>
    <row r="48" spans="1:15" s="327" customFormat="1" hidden="1" outlineLevel="1" x14ac:dyDescent="0.2">
      <c r="C48" s="660" t="str">
        <f>Intv_Ann_TA!D186</f>
        <v>Copperbelt</v>
      </c>
      <c r="J48" s="5">
        <f ca="1">Intv_Ann_TA!J186*Intv_BA!$J$12</f>
        <v>861.56799999999998</v>
      </c>
      <c r="K48" s="5">
        <f ca="1">Intv_Ann_TA!K186*Intv_BA!$J$12</f>
        <v>861.56799999999998</v>
      </c>
      <c r="L48" s="5">
        <f ca="1">Intv_Ann_TA!L186*Intv_BA!$J$12</f>
        <v>861.56799999999998</v>
      </c>
      <c r="M48" s="5">
        <f ca="1">Intv_Ann_TA!M186*Intv_BA!$J$12</f>
        <v>861.56799999999998</v>
      </c>
      <c r="N48" s="5">
        <f ca="1">Intv_Ann_TA!N186*Intv_BA!$J$12</f>
        <v>861.56799999999998</v>
      </c>
      <c r="O48" s="5">
        <f ca="1">Intv_Ann_TA!O186*Intv_BA!$J$12</f>
        <v>861.56799999999998</v>
      </c>
    </row>
    <row r="49" spans="2:15" s="327" customFormat="1" hidden="1" outlineLevel="1" x14ac:dyDescent="0.2">
      <c r="C49" s="660" t="str">
        <f>Intv_Ann_TA!D187</f>
        <v>Eastern</v>
      </c>
      <c r="J49" s="5">
        <f ca="1">Intv_Ann_TA!J187*Intv_BA!$J$12</f>
        <v>1109.6079999999999</v>
      </c>
      <c r="K49" s="5">
        <f ca="1">Intv_Ann_TA!K187*Intv_BA!$J$12</f>
        <v>1109.6079999999999</v>
      </c>
      <c r="L49" s="5">
        <f ca="1">Intv_Ann_TA!L187*Intv_BA!$J$12</f>
        <v>1109.6079999999999</v>
      </c>
      <c r="M49" s="5">
        <f ca="1">Intv_Ann_TA!M187*Intv_BA!$J$12</f>
        <v>1109.6079999999999</v>
      </c>
      <c r="N49" s="5">
        <f ca="1">Intv_Ann_TA!N187*Intv_BA!$J$12</f>
        <v>1109.6079999999999</v>
      </c>
      <c r="O49" s="5">
        <f ca="1">Intv_Ann_TA!O187*Intv_BA!$J$12</f>
        <v>1109.6079999999999</v>
      </c>
    </row>
    <row r="50" spans="2:15" s="327" customFormat="1" hidden="1" outlineLevel="1" x14ac:dyDescent="0.2">
      <c r="C50" s="660" t="str">
        <f>Intv_Ann_TA!D188</f>
        <v>Luapula</v>
      </c>
      <c r="J50" s="5">
        <f ca="1">Intv_Ann_TA!J188*Intv_BA!$J$12</f>
        <v>861.56799999999998</v>
      </c>
      <c r="K50" s="5">
        <f ca="1">Intv_Ann_TA!K188*Intv_BA!$J$12</f>
        <v>861.56799999999998</v>
      </c>
      <c r="L50" s="5">
        <f ca="1">Intv_Ann_TA!L188*Intv_BA!$J$12</f>
        <v>861.56799999999998</v>
      </c>
      <c r="M50" s="5">
        <f ca="1">Intv_Ann_TA!M188*Intv_BA!$J$12</f>
        <v>861.56799999999998</v>
      </c>
      <c r="N50" s="5">
        <f ca="1">Intv_Ann_TA!N188*Intv_BA!$J$12</f>
        <v>861.56799999999998</v>
      </c>
      <c r="O50" s="5">
        <f ca="1">Intv_Ann_TA!O188*Intv_BA!$J$12</f>
        <v>861.56799999999998</v>
      </c>
    </row>
    <row r="51" spans="2:15" s="327" customFormat="1" hidden="1" outlineLevel="1" x14ac:dyDescent="0.2">
      <c r="C51" s="660" t="str">
        <f>Intv_Ann_TA!D189</f>
        <v>Lusaka</v>
      </c>
      <c r="J51" s="5">
        <f ca="1">Intv_Ann_TA!J189*Intv_BA!$J$12</f>
        <v>3093.9279999999999</v>
      </c>
      <c r="K51" s="5">
        <f ca="1">Intv_Ann_TA!K189*Intv_BA!$J$12</f>
        <v>3093.9279999999999</v>
      </c>
      <c r="L51" s="5">
        <f ca="1">Intv_Ann_TA!L189*Intv_BA!$J$12</f>
        <v>3093.9279999999999</v>
      </c>
      <c r="M51" s="5">
        <f ca="1">Intv_Ann_TA!M189*Intv_BA!$J$12</f>
        <v>3093.9279999999999</v>
      </c>
      <c r="N51" s="5">
        <f ca="1">Intv_Ann_TA!N189*Intv_BA!$J$12</f>
        <v>3093.9279999999999</v>
      </c>
      <c r="O51" s="5">
        <f ca="1">Intv_Ann_TA!O189*Intv_BA!$J$12</f>
        <v>3093.9279999999999</v>
      </c>
    </row>
    <row r="52" spans="2:15" s="327" customFormat="1" hidden="1" outlineLevel="1" x14ac:dyDescent="0.2">
      <c r="C52" s="660" t="str">
        <f>Intv_Ann_TA!D190</f>
        <v>Muchinga</v>
      </c>
      <c r="J52" s="5">
        <f ca="1">Intv_Ann_TA!J190*Intv_BA!$J$12</f>
        <v>58.723999999999997</v>
      </c>
      <c r="K52" s="5">
        <f ca="1">Intv_Ann_TA!K190*Intv_BA!$J$12</f>
        <v>58.723999999999997</v>
      </c>
      <c r="L52" s="5">
        <f ca="1">Intv_Ann_TA!L190*Intv_BA!$J$12</f>
        <v>58.723999999999997</v>
      </c>
      <c r="M52" s="5">
        <f ca="1">Intv_Ann_TA!M190*Intv_BA!$J$12</f>
        <v>58.723999999999997</v>
      </c>
      <c r="N52" s="5">
        <f ca="1">Intv_Ann_TA!N190*Intv_BA!$J$12</f>
        <v>58.723999999999997</v>
      </c>
      <c r="O52" s="5">
        <f ca="1">Intv_Ann_TA!O190*Intv_BA!$J$12</f>
        <v>58.723999999999997</v>
      </c>
    </row>
    <row r="53" spans="2:15" s="327" customFormat="1" hidden="1" outlineLevel="1" x14ac:dyDescent="0.2">
      <c r="C53" s="660" t="str">
        <f>Intv_Ann_TA!D191</f>
        <v>Northern</v>
      </c>
      <c r="J53" s="5">
        <f ca="1">Intv_Ann_TA!J191*Intv_BA!$J$12</f>
        <v>306.76400000000001</v>
      </c>
      <c r="K53" s="5">
        <f ca="1">Intv_Ann_TA!K191*Intv_BA!$J$12</f>
        <v>306.76400000000001</v>
      </c>
      <c r="L53" s="5">
        <f ca="1">Intv_Ann_TA!L191*Intv_BA!$J$12</f>
        <v>306.76400000000001</v>
      </c>
      <c r="M53" s="5">
        <f ca="1">Intv_Ann_TA!M191*Intv_BA!$J$12</f>
        <v>306.76400000000001</v>
      </c>
      <c r="N53" s="5">
        <f ca="1">Intv_Ann_TA!N191*Intv_BA!$J$12</f>
        <v>306.76400000000001</v>
      </c>
      <c r="O53" s="5">
        <f ca="1">Intv_Ann_TA!O191*Intv_BA!$J$12</f>
        <v>306.76400000000001</v>
      </c>
    </row>
    <row r="54" spans="2:15" s="327" customFormat="1" hidden="1" outlineLevel="1" x14ac:dyDescent="0.2">
      <c r="C54" s="660" t="str">
        <f>Intv_Ann_TA!D192</f>
        <v>North-Western</v>
      </c>
      <c r="J54" s="5">
        <f ca="1">Intv_Ann_TA!J192*Intv_BA!$J$12</f>
        <v>365.488</v>
      </c>
      <c r="K54" s="5">
        <f ca="1">Intv_Ann_TA!K192*Intv_BA!$J$12</f>
        <v>365.488</v>
      </c>
      <c r="L54" s="5">
        <f ca="1">Intv_Ann_TA!L192*Intv_BA!$J$12</f>
        <v>365.488</v>
      </c>
      <c r="M54" s="5">
        <f ca="1">Intv_Ann_TA!M192*Intv_BA!$J$12</f>
        <v>365.488</v>
      </c>
      <c r="N54" s="5">
        <f ca="1">Intv_Ann_TA!N192*Intv_BA!$J$12</f>
        <v>365.488</v>
      </c>
      <c r="O54" s="5">
        <f ca="1">Intv_Ann_TA!O192*Intv_BA!$J$12</f>
        <v>365.488</v>
      </c>
    </row>
    <row r="55" spans="2:15" s="327" customFormat="1" hidden="1" outlineLevel="1" x14ac:dyDescent="0.2">
      <c r="C55" s="660" t="str">
        <f>Intv_Ann_TA!D193</f>
        <v>Southern</v>
      </c>
      <c r="J55" s="5">
        <f ca="1">Intv_Ann_TA!J193*Intv_BA!$J$12</f>
        <v>861.56799999999998</v>
      </c>
      <c r="K55" s="5">
        <f ca="1">Intv_Ann_TA!K193*Intv_BA!$J$12</f>
        <v>861.56799999999998</v>
      </c>
      <c r="L55" s="5">
        <f ca="1">Intv_Ann_TA!L193*Intv_BA!$J$12</f>
        <v>861.56799999999998</v>
      </c>
      <c r="M55" s="5">
        <f ca="1">Intv_Ann_TA!M193*Intv_BA!$J$12</f>
        <v>861.56799999999998</v>
      </c>
      <c r="N55" s="5">
        <f ca="1">Intv_Ann_TA!N193*Intv_BA!$J$12</f>
        <v>861.56799999999998</v>
      </c>
      <c r="O55" s="5">
        <f ca="1">Intv_Ann_TA!O193*Intv_BA!$J$12</f>
        <v>861.56799999999998</v>
      </c>
    </row>
    <row r="56" spans="2:15" s="327" customFormat="1" hidden="1" outlineLevel="1" x14ac:dyDescent="0.2">
      <c r="C56" s="660" t="str">
        <f>Intv_Ann_TA!D194</f>
        <v>Western</v>
      </c>
      <c r="J56" s="5">
        <f ca="1">Intv_Ann_TA!J194*Intv_BA!$J$12</f>
        <v>861.56799999999998</v>
      </c>
      <c r="K56" s="5">
        <f ca="1">Intv_Ann_TA!K194*Intv_BA!$J$12</f>
        <v>861.56799999999998</v>
      </c>
      <c r="L56" s="5">
        <f ca="1">Intv_Ann_TA!L194*Intv_BA!$J$12</f>
        <v>861.56799999999998</v>
      </c>
      <c r="M56" s="5">
        <f ca="1">Intv_Ann_TA!M194*Intv_BA!$J$12</f>
        <v>861.56799999999998</v>
      </c>
      <c r="N56" s="5">
        <f ca="1">Intv_Ann_TA!N194*Intv_BA!$J$12</f>
        <v>861.56799999999998</v>
      </c>
      <c r="O56" s="5">
        <f ca="1">Intv_Ann_TA!O194*Intv_BA!$J$12</f>
        <v>861.56799999999998</v>
      </c>
    </row>
    <row r="57" spans="2:15" s="327" customFormat="1" ht="15.75" collapsed="1" thickBot="1" x14ac:dyDescent="0.25">
      <c r="C57" s="679" t="str">
        <f>"Total "&amp;C46</f>
        <v>Total Screened Patients Referred for Procedure</v>
      </c>
      <c r="J57" s="624">
        <f t="shared" ref="J57:O57" ca="1" si="6">SUM(J47:J56)</f>
        <v>8994.3119999999999</v>
      </c>
      <c r="K57" s="624">
        <f t="shared" ca="1" si="6"/>
        <v>8994.3119999999999</v>
      </c>
      <c r="L57" s="624">
        <f t="shared" ca="1" si="6"/>
        <v>8994.3119999999999</v>
      </c>
      <c r="M57" s="624">
        <f t="shared" ca="1" si="6"/>
        <v>8994.3119999999999</v>
      </c>
      <c r="N57" s="624">
        <f t="shared" ca="1" si="6"/>
        <v>8994.3119999999999</v>
      </c>
      <c r="O57" s="624">
        <f t="shared" ca="1" si="6"/>
        <v>8994.3119999999999</v>
      </c>
    </row>
    <row r="58" spans="2:15" s="327" customFormat="1" ht="13.5" thickTop="1" x14ac:dyDescent="0.2"/>
    <row r="59" spans="2:15" s="327" customFormat="1" ht="18.75" x14ac:dyDescent="0.2">
      <c r="B59" s="329" t="s">
        <v>1895</v>
      </c>
    </row>
    <row r="60" spans="2:15" s="327" customFormat="1" ht="15.75" x14ac:dyDescent="0.2">
      <c r="C60" s="18" t="str">
        <f>Intv_Ann_TO!D233</f>
        <v>Population Seeking Service (New)</v>
      </c>
    </row>
    <row r="61" spans="2:15" s="327" customFormat="1" hidden="1" outlineLevel="1" x14ac:dyDescent="0.2">
      <c r="C61" s="660" t="str">
        <f>Intv_Ann_TO!D234</f>
        <v>Central</v>
      </c>
      <c r="J61" s="5">
        <f ca="1">Intv_Ann_TO!J234</f>
        <v>583</v>
      </c>
      <c r="K61" s="5">
        <f ca="1">Intv_Ann_TO!K234</f>
        <v>583</v>
      </c>
      <c r="L61" s="5">
        <f ca="1">Intv_Ann_TO!L234</f>
        <v>583</v>
      </c>
      <c r="M61" s="5">
        <f ca="1">Intv_Ann_TO!M234</f>
        <v>583</v>
      </c>
      <c r="N61" s="5">
        <f ca="1">Intv_Ann_TO!N234</f>
        <v>583</v>
      </c>
      <c r="O61" s="5">
        <f ca="1">Intv_Ann_TO!O234</f>
        <v>583</v>
      </c>
    </row>
    <row r="62" spans="2:15" s="327" customFormat="1" hidden="1" outlineLevel="1" x14ac:dyDescent="0.2">
      <c r="C62" s="660" t="str">
        <f>Intv_Ann_TO!D235</f>
        <v>Copperbelt</v>
      </c>
      <c r="J62" s="5">
        <f ca="1">Intv_Ann_TO!J235</f>
        <v>818</v>
      </c>
      <c r="K62" s="5">
        <f ca="1">Intv_Ann_TO!K235</f>
        <v>818</v>
      </c>
      <c r="L62" s="5">
        <f ca="1">Intv_Ann_TO!L235</f>
        <v>818</v>
      </c>
      <c r="M62" s="5">
        <f ca="1">Intv_Ann_TO!M235</f>
        <v>818</v>
      </c>
      <c r="N62" s="5">
        <f ca="1">Intv_Ann_TO!N235</f>
        <v>818</v>
      </c>
      <c r="O62" s="5">
        <f ca="1">Intv_Ann_TO!O235</f>
        <v>818</v>
      </c>
    </row>
    <row r="63" spans="2:15" s="327" customFormat="1" hidden="1" outlineLevel="1" x14ac:dyDescent="0.2">
      <c r="C63" s="660" t="str">
        <f>Intv_Ann_TO!D236</f>
        <v>Eastern</v>
      </c>
      <c r="J63" s="5">
        <f ca="1">Intv_Ann_TO!J236</f>
        <v>1054</v>
      </c>
      <c r="K63" s="5">
        <f ca="1">Intv_Ann_TO!K236</f>
        <v>1054</v>
      </c>
      <c r="L63" s="5">
        <f ca="1">Intv_Ann_TO!L236</f>
        <v>1054</v>
      </c>
      <c r="M63" s="5">
        <f ca="1">Intv_Ann_TO!M236</f>
        <v>1054</v>
      </c>
      <c r="N63" s="5">
        <f ca="1">Intv_Ann_TO!N236</f>
        <v>1054</v>
      </c>
      <c r="O63" s="5">
        <f ca="1">Intv_Ann_TO!O236</f>
        <v>1054</v>
      </c>
    </row>
    <row r="64" spans="2:15" s="327" customFormat="1" hidden="1" outlineLevel="1" x14ac:dyDescent="0.2">
      <c r="C64" s="660" t="str">
        <f>Intv_Ann_TO!D237</f>
        <v>Luapula</v>
      </c>
      <c r="J64" s="5">
        <f ca="1">Intv_Ann_TO!J237</f>
        <v>818</v>
      </c>
      <c r="K64" s="5">
        <f ca="1">Intv_Ann_TO!K237</f>
        <v>818</v>
      </c>
      <c r="L64" s="5">
        <f ca="1">Intv_Ann_TO!L237</f>
        <v>818</v>
      </c>
      <c r="M64" s="5">
        <f ca="1">Intv_Ann_TO!M237</f>
        <v>818</v>
      </c>
      <c r="N64" s="5">
        <f ca="1">Intv_Ann_TO!N237</f>
        <v>818</v>
      </c>
      <c r="O64" s="5">
        <f ca="1">Intv_Ann_TO!O237</f>
        <v>818</v>
      </c>
    </row>
    <row r="65" spans="2:15" s="327" customFormat="1" hidden="1" outlineLevel="1" x14ac:dyDescent="0.2">
      <c r="C65" s="660" t="str">
        <f>Intv_Ann_TO!D238</f>
        <v>Lusaka</v>
      </c>
      <c r="J65" s="5">
        <f ca="1">Intv_Ann_TO!J238</f>
        <v>2939</v>
      </c>
      <c r="K65" s="5">
        <f ca="1">Intv_Ann_TO!K238</f>
        <v>2939</v>
      </c>
      <c r="L65" s="5">
        <f ca="1">Intv_Ann_TO!L238</f>
        <v>2939</v>
      </c>
      <c r="M65" s="5">
        <f ca="1">Intv_Ann_TO!M238</f>
        <v>2939</v>
      </c>
      <c r="N65" s="5">
        <f ca="1">Intv_Ann_TO!N238</f>
        <v>2939</v>
      </c>
      <c r="O65" s="5">
        <f ca="1">Intv_Ann_TO!O238</f>
        <v>2939</v>
      </c>
    </row>
    <row r="66" spans="2:15" s="327" customFormat="1" hidden="1" outlineLevel="1" x14ac:dyDescent="0.2">
      <c r="C66" s="660" t="str">
        <f>Intv_Ann_TO!D239</f>
        <v>Muchinga</v>
      </c>
      <c r="J66" s="5">
        <f ca="1">Intv_Ann_TO!J239</f>
        <v>56</v>
      </c>
      <c r="K66" s="5">
        <f ca="1">Intv_Ann_TO!K239</f>
        <v>56</v>
      </c>
      <c r="L66" s="5">
        <f ca="1">Intv_Ann_TO!L239</f>
        <v>56</v>
      </c>
      <c r="M66" s="5">
        <f ca="1">Intv_Ann_TO!M239</f>
        <v>56</v>
      </c>
      <c r="N66" s="5">
        <f ca="1">Intv_Ann_TO!N239</f>
        <v>56</v>
      </c>
      <c r="O66" s="5">
        <f ca="1">Intv_Ann_TO!O239</f>
        <v>56</v>
      </c>
    </row>
    <row r="67" spans="2:15" s="327" customFormat="1" hidden="1" outlineLevel="1" x14ac:dyDescent="0.2">
      <c r="C67" s="660" t="str">
        <f>Intv_Ann_TO!D240</f>
        <v>Northern</v>
      </c>
      <c r="J67" s="5">
        <f ca="1">Intv_Ann_TO!J240</f>
        <v>291</v>
      </c>
      <c r="K67" s="5">
        <f ca="1">Intv_Ann_TO!K240</f>
        <v>291</v>
      </c>
      <c r="L67" s="5">
        <f ca="1">Intv_Ann_TO!L240</f>
        <v>291</v>
      </c>
      <c r="M67" s="5">
        <f ca="1">Intv_Ann_TO!M240</f>
        <v>291</v>
      </c>
      <c r="N67" s="5">
        <f ca="1">Intv_Ann_TO!N240</f>
        <v>291</v>
      </c>
      <c r="O67" s="5">
        <f ca="1">Intv_Ann_TO!O240</f>
        <v>291</v>
      </c>
    </row>
    <row r="68" spans="2:15" s="327" customFormat="1" hidden="1" outlineLevel="1" x14ac:dyDescent="0.2">
      <c r="C68" s="660" t="str">
        <f>Intv_Ann_TO!D241</f>
        <v>North-Western</v>
      </c>
      <c r="J68" s="5">
        <f ca="1">Intv_Ann_TO!J241</f>
        <v>347</v>
      </c>
      <c r="K68" s="5">
        <f ca="1">Intv_Ann_TO!K241</f>
        <v>347</v>
      </c>
      <c r="L68" s="5">
        <f ca="1">Intv_Ann_TO!L241</f>
        <v>347</v>
      </c>
      <c r="M68" s="5">
        <f ca="1">Intv_Ann_TO!M241</f>
        <v>347</v>
      </c>
      <c r="N68" s="5">
        <f ca="1">Intv_Ann_TO!N241</f>
        <v>347</v>
      </c>
      <c r="O68" s="5">
        <f ca="1">Intv_Ann_TO!O241</f>
        <v>347</v>
      </c>
    </row>
    <row r="69" spans="2:15" s="327" customFormat="1" hidden="1" outlineLevel="1" x14ac:dyDescent="0.2">
      <c r="C69" s="660" t="str">
        <f>Intv_Ann_TO!D242</f>
        <v>Southern</v>
      </c>
      <c r="J69" s="5">
        <f ca="1">Intv_Ann_TO!J242</f>
        <v>818</v>
      </c>
      <c r="K69" s="5">
        <f ca="1">Intv_Ann_TO!K242</f>
        <v>818</v>
      </c>
      <c r="L69" s="5">
        <f ca="1">Intv_Ann_TO!L242</f>
        <v>818</v>
      </c>
      <c r="M69" s="5">
        <f ca="1">Intv_Ann_TO!M242</f>
        <v>818</v>
      </c>
      <c r="N69" s="5">
        <f ca="1">Intv_Ann_TO!N242</f>
        <v>818</v>
      </c>
      <c r="O69" s="5">
        <f ca="1">Intv_Ann_TO!O242</f>
        <v>818</v>
      </c>
    </row>
    <row r="70" spans="2:15" s="327" customFormat="1" hidden="1" outlineLevel="1" x14ac:dyDescent="0.2">
      <c r="C70" s="660" t="str">
        <f>Intv_Ann_TO!D243</f>
        <v>Western</v>
      </c>
      <c r="J70" s="5">
        <f ca="1">Intv_Ann_TO!J243</f>
        <v>818</v>
      </c>
      <c r="K70" s="5">
        <f ca="1">Intv_Ann_TO!K243</f>
        <v>818</v>
      </c>
      <c r="L70" s="5">
        <f ca="1">Intv_Ann_TO!L243</f>
        <v>818</v>
      </c>
      <c r="M70" s="5">
        <f ca="1">Intv_Ann_TO!M243</f>
        <v>818</v>
      </c>
      <c r="N70" s="5">
        <f ca="1">Intv_Ann_TO!N243</f>
        <v>818</v>
      </c>
      <c r="O70" s="5">
        <f ca="1">Intv_Ann_TO!O243</f>
        <v>818</v>
      </c>
    </row>
    <row r="71" spans="2:15" s="327" customFormat="1" ht="15.75" collapsed="1" thickBot="1" x14ac:dyDescent="0.25">
      <c r="C71" s="679" t="str">
        <f>"Total "&amp;C60</f>
        <v>Total Population Seeking Service (New)</v>
      </c>
      <c r="J71" s="624">
        <f t="shared" ref="J71:O71" ca="1" si="7">SUM(J61:J70)</f>
        <v>8542</v>
      </c>
      <c r="K71" s="624">
        <f t="shared" ca="1" si="7"/>
        <v>8542</v>
      </c>
      <c r="L71" s="624">
        <f t="shared" ca="1" si="7"/>
        <v>8542</v>
      </c>
      <c r="M71" s="624">
        <f t="shared" ca="1" si="7"/>
        <v>8542</v>
      </c>
      <c r="N71" s="624">
        <f t="shared" ca="1" si="7"/>
        <v>8542</v>
      </c>
      <c r="O71" s="624">
        <f t="shared" ca="1" si="7"/>
        <v>8542</v>
      </c>
    </row>
    <row r="72" spans="2:15" s="327" customFormat="1" ht="13.5" thickTop="1" x14ac:dyDescent="0.2"/>
    <row r="73" spans="2:15" s="327" customFormat="1" ht="15.75" x14ac:dyDescent="0.2">
      <c r="C73" s="330" t="s">
        <v>1893</v>
      </c>
      <c r="J73" s="5">
        <f t="shared" ref="J73:O73" ca="1" si="8">MAX((J71-J41),0)</f>
        <v>0</v>
      </c>
      <c r="K73" s="5">
        <f t="shared" ca="1" si="8"/>
        <v>0</v>
      </c>
      <c r="L73" s="5">
        <f t="shared" ca="1" si="8"/>
        <v>0</v>
      </c>
      <c r="M73" s="5">
        <f t="shared" ca="1" si="8"/>
        <v>0</v>
      </c>
      <c r="N73" s="5">
        <f t="shared" ca="1" si="8"/>
        <v>0</v>
      </c>
      <c r="O73" s="5">
        <f t="shared" ca="1" si="8"/>
        <v>0</v>
      </c>
    </row>
    <row r="74" spans="2:15" s="327" customFormat="1" x14ac:dyDescent="0.2"/>
    <row r="75" spans="2:15" s="327" customFormat="1" ht="18.75" x14ac:dyDescent="0.2">
      <c r="B75" s="329" t="s">
        <v>8</v>
      </c>
    </row>
    <row r="76" spans="2:15" s="327" customFormat="1" ht="15.75" x14ac:dyDescent="0.2">
      <c r="C76" s="330" t="s">
        <v>1901</v>
      </c>
    </row>
    <row r="77" spans="2:15" s="327" customFormat="1" hidden="1" outlineLevel="1" x14ac:dyDescent="0.2">
      <c r="C77" s="660" t="str">
        <f>Intv_Ann_TO!D274</f>
        <v>Central</v>
      </c>
      <c r="J77" s="5">
        <f ca="1">Intv_Ann_TO!J274</f>
        <v>583</v>
      </c>
      <c r="K77" s="5">
        <f ca="1">Intv_Ann_TO!K274</f>
        <v>583</v>
      </c>
      <c r="L77" s="5">
        <f ca="1">Intv_Ann_TO!L274</f>
        <v>583</v>
      </c>
      <c r="M77" s="5">
        <f ca="1">Intv_Ann_TO!M274</f>
        <v>583</v>
      </c>
      <c r="N77" s="5">
        <f ca="1">Intv_Ann_TO!N274</f>
        <v>583</v>
      </c>
      <c r="O77" s="5">
        <f ca="1">Intv_Ann_TO!O274</f>
        <v>583</v>
      </c>
    </row>
    <row r="78" spans="2:15" s="327" customFormat="1" hidden="1" outlineLevel="1" x14ac:dyDescent="0.2">
      <c r="C78" s="660" t="str">
        <f>Intv_Ann_TO!D275</f>
        <v>Copperbelt</v>
      </c>
      <c r="J78" s="5">
        <f ca="1">Intv_Ann_TO!J275</f>
        <v>818</v>
      </c>
      <c r="K78" s="5">
        <f ca="1">Intv_Ann_TO!K275</f>
        <v>818</v>
      </c>
      <c r="L78" s="5">
        <f ca="1">Intv_Ann_TO!L275</f>
        <v>818</v>
      </c>
      <c r="M78" s="5">
        <f ca="1">Intv_Ann_TO!M275</f>
        <v>818</v>
      </c>
      <c r="N78" s="5">
        <f ca="1">Intv_Ann_TO!N275</f>
        <v>818</v>
      </c>
      <c r="O78" s="5">
        <f ca="1">Intv_Ann_TO!O275</f>
        <v>818</v>
      </c>
    </row>
    <row r="79" spans="2:15" s="327" customFormat="1" hidden="1" outlineLevel="1" x14ac:dyDescent="0.2">
      <c r="C79" s="660" t="str">
        <f>Intv_Ann_TO!D276</f>
        <v>Eastern</v>
      </c>
      <c r="J79" s="5">
        <f ca="1">Intv_Ann_TO!J276</f>
        <v>1054</v>
      </c>
      <c r="K79" s="5">
        <f ca="1">Intv_Ann_TO!K276</f>
        <v>1054</v>
      </c>
      <c r="L79" s="5">
        <f ca="1">Intv_Ann_TO!L276</f>
        <v>1054</v>
      </c>
      <c r="M79" s="5">
        <f ca="1">Intv_Ann_TO!M276</f>
        <v>1054</v>
      </c>
      <c r="N79" s="5">
        <f ca="1">Intv_Ann_TO!N276</f>
        <v>1054</v>
      </c>
      <c r="O79" s="5">
        <f ca="1">Intv_Ann_TO!O276</f>
        <v>1054</v>
      </c>
    </row>
    <row r="80" spans="2:15" s="327" customFormat="1" hidden="1" outlineLevel="1" x14ac:dyDescent="0.2">
      <c r="C80" s="660" t="str">
        <f>Intv_Ann_TO!D277</f>
        <v>Luapula</v>
      </c>
      <c r="J80" s="5">
        <f ca="1">Intv_Ann_TO!J277</f>
        <v>818</v>
      </c>
      <c r="K80" s="5">
        <f ca="1">Intv_Ann_TO!K277</f>
        <v>818</v>
      </c>
      <c r="L80" s="5">
        <f ca="1">Intv_Ann_TO!L277</f>
        <v>818</v>
      </c>
      <c r="M80" s="5">
        <f ca="1">Intv_Ann_TO!M277</f>
        <v>818</v>
      </c>
      <c r="N80" s="5">
        <f ca="1">Intv_Ann_TO!N277</f>
        <v>818</v>
      </c>
      <c r="O80" s="5">
        <f ca="1">Intv_Ann_TO!O277</f>
        <v>818</v>
      </c>
    </row>
    <row r="81" spans="3:15" s="327" customFormat="1" hidden="1" outlineLevel="1" x14ac:dyDescent="0.2">
      <c r="C81" s="660" t="str">
        <f>Intv_Ann_TO!D278</f>
        <v>Lusaka</v>
      </c>
      <c r="J81" s="5">
        <f ca="1">Intv_Ann_TO!J278</f>
        <v>2939</v>
      </c>
      <c r="K81" s="5">
        <f ca="1">Intv_Ann_TO!K278</f>
        <v>2939</v>
      </c>
      <c r="L81" s="5">
        <f ca="1">Intv_Ann_TO!L278</f>
        <v>2939</v>
      </c>
      <c r="M81" s="5">
        <f ca="1">Intv_Ann_TO!M278</f>
        <v>2939</v>
      </c>
      <c r="N81" s="5">
        <f ca="1">Intv_Ann_TO!N278</f>
        <v>2939</v>
      </c>
      <c r="O81" s="5">
        <f ca="1">Intv_Ann_TO!O278</f>
        <v>2939</v>
      </c>
    </row>
    <row r="82" spans="3:15" s="327" customFormat="1" hidden="1" outlineLevel="1" x14ac:dyDescent="0.2">
      <c r="C82" s="660" t="str">
        <f>Intv_Ann_TO!D279</f>
        <v>Muchinga</v>
      </c>
      <c r="J82" s="5">
        <f ca="1">Intv_Ann_TO!J279</f>
        <v>56</v>
      </c>
      <c r="K82" s="5">
        <f ca="1">Intv_Ann_TO!K279</f>
        <v>56</v>
      </c>
      <c r="L82" s="5">
        <f ca="1">Intv_Ann_TO!L279</f>
        <v>56</v>
      </c>
      <c r="M82" s="5">
        <f ca="1">Intv_Ann_TO!M279</f>
        <v>56</v>
      </c>
      <c r="N82" s="5">
        <f ca="1">Intv_Ann_TO!N279</f>
        <v>56</v>
      </c>
      <c r="O82" s="5">
        <f ca="1">Intv_Ann_TO!O279</f>
        <v>56</v>
      </c>
    </row>
    <row r="83" spans="3:15" s="327" customFormat="1" hidden="1" outlineLevel="1" x14ac:dyDescent="0.2">
      <c r="C83" s="660" t="str">
        <f>Intv_Ann_TO!D280</f>
        <v>Northern</v>
      </c>
      <c r="J83" s="5">
        <f ca="1">Intv_Ann_TO!J280</f>
        <v>291</v>
      </c>
      <c r="K83" s="5">
        <f ca="1">Intv_Ann_TO!K280</f>
        <v>291</v>
      </c>
      <c r="L83" s="5">
        <f ca="1">Intv_Ann_TO!L280</f>
        <v>291</v>
      </c>
      <c r="M83" s="5">
        <f ca="1">Intv_Ann_TO!M280</f>
        <v>291</v>
      </c>
      <c r="N83" s="5">
        <f ca="1">Intv_Ann_TO!N280</f>
        <v>291</v>
      </c>
      <c r="O83" s="5">
        <f ca="1">Intv_Ann_TO!O280</f>
        <v>291</v>
      </c>
    </row>
    <row r="84" spans="3:15" s="327" customFormat="1" hidden="1" outlineLevel="1" x14ac:dyDescent="0.2">
      <c r="C84" s="660" t="str">
        <f>Intv_Ann_TO!D281</f>
        <v>North-Western</v>
      </c>
      <c r="J84" s="5">
        <f ca="1">Intv_Ann_TO!J281</f>
        <v>347</v>
      </c>
      <c r="K84" s="5">
        <f ca="1">Intv_Ann_TO!K281</f>
        <v>347</v>
      </c>
      <c r="L84" s="5">
        <f ca="1">Intv_Ann_TO!L281</f>
        <v>347</v>
      </c>
      <c r="M84" s="5">
        <f ca="1">Intv_Ann_TO!M281</f>
        <v>347</v>
      </c>
      <c r="N84" s="5">
        <f ca="1">Intv_Ann_TO!N281</f>
        <v>347</v>
      </c>
      <c r="O84" s="5">
        <f ca="1">Intv_Ann_TO!O281</f>
        <v>347</v>
      </c>
    </row>
    <row r="85" spans="3:15" s="327" customFormat="1" hidden="1" outlineLevel="1" x14ac:dyDescent="0.2">
      <c r="C85" s="660" t="str">
        <f>Intv_Ann_TO!D282</f>
        <v>Southern</v>
      </c>
      <c r="J85" s="5">
        <f ca="1">Intv_Ann_TO!J282</f>
        <v>818</v>
      </c>
      <c r="K85" s="5">
        <f ca="1">Intv_Ann_TO!K282</f>
        <v>818</v>
      </c>
      <c r="L85" s="5">
        <f ca="1">Intv_Ann_TO!L282</f>
        <v>818</v>
      </c>
      <c r="M85" s="5">
        <f ca="1">Intv_Ann_TO!M282</f>
        <v>818</v>
      </c>
      <c r="N85" s="5">
        <f ca="1">Intv_Ann_TO!N282</f>
        <v>818</v>
      </c>
      <c r="O85" s="5">
        <f ca="1">Intv_Ann_TO!O282</f>
        <v>818</v>
      </c>
    </row>
    <row r="86" spans="3:15" s="327" customFormat="1" hidden="1" outlineLevel="1" x14ac:dyDescent="0.2">
      <c r="C86" s="660" t="str">
        <f>Intv_Ann_TO!D283</f>
        <v>Western</v>
      </c>
      <c r="J86" s="5">
        <f ca="1">Intv_Ann_TO!J283</f>
        <v>818</v>
      </c>
      <c r="K86" s="5">
        <f ca="1">Intv_Ann_TO!K283</f>
        <v>818</v>
      </c>
      <c r="L86" s="5">
        <f ca="1">Intv_Ann_TO!L283</f>
        <v>818</v>
      </c>
      <c r="M86" s="5">
        <f ca="1">Intv_Ann_TO!M283</f>
        <v>818</v>
      </c>
      <c r="N86" s="5">
        <f ca="1">Intv_Ann_TO!N283</f>
        <v>818</v>
      </c>
      <c r="O86" s="5">
        <f ca="1">Intv_Ann_TO!O283</f>
        <v>818</v>
      </c>
    </row>
    <row r="87" spans="3:15" s="327" customFormat="1" ht="15.75" collapsed="1" thickBot="1" x14ac:dyDescent="0.25">
      <c r="C87" s="646" t="str">
        <f>C76</f>
        <v>Total Procedures Provided (by Patient's Home Province)</v>
      </c>
      <c r="J87" s="624">
        <f t="shared" ref="J87:O87" ca="1" si="9">SUM(J77:J86)</f>
        <v>8542</v>
      </c>
      <c r="K87" s="624">
        <f t="shared" ca="1" si="9"/>
        <v>8542</v>
      </c>
      <c r="L87" s="624">
        <f t="shared" ca="1" si="9"/>
        <v>8542</v>
      </c>
      <c r="M87" s="624">
        <f t="shared" ca="1" si="9"/>
        <v>8542</v>
      </c>
      <c r="N87" s="624">
        <f t="shared" ca="1" si="9"/>
        <v>8542</v>
      </c>
      <c r="O87" s="624">
        <f t="shared" ca="1" si="9"/>
        <v>8542</v>
      </c>
    </row>
    <row r="88" spans="3:15" s="327" customFormat="1" ht="13.5" thickTop="1" x14ac:dyDescent="0.2"/>
    <row r="89" spans="3:15" s="327" customFormat="1" ht="15.75" x14ac:dyDescent="0.2">
      <c r="C89" s="330" t="s">
        <v>1902</v>
      </c>
    </row>
    <row r="90" spans="3:15" s="327" customFormat="1" outlineLevel="1" x14ac:dyDescent="0.2">
      <c r="C90" s="660" t="str">
        <f>Intv_Ann_TO!D287</f>
        <v>Central</v>
      </c>
      <c r="J90" s="5">
        <f ca="1">Intv_Ann_TO!J287</f>
        <v>587</v>
      </c>
      <c r="K90" s="5">
        <f ca="1">Intv_Ann_TO!K287</f>
        <v>587</v>
      </c>
      <c r="L90" s="5">
        <f ca="1">Intv_Ann_TO!L287</f>
        <v>587</v>
      </c>
      <c r="M90" s="5">
        <f ca="1">Intv_Ann_TO!M287</f>
        <v>587</v>
      </c>
      <c r="N90" s="5">
        <f ca="1">Intv_Ann_TO!N287</f>
        <v>587</v>
      </c>
      <c r="O90" s="5">
        <f ca="1">Intv_Ann_TO!O287</f>
        <v>587</v>
      </c>
    </row>
    <row r="91" spans="3:15" s="327" customFormat="1" outlineLevel="1" x14ac:dyDescent="0.2">
      <c r="C91" s="660" t="str">
        <f>Intv_Ann_TO!D288</f>
        <v>Copperbelt</v>
      </c>
      <c r="J91" s="5">
        <f ca="1">Intv_Ann_TO!J288</f>
        <v>823</v>
      </c>
      <c r="K91" s="5">
        <f ca="1">Intv_Ann_TO!K288</f>
        <v>823</v>
      </c>
      <c r="L91" s="5">
        <f ca="1">Intv_Ann_TO!L288</f>
        <v>823</v>
      </c>
      <c r="M91" s="5">
        <f ca="1">Intv_Ann_TO!M288</f>
        <v>823</v>
      </c>
      <c r="N91" s="5">
        <f ca="1">Intv_Ann_TO!N288</f>
        <v>823</v>
      </c>
      <c r="O91" s="5">
        <f ca="1">Intv_Ann_TO!O288</f>
        <v>823</v>
      </c>
    </row>
    <row r="92" spans="3:15" s="327" customFormat="1" outlineLevel="1" x14ac:dyDescent="0.2">
      <c r="C92" s="660" t="str">
        <f>Intv_Ann_TO!D289</f>
        <v>Eastern</v>
      </c>
      <c r="J92" s="5">
        <f ca="1">Intv_Ann_TO!J289</f>
        <v>1061</v>
      </c>
      <c r="K92" s="5">
        <f ca="1">Intv_Ann_TO!K289</f>
        <v>1061</v>
      </c>
      <c r="L92" s="5">
        <f ca="1">Intv_Ann_TO!L289</f>
        <v>1061</v>
      </c>
      <c r="M92" s="5">
        <f ca="1">Intv_Ann_TO!M289</f>
        <v>1061</v>
      </c>
      <c r="N92" s="5">
        <f ca="1">Intv_Ann_TO!N289</f>
        <v>1061</v>
      </c>
      <c r="O92" s="5">
        <f ca="1">Intv_Ann_TO!O289</f>
        <v>1061</v>
      </c>
    </row>
    <row r="93" spans="3:15" s="327" customFormat="1" outlineLevel="1" x14ac:dyDescent="0.2">
      <c r="C93" s="660" t="str">
        <f>Intv_Ann_TO!D290</f>
        <v>Luapula</v>
      </c>
      <c r="J93" s="5">
        <f ca="1">Intv_Ann_TO!J290</f>
        <v>821</v>
      </c>
      <c r="K93" s="5">
        <f ca="1">Intv_Ann_TO!K290</f>
        <v>821</v>
      </c>
      <c r="L93" s="5">
        <f ca="1">Intv_Ann_TO!L290</f>
        <v>821</v>
      </c>
      <c r="M93" s="5">
        <f ca="1">Intv_Ann_TO!M290</f>
        <v>821</v>
      </c>
      <c r="N93" s="5">
        <f ca="1">Intv_Ann_TO!N290</f>
        <v>821</v>
      </c>
      <c r="O93" s="5">
        <f ca="1">Intv_Ann_TO!O290</f>
        <v>821</v>
      </c>
    </row>
    <row r="94" spans="3:15" s="327" customFormat="1" outlineLevel="1" x14ac:dyDescent="0.2">
      <c r="C94" s="660" t="str">
        <f>Intv_Ann_TO!D291</f>
        <v>Lusaka</v>
      </c>
      <c r="J94" s="5">
        <f ca="1">Intv_Ann_TO!J291</f>
        <v>2961</v>
      </c>
      <c r="K94" s="5">
        <f ca="1">Intv_Ann_TO!K291</f>
        <v>2961</v>
      </c>
      <c r="L94" s="5">
        <f ca="1">Intv_Ann_TO!L291</f>
        <v>2961</v>
      </c>
      <c r="M94" s="5">
        <f ca="1">Intv_Ann_TO!M291</f>
        <v>2961</v>
      </c>
      <c r="N94" s="5">
        <f ca="1">Intv_Ann_TO!N291</f>
        <v>2961</v>
      </c>
      <c r="O94" s="5">
        <f ca="1">Intv_Ann_TO!O291</f>
        <v>2961</v>
      </c>
    </row>
    <row r="95" spans="3:15" s="327" customFormat="1" outlineLevel="1" x14ac:dyDescent="0.2">
      <c r="C95" s="660" t="str">
        <f>Intv_Ann_TO!D292</f>
        <v>Muchinga</v>
      </c>
      <c r="J95" s="5">
        <f ca="1">Intv_Ann_TO!J292</f>
        <v>0</v>
      </c>
      <c r="K95" s="5">
        <f ca="1">Intv_Ann_TO!K292</f>
        <v>0</v>
      </c>
      <c r="L95" s="5">
        <f ca="1">Intv_Ann_TO!L292</f>
        <v>0</v>
      </c>
      <c r="M95" s="5">
        <f ca="1">Intv_Ann_TO!M292</f>
        <v>0</v>
      </c>
      <c r="N95" s="5">
        <f ca="1">Intv_Ann_TO!N292</f>
        <v>0</v>
      </c>
      <c r="O95" s="5">
        <f ca="1">Intv_Ann_TO!O292</f>
        <v>0</v>
      </c>
    </row>
    <row r="96" spans="3:15" s="327" customFormat="1" outlineLevel="1" x14ac:dyDescent="0.2">
      <c r="C96" s="660" t="str">
        <f>Intv_Ann_TO!D293</f>
        <v>Northern</v>
      </c>
      <c r="J96" s="5">
        <f ca="1">Intv_Ann_TO!J293</f>
        <v>293</v>
      </c>
      <c r="K96" s="5">
        <f ca="1">Intv_Ann_TO!K293</f>
        <v>293</v>
      </c>
      <c r="L96" s="5">
        <f ca="1">Intv_Ann_TO!L293</f>
        <v>293</v>
      </c>
      <c r="M96" s="5">
        <f ca="1">Intv_Ann_TO!M293</f>
        <v>293</v>
      </c>
      <c r="N96" s="5">
        <f ca="1">Intv_Ann_TO!N293</f>
        <v>293</v>
      </c>
      <c r="O96" s="5">
        <f ca="1">Intv_Ann_TO!O293</f>
        <v>293</v>
      </c>
    </row>
    <row r="97" spans="3:15" s="327" customFormat="1" outlineLevel="1" x14ac:dyDescent="0.2">
      <c r="C97" s="660" t="str">
        <f>Intv_Ann_TO!D294</f>
        <v>North-Western</v>
      </c>
      <c r="J97" s="5">
        <f ca="1">Intv_Ann_TO!J294</f>
        <v>349</v>
      </c>
      <c r="K97" s="5">
        <f ca="1">Intv_Ann_TO!K294</f>
        <v>349</v>
      </c>
      <c r="L97" s="5">
        <f ca="1">Intv_Ann_TO!L294</f>
        <v>349</v>
      </c>
      <c r="M97" s="5">
        <f ca="1">Intv_Ann_TO!M294</f>
        <v>349</v>
      </c>
      <c r="N97" s="5">
        <f ca="1">Intv_Ann_TO!N294</f>
        <v>349</v>
      </c>
      <c r="O97" s="5">
        <f ca="1">Intv_Ann_TO!O294</f>
        <v>349</v>
      </c>
    </row>
    <row r="98" spans="3:15" s="327" customFormat="1" outlineLevel="1" x14ac:dyDescent="0.2">
      <c r="C98" s="660" t="str">
        <f>Intv_Ann_TO!D295</f>
        <v>Southern</v>
      </c>
      <c r="J98" s="5">
        <f ca="1">Intv_Ann_TO!J295</f>
        <v>823</v>
      </c>
      <c r="K98" s="5">
        <f ca="1">Intv_Ann_TO!K295</f>
        <v>823</v>
      </c>
      <c r="L98" s="5">
        <f ca="1">Intv_Ann_TO!L295</f>
        <v>823</v>
      </c>
      <c r="M98" s="5">
        <f ca="1">Intv_Ann_TO!M295</f>
        <v>823</v>
      </c>
      <c r="N98" s="5">
        <f ca="1">Intv_Ann_TO!N295</f>
        <v>823</v>
      </c>
      <c r="O98" s="5">
        <f ca="1">Intv_Ann_TO!O295</f>
        <v>823</v>
      </c>
    </row>
    <row r="99" spans="3:15" s="327" customFormat="1" outlineLevel="1" x14ac:dyDescent="0.2">
      <c r="C99" s="660" t="str">
        <f>Intv_Ann_TO!D296</f>
        <v>Western</v>
      </c>
      <c r="J99" s="5">
        <f ca="1">Intv_Ann_TO!J296</f>
        <v>823</v>
      </c>
      <c r="K99" s="5">
        <f ca="1">Intv_Ann_TO!K296</f>
        <v>823</v>
      </c>
      <c r="L99" s="5">
        <f ca="1">Intv_Ann_TO!L296</f>
        <v>823</v>
      </c>
      <c r="M99" s="5">
        <f ca="1">Intv_Ann_TO!M296</f>
        <v>823</v>
      </c>
      <c r="N99" s="5">
        <f ca="1">Intv_Ann_TO!N296</f>
        <v>823</v>
      </c>
      <c r="O99" s="5">
        <f ca="1">Intv_Ann_TO!O296</f>
        <v>823</v>
      </c>
    </row>
    <row r="100" spans="3:15" s="327" customFormat="1" ht="15.75" thickBot="1" x14ac:dyDescent="0.25">
      <c r="C100" s="646" t="str">
        <f>C89</f>
        <v>Total Procedures Supplied (by Province Providing)</v>
      </c>
      <c r="J100" s="624">
        <f t="shared" ref="J100:O100" ca="1" si="10">SUM(J90:J99)</f>
        <v>8541</v>
      </c>
      <c r="K100" s="624">
        <f t="shared" ca="1" si="10"/>
        <v>8541</v>
      </c>
      <c r="L100" s="624">
        <f t="shared" ca="1" si="10"/>
        <v>8541</v>
      </c>
      <c r="M100" s="624">
        <f t="shared" ca="1" si="10"/>
        <v>8541</v>
      </c>
      <c r="N100" s="624">
        <f t="shared" ca="1" si="10"/>
        <v>8541</v>
      </c>
      <c r="O100" s="624">
        <f t="shared" ca="1" si="10"/>
        <v>8541</v>
      </c>
    </row>
    <row r="101" spans="3:15" s="327" customFormat="1" ht="13.5" thickTop="1" x14ac:dyDescent="0.2"/>
    <row r="102" spans="3:15" s="327" customFormat="1" x14ac:dyDescent="0.2"/>
    <row r="103" spans="3:15" s="327" customFormat="1" x14ac:dyDescent="0.2">
      <c r="C103" s="716" t="str">
        <f>"Go to "&amp;HL_Intv_Ass</f>
        <v>Go to Cryotherapy - Same Visit</v>
      </c>
      <c r="D103" s="716"/>
      <c r="E103" s="716"/>
      <c r="F103" s="716"/>
      <c r="G103" s="716"/>
      <c r="H103" s="716"/>
      <c r="I103" s="716"/>
    </row>
    <row r="104" spans="3:15" s="327" customFormat="1" x14ac:dyDescent="0.2">
      <c r="C104" s="716" t="str">
        <f>"Go to "&amp;HL_Intv_Ann_Ass</f>
        <v>Go to Intervention Services - Annual Assumptions</v>
      </c>
      <c r="D104" s="716"/>
      <c r="E104" s="716"/>
      <c r="F104" s="716"/>
      <c r="G104" s="716"/>
      <c r="H104" s="716"/>
      <c r="I104" s="716"/>
    </row>
    <row r="105" spans="3:15" s="327" customFormat="1" x14ac:dyDescent="0.2">
      <c r="C105" s="716" t="str">
        <f>"Go to "&amp;HL_Intv_Out</f>
        <v>Go to Cryotherapy - Same Visit</v>
      </c>
      <c r="D105" s="716"/>
      <c r="E105" s="716"/>
      <c r="F105" s="716"/>
      <c r="G105" s="716"/>
      <c r="H105" s="716"/>
      <c r="I105" s="716"/>
    </row>
    <row r="106" spans="3:15" s="327" customFormat="1" x14ac:dyDescent="0.2">
      <c r="C106" s="716" t="str">
        <f>"Go to "&amp;HL_Intv_Out_Sum_A</f>
        <v>Go to Cryotherapy - Same Visit Expected Costs (USD)</v>
      </c>
      <c r="D106" s="716"/>
      <c r="E106" s="716"/>
      <c r="F106" s="716"/>
      <c r="G106" s="716"/>
      <c r="H106" s="716"/>
      <c r="I106" s="716"/>
    </row>
  </sheetData>
  <sheetProtection password="F0F4" sheet="1" scenarios="1"/>
  <mergeCells count="5">
    <mergeCell ref="C105:I105"/>
    <mergeCell ref="C106:I106"/>
    <mergeCell ref="B3:F3"/>
    <mergeCell ref="C103:I103"/>
    <mergeCell ref="C104:I104"/>
  </mergeCells>
  <hyperlinks>
    <hyperlink ref="C103:I103" location="HL_Intv_Ass" tooltip="Click to follow hyperlink." display="HL_Intv_Ass"/>
    <hyperlink ref="C104:I104" location="HL_Intv_Ann_Ass" tooltip="Click to follow hyperlink." display="HL_Intv_Ann_Ass"/>
    <hyperlink ref="C105:I105" location="HL_Intv_Out" tooltip="Click to follow hyperlink." display="HL_Intv_Out"/>
    <hyperlink ref="C106:I106" location="HL_Intv_Out_Sum_A" tooltip="Click to follow hyperlink." display="HL_Intv_Out_Sum_A"/>
    <hyperlink ref="A4" location="$A$10" tooltip="Go to Top of Sheet" display="$A$10"/>
    <hyperlink ref="B4" location="HL_Sheet_Main_79" tooltip="Go to Previous Sheet" display="HL_Sheet_Main_79"/>
    <hyperlink ref="C4" location="HL_Sheet_Main_86" tooltip="Go to Next Sheet" display="HL_Sheet_Main_86"/>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44"/>
  <sheetViews>
    <sheetView showGridLines="0" zoomScaleNormal="100" workbookViewId="0">
      <pane ySplit="9" topLeftCell="A10" activePane="bottomLeft" state="frozen"/>
      <selection pane="bottomLeft" activeCell="F4" sqref="F4"/>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0" width="17.7109375" bestFit="1" customWidth="1" outlineLevel="1"/>
    <col min="11" max="15" width="11.7109375" outlineLevel="1"/>
  </cols>
  <sheetData>
    <row r="1" spans="1:15" ht="23.25" x14ac:dyDescent="0.2">
      <c r="B1" s="333" t="s">
        <v>1953</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648" t="str">
        <f>HL_Intv_Out&amp;" Expected Costs ("&amp;INDEX(LU_Intv_Denom,DD_TS_Denom)&amp;")"</f>
        <v>Cryotherapy - Same Visit Expected Costs (USD)</v>
      </c>
    </row>
    <row r="13" spans="1:15" s="327" customFormat="1" x14ac:dyDescent="0.2"/>
    <row r="14" spans="1:15" s="327" customFormat="1" ht="15.75" x14ac:dyDescent="0.2">
      <c r="C14" s="330" t="s">
        <v>1931</v>
      </c>
    </row>
    <row r="15" spans="1:15" s="327" customFormat="1" ht="15" x14ac:dyDescent="0.2">
      <c r="D15" s="658" t="s">
        <v>1928</v>
      </c>
    </row>
    <row r="16" spans="1:15" s="327" customFormat="1" hidden="1" outlineLevel="1" x14ac:dyDescent="0.2">
      <c r="D16" s="660" t="str">
        <f>Intv_Ann_TO!D315</f>
        <v>Central</v>
      </c>
      <c r="J16" s="5">
        <f ca="1">Intv_Ann_TO!J315+Intv_Ann_TO!J328</f>
        <v>167.63218015665791</v>
      </c>
      <c r="K16" s="5">
        <f ca="1">Intv_Ann_TO!K315+Intv_Ann_TO!K328</f>
        <v>167.63218015665791</v>
      </c>
      <c r="L16" s="5">
        <f ca="1">Intv_Ann_TO!L315+Intv_Ann_TO!L328</f>
        <v>167.63218015665791</v>
      </c>
      <c r="M16" s="5">
        <f ca="1">Intv_Ann_TO!M315+Intv_Ann_TO!M328</f>
        <v>167.63218015665791</v>
      </c>
      <c r="N16" s="5">
        <f ca="1">Intv_Ann_TO!N315+Intv_Ann_TO!N328</f>
        <v>167.63218015665791</v>
      </c>
      <c r="O16" s="5">
        <f ca="1">Intv_Ann_TO!O315+Intv_Ann_TO!O328</f>
        <v>167.63218015665791</v>
      </c>
    </row>
    <row r="17" spans="4:15" s="327" customFormat="1" hidden="1" outlineLevel="1" x14ac:dyDescent="0.2">
      <c r="D17" s="660" t="str">
        <f>Intv_Ann_TO!D316</f>
        <v>Copperbelt</v>
      </c>
      <c r="J17" s="5">
        <f ca="1">Intv_Ann_TO!J316+Intv_Ann_TO!J329</f>
        <v>235.02774151436023</v>
      </c>
      <c r="K17" s="5">
        <f ca="1">Intv_Ann_TO!K316+Intv_Ann_TO!K329</f>
        <v>235.02774151436023</v>
      </c>
      <c r="L17" s="5">
        <f ca="1">Intv_Ann_TO!L316+Intv_Ann_TO!L329</f>
        <v>235.02774151436023</v>
      </c>
      <c r="M17" s="5">
        <f ca="1">Intv_Ann_TO!M316+Intv_Ann_TO!M329</f>
        <v>235.02774151436023</v>
      </c>
      <c r="N17" s="5">
        <f ca="1">Intv_Ann_TO!N316+Intv_Ann_TO!N329</f>
        <v>235.02774151436023</v>
      </c>
      <c r="O17" s="5">
        <f ca="1">Intv_Ann_TO!O316+Intv_Ann_TO!O329</f>
        <v>235.02774151436023</v>
      </c>
    </row>
    <row r="18" spans="4:15" s="327" customFormat="1" hidden="1" outlineLevel="1" x14ac:dyDescent="0.2">
      <c r="D18" s="660" t="str">
        <f>Intv_Ann_TO!D317</f>
        <v>Eastern</v>
      </c>
      <c r="J18" s="5">
        <f ca="1">Intv_Ann_TO!J317+Intv_Ann_TO!J330</f>
        <v>302.99445169712783</v>
      </c>
      <c r="K18" s="5">
        <f ca="1">Intv_Ann_TO!K317+Intv_Ann_TO!K330</f>
        <v>302.99445169712783</v>
      </c>
      <c r="L18" s="5">
        <f ca="1">Intv_Ann_TO!L317+Intv_Ann_TO!L330</f>
        <v>302.99445169712783</v>
      </c>
      <c r="M18" s="5">
        <f ca="1">Intv_Ann_TO!M317+Intv_Ann_TO!M330</f>
        <v>302.99445169712783</v>
      </c>
      <c r="N18" s="5">
        <f ca="1">Intv_Ann_TO!N317+Intv_Ann_TO!N330</f>
        <v>302.99445169712783</v>
      </c>
      <c r="O18" s="5">
        <f ca="1">Intv_Ann_TO!O317+Intv_Ann_TO!O330</f>
        <v>302.99445169712783</v>
      </c>
    </row>
    <row r="19" spans="4:15" s="327" customFormat="1" hidden="1" outlineLevel="1" x14ac:dyDescent="0.2">
      <c r="D19" s="660" t="str">
        <f>Intv_Ann_TO!D318</f>
        <v>Luapula</v>
      </c>
      <c r="J19" s="5">
        <f ca="1">Intv_Ann_TO!J318+Intv_Ann_TO!J331</f>
        <v>234.45659268929498</v>
      </c>
      <c r="K19" s="5">
        <f ca="1">Intv_Ann_TO!K318+Intv_Ann_TO!K331</f>
        <v>234.45659268929498</v>
      </c>
      <c r="L19" s="5">
        <f ca="1">Intv_Ann_TO!L318+Intv_Ann_TO!L331</f>
        <v>234.45659268929498</v>
      </c>
      <c r="M19" s="5">
        <f ca="1">Intv_Ann_TO!M318+Intv_Ann_TO!M331</f>
        <v>234.45659268929498</v>
      </c>
      <c r="N19" s="5">
        <f ca="1">Intv_Ann_TO!N318+Intv_Ann_TO!N331</f>
        <v>234.45659268929498</v>
      </c>
      <c r="O19" s="5">
        <f ca="1">Intv_Ann_TO!O318+Intv_Ann_TO!O331</f>
        <v>234.45659268929498</v>
      </c>
    </row>
    <row r="20" spans="4:15" s="327" customFormat="1" hidden="1" outlineLevel="1" x14ac:dyDescent="0.2">
      <c r="D20" s="660" t="str">
        <f>Intv_Ann_TO!D319</f>
        <v>Lusaka</v>
      </c>
      <c r="J20" s="5">
        <f ca="1">Intv_Ann_TO!J319+Intv_Ann_TO!J332</f>
        <v>845.58583550913818</v>
      </c>
      <c r="K20" s="5">
        <f ca="1">Intv_Ann_TO!K319+Intv_Ann_TO!K332</f>
        <v>845.58583550913818</v>
      </c>
      <c r="L20" s="5">
        <f ca="1">Intv_Ann_TO!L319+Intv_Ann_TO!L332</f>
        <v>845.58583550913818</v>
      </c>
      <c r="M20" s="5">
        <f ca="1">Intv_Ann_TO!M319+Intv_Ann_TO!M332</f>
        <v>845.58583550913818</v>
      </c>
      <c r="N20" s="5">
        <f ca="1">Intv_Ann_TO!N319+Intv_Ann_TO!N332</f>
        <v>845.58583550913818</v>
      </c>
      <c r="O20" s="5">
        <f ca="1">Intv_Ann_TO!O319+Intv_Ann_TO!O332</f>
        <v>845.58583550913818</v>
      </c>
    </row>
    <row r="21" spans="4:15" s="327" customFormat="1" hidden="1" outlineLevel="1" x14ac:dyDescent="0.2">
      <c r="D21" s="660" t="str">
        <f>Intv_Ann_TO!D320</f>
        <v>Muchinga</v>
      </c>
      <c r="J21" s="5">
        <f ca="1">Intv_Ann_TO!J320+Intv_Ann_TO!J333</f>
        <v>0</v>
      </c>
      <c r="K21" s="5">
        <f ca="1">Intv_Ann_TO!K320+Intv_Ann_TO!K333</f>
        <v>0</v>
      </c>
      <c r="L21" s="5">
        <f ca="1">Intv_Ann_TO!L320+Intv_Ann_TO!L333</f>
        <v>0</v>
      </c>
      <c r="M21" s="5">
        <f ca="1">Intv_Ann_TO!M320+Intv_Ann_TO!M333</f>
        <v>0</v>
      </c>
      <c r="N21" s="5">
        <f ca="1">Intv_Ann_TO!N320+Intv_Ann_TO!N333</f>
        <v>0</v>
      </c>
      <c r="O21" s="5">
        <f ca="1">Intv_Ann_TO!O320+Intv_Ann_TO!O333</f>
        <v>0</v>
      </c>
    </row>
    <row r="22" spans="4:15" s="327" customFormat="1" hidden="1" outlineLevel="1" x14ac:dyDescent="0.2">
      <c r="D22" s="660" t="str">
        <f>Intv_Ann_TO!D321</f>
        <v>Northern</v>
      </c>
      <c r="J22" s="5">
        <f ca="1">Intv_Ann_TO!J321+Intv_Ann_TO!J334</f>
        <v>83.673302872062635</v>
      </c>
      <c r="K22" s="5">
        <f ca="1">Intv_Ann_TO!K321+Intv_Ann_TO!K334</f>
        <v>83.673302872062635</v>
      </c>
      <c r="L22" s="5">
        <f ca="1">Intv_Ann_TO!L321+Intv_Ann_TO!L334</f>
        <v>83.673302872062635</v>
      </c>
      <c r="M22" s="5">
        <f ca="1">Intv_Ann_TO!M321+Intv_Ann_TO!M334</f>
        <v>83.673302872062635</v>
      </c>
      <c r="N22" s="5">
        <f ca="1">Intv_Ann_TO!N321+Intv_Ann_TO!N334</f>
        <v>83.673302872062635</v>
      </c>
      <c r="O22" s="5">
        <f ca="1">Intv_Ann_TO!O321+Intv_Ann_TO!O334</f>
        <v>83.673302872062635</v>
      </c>
    </row>
    <row r="23" spans="4:15" s="327" customFormat="1" hidden="1" outlineLevel="1" x14ac:dyDescent="0.2">
      <c r="D23" s="660" t="str">
        <f>Intv_Ann_TO!D322</f>
        <v>North-Western</v>
      </c>
      <c r="J23" s="5">
        <f ca="1">Intv_Ann_TO!J322+Intv_Ann_TO!J335</f>
        <v>99.66546997389031</v>
      </c>
      <c r="K23" s="5">
        <f ca="1">Intv_Ann_TO!K322+Intv_Ann_TO!K335</f>
        <v>99.66546997389031</v>
      </c>
      <c r="L23" s="5">
        <f ca="1">Intv_Ann_TO!L322+Intv_Ann_TO!L335</f>
        <v>99.66546997389031</v>
      </c>
      <c r="M23" s="5">
        <f ca="1">Intv_Ann_TO!M322+Intv_Ann_TO!M335</f>
        <v>99.66546997389031</v>
      </c>
      <c r="N23" s="5">
        <f ca="1">Intv_Ann_TO!N322+Intv_Ann_TO!N335</f>
        <v>99.66546997389031</v>
      </c>
      <c r="O23" s="5">
        <f ca="1">Intv_Ann_TO!O322+Intv_Ann_TO!O335</f>
        <v>99.66546997389031</v>
      </c>
    </row>
    <row r="24" spans="4:15" s="327" customFormat="1" hidden="1" outlineLevel="1" x14ac:dyDescent="0.2">
      <c r="D24" s="660" t="str">
        <f>Intv_Ann_TO!D323</f>
        <v>Southern</v>
      </c>
      <c r="J24" s="5">
        <f ca="1">Intv_Ann_TO!J323+Intv_Ann_TO!J336</f>
        <v>235.02774151436023</v>
      </c>
      <c r="K24" s="5">
        <f ca="1">Intv_Ann_TO!K323+Intv_Ann_TO!K336</f>
        <v>235.02774151436023</v>
      </c>
      <c r="L24" s="5">
        <f ca="1">Intv_Ann_TO!L323+Intv_Ann_TO!L336</f>
        <v>235.02774151436023</v>
      </c>
      <c r="M24" s="5">
        <f ca="1">Intv_Ann_TO!M323+Intv_Ann_TO!M336</f>
        <v>235.02774151436023</v>
      </c>
      <c r="N24" s="5">
        <f ca="1">Intv_Ann_TO!N323+Intv_Ann_TO!N336</f>
        <v>235.02774151436023</v>
      </c>
      <c r="O24" s="5">
        <f ca="1">Intv_Ann_TO!O323+Intv_Ann_TO!O336</f>
        <v>235.02774151436023</v>
      </c>
    </row>
    <row r="25" spans="4:15" s="327" customFormat="1" hidden="1" outlineLevel="1" x14ac:dyDescent="0.2">
      <c r="D25" s="660" t="str">
        <f>Intv_Ann_TO!D324</f>
        <v>Western</v>
      </c>
      <c r="J25" s="5">
        <f ca="1">Intv_Ann_TO!J324+Intv_Ann_TO!J337</f>
        <v>235.02774151436023</v>
      </c>
      <c r="K25" s="5">
        <f ca="1">Intv_Ann_TO!K324+Intv_Ann_TO!K337</f>
        <v>235.02774151436023</v>
      </c>
      <c r="L25" s="5">
        <f ca="1">Intv_Ann_TO!L324+Intv_Ann_TO!L337</f>
        <v>235.02774151436023</v>
      </c>
      <c r="M25" s="5">
        <f ca="1">Intv_Ann_TO!M324+Intv_Ann_TO!M337</f>
        <v>235.02774151436023</v>
      </c>
      <c r="N25" s="5">
        <f ca="1">Intv_Ann_TO!N324+Intv_Ann_TO!N337</f>
        <v>235.02774151436023</v>
      </c>
      <c r="O25" s="5">
        <f ca="1">Intv_Ann_TO!O324+Intv_Ann_TO!O337</f>
        <v>235.02774151436023</v>
      </c>
    </row>
    <row r="26" spans="4:15" s="327" customFormat="1" ht="15" collapsed="1" x14ac:dyDescent="0.2">
      <c r="D26" s="679" t="str">
        <f>"Total "&amp;D15</f>
        <v>Total Personnel Costs</v>
      </c>
      <c r="J26" s="562">
        <f t="shared" ref="J26:O26" ca="1" si="4">SUM(J16:J25)</f>
        <v>2439.0910574412524</v>
      </c>
      <c r="K26" s="562">
        <f t="shared" ca="1" si="4"/>
        <v>2439.0910574412524</v>
      </c>
      <c r="L26" s="562">
        <f t="shared" ca="1" si="4"/>
        <v>2439.0910574412524</v>
      </c>
      <c r="M26" s="562">
        <f t="shared" ca="1" si="4"/>
        <v>2439.0910574412524</v>
      </c>
      <c r="N26" s="562">
        <f t="shared" ca="1" si="4"/>
        <v>2439.0910574412524</v>
      </c>
      <c r="O26" s="562">
        <f t="shared" ca="1" si="4"/>
        <v>2439.0910574412524</v>
      </c>
    </row>
    <row r="27" spans="4:15" s="327" customFormat="1" x14ac:dyDescent="0.2"/>
    <row r="28" spans="4:15" s="327" customFormat="1" ht="15" x14ac:dyDescent="0.2">
      <c r="D28" s="658" t="s">
        <v>105</v>
      </c>
    </row>
    <row r="29" spans="4:15" s="327" customFormat="1" hidden="1" outlineLevel="1" x14ac:dyDescent="0.2">
      <c r="D29" s="660" t="str">
        <f>Intv_Ann_TO!D302</f>
        <v>Central</v>
      </c>
      <c r="J29" s="5">
        <f ca="1">Intv_Ann_TO!J302</f>
        <v>22026.78366666667</v>
      </c>
      <c r="K29" s="5">
        <f ca="1">Intv_Ann_TO!K302</f>
        <v>22026.78366666667</v>
      </c>
      <c r="L29" s="5">
        <f ca="1">Intv_Ann_TO!L302</f>
        <v>22026.78366666667</v>
      </c>
      <c r="M29" s="5">
        <f ca="1">Intv_Ann_TO!M302</f>
        <v>22026.78366666667</v>
      </c>
      <c r="N29" s="5">
        <f ca="1">Intv_Ann_TO!N302</f>
        <v>22026.78366666667</v>
      </c>
      <c r="O29" s="5">
        <f ca="1">Intv_Ann_TO!O302</f>
        <v>22026.78366666667</v>
      </c>
    </row>
    <row r="30" spans="4:15" s="327" customFormat="1" hidden="1" outlineLevel="1" x14ac:dyDescent="0.2">
      <c r="D30" s="660" t="str">
        <f>Intv_Ann_TO!D303</f>
        <v>Copperbelt</v>
      </c>
      <c r="J30" s="5">
        <f ca="1">Intv_Ann_TO!J303</f>
        <v>30882.526333333339</v>
      </c>
      <c r="K30" s="5">
        <f ca="1">Intv_Ann_TO!K303</f>
        <v>30882.526333333339</v>
      </c>
      <c r="L30" s="5">
        <f ca="1">Intv_Ann_TO!L303</f>
        <v>30882.526333333339</v>
      </c>
      <c r="M30" s="5">
        <f ca="1">Intv_Ann_TO!M303</f>
        <v>30882.526333333339</v>
      </c>
      <c r="N30" s="5">
        <f ca="1">Intv_Ann_TO!N303</f>
        <v>30882.526333333339</v>
      </c>
      <c r="O30" s="5">
        <f ca="1">Intv_Ann_TO!O303</f>
        <v>30882.526333333339</v>
      </c>
    </row>
    <row r="31" spans="4:15" s="327" customFormat="1" hidden="1" outlineLevel="1" x14ac:dyDescent="0.2">
      <c r="D31" s="660" t="str">
        <f>Intv_Ann_TO!D304</f>
        <v>Eastern</v>
      </c>
      <c r="J31" s="5">
        <f ca="1">Intv_Ann_TO!J304</f>
        <v>39813.31766666667</v>
      </c>
      <c r="K31" s="5">
        <f ca="1">Intv_Ann_TO!K304</f>
        <v>39813.31766666667</v>
      </c>
      <c r="L31" s="5">
        <f ca="1">Intv_Ann_TO!L304</f>
        <v>39813.31766666667</v>
      </c>
      <c r="M31" s="5">
        <f ca="1">Intv_Ann_TO!M304</f>
        <v>39813.31766666667</v>
      </c>
      <c r="N31" s="5">
        <f ca="1">Intv_Ann_TO!N304</f>
        <v>39813.31766666667</v>
      </c>
      <c r="O31" s="5">
        <f ca="1">Intv_Ann_TO!O304</f>
        <v>39813.31766666667</v>
      </c>
    </row>
    <row r="32" spans="4:15" s="327" customFormat="1" hidden="1" outlineLevel="1" x14ac:dyDescent="0.2">
      <c r="D32" s="660" t="str">
        <f>Intv_Ann_TO!D305</f>
        <v>Luapula</v>
      </c>
      <c r="J32" s="5">
        <f ca="1">Intv_Ann_TO!J305</f>
        <v>30807.477666666669</v>
      </c>
      <c r="K32" s="5">
        <f ca="1">Intv_Ann_TO!K305</f>
        <v>30807.477666666669</v>
      </c>
      <c r="L32" s="5">
        <f ca="1">Intv_Ann_TO!L305</f>
        <v>30807.477666666669</v>
      </c>
      <c r="M32" s="5">
        <f ca="1">Intv_Ann_TO!M305</f>
        <v>30807.477666666669</v>
      </c>
      <c r="N32" s="5">
        <f ca="1">Intv_Ann_TO!N305</f>
        <v>30807.477666666669</v>
      </c>
      <c r="O32" s="5">
        <f ca="1">Intv_Ann_TO!O305</f>
        <v>30807.477666666669</v>
      </c>
    </row>
    <row r="33" spans="4:15" s="327" customFormat="1" hidden="1" outlineLevel="1" x14ac:dyDescent="0.2">
      <c r="D33" s="660" t="str">
        <f>Intv_Ann_TO!D306</f>
        <v>Lusaka</v>
      </c>
      <c r="J33" s="5">
        <f ca="1">Intv_Ann_TO!J306</f>
        <v>111109.55100000002</v>
      </c>
      <c r="K33" s="5">
        <f ca="1">Intv_Ann_TO!K306</f>
        <v>111109.55100000002</v>
      </c>
      <c r="L33" s="5">
        <f ca="1">Intv_Ann_TO!L306</f>
        <v>111109.55100000002</v>
      </c>
      <c r="M33" s="5">
        <f ca="1">Intv_Ann_TO!M306</f>
        <v>111109.55100000002</v>
      </c>
      <c r="N33" s="5">
        <f ca="1">Intv_Ann_TO!N306</f>
        <v>111109.55100000002</v>
      </c>
      <c r="O33" s="5">
        <f ca="1">Intv_Ann_TO!O306</f>
        <v>111109.55100000002</v>
      </c>
    </row>
    <row r="34" spans="4:15" s="327" customFormat="1" hidden="1" outlineLevel="1" x14ac:dyDescent="0.2">
      <c r="D34" s="660" t="str">
        <f>Intv_Ann_TO!D307</f>
        <v>Muchinga</v>
      </c>
      <c r="J34" s="5">
        <f ca="1">Intv_Ann_TO!J307</f>
        <v>0</v>
      </c>
      <c r="K34" s="5">
        <f ca="1">Intv_Ann_TO!K307</f>
        <v>0</v>
      </c>
      <c r="L34" s="5">
        <f ca="1">Intv_Ann_TO!L307</f>
        <v>0</v>
      </c>
      <c r="M34" s="5">
        <f ca="1">Intv_Ann_TO!M307</f>
        <v>0</v>
      </c>
      <c r="N34" s="5">
        <f ca="1">Intv_Ann_TO!N307</f>
        <v>0</v>
      </c>
      <c r="O34" s="5">
        <f ca="1">Intv_Ann_TO!O307</f>
        <v>0</v>
      </c>
    </row>
    <row r="35" spans="4:15" s="327" customFormat="1" hidden="1" outlineLevel="1" x14ac:dyDescent="0.2">
      <c r="D35" s="660" t="str">
        <f>Intv_Ann_TO!D308</f>
        <v>Northern</v>
      </c>
      <c r="J35" s="5">
        <f ca="1">Intv_Ann_TO!J308</f>
        <v>10994.629666666668</v>
      </c>
      <c r="K35" s="5">
        <f ca="1">Intv_Ann_TO!K308</f>
        <v>10994.629666666668</v>
      </c>
      <c r="L35" s="5">
        <f ca="1">Intv_Ann_TO!L308</f>
        <v>10994.629666666668</v>
      </c>
      <c r="M35" s="5">
        <f ca="1">Intv_Ann_TO!M308</f>
        <v>10994.629666666668</v>
      </c>
      <c r="N35" s="5">
        <f ca="1">Intv_Ann_TO!N308</f>
        <v>10994.629666666668</v>
      </c>
      <c r="O35" s="5">
        <f ca="1">Intv_Ann_TO!O308</f>
        <v>10994.629666666668</v>
      </c>
    </row>
    <row r="36" spans="4:15" s="327" customFormat="1" hidden="1" outlineLevel="1" x14ac:dyDescent="0.2">
      <c r="D36" s="660" t="str">
        <f>Intv_Ann_TO!D309</f>
        <v>North-Western</v>
      </c>
      <c r="J36" s="5">
        <f ca="1">Intv_Ann_TO!J309</f>
        <v>13095.992333333335</v>
      </c>
      <c r="K36" s="5">
        <f ca="1">Intv_Ann_TO!K309</f>
        <v>13095.992333333335</v>
      </c>
      <c r="L36" s="5">
        <f ca="1">Intv_Ann_TO!L309</f>
        <v>13095.992333333335</v>
      </c>
      <c r="M36" s="5">
        <f ca="1">Intv_Ann_TO!M309</f>
        <v>13095.992333333335</v>
      </c>
      <c r="N36" s="5">
        <f ca="1">Intv_Ann_TO!N309</f>
        <v>13095.992333333335</v>
      </c>
      <c r="O36" s="5">
        <f ca="1">Intv_Ann_TO!O309</f>
        <v>13095.992333333335</v>
      </c>
    </row>
    <row r="37" spans="4:15" s="327" customFormat="1" hidden="1" outlineLevel="1" x14ac:dyDescent="0.2">
      <c r="D37" s="660" t="str">
        <f>Intv_Ann_TO!D310</f>
        <v>Southern</v>
      </c>
      <c r="J37" s="5">
        <f ca="1">Intv_Ann_TO!J310</f>
        <v>30882.526333333339</v>
      </c>
      <c r="K37" s="5">
        <f ca="1">Intv_Ann_TO!K310</f>
        <v>30882.526333333339</v>
      </c>
      <c r="L37" s="5">
        <f ca="1">Intv_Ann_TO!L310</f>
        <v>30882.526333333339</v>
      </c>
      <c r="M37" s="5">
        <f ca="1">Intv_Ann_TO!M310</f>
        <v>30882.526333333339</v>
      </c>
      <c r="N37" s="5">
        <f ca="1">Intv_Ann_TO!N310</f>
        <v>30882.526333333339</v>
      </c>
      <c r="O37" s="5">
        <f ca="1">Intv_Ann_TO!O310</f>
        <v>30882.526333333339</v>
      </c>
    </row>
    <row r="38" spans="4:15" s="327" customFormat="1" hidden="1" outlineLevel="1" x14ac:dyDescent="0.2">
      <c r="D38" s="660" t="str">
        <f>Intv_Ann_TO!D311</f>
        <v>Western</v>
      </c>
      <c r="J38" s="5">
        <f ca="1">Intv_Ann_TO!J311</f>
        <v>30882.526333333339</v>
      </c>
      <c r="K38" s="5">
        <f ca="1">Intv_Ann_TO!K311</f>
        <v>30882.526333333339</v>
      </c>
      <c r="L38" s="5">
        <f ca="1">Intv_Ann_TO!L311</f>
        <v>30882.526333333339</v>
      </c>
      <c r="M38" s="5">
        <f ca="1">Intv_Ann_TO!M311</f>
        <v>30882.526333333339</v>
      </c>
      <c r="N38" s="5">
        <f ca="1">Intv_Ann_TO!N311</f>
        <v>30882.526333333339</v>
      </c>
      <c r="O38" s="5">
        <f ca="1">Intv_Ann_TO!O311</f>
        <v>30882.526333333339</v>
      </c>
    </row>
    <row r="39" spans="4:15" s="327" customFormat="1" ht="15" collapsed="1" x14ac:dyDescent="0.2">
      <c r="D39" s="679" t="str">
        <f>"Total "&amp;D28</f>
        <v>Total Supply Costs</v>
      </c>
      <c r="J39" s="562">
        <f t="shared" ref="J39:O39" ca="1" si="5">SUM(J29:J38)</f>
        <v>320495.33100000006</v>
      </c>
      <c r="K39" s="562">
        <f t="shared" ca="1" si="5"/>
        <v>320495.33100000006</v>
      </c>
      <c r="L39" s="562">
        <f t="shared" ca="1" si="5"/>
        <v>320495.33100000006</v>
      </c>
      <c r="M39" s="562">
        <f t="shared" ca="1" si="5"/>
        <v>320495.33100000006</v>
      </c>
      <c r="N39" s="562">
        <f t="shared" ca="1" si="5"/>
        <v>320495.33100000006</v>
      </c>
      <c r="O39" s="562">
        <f t="shared" ca="1" si="5"/>
        <v>320495.33100000006</v>
      </c>
    </row>
    <row r="40" spans="4:15" s="327" customFormat="1" x14ac:dyDescent="0.2"/>
    <row r="41" spans="4:15" s="327" customFormat="1" ht="15" x14ac:dyDescent="0.2">
      <c r="D41" s="658" t="s">
        <v>1969</v>
      </c>
    </row>
    <row r="42" spans="4:15" s="327" customFormat="1" hidden="1" outlineLevel="1" x14ac:dyDescent="0.2">
      <c r="D42" s="660" t="str">
        <f>Intv_Ann_TO!D341</f>
        <v>Central</v>
      </c>
      <c r="J42" s="5">
        <f ca="1">Intv_Ann_TO!J341</f>
        <v>0</v>
      </c>
      <c r="K42" s="5">
        <f ca="1">Intv_Ann_TO!K341</f>
        <v>0</v>
      </c>
      <c r="L42" s="5">
        <f ca="1">Intv_Ann_TO!L341</f>
        <v>0</v>
      </c>
      <c r="M42" s="5">
        <f ca="1">Intv_Ann_TO!M341</f>
        <v>0</v>
      </c>
      <c r="N42" s="5">
        <f ca="1">Intv_Ann_TO!N341</f>
        <v>0</v>
      </c>
      <c r="O42" s="5">
        <f ca="1">Intv_Ann_TO!O341</f>
        <v>0</v>
      </c>
    </row>
    <row r="43" spans="4:15" s="327" customFormat="1" hidden="1" outlineLevel="1" x14ac:dyDescent="0.2">
      <c r="D43" s="660" t="str">
        <f>Intv_Ann_TO!D342</f>
        <v>Copperbelt</v>
      </c>
      <c r="J43" s="5">
        <f ca="1">Intv_Ann_TO!J342</f>
        <v>0</v>
      </c>
      <c r="K43" s="5">
        <f ca="1">Intv_Ann_TO!K342</f>
        <v>0</v>
      </c>
      <c r="L43" s="5">
        <f ca="1">Intv_Ann_TO!L342</f>
        <v>0</v>
      </c>
      <c r="M43" s="5">
        <f ca="1">Intv_Ann_TO!M342</f>
        <v>0</v>
      </c>
      <c r="N43" s="5">
        <f ca="1">Intv_Ann_TO!N342</f>
        <v>0</v>
      </c>
      <c r="O43" s="5">
        <f ca="1">Intv_Ann_TO!O342</f>
        <v>0</v>
      </c>
    </row>
    <row r="44" spans="4:15" s="327" customFormat="1" hidden="1" outlineLevel="1" x14ac:dyDescent="0.2">
      <c r="D44" s="660" t="str">
        <f>Intv_Ann_TO!D343</f>
        <v>Eastern</v>
      </c>
      <c r="J44" s="5">
        <f ca="1">Intv_Ann_TO!J343</f>
        <v>0</v>
      </c>
      <c r="K44" s="5">
        <f ca="1">Intv_Ann_TO!K343</f>
        <v>0</v>
      </c>
      <c r="L44" s="5">
        <f ca="1">Intv_Ann_TO!L343</f>
        <v>0</v>
      </c>
      <c r="M44" s="5">
        <f ca="1">Intv_Ann_TO!M343</f>
        <v>0</v>
      </c>
      <c r="N44" s="5">
        <f ca="1">Intv_Ann_TO!N343</f>
        <v>0</v>
      </c>
      <c r="O44" s="5">
        <f ca="1">Intv_Ann_TO!O343</f>
        <v>0</v>
      </c>
    </row>
    <row r="45" spans="4:15" s="327" customFormat="1" hidden="1" outlineLevel="1" x14ac:dyDescent="0.2">
      <c r="D45" s="660" t="str">
        <f>Intv_Ann_TO!D344</f>
        <v>Luapula</v>
      </c>
      <c r="J45" s="5">
        <f ca="1">Intv_Ann_TO!J344</f>
        <v>0</v>
      </c>
      <c r="K45" s="5">
        <f ca="1">Intv_Ann_TO!K344</f>
        <v>0</v>
      </c>
      <c r="L45" s="5">
        <f ca="1">Intv_Ann_TO!L344</f>
        <v>0</v>
      </c>
      <c r="M45" s="5">
        <f ca="1">Intv_Ann_TO!M344</f>
        <v>0</v>
      </c>
      <c r="N45" s="5">
        <f ca="1">Intv_Ann_TO!N344</f>
        <v>0</v>
      </c>
      <c r="O45" s="5">
        <f ca="1">Intv_Ann_TO!O344</f>
        <v>0</v>
      </c>
    </row>
    <row r="46" spans="4:15" s="327" customFormat="1" hidden="1" outlineLevel="1" x14ac:dyDescent="0.2">
      <c r="D46" s="660" t="str">
        <f>Intv_Ann_TO!D345</f>
        <v>Lusaka</v>
      </c>
      <c r="J46" s="5">
        <f ca="1">Intv_Ann_TO!J345</f>
        <v>0</v>
      </c>
      <c r="K46" s="5">
        <f ca="1">Intv_Ann_TO!K345</f>
        <v>0</v>
      </c>
      <c r="L46" s="5">
        <f ca="1">Intv_Ann_TO!L345</f>
        <v>0</v>
      </c>
      <c r="M46" s="5">
        <f ca="1">Intv_Ann_TO!M345</f>
        <v>0</v>
      </c>
      <c r="N46" s="5">
        <f ca="1">Intv_Ann_TO!N345</f>
        <v>0</v>
      </c>
      <c r="O46" s="5">
        <f ca="1">Intv_Ann_TO!O345</f>
        <v>0</v>
      </c>
    </row>
    <row r="47" spans="4:15" s="327" customFormat="1" hidden="1" outlineLevel="1" x14ac:dyDescent="0.2">
      <c r="D47" s="660" t="str">
        <f>Intv_Ann_TO!D346</f>
        <v>Muchinga</v>
      </c>
      <c r="J47" s="5">
        <f ca="1">Intv_Ann_TO!J346</f>
        <v>0</v>
      </c>
      <c r="K47" s="5">
        <f ca="1">Intv_Ann_TO!K346</f>
        <v>0</v>
      </c>
      <c r="L47" s="5">
        <f ca="1">Intv_Ann_TO!L346</f>
        <v>0</v>
      </c>
      <c r="M47" s="5">
        <f ca="1">Intv_Ann_TO!M346</f>
        <v>0</v>
      </c>
      <c r="N47" s="5">
        <f ca="1">Intv_Ann_TO!N346</f>
        <v>0</v>
      </c>
      <c r="O47" s="5">
        <f ca="1">Intv_Ann_TO!O346</f>
        <v>0</v>
      </c>
    </row>
    <row r="48" spans="4:15" s="327" customFormat="1" hidden="1" outlineLevel="1" x14ac:dyDescent="0.2">
      <c r="D48" s="660" t="str">
        <f>Intv_Ann_TO!D347</f>
        <v>Northern</v>
      </c>
      <c r="J48" s="5">
        <f ca="1">Intv_Ann_TO!J347</f>
        <v>0</v>
      </c>
      <c r="K48" s="5">
        <f ca="1">Intv_Ann_TO!K347</f>
        <v>0</v>
      </c>
      <c r="L48" s="5">
        <f ca="1">Intv_Ann_TO!L347</f>
        <v>0</v>
      </c>
      <c r="M48" s="5">
        <f ca="1">Intv_Ann_TO!M347</f>
        <v>0</v>
      </c>
      <c r="N48" s="5">
        <f ca="1">Intv_Ann_TO!N347</f>
        <v>0</v>
      </c>
      <c r="O48" s="5">
        <f ca="1">Intv_Ann_TO!O347</f>
        <v>0</v>
      </c>
    </row>
    <row r="49" spans="4:15" s="327" customFormat="1" hidden="1" outlineLevel="1" x14ac:dyDescent="0.2">
      <c r="D49" s="660" t="str">
        <f>Intv_Ann_TO!D348</f>
        <v>North-Western</v>
      </c>
      <c r="J49" s="5">
        <f ca="1">Intv_Ann_TO!J348</f>
        <v>0</v>
      </c>
      <c r="K49" s="5">
        <f ca="1">Intv_Ann_TO!K348</f>
        <v>0</v>
      </c>
      <c r="L49" s="5">
        <f ca="1">Intv_Ann_TO!L348</f>
        <v>0</v>
      </c>
      <c r="M49" s="5">
        <f ca="1">Intv_Ann_TO!M348</f>
        <v>0</v>
      </c>
      <c r="N49" s="5">
        <f ca="1">Intv_Ann_TO!N348</f>
        <v>0</v>
      </c>
      <c r="O49" s="5">
        <f ca="1">Intv_Ann_TO!O348</f>
        <v>0</v>
      </c>
    </row>
    <row r="50" spans="4:15" s="327" customFormat="1" hidden="1" outlineLevel="1" x14ac:dyDescent="0.2">
      <c r="D50" s="660" t="str">
        <f>Intv_Ann_TO!D349</f>
        <v>Southern</v>
      </c>
      <c r="J50" s="5">
        <f ca="1">Intv_Ann_TO!J349</f>
        <v>0</v>
      </c>
      <c r="K50" s="5">
        <f ca="1">Intv_Ann_TO!K349</f>
        <v>0</v>
      </c>
      <c r="L50" s="5">
        <f ca="1">Intv_Ann_TO!L349</f>
        <v>0</v>
      </c>
      <c r="M50" s="5">
        <f ca="1">Intv_Ann_TO!M349</f>
        <v>0</v>
      </c>
      <c r="N50" s="5">
        <f ca="1">Intv_Ann_TO!N349</f>
        <v>0</v>
      </c>
      <c r="O50" s="5">
        <f ca="1">Intv_Ann_TO!O349</f>
        <v>0</v>
      </c>
    </row>
    <row r="51" spans="4:15" s="327" customFormat="1" hidden="1" outlineLevel="1" x14ac:dyDescent="0.2">
      <c r="D51" s="660" t="str">
        <f>Intv_Ann_TO!D350</f>
        <v>Western</v>
      </c>
      <c r="J51" s="5">
        <f ca="1">Intv_Ann_TO!J350</f>
        <v>0</v>
      </c>
      <c r="K51" s="5">
        <f ca="1">Intv_Ann_TO!K350</f>
        <v>0</v>
      </c>
      <c r="L51" s="5">
        <f ca="1">Intv_Ann_TO!L350</f>
        <v>0</v>
      </c>
      <c r="M51" s="5">
        <f ca="1">Intv_Ann_TO!M350</f>
        <v>0</v>
      </c>
      <c r="N51" s="5">
        <f ca="1">Intv_Ann_TO!N350</f>
        <v>0</v>
      </c>
      <c r="O51" s="5">
        <f ca="1">Intv_Ann_TO!O350</f>
        <v>0</v>
      </c>
    </row>
    <row r="52" spans="4:15" s="327" customFormat="1" ht="15" collapsed="1" x14ac:dyDescent="0.2">
      <c r="D52" s="679" t="str">
        <f>"Total "&amp;D41</f>
        <v>Total Lab Tests and Other Direct Costs (ODC)</v>
      </c>
      <c r="J52" s="562">
        <f t="shared" ref="J52:O52" ca="1" si="6">SUM(J42:J51)</f>
        <v>0</v>
      </c>
      <c r="K52" s="562">
        <f t="shared" ca="1" si="6"/>
        <v>0</v>
      </c>
      <c r="L52" s="562">
        <f t="shared" ca="1" si="6"/>
        <v>0</v>
      </c>
      <c r="M52" s="562">
        <f t="shared" ca="1" si="6"/>
        <v>0</v>
      </c>
      <c r="N52" s="562">
        <f t="shared" ca="1" si="6"/>
        <v>0</v>
      </c>
      <c r="O52" s="562">
        <f t="shared" ca="1" si="6"/>
        <v>0</v>
      </c>
    </row>
    <row r="53" spans="4:15" s="327" customFormat="1" x14ac:dyDescent="0.2"/>
    <row r="54" spans="4:15" s="327" customFormat="1" ht="15" x14ac:dyDescent="0.2">
      <c r="D54" s="658" t="s">
        <v>1939</v>
      </c>
    </row>
    <row r="55" spans="4:15" s="327" customFormat="1" hidden="1" outlineLevel="1" x14ac:dyDescent="0.2">
      <c r="D55" s="660" t="str">
        <f>Intv_Ann_TO!D302</f>
        <v>Central</v>
      </c>
      <c r="J55" s="5">
        <f t="shared" ref="J55:O64" ca="1" si="7">J29+J42</f>
        <v>22026.78366666667</v>
      </c>
      <c r="K55" s="5">
        <f t="shared" ca="1" si="7"/>
        <v>22026.78366666667</v>
      </c>
      <c r="L55" s="5">
        <f t="shared" ca="1" si="7"/>
        <v>22026.78366666667</v>
      </c>
      <c r="M55" s="5">
        <f t="shared" ca="1" si="7"/>
        <v>22026.78366666667</v>
      </c>
      <c r="N55" s="5">
        <f t="shared" ca="1" si="7"/>
        <v>22026.78366666667</v>
      </c>
      <c r="O55" s="5">
        <f t="shared" ca="1" si="7"/>
        <v>22026.78366666667</v>
      </c>
    </row>
    <row r="56" spans="4:15" s="327" customFormat="1" hidden="1" outlineLevel="1" x14ac:dyDescent="0.2">
      <c r="D56" s="660" t="str">
        <f>Intv_Ann_TO!D303</f>
        <v>Copperbelt</v>
      </c>
      <c r="J56" s="5">
        <f t="shared" ca="1" si="7"/>
        <v>30882.526333333339</v>
      </c>
      <c r="K56" s="5">
        <f t="shared" ca="1" si="7"/>
        <v>30882.526333333339</v>
      </c>
      <c r="L56" s="5">
        <f t="shared" ca="1" si="7"/>
        <v>30882.526333333339</v>
      </c>
      <c r="M56" s="5">
        <f t="shared" ca="1" si="7"/>
        <v>30882.526333333339</v>
      </c>
      <c r="N56" s="5">
        <f t="shared" ca="1" si="7"/>
        <v>30882.526333333339</v>
      </c>
      <c r="O56" s="5">
        <f t="shared" ca="1" si="7"/>
        <v>30882.526333333339</v>
      </c>
    </row>
    <row r="57" spans="4:15" s="327" customFormat="1" hidden="1" outlineLevel="1" x14ac:dyDescent="0.2">
      <c r="D57" s="660" t="str">
        <f>Intv_Ann_TO!D304</f>
        <v>Eastern</v>
      </c>
      <c r="J57" s="5">
        <f t="shared" ca="1" si="7"/>
        <v>39813.31766666667</v>
      </c>
      <c r="K57" s="5">
        <f t="shared" ca="1" si="7"/>
        <v>39813.31766666667</v>
      </c>
      <c r="L57" s="5">
        <f t="shared" ca="1" si="7"/>
        <v>39813.31766666667</v>
      </c>
      <c r="M57" s="5">
        <f t="shared" ca="1" si="7"/>
        <v>39813.31766666667</v>
      </c>
      <c r="N57" s="5">
        <f t="shared" ca="1" si="7"/>
        <v>39813.31766666667</v>
      </c>
      <c r="O57" s="5">
        <f t="shared" ca="1" si="7"/>
        <v>39813.31766666667</v>
      </c>
    </row>
    <row r="58" spans="4:15" s="327" customFormat="1" hidden="1" outlineLevel="1" x14ac:dyDescent="0.2">
      <c r="D58" s="660" t="str">
        <f>Intv_Ann_TO!D305</f>
        <v>Luapula</v>
      </c>
      <c r="J58" s="5">
        <f t="shared" ca="1" si="7"/>
        <v>30807.477666666669</v>
      </c>
      <c r="K58" s="5">
        <f t="shared" ca="1" si="7"/>
        <v>30807.477666666669</v>
      </c>
      <c r="L58" s="5">
        <f t="shared" ca="1" si="7"/>
        <v>30807.477666666669</v>
      </c>
      <c r="M58" s="5">
        <f t="shared" ca="1" si="7"/>
        <v>30807.477666666669</v>
      </c>
      <c r="N58" s="5">
        <f t="shared" ca="1" si="7"/>
        <v>30807.477666666669</v>
      </c>
      <c r="O58" s="5">
        <f t="shared" ca="1" si="7"/>
        <v>30807.477666666669</v>
      </c>
    </row>
    <row r="59" spans="4:15" s="327" customFormat="1" hidden="1" outlineLevel="1" x14ac:dyDescent="0.2">
      <c r="D59" s="660" t="str">
        <f>Intv_Ann_TO!D306</f>
        <v>Lusaka</v>
      </c>
      <c r="J59" s="5">
        <f t="shared" ca="1" si="7"/>
        <v>111109.55100000002</v>
      </c>
      <c r="K59" s="5">
        <f t="shared" ca="1" si="7"/>
        <v>111109.55100000002</v>
      </c>
      <c r="L59" s="5">
        <f t="shared" ca="1" si="7"/>
        <v>111109.55100000002</v>
      </c>
      <c r="M59" s="5">
        <f t="shared" ca="1" si="7"/>
        <v>111109.55100000002</v>
      </c>
      <c r="N59" s="5">
        <f t="shared" ca="1" si="7"/>
        <v>111109.55100000002</v>
      </c>
      <c r="O59" s="5">
        <f t="shared" ca="1" si="7"/>
        <v>111109.55100000002</v>
      </c>
    </row>
    <row r="60" spans="4:15" s="327" customFormat="1" hidden="1" outlineLevel="1" x14ac:dyDescent="0.2">
      <c r="D60" s="660" t="str">
        <f>Intv_Ann_TO!D307</f>
        <v>Muchinga</v>
      </c>
      <c r="J60" s="5">
        <f t="shared" ca="1" si="7"/>
        <v>0</v>
      </c>
      <c r="K60" s="5">
        <f t="shared" ca="1" si="7"/>
        <v>0</v>
      </c>
      <c r="L60" s="5">
        <f t="shared" ca="1" si="7"/>
        <v>0</v>
      </c>
      <c r="M60" s="5">
        <f t="shared" ca="1" si="7"/>
        <v>0</v>
      </c>
      <c r="N60" s="5">
        <f t="shared" ca="1" si="7"/>
        <v>0</v>
      </c>
      <c r="O60" s="5">
        <f t="shared" ca="1" si="7"/>
        <v>0</v>
      </c>
    </row>
    <row r="61" spans="4:15" s="327" customFormat="1" hidden="1" outlineLevel="1" x14ac:dyDescent="0.2">
      <c r="D61" s="660" t="str">
        <f>Intv_Ann_TO!D308</f>
        <v>Northern</v>
      </c>
      <c r="J61" s="5">
        <f t="shared" ca="1" si="7"/>
        <v>10994.629666666668</v>
      </c>
      <c r="K61" s="5">
        <f t="shared" ca="1" si="7"/>
        <v>10994.629666666668</v>
      </c>
      <c r="L61" s="5">
        <f t="shared" ca="1" si="7"/>
        <v>10994.629666666668</v>
      </c>
      <c r="M61" s="5">
        <f t="shared" ca="1" si="7"/>
        <v>10994.629666666668</v>
      </c>
      <c r="N61" s="5">
        <f t="shared" ca="1" si="7"/>
        <v>10994.629666666668</v>
      </c>
      <c r="O61" s="5">
        <f t="shared" ca="1" si="7"/>
        <v>10994.629666666668</v>
      </c>
    </row>
    <row r="62" spans="4:15" s="327" customFormat="1" hidden="1" outlineLevel="1" x14ac:dyDescent="0.2">
      <c r="D62" s="660" t="str">
        <f>Intv_Ann_TO!D309</f>
        <v>North-Western</v>
      </c>
      <c r="J62" s="5">
        <f t="shared" ca="1" si="7"/>
        <v>13095.992333333335</v>
      </c>
      <c r="K62" s="5">
        <f t="shared" ca="1" si="7"/>
        <v>13095.992333333335</v>
      </c>
      <c r="L62" s="5">
        <f t="shared" ca="1" si="7"/>
        <v>13095.992333333335</v>
      </c>
      <c r="M62" s="5">
        <f t="shared" ca="1" si="7"/>
        <v>13095.992333333335</v>
      </c>
      <c r="N62" s="5">
        <f t="shared" ca="1" si="7"/>
        <v>13095.992333333335</v>
      </c>
      <c r="O62" s="5">
        <f t="shared" ca="1" si="7"/>
        <v>13095.992333333335</v>
      </c>
    </row>
    <row r="63" spans="4:15" s="327" customFormat="1" hidden="1" outlineLevel="1" x14ac:dyDescent="0.2">
      <c r="D63" s="660" t="str">
        <f>Intv_Ann_TO!D310</f>
        <v>Southern</v>
      </c>
      <c r="J63" s="5">
        <f t="shared" ca="1" si="7"/>
        <v>30882.526333333339</v>
      </c>
      <c r="K63" s="5">
        <f t="shared" ca="1" si="7"/>
        <v>30882.526333333339</v>
      </c>
      <c r="L63" s="5">
        <f t="shared" ca="1" si="7"/>
        <v>30882.526333333339</v>
      </c>
      <c r="M63" s="5">
        <f t="shared" ca="1" si="7"/>
        <v>30882.526333333339</v>
      </c>
      <c r="N63" s="5">
        <f t="shared" ca="1" si="7"/>
        <v>30882.526333333339</v>
      </c>
      <c r="O63" s="5">
        <f t="shared" ca="1" si="7"/>
        <v>30882.526333333339</v>
      </c>
    </row>
    <row r="64" spans="4:15" s="327" customFormat="1" hidden="1" outlineLevel="1" x14ac:dyDescent="0.2">
      <c r="D64" s="660" t="str">
        <f>Intv_Ann_TO!D311</f>
        <v>Western</v>
      </c>
      <c r="J64" s="5">
        <f t="shared" ca="1" si="7"/>
        <v>30882.526333333339</v>
      </c>
      <c r="K64" s="5">
        <f t="shared" ca="1" si="7"/>
        <v>30882.526333333339</v>
      </c>
      <c r="L64" s="5">
        <f t="shared" ca="1" si="7"/>
        <v>30882.526333333339</v>
      </c>
      <c r="M64" s="5">
        <f t="shared" ca="1" si="7"/>
        <v>30882.526333333339</v>
      </c>
      <c r="N64" s="5">
        <f t="shared" ca="1" si="7"/>
        <v>30882.526333333339</v>
      </c>
      <c r="O64" s="5">
        <f t="shared" ca="1" si="7"/>
        <v>30882.526333333339</v>
      </c>
    </row>
    <row r="65" spans="4:15" s="327" customFormat="1" ht="15.75" collapsed="1" thickBot="1" x14ac:dyDescent="0.25">
      <c r="D65" s="679" t="str">
        <f>"Total "&amp;D54</f>
        <v>Total Recurrent Financial Costs</v>
      </c>
      <c r="J65" s="624">
        <f t="shared" ref="J65:O65" ca="1" si="8">SUM(J55:J64)</f>
        <v>320495.33100000006</v>
      </c>
      <c r="K65" s="624">
        <f t="shared" ca="1" si="8"/>
        <v>320495.33100000006</v>
      </c>
      <c r="L65" s="624">
        <f t="shared" ca="1" si="8"/>
        <v>320495.33100000006</v>
      </c>
      <c r="M65" s="624">
        <f t="shared" ca="1" si="8"/>
        <v>320495.33100000006</v>
      </c>
      <c r="N65" s="624">
        <f t="shared" ca="1" si="8"/>
        <v>320495.33100000006</v>
      </c>
      <c r="O65" s="624">
        <f t="shared" ca="1" si="8"/>
        <v>320495.33100000006</v>
      </c>
    </row>
    <row r="66" spans="4:15" s="327" customFormat="1" ht="13.5" thickTop="1" x14ac:dyDescent="0.2"/>
    <row r="67" spans="4:15" s="327" customFormat="1" ht="15" x14ac:dyDescent="0.2">
      <c r="D67" s="658" t="s">
        <v>1940</v>
      </c>
    </row>
    <row r="68" spans="4:15" s="327" customFormat="1" hidden="1" outlineLevel="1" x14ac:dyDescent="0.2">
      <c r="D68" s="660" t="str">
        <f>Intv_Ann_TO!D302</f>
        <v>Central</v>
      </c>
      <c r="J68" s="5">
        <f t="shared" ref="J68:O77" ca="1" si="9">J16+J29+J42</f>
        <v>22194.415846823329</v>
      </c>
      <c r="K68" s="5">
        <f t="shared" ca="1" si="9"/>
        <v>22194.415846823329</v>
      </c>
      <c r="L68" s="5">
        <f t="shared" ca="1" si="9"/>
        <v>22194.415846823329</v>
      </c>
      <c r="M68" s="5">
        <f t="shared" ca="1" si="9"/>
        <v>22194.415846823329</v>
      </c>
      <c r="N68" s="5">
        <f t="shared" ca="1" si="9"/>
        <v>22194.415846823329</v>
      </c>
      <c r="O68" s="5">
        <f t="shared" ca="1" si="9"/>
        <v>22194.415846823329</v>
      </c>
    </row>
    <row r="69" spans="4:15" s="327" customFormat="1" hidden="1" outlineLevel="1" x14ac:dyDescent="0.2">
      <c r="D69" s="660" t="str">
        <f>Intv_Ann_TO!D303</f>
        <v>Copperbelt</v>
      </c>
      <c r="J69" s="5">
        <f t="shared" ca="1" si="9"/>
        <v>31117.5540748477</v>
      </c>
      <c r="K69" s="5">
        <f t="shared" ca="1" si="9"/>
        <v>31117.5540748477</v>
      </c>
      <c r="L69" s="5">
        <f t="shared" ca="1" si="9"/>
        <v>31117.5540748477</v>
      </c>
      <c r="M69" s="5">
        <f t="shared" ca="1" si="9"/>
        <v>31117.5540748477</v>
      </c>
      <c r="N69" s="5">
        <f t="shared" ca="1" si="9"/>
        <v>31117.5540748477</v>
      </c>
      <c r="O69" s="5">
        <f t="shared" ca="1" si="9"/>
        <v>31117.5540748477</v>
      </c>
    </row>
    <row r="70" spans="4:15" s="327" customFormat="1" hidden="1" outlineLevel="1" x14ac:dyDescent="0.2">
      <c r="D70" s="660" t="str">
        <f>Intv_Ann_TO!D304</f>
        <v>Eastern</v>
      </c>
      <c r="J70" s="5">
        <f t="shared" ca="1" si="9"/>
        <v>40116.3121183638</v>
      </c>
      <c r="K70" s="5">
        <f t="shared" ca="1" si="9"/>
        <v>40116.3121183638</v>
      </c>
      <c r="L70" s="5">
        <f t="shared" ca="1" si="9"/>
        <v>40116.3121183638</v>
      </c>
      <c r="M70" s="5">
        <f t="shared" ca="1" si="9"/>
        <v>40116.3121183638</v>
      </c>
      <c r="N70" s="5">
        <f t="shared" ca="1" si="9"/>
        <v>40116.3121183638</v>
      </c>
      <c r="O70" s="5">
        <f t="shared" ca="1" si="9"/>
        <v>40116.3121183638</v>
      </c>
    </row>
    <row r="71" spans="4:15" s="327" customFormat="1" hidden="1" outlineLevel="1" x14ac:dyDescent="0.2">
      <c r="D71" s="660" t="str">
        <f>Intv_Ann_TO!D305</f>
        <v>Luapula</v>
      </c>
      <c r="J71" s="5">
        <f t="shared" ca="1" si="9"/>
        <v>31041.934259355963</v>
      </c>
      <c r="K71" s="5">
        <f t="shared" ca="1" si="9"/>
        <v>31041.934259355963</v>
      </c>
      <c r="L71" s="5">
        <f t="shared" ca="1" si="9"/>
        <v>31041.934259355963</v>
      </c>
      <c r="M71" s="5">
        <f t="shared" ca="1" si="9"/>
        <v>31041.934259355963</v>
      </c>
      <c r="N71" s="5">
        <f t="shared" ca="1" si="9"/>
        <v>31041.934259355963</v>
      </c>
      <c r="O71" s="5">
        <f t="shared" ca="1" si="9"/>
        <v>31041.934259355963</v>
      </c>
    </row>
    <row r="72" spans="4:15" s="327" customFormat="1" hidden="1" outlineLevel="1" x14ac:dyDescent="0.2">
      <c r="D72" s="660" t="str">
        <f>Intv_Ann_TO!D306</f>
        <v>Lusaka</v>
      </c>
      <c r="J72" s="5">
        <f t="shared" ca="1" si="9"/>
        <v>111955.13683550915</v>
      </c>
      <c r="K72" s="5">
        <f t="shared" ca="1" si="9"/>
        <v>111955.13683550915</v>
      </c>
      <c r="L72" s="5">
        <f t="shared" ca="1" si="9"/>
        <v>111955.13683550915</v>
      </c>
      <c r="M72" s="5">
        <f t="shared" ca="1" si="9"/>
        <v>111955.13683550915</v>
      </c>
      <c r="N72" s="5">
        <f t="shared" ca="1" si="9"/>
        <v>111955.13683550915</v>
      </c>
      <c r="O72" s="5">
        <f t="shared" ca="1" si="9"/>
        <v>111955.13683550915</v>
      </c>
    </row>
    <row r="73" spans="4:15" s="327" customFormat="1" hidden="1" outlineLevel="1" x14ac:dyDescent="0.2">
      <c r="D73" s="660" t="str">
        <f>Intv_Ann_TO!D307</f>
        <v>Muchinga</v>
      </c>
      <c r="J73" s="5">
        <f t="shared" ca="1" si="9"/>
        <v>0</v>
      </c>
      <c r="K73" s="5">
        <f t="shared" ca="1" si="9"/>
        <v>0</v>
      </c>
      <c r="L73" s="5">
        <f t="shared" ca="1" si="9"/>
        <v>0</v>
      </c>
      <c r="M73" s="5">
        <f t="shared" ca="1" si="9"/>
        <v>0</v>
      </c>
      <c r="N73" s="5">
        <f t="shared" ca="1" si="9"/>
        <v>0</v>
      </c>
      <c r="O73" s="5">
        <f t="shared" ca="1" si="9"/>
        <v>0</v>
      </c>
    </row>
    <row r="74" spans="4:15" s="327" customFormat="1" hidden="1" outlineLevel="1" x14ac:dyDescent="0.2">
      <c r="D74" s="660" t="str">
        <f>Intv_Ann_TO!D308</f>
        <v>Northern</v>
      </c>
      <c r="J74" s="5">
        <f t="shared" ca="1" si="9"/>
        <v>11078.30296953873</v>
      </c>
      <c r="K74" s="5">
        <f t="shared" ca="1" si="9"/>
        <v>11078.30296953873</v>
      </c>
      <c r="L74" s="5">
        <f t="shared" ca="1" si="9"/>
        <v>11078.30296953873</v>
      </c>
      <c r="M74" s="5">
        <f t="shared" ca="1" si="9"/>
        <v>11078.30296953873</v>
      </c>
      <c r="N74" s="5">
        <f t="shared" ca="1" si="9"/>
        <v>11078.30296953873</v>
      </c>
      <c r="O74" s="5">
        <f t="shared" ca="1" si="9"/>
        <v>11078.30296953873</v>
      </c>
    </row>
    <row r="75" spans="4:15" s="327" customFormat="1" hidden="1" outlineLevel="1" x14ac:dyDescent="0.2">
      <c r="D75" s="660" t="str">
        <f>Intv_Ann_TO!D309</f>
        <v>North-Western</v>
      </c>
      <c r="J75" s="5">
        <f t="shared" ca="1" si="9"/>
        <v>13195.657803307226</v>
      </c>
      <c r="K75" s="5">
        <f t="shared" ca="1" si="9"/>
        <v>13195.657803307226</v>
      </c>
      <c r="L75" s="5">
        <f t="shared" ca="1" si="9"/>
        <v>13195.657803307226</v>
      </c>
      <c r="M75" s="5">
        <f t="shared" ca="1" si="9"/>
        <v>13195.657803307226</v>
      </c>
      <c r="N75" s="5">
        <f t="shared" ca="1" si="9"/>
        <v>13195.657803307226</v>
      </c>
      <c r="O75" s="5">
        <f t="shared" ca="1" si="9"/>
        <v>13195.657803307226</v>
      </c>
    </row>
    <row r="76" spans="4:15" s="327" customFormat="1" hidden="1" outlineLevel="1" x14ac:dyDescent="0.2">
      <c r="D76" s="660" t="str">
        <f>Intv_Ann_TO!D310</f>
        <v>Southern</v>
      </c>
      <c r="J76" s="5">
        <f t="shared" ca="1" si="9"/>
        <v>31117.5540748477</v>
      </c>
      <c r="K76" s="5">
        <f t="shared" ca="1" si="9"/>
        <v>31117.5540748477</v>
      </c>
      <c r="L76" s="5">
        <f t="shared" ca="1" si="9"/>
        <v>31117.5540748477</v>
      </c>
      <c r="M76" s="5">
        <f t="shared" ca="1" si="9"/>
        <v>31117.5540748477</v>
      </c>
      <c r="N76" s="5">
        <f t="shared" ca="1" si="9"/>
        <v>31117.5540748477</v>
      </c>
      <c r="O76" s="5">
        <f t="shared" ca="1" si="9"/>
        <v>31117.5540748477</v>
      </c>
    </row>
    <row r="77" spans="4:15" s="327" customFormat="1" hidden="1" outlineLevel="1" x14ac:dyDescent="0.2">
      <c r="D77" s="660" t="str">
        <f>Intv_Ann_TO!D311</f>
        <v>Western</v>
      </c>
      <c r="J77" s="5">
        <f t="shared" ca="1" si="9"/>
        <v>31117.5540748477</v>
      </c>
      <c r="K77" s="5">
        <f t="shared" ca="1" si="9"/>
        <v>31117.5540748477</v>
      </c>
      <c r="L77" s="5">
        <f t="shared" ca="1" si="9"/>
        <v>31117.5540748477</v>
      </c>
      <c r="M77" s="5">
        <f t="shared" ca="1" si="9"/>
        <v>31117.5540748477</v>
      </c>
      <c r="N77" s="5">
        <f t="shared" ca="1" si="9"/>
        <v>31117.5540748477</v>
      </c>
      <c r="O77" s="5">
        <f t="shared" ca="1" si="9"/>
        <v>31117.5540748477</v>
      </c>
    </row>
    <row r="78" spans="4:15" s="327" customFormat="1" ht="15.75" collapsed="1" thickBot="1" x14ac:dyDescent="0.25">
      <c r="D78" s="679" t="str">
        <f>"Total "&amp;D67</f>
        <v>Total Recurrent Economic Costs</v>
      </c>
      <c r="J78" s="624">
        <f t="shared" ref="J78:O78" ca="1" si="10">SUM(J68:J77)</f>
        <v>322934.42205744132</v>
      </c>
      <c r="K78" s="624">
        <f t="shared" ca="1" si="10"/>
        <v>322934.42205744132</v>
      </c>
      <c r="L78" s="624">
        <f t="shared" ca="1" si="10"/>
        <v>322934.42205744132</v>
      </c>
      <c r="M78" s="624">
        <f t="shared" ca="1" si="10"/>
        <v>322934.42205744132</v>
      </c>
      <c r="N78" s="624">
        <f t="shared" ca="1" si="10"/>
        <v>322934.42205744132</v>
      </c>
      <c r="O78" s="624">
        <f t="shared" ca="1" si="10"/>
        <v>322934.42205744132</v>
      </c>
    </row>
    <row r="79" spans="4:15" s="327" customFormat="1" ht="13.5" thickTop="1" x14ac:dyDescent="0.2"/>
    <row r="80" spans="4:15" s="327" customFormat="1" x14ac:dyDescent="0.2"/>
    <row r="81" spans="3:15" s="327" customFormat="1" ht="15.75" x14ac:dyDescent="0.2">
      <c r="C81" s="330" t="s">
        <v>1932</v>
      </c>
    </row>
    <row r="82" spans="3:15" s="327" customFormat="1" ht="15" x14ac:dyDescent="0.2">
      <c r="D82" s="646" t="str">
        <f>Intv_Ann_TO!D356</f>
        <v>Financial Capital Expenditures (Capex) (NonAnnualized)</v>
      </c>
    </row>
    <row r="83" spans="3:15" s="327" customFormat="1" hidden="1" outlineLevel="1" x14ac:dyDescent="0.2">
      <c r="D83" s="660" t="str">
        <f>Intv_Ann_TO!D357</f>
        <v>Central</v>
      </c>
      <c r="J83" s="5">
        <f>Intv_Ann_TO!J357</f>
        <v>1000</v>
      </c>
      <c r="K83" s="5">
        <f>Intv_Ann_TO!K357</f>
        <v>0</v>
      </c>
      <c r="L83" s="5">
        <f>Intv_Ann_TO!L357</f>
        <v>0</v>
      </c>
      <c r="M83" s="5">
        <f>Intv_Ann_TO!M357</f>
        <v>0</v>
      </c>
      <c r="N83" s="5">
        <f>Intv_Ann_TO!N357</f>
        <v>0</v>
      </c>
      <c r="O83" s="5">
        <f>Intv_Ann_TO!O357</f>
        <v>0</v>
      </c>
    </row>
    <row r="84" spans="3:15" s="327" customFormat="1" hidden="1" outlineLevel="1" x14ac:dyDescent="0.2">
      <c r="D84" s="660" t="str">
        <f>Intv_Ann_TO!D358</f>
        <v>Copperbelt</v>
      </c>
      <c r="J84" s="5">
        <f>Intv_Ann_TO!J358</f>
        <v>1500</v>
      </c>
      <c r="K84" s="5">
        <f>Intv_Ann_TO!K358</f>
        <v>0</v>
      </c>
      <c r="L84" s="5">
        <f>Intv_Ann_TO!L358</f>
        <v>0</v>
      </c>
      <c r="M84" s="5">
        <f>Intv_Ann_TO!M358</f>
        <v>0</v>
      </c>
      <c r="N84" s="5">
        <f>Intv_Ann_TO!N358</f>
        <v>0</v>
      </c>
      <c r="O84" s="5">
        <f>Intv_Ann_TO!O358</f>
        <v>0</v>
      </c>
    </row>
    <row r="85" spans="3:15" s="327" customFormat="1" hidden="1" outlineLevel="1" x14ac:dyDescent="0.2">
      <c r="D85" s="660" t="str">
        <f>Intv_Ann_TO!D359</f>
        <v>Eastern</v>
      </c>
      <c r="J85" s="5">
        <f>Intv_Ann_TO!J359</f>
        <v>2000</v>
      </c>
      <c r="K85" s="5">
        <f>Intv_Ann_TO!K359</f>
        <v>0</v>
      </c>
      <c r="L85" s="5">
        <f>Intv_Ann_TO!L359</f>
        <v>0</v>
      </c>
      <c r="M85" s="5">
        <f>Intv_Ann_TO!M359</f>
        <v>0</v>
      </c>
      <c r="N85" s="5">
        <f>Intv_Ann_TO!N359</f>
        <v>0</v>
      </c>
      <c r="O85" s="5">
        <f>Intv_Ann_TO!O359</f>
        <v>0</v>
      </c>
    </row>
    <row r="86" spans="3:15" s="327" customFormat="1" hidden="1" outlineLevel="1" x14ac:dyDescent="0.2">
      <c r="D86" s="660" t="str">
        <f>Intv_Ann_TO!D360</f>
        <v>Luapula</v>
      </c>
      <c r="J86" s="5">
        <f>Intv_Ann_TO!J360</f>
        <v>1000</v>
      </c>
      <c r="K86" s="5">
        <f>Intv_Ann_TO!K360</f>
        <v>0</v>
      </c>
      <c r="L86" s="5">
        <f>Intv_Ann_TO!L360</f>
        <v>0</v>
      </c>
      <c r="M86" s="5">
        <f>Intv_Ann_TO!M360</f>
        <v>0</v>
      </c>
      <c r="N86" s="5">
        <f>Intv_Ann_TO!N360</f>
        <v>0</v>
      </c>
      <c r="O86" s="5">
        <f>Intv_Ann_TO!O360</f>
        <v>0</v>
      </c>
    </row>
    <row r="87" spans="3:15" s="327" customFormat="1" hidden="1" outlineLevel="1" x14ac:dyDescent="0.2">
      <c r="D87" s="660" t="str">
        <f>Intv_Ann_TO!D361</f>
        <v>Lusaka</v>
      </c>
      <c r="J87" s="5">
        <f>Intv_Ann_TO!J361</f>
        <v>6000</v>
      </c>
      <c r="K87" s="5">
        <f>Intv_Ann_TO!K361</f>
        <v>0</v>
      </c>
      <c r="L87" s="5">
        <f>Intv_Ann_TO!L361</f>
        <v>0</v>
      </c>
      <c r="M87" s="5">
        <f>Intv_Ann_TO!M361</f>
        <v>0</v>
      </c>
      <c r="N87" s="5">
        <f>Intv_Ann_TO!N361</f>
        <v>0</v>
      </c>
      <c r="O87" s="5">
        <f>Intv_Ann_TO!O361</f>
        <v>0</v>
      </c>
    </row>
    <row r="88" spans="3:15" s="327" customFormat="1" hidden="1" outlineLevel="1" x14ac:dyDescent="0.2">
      <c r="D88" s="660" t="str">
        <f>Intv_Ann_TO!D362</f>
        <v>Muchinga</v>
      </c>
      <c r="J88" s="5">
        <f>Intv_Ann_TO!J362</f>
        <v>0</v>
      </c>
      <c r="K88" s="5">
        <f>Intv_Ann_TO!K362</f>
        <v>0</v>
      </c>
      <c r="L88" s="5">
        <f>Intv_Ann_TO!L362</f>
        <v>0</v>
      </c>
      <c r="M88" s="5">
        <f>Intv_Ann_TO!M362</f>
        <v>0</v>
      </c>
      <c r="N88" s="5">
        <f>Intv_Ann_TO!N362</f>
        <v>0</v>
      </c>
      <c r="O88" s="5">
        <f>Intv_Ann_TO!O362</f>
        <v>0</v>
      </c>
    </row>
    <row r="89" spans="3:15" s="327" customFormat="1" hidden="1" outlineLevel="1" x14ac:dyDescent="0.2">
      <c r="D89" s="660" t="str">
        <f>Intv_Ann_TO!D363</f>
        <v>Northern</v>
      </c>
      <c r="J89" s="5">
        <f>Intv_Ann_TO!J363</f>
        <v>500</v>
      </c>
      <c r="K89" s="5">
        <f>Intv_Ann_TO!K363</f>
        <v>0</v>
      </c>
      <c r="L89" s="5">
        <f>Intv_Ann_TO!L363</f>
        <v>0</v>
      </c>
      <c r="M89" s="5">
        <f>Intv_Ann_TO!M363</f>
        <v>0</v>
      </c>
      <c r="N89" s="5">
        <f>Intv_Ann_TO!N363</f>
        <v>0</v>
      </c>
      <c r="O89" s="5">
        <f>Intv_Ann_TO!O363</f>
        <v>0</v>
      </c>
    </row>
    <row r="90" spans="3:15" s="327" customFormat="1" hidden="1" outlineLevel="1" x14ac:dyDescent="0.2">
      <c r="D90" s="660" t="str">
        <f>Intv_Ann_TO!D364</f>
        <v>North-Western</v>
      </c>
      <c r="J90" s="5">
        <f>Intv_Ann_TO!J364</f>
        <v>500</v>
      </c>
      <c r="K90" s="5">
        <f>Intv_Ann_TO!K364</f>
        <v>0</v>
      </c>
      <c r="L90" s="5">
        <f>Intv_Ann_TO!L364</f>
        <v>0</v>
      </c>
      <c r="M90" s="5">
        <f>Intv_Ann_TO!M364</f>
        <v>0</v>
      </c>
      <c r="N90" s="5">
        <f>Intv_Ann_TO!N364</f>
        <v>0</v>
      </c>
      <c r="O90" s="5">
        <f>Intv_Ann_TO!O364</f>
        <v>0</v>
      </c>
    </row>
    <row r="91" spans="3:15" s="327" customFormat="1" hidden="1" outlineLevel="1" x14ac:dyDescent="0.2">
      <c r="D91" s="660" t="str">
        <f>Intv_Ann_TO!D365</f>
        <v>Southern</v>
      </c>
      <c r="J91" s="5">
        <f>Intv_Ann_TO!J365</f>
        <v>1500</v>
      </c>
      <c r="K91" s="5">
        <f>Intv_Ann_TO!K365</f>
        <v>0</v>
      </c>
      <c r="L91" s="5">
        <f>Intv_Ann_TO!L365</f>
        <v>0</v>
      </c>
      <c r="M91" s="5">
        <f>Intv_Ann_TO!M365</f>
        <v>0</v>
      </c>
      <c r="N91" s="5">
        <f>Intv_Ann_TO!N365</f>
        <v>0</v>
      </c>
      <c r="O91" s="5">
        <f>Intv_Ann_TO!O365</f>
        <v>0</v>
      </c>
    </row>
    <row r="92" spans="3:15" s="327" customFormat="1" hidden="1" outlineLevel="1" x14ac:dyDescent="0.2">
      <c r="D92" s="660" t="str">
        <f>Intv_Ann_TO!D366</f>
        <v>Western</v>
      </c>
      <c r="J92" s="5">
        <f>Intv_Ann_TO!J366</f>
        <v>1500</v>
      </c>
      <c r="K92" s="5">
        <f>Intv_Ann_TO!K366</f>
        <v>0</v>
      </c>
      <c r="L92" s="5">
        <f>Intv_Ann_TO!L366</f>
        <v>0</v>
      </c>
      <c r="M92" s="5">
        <f>Intv_Ann_TO!M366</f>
        <v>0</v>
      </c>
      <c r="N92" s="5">
        <f>Intv_Ann_TO!N366</f>
        <v>0</v>
      </c>
      <c r="O92" s="5">
        <f>Intv_Ann_TO!O366</f>
        <v>0</v>
      </c>
    </row>
    <row r="93" spans="3:15" s="327" customFormat="1" ht="15.75" collapsed="1" thickBot="1" x14ac:dyDescent="0.25">
      <c r="D93" s="679" t="str">
        <f>"Total "&amp;D82</f>
        <v>Total Financial Capital Expenditures (Capex) (NonAnnualized)</v>
      </c>
      <c r="J93" s="624">
        <f t="shared" ref="J93:O93" si="11">SUM(J83:J92)</f>
        <v>15500</v>
      </c>
      <c r="K93" s="624">
        <f t="shared" si="11"/>
        <v>0</v>
      </c>
      <c r="L93" s="624">
        <f t="shared" si="11"/>
        <v>0</v>
      </c>
      <c r="M93" s="624">
        <f t="shared" si="11"/>
        <v>0</v>
      </c>
      <c r="N93" s="624">
        <f t="shared" si="11"/>
        <v>0</v>
      </c>
      <c r="O93" s="624">
        <f t="shared" si="11"/>
        <v>0</v>
      </c>
    </row>
    <row r="94" spans="3:15" s="327" customFormat="1" ht="13.5" thickTop="1" x14ac:dyDescent="0.2"/>
    <row r="95" spans="3:15" s="327" customFormat="1" ht="15" x14ac:dyDescent="0.2">
      <c r="D95" s="646" t="str">
        <f>Intv_Ann_TO!D368</f>
        <v>Financial Capital Expenditures (Capex) (Annualized)</v>
      </c>
    </row>
    <row r="96" spans="3:15" s="327" customFormat="1" hidden="1" outlineLevel="1" x14ac:dyDescent="0.2">
      <c r="D96" s="660" t="str">
        <f>Intv_Ann_TO!D369</f>
        <v>Central</v>
      </c>
      <c r="J96" s="5">
        <f>Intv_Ann_TO!J369</f>
        <v>287.5</v>
      </c>
      <c r="K96" s="5">
        <f>Intv_Ann_TO!K369</f>
        <v>287.5</v>
      </c>
      <c r="L96" s="5">
        <f>Intv_Ann_TO!L369</f>
        <v>287.5</v>
      </c>
      <c r="M96" s="5">
        <f>Intv_Ann_TO!M369</f>
        <v>287.5</v>
      </c>
      <c r="N96" s="5">
        <f>Intv_Ann_TO!N369</f>
        <v>287.5</v>
      </c>
      <c r="O96" s="5">
        <f>Intv_Ann_TO!O369</f>
        <v>287.5</v>
      </c>
    </row>
    <row r="97" spans="4:15" s="327" customFormat="1" hidden="1" outlineLevel="1" x14ac:dyDescent="0.2">
      <c r="D97" s="660" t="str">
        <f>Intv_Ann_TO!D370</f>
        <v>Copperbelt</v>
      </c>
      <c r="J97" s="5">
        <f>Intv_Ann_TO!J370</f>
        <v>431.25</v>
      </c>
      <c r="K97" s="5">
        <f>Intv_Ann_TO!K370</f>
        <v>431.25</v>
      </c>
      <c r="L97" s="5">
        <f>Intv_Ann_TO!L370</f>
        <v>431.25</v>
      </c>
      <c r="M97" s="5">
        <f>Intv_Ann_TO!M370</f>
        <v>431.25</v>
      </c>
      <c r="N97" s="5">
        <f>Intv_Ann_TO!N370</f>
        <v>431.25</v>
      </c>
      <c r="O97" s="5">
        <f>Intv_Ann_TO!O370</f>
        <v>431.25</v>
      </c>
    </row>
    <row r="98" spans="4:15" s="327" customFormat="1" hidden="1" outlineLevel="1" x14ac:dyDescent="0.2">
      <c r="D98" s="660" t="str">
        <f>Intv_Ann_TO!D371</f>
        <v>Eastern</v>
      </c>
      <c r="J98" s="5">
        <f>Intv_Ann_TO!J371</f>
        <v>575</v>
      </c>
      <c r="K98" s="5">
        <f>Intv_Ann_TO!K371</f>
        <v>575</v>
      </c>
      <c r="L98" s="5">
        <f>Intv_Ann_TO!L371</f>
        <v>575</v>
      </c>
      <c r="M98" s="5">
        <f>Intv_Ann_TO!M371</f>
        <v>575</v>
      </c>
      <c r="N98" s="5">
        <f>Intv_Ann_TO!N371</f>
        <v>575</v>
      </c>
      <c r="O98" s="5">
        <f>Intv_Ann_TO!O371</f>
        <v>575</v>
      </c>
    </row>
    <row r="99" spans="4:15" s="327" customFormat="1" hidden="1" outlineLevel="1" x14ac:dyDescent="0.2">
      <c r="D99" s="660" t="str">
        <f>Intv_Ann_TO!D372</f>
        <v>Luapula</v>
      </c>
      <c r="J99" s="5">
        <f>Intv_Ann_TO!J372</f>
        <v>287.5</v>
      </c>
      <c r="K99" s="5">
        <f>Intv_Ann_TO!K372</f>
        <v>287.5</v>
      </c>
      <c r="L99" s="5">
        <f>Intv_Ann_TO!L372</f>
        <v>287.5</v>
      </c>
      <c r="M99" s="5">
        <f>Intv_Ann_TO!M372</f>
        <v>287.5</v>
      </c>
      <c r="N99" s="5">
        <f>Intv_Ann_TO!N372</f>
        <v>287.5</v>
      </c>
      <c r="O99" s="5">
        <f>Intv_Ann_TO!O372</f>
        <v>287.5</v>
      </c>
    </row>
    <row r="100" spans="4:15" s="327" customFormat="1" hidden="1" outlineLevel="1" x14ac:dyDescent="0.2">
      <c r="D100" s="660" t="str">
        <f>Intv_Ann_TO!D373</f>
        <v>Lusaka</v>
      </c>
      <c r="J100" s="5">
        <f>Intv_Ann_TO!J373</f>
        <v>1725</v>
      </c>
      <c r="K100" s="5">
        <f>Intv_Ann_TO!K373</f>
        <v>1725</v>
      </c>
      <c r="L100" s="5">
        <f>Intv_Ann_TO!L373</f>
        <v>1725</v>
      </c>
      <c r="M100" s="5">
        <f>Intv_Ann_TO!M373</f>
        <v>1725</v>
      </c>
      <c r="N100" s="5">
        <f>Intv_Ann_TO!N373</f>
        <v>1725</v>
      </c>
      <c r="O100" s="5">
        <f>Intv_Ann_TO!O373</f>
        <v>1725</v>
      </c>
    </row>
    <row r="101" spans="4:15" s="327" customFormat="1" hidden="1" outlineLevel="1" x14ac:dyDescent="0.2">
      <c r="D101" s="660" t="str">
        <f>Intv_Ann_TO!D374</f>
        <v>Muchinga</v>
      </c>
      <c r="J101" s="5">
        <f>Intv_Ann_TO!J374</f>
        <v>0</v>
      </c>
      <c r="K101" s="5">
        <f>Intv_Ann_TO!K374</f>
        <v>0</v>
      </c>
      <c r="L101" s="5">
        <f>Intv_Ann_TO!L374</f>
        <v>0</v>
      </c>
      <c r="M101" s="5">
        <f>Intv_Ann_TO!M374</f>
        <v>0</v>
      </c>
      <c r="N101" s="5">
        <f>Intv_Ann_TO!N374</f>
        <v>0</v>
      </c>
      <c r="O101" s="5">
        <f>Intv_Ann_TO!O374</f>
        <v>0</v>
      </c>
    </row>
    <row r="102" spans="4:15" s="327" customFormat="1" hidden="1" outlineLevel="1" x14ac:dyDescent="0.2">
      <c r="D102" s="660" t="str">
        <f>Intv_Ann_TO!D375</f>
        <v>Northern</v>
      </c>
      <c r="J102" s="5">
        <f>Intv_Ann_TO!J375</f>
        <v>143.75</v>
      </c>
      <c r="K102" s="5">
        <f>Intv_Ann_TO!K375</f>
        <v>143.75</v>
      </c>
      <c r="L102" s="5">
        <f>Intv_Ann_TO!L375</f>
        <v>143.75</v>
      </c>
      <c r="M102" s="5">
        <f>Intv_Ann_TO!M375</f>
        <v>143.75</v>
      </c>
      <c r="N102" s="5">
        <f>Intv_Ann_TO!N375</f>
        <v>143.75</v>
      </c>
      <c r="O102" s="5">
        <f>Intv_Ann_TO!O375</f>
        <v>143.75</v>
      </c>
    </row>
    <row r="103" spans="4:15" s="327" customFormat="1" hidden="1" outlineLevel="1" x14ac:dyDescent="0.2">
      <c r="D103" s="660" t="str">
        <f>Intv_Ann_TO!D376</f>
        <v>North-Western</v>
      </c>
      <c r="J103" s="5">
        <f>Intv_Ann_TO!J376</f>
        <v>143.75</v>
      </c>
      <c r="K103" s="5">
        <f>Intv_Ann_TO!K376</f>
        <v>143.75</v>
      </c>
      <c r="L103" s="5">
        <f>Intv_Ann_TO!L376</f>
        <v>143.75</v>
      </c>
      <c r="M103" s="5">
        <f>Intv_Ann_TO!M376</f>
        <v>143.75</v>
      </c>
      <c r="N103" s="5">
        <f>Intv_Ann_TO!N376</f>
        <v>143.75</v>
      </c>
      <c r="O103" s="5">
        <f>Intv_Ann_TO!O376</f>
        <v>143.75</v>
      </c>
    </row>
    <row r="104" spans="4:15" s="327" customFormat="1" hidden="1" outlineLevel="1" x14ac:dyDescent="0.2">
      <c r="D104" s="660" t="str">
        <f>Intv_Ann_TO!D377</f>
        <v>Southern</v>
      </c>
      <c r="J104" s="5">
        <f>Intv_Ann_TO!J377</f>
        <v>431.25</v>
      </c>
      <c r="K104" s="5">
        <f>Intv_Ann_TO!K377</f>
        <v>431.25</v>
      </c>
      <c r="L104" s="5">
        <f>Intv_Ann_TO!L377</f>
        <v>431.25</v>
      </c>
      <c r="M104" s="5">
        <f>Intv_Ann_TO!M377</f>
        <v>431.25</v>
      </c>
      <c r="N104" s="5">
        <f>Intv_Ann_TO!N377</f>
        <v>431.25</v>
      </c>
      <c r="O104" s="5">
        <f>Intv_Ann_TO!O377</f>
        <v>431.25</v>
      </c>
    </row>
    <row r="105" spans="4:15" s="327" customFormat="1" hidden="1" outlineLevel="1" x14ac:dyDescent="0.2">
      <c r="D105" s="660" t="str">
        <f>Intv_Ann_TO!D378</f>
        <v>Western</v>
      </c>
      <c r="J105" s="5">
        <f>Intv_Ann_TO!J378</f>
        <v>431.25</v>
      </c>
      <c r="K105" s="5">
        <f>Intv_Ann_TO!K378</f>
        <v>431.25</v>
      </c>
      <c r="L105" s="5">
        <f>Intv_Ann_TO!L378</f>
        <v>431.25</v>
      </c>
      <c r="M105" s="5">
        <f>Intv_Ann_TO!M378</f>
        <v>431.25</v>
      </c>
      <c r="N105" s="5">
        <f>Intv_Ann_TO!N378</f>
        <v>431.25</v>
      </c>
      <c r="O105" s="5">
        <f>Intv_Ann_TO!O378</f>
        <v>431.25</v>
      </c>
    </row>
    <row r="106" spans="4:15" s="327" customFormat="1" ht="15.75" collapsed="1" thickBot="1" x14ac:dyDescent="0.25">
      <c r="D106" s="679" t="str">
        <f>"Total "&amp;D95</f>
        <v>Total Financial Capital Expenditures (Capex) (Annualized)</v>
      </c>
      <c r="J106" s="624">
        <f t="shared" ref="J106:O106" si="12">SUM(J96:J105)</f>
        <v>4456.25</v>
      </c>
      <c r="K106" s="624">
        <f t="shared" si="12"/>
        <v>4456.25</v>
      </c>
      <c r="L106" s="624">
        <f t="shared" si="12"/>
        <v>4456.25</v>
      </c>
      <c r="M106" s="624">
        <f t="shared" si="12"/>
        <v>4456.25</v>
      </c>
      <c r="N106" s="624">
        <f t="shared" si="12"/>
        <v>4456.25</v>
      </c>
      <c r="O106" s="624">
        <f t="shared" si="12"/>
        <v>4456.25</v>
      </c>
    </row>
    <row r="107" spans="4:15" s="327" customFormat="1" ht="13.5" thickTop="1" x14ac:dyDescent="0.2"/>
    <row r="108" spans="4:15" s="327" customFormat="1" ht="15" x14ac:dyDescent="0.2">
      <c r="D108" s="646" t="str">
        <f>Intv_Ann_TO!D381</f>
        <v>Economic Capex (NonAnnualized)</v>
      </c>
    </row>
    <row r="109" spans="4:15" s="327" customFormat="1" hidden="1" outlineLevel="1" x14ac:dyDescent="0.2">
      <c r="D109" s="660" t="str">
        <f>Intv_Ann_TO!D382</f>
        <v>Central</v>
      </c>
      <c r="J109" s="5">
        <f>Intv_Ann_TO!J382</f>
        <v>1000</v>
      </c>
      <c r="K109" s="5">
        <f>Intv_Ann_TO!K382</f>
        <v>0</v>
      </c>
      <c r="L109" s="5">
        <f>Intv_Ann_TO!L382</f>
        <v>0</v>
      </c>
      <c r="M109" s="5">
        <f>Intv_Ann_TO!M382</f>
        <v>0</v>
      </c>
      <c r="N109" s="5">
        <f>Intv_Ann_TO!N382</f>
        <v>0</v>
      </c>
      <c r="O109" s="5">
        <f>Intv_Ann_TO!O382</f>
        <v>0</v>
      </c>
    </row>
    <row r="110" spans="4:15" s="327" customFormat="1" hidden="1" outlineLevel="1" x14ac:dyDescent="0.2">
      <c r="D110" s="660" t="str">
        <f>Intv_Ann_TO!D383</f>
        <v>Copperbelt</v>
      </c>
      <c r="J110" s="5">
        <f>Intv_Ann_TO!J383</f>
        <v>1500</v>
      </c>
      <c r="K110" s="5">
        <f>Intv_Ann_TO!K383</f>
        <v>0</v>
      </c>
      <c r="L110" s="5">
        <f>Intv_Ann_TO!L383</f>
        <v>0</v>
      </c>
      <c r="M110" s="5">
        <f>Intv_Ann_TO!M383</f>
        <v>0</v>
      </c>
      <c r="N110" s="5">
        <f>Intv_Ann_TO!N383</f>
        <v>0</v>
      </c>
      <c r="O110" s="5">
        <f>Intv_Ann_TO!O383</f>
        <v>0</v>
      </c>
    </row>
    <row r="111" spans="4:15" s="327" customFormat="1" hidden="1" outlineLevel="1" x14ac:dyDescent="0.2">
      <c r="D111" s="660" t="str">
        <f>Intv_Ann_TO!D384</f>
        <v>Eastern</v>
      </c>
      <c r="J111" s="5">
        <f>Intv_Ann_TO!J384</f>
        <v>2000</v>
      </c>
      <c r="K111" s="5">
        <f>Intv_Ann_TO!K384</f>
        <v>0</v>
      </c>
      <c r="L111" s="5">
        <f>Intv_Ann_TO!L384</f>
        <v>0</v>
      </c>
      <c r="M111" s="5">
        <f>Intv_Ann_TO!M384</f>
        <v>0</v>
      </c>
      <c r="N111" s="5">
        <f>Intv_Ann_TO!N384</f>
        <v>0</v>
      </c>
      <c r="O111" s="5">
        <f>Intv_Ann_TO!O384</f>
        <v>0</v>
      </c>
    </row>
    <row r="112" spans="4:15" s="327" customFormat="1" hidden="1" outlineLevel="1" x14ac:dyDescent="0.2">
      <c r="D112" s="660" t="str">
        <f>Intv_Ann_TO!D385</f>
        <v>Luapula</v>
      </c>
      <c r="J112" s="5">
        <f>Intv_Ann_TO!J385</f>
        <v>1000</v>
      </c>
      <c r="K112" s="5">
        <f>Intv_Ann_TO!K385</f>
        <v>0</v>
      </c>
      <c r="L112" s="5">
        <f>Intv_Ann_TO!L385</f>
        <v>0</v>
      </c>
      <c r="M112" s="5">
        <f>Intv_Ann_TO!M385</f>
        <v>0</v>
      </c>
      <c r="N112" s="5">
        <f>Intv_Ann_TO!N385</f>
        <v>0</v>
      </c>
      <c r="O112" s="5">
        <f>Intv_Ann_TO!O385</f>
        <v>0</v>
      </c>
    </row>
    <row r="113" spans="4:15" s="327" customFormat="1" hidden="1" outlineLevel="1" x14ac:dyDescent="0.2">
      <c r="D113" s="660" t="str">
        <f>Intv_Ann_TO!D386</f>
        <v>Lusaka</v>
      </c>
      <c r="J113" s="5">
        <f>Intv_Ann_TO!J386</f>
        <v>6000</v>
      </c>
      <c r="K113" s="5">
        <f>Intv_Ann_TO!K386</f>
        <v>0</v>
      </c>
      <c r="L113" s="5">
        <f>Intv_Ann_TO!L386</f>
        <v>0</v>
      </c>
      <c r="M113" s="5">
        <f>Intv_Ann_TO!M386</f>
        <v>0</v>
      </c>
      <c r="N113" s="5">
        <f>Intv_Ann_TO!N386</f>
        <v>0</v>
      </c>
      <c r="O113" s="5">
        <f>Intv_Ann_TO!O386</f>
        <v>0</v>
      </c>
    </row>
    <row r="114" spans="4:15" s="327" customFormat="1" hidden="1" outlineLevel="1" x14ac:dyDescent="0.2">
      <c r="D114" s="660" t="str">
        <f>Intv_Ann_TO!D387</f>
        <v>Muchinga</v>
      </c>
      <c r="J114" s="5">
        <f>Intv_Ann_TO!J387</f>
        <v>0</v>
      </c>
      <c r="K114" s="5">
        <f>Intv_Ann_TO!K387</f>
        <v>0</v>
      </c>
      <c r="L114" s="5">
        <f>Intv_Ann_TO!L387</f>
        <v>0</v>
      </c>
      <c r="M114" s="5">
        <f>Intv_Ann_TO!M387</f>
        <v>0</v>
      </c>
      <c r="N114" s="5">
        <f>Intv_Ann_TO!N387</f>
        <v>0</v>
      </c>
      <c r="O114" s="5">
        <f>Intv_Ann_TO!O387</f>
        <v>0</v>
      </c>
    </row>
    <row r="115" spans="4:15" s="327" customFormat="1" hidden="1" outlineLevel="1" x14ac:dyDescent="0.2">
      <c r="D115" s="660" t="str">
        <f>Intv_Ann_TO!D388</f>
        <v>Northern</v>
      </c>
      <c r="J115" s="5">
        <f>Intv_Ann_TO!J388</f>
        <v>500</v>
      </c>
      <c r="K115" s="5">
        <f>Intv_Ann_TO!K388</f>
        <v>0</v>
      </c>
      <c r="L115" s="5">
        <f>Intv_Ann_TO!L388</f>
        <v>0</v>
      </c>
      <c r="M115" s="5">
        <f>Intv_Ann_TO!M388</f>
        <v>0</v>
      </c>
      <c r="N115" s="5">
        <f>Intv_Ann_TO!N388</f>
        <v>0</v>
      </c>
      <c r="O115" s="5">
        <f>Intv_Ann_TO!O388</f>
        <v>0</v>
      </c>
    </row>
    <row r="116" spans="4:15" s="327" customFormat="1" hidden="1" outlineLevel="1" x14ac:dyDescent="0.2">
      <c r="D116" s="660" t="str">
        <f>Intv_Ann_TO!D389</f>
        <v>North-Western</v>
      </c>
      <c r="J116" s="5">
        <f>Intv_Ann_TO!J389</f>
        <v>500</v>
      </c>
      <c r="K116" s="5">
        <f>Intv_Ann_TO!K389</f>
        <v>0</v>
      </c>
      <c r="L116" s="5">
        <f>Intv_Ann_TO!L389</f>
        <v>0</v>
      </c>
      <c r="M116" s="5">
        <f>Intv_Ann_TO!M389</f>
        <v>0</v>
      </c>
      <c r="N116" s="5">
        <f>Intv_Ann_TO!N389</f>
        <v>0</v>
      </c>
      <c r="O116" s="5">
        <f>Intv_Ann_TO!O389</f>
        <v>0</v>
      </c>
    </row>
    <row r="117" spans="4:15" s="327" customFormat="1" hidden="1" outlineLevel="1" x14ac:dyDescent="0.2">
      <c r="D117" s="660" t="str">
        <f>Intv_Ann_TO!D390</f>
        <v>Southern</v>
      </c>
      <c r="J117" s="5">
        <f>Intv_Ann_TO!J390</f>
        <v>1500</v>
      </c>
      <c r="K117" s="5">
        <f>Intv_Ann_TO!K390</f>
        <v>0</v>
      </c>
      <c r="L117" s="5">
        <f>Intv_Ann_TO!L390</f>
        <v>0</v>
      </c>
      <c r="M117" s="5">
        <f>Intv_Ann_TO!M390</f>
        <v>0</v>
      </c>
      <c r="N117" s="5">
        <f>Intv_Ann_TO!N390</f>
        <v>0</v>
      </c>
      <c r="O117" s="5">
        <f>Intv_Ann_TO!O390</f>
        <v>0</v>
      </c>
    </row>
    <row r="118" spans="4:15" s="327" customFormat="1" hidden="1" outlineLevel="1" x14ac:dyDescent="0.2">
      <c r="D118" s="660" t="str">
        <f>Intv_Ann_TO!D391</f>
        <v>Western</v>
      </c>
      <c r="J118" s="5">
        <f>Intv_Ann_TO!J391</f>
        <v>1500</v>
      </c>
      <c r="K118" s="5">
        <f>Intv_Ann_TO!K391</f>
        <v>0</v>
      </c>
      <c r="L118" s="5">
        <f>Intv_Ann_TO!L391</f>
        <v>0</v>
      </c>
      <c r="M118" s="5">
        <f>Intv_Ann_TO!M391</f>
        <v>0</v>
      </c>
      <c r="N118" s="5">
        <f>Intv_Ann_TO!N391</f>
        <v>0</v>
      </c>
      <c r="O118" s="5">
        <f>Intv_Ann_TO!O391</f>
        <v>0</v>
      </c>
    </row>
    <row r="119" spans="4:15" s="327" customFormat="1" ht="15.75" collapsed="1" thickBot="1" x14ac:dyDescent="0.25">
      <c r="D119" s="679" t="str">
        <f>"Total "&amp;D108</f>
        <v>Total Economic Capex (NonAnnualized)</v>
      </c>
      <c r="J119" s="624">
        <f t="shared" ref="J119:O119" si="13">SUM(J109:J118)</f>
        <v>15500</v>
      </c>
      <c r="K119" s="624">
        <f t="shared" si="13"/>
        <v>0</v>
      </c>
      <c r="L119" s="624">
        <f t="shared" si="13"/>
        <v>0</v>
      </c>
      <c r="M119" s="624">
        <f t="shared" si="13"/>
        <v>0</v>
      </c>
      <c r="N119" s="624">
        <f t="shared" si="13"/>
        <v>0</v>
      </c>
      <c r="O119" s="624">
        <f t="shared" si="13"/>
        <v>0</v>
      </c>
    </row>
    <row r="120" spans="4:15" s="327" customFormat="1" ht="13.5" thickTop="1" x14ac:dyDescent="0.2"/>
    <row r="121" spans="4:15" s="327" customFormat="1" ht="15" x14ac:dyDescent="0.2">
      <c r="D121" s="646" t="str">
        <f>Intv_Ann_TO!D393</f>
        <v>Economic Capital Expenditures (Capex) (Annualized)</v>
      </c>
    </row>
    <row r="122" spans="4:15" s="327" customFormat="1" hidden="1" outlineLevel="1" x14ac:dyDescent="0.2">
      <c r="D122" s="660" t="str">
        <f>Intv_Ann_TO!D394</f>
        <v>Central</v>
      </c>
      <c r="J122" s="5">
        <f>Intv_Ann_TO!J394</f>
        <v>309.38110197204497</v>
      </c>
      <c r="K122" s="5">
        <f>Intv_Ann_TO!K394</f>
        <v>309.38110197204497</v>
      </c>
      <c r="L122" s="5">
        <f>Intv_Ann_TO!L394</f>
        <v>309.38110197204497</v>
      </c>
      <c r="M122" s="5">
        <f>Intv_Ann_TO!M394</f>
        <v>309.38110197204497</v>
      </c>
      <c r="N122" s="5">
        <f>Intv_Ann_TO!N394</f>
        <v>309.38110197204497</v>
      </c>
      <c r="O122" s="5">
        <f>Intv_Ann_TO!O394</f>
        <v>309.38110197204497</v>
      </c>
    </row>
    <row r="123" spans="4:15" s="327" customFormat="1" hidden="1" outlineLevel="1" x14ac:dyDescent="0.2">
      <c r="D123" s="660" t="str">
        <f>Intv_Ann_TO!D395</f>
        <v>Copperbelt</v>
      </c>
      <c r="J123" s="5">
        <f>Intv_Ann_TO!J395</f>
        <v>464.07165295806749</v>
      </c>
      <c r="K123" s="5">
        <f>Intv_Ann_TO!K395</f>
        <v>464.07165295806749</v>
      </c>
      <c r="L123" s="5">
        <f>Intv_Ann_TO!L395</f>
        <v>464.07165295806749</v>
      </c>
      <c r="M123" s="5">
        <f>Intv_Ann_TO!M395</f>
        <v>464.07165295806749</v>
      </c>
      <c r="N123" s="5">
        <f>Intv_Ann_TO!N395</f>
        <v>464.07165295806749</v>
      </c>
      <c r="O123" s="5">
        <f>Intv_Ann_TO!O395</f>
        <v>464.07165295806749</v>
      </c>
    </row>
    <row r="124" spans="4:15" s="327" customFormat="1" hidden="1" outlineLevel="1" x14ac:dyDescent="0.2">
      <c r="D124" s="660" t="str">
        <f>Intv_Ann_TO!D396</f>
        <v>Eastern</v>
      </c>
      <c r="J124" s="5">
        <f>Intv_Ann_TO!J396</f>
        <v>618.76220394408995</v>
      </c>
      <c r="K124" s="5">
        <f>Intv_Ann_TO!K396</f>
        <v>618.76220394408995</v>
      </c>
      <c r="L124" s="5">
        <f>Intv_Ann_TO!L396</f>
        <v>618.76220394408995</v>
      </c>
      <c r="M124" s="5">
        <f>Intv_Ann_TO!M396</f>
        <v>618.76220394408995</v>
      </c>
      <c r="N124" s="5">
        <f>Intv_Ann_TO!N396</f>
        <v>618.76220394408995</v>
      </c>
      <c r="O124" s="5">
        <f>Intv_Ann_TO!O396</f>
        <v>618.76220394408995</v>
      </c>
    </row>
    <row r="125" spans="4:15" s="327" customFormat="1" hidden="1" outlineLevel="1" x14ac:dyDescent="0.2">
      <c r="D125" s="660" t="str">
        <f>Intv_Ann_TO!D397</f>
        <v>Luapula</v>
      </c>
      <c r="J125" s="5">
        <f>Intv_Ann_TO!J397</f>
        <v>309.38110197204497</v>
      </c>
      <c r="K125" s="5">
        <f>Intv_Ann_TO!K397</f>
        <v>309.38110197204497</v>
      </c>
      <c r="L125" s="5">
        <f>Intv_Ann_TO!L397</f>
        <v>309.38110197204497</v>
      </c>
      <c r="M125" s="5">
        <f>Intv_Ann_TO!M397</f>
        <v>309.38110197204497</v>
      </c>
      <c r="N125" s="5">
        <f>Intv_Ann_TO!N397</f>
        <v>309.38110197204497</v>
      </c>
      <c r="O125" s="5">
        <f>Intv_Ann_TO!O397</f>
        <v>309.38110197204497</v>
      </c>
    </row>
    <row r="126" spans="4:15" s="327" customFormat="1" hidden="1" outlineLevel="1" x14ac:dyDescent="0.2">
      <c r="D126" s="660" t="str">
        <f>Intv_Ann_TO!D398</f>
        <v>Lusaka</v>
      </c>
      <c r="J126" s="5">
        <f>Intv_Ann_TO!J398</f>
        <v>1856.28661183227</v>
      </c>
      <c r="K126" s="5">
        <f>Intv_Ann_TO!K398</f>
        <v>1856.28661183227</v>
      </c>
      <c r="L126" s="5">
        <f>Intv_Ann_TO!L398</f>
        <v>1856.28661183227</v>
      </c>
      <c r="M126" s="5">
        <f>Intv_Ann_TO!M398</f>
        <v>1856.28661183227</v>
      </c>
      <c r="N126" s="5">
        <f>Intv_Ann_TO!N398</f>
        <v>1856.28661183227</v>
      </c>
      <c r="O126" s="5">
        <f>Intv_Ann_TO!O398</f>
        <v>1856.28661183227</v>
      </c>
    </row>
    <row r="127" spans="4:15" s="327" customFormat="1" hidden="1" outlineLevel="1" x14ac:dyDescent="0.2">
      <c r="D127" s="660" t="str">
        <f>Intv_Ann_TO!D399</f>
        <v>Muchinga</v>
      </c>
      <c r="J127" s="5">
        <f>Intv_Ann_TO!J399</f>
        <v>0</v>
      </c>
      <c r="K127" s="5">
        <f>Intv_Ann_TO!K399</f>
        <v>0</v>
      </c>
      <c r="L127" s="5">
        <f>Intv_Ann_TO!L399</f>
        <v>0</v>
      </c>
      <c r="M127" s="5">
        <f>Intv_Ann_TO!M399</f>
        <v>0</v>
      </c>
      <c r="N127" s="5">
        <f>Intv_Ann_TO!N399</f>
        <v>0</v>
      </c>
      <c r="O127" s="5">
        <f>Intv_Ann_TO!O399</f>
        <v>0</v>
      </c>
    </row>
    <row r="128" spans="4:15" s="327" customFormat="1" hidden="1" outlineLevel="1" x14ac:dyDescent="0.2">
      <c r="D128" s="660" t="str">
        <f>Intv_Ann_TO!D400</f>
        <v>Northern</v>
      </c>
      <c r="J128" s="5">
        <f>Intv_Ann_TO!J400</f>
        <v>154.69055098602249</v>
      </c>
      <c r="K128" s="5">
        <f>Intv_Ann_TO!K400</f>
        <v>154.69055098602249</v>
      </c>
      <c r="L128" s="5">
        <f>Intv_Ann_TO!L400</f>
        <v>154.69055098602249</v>
      </c>
      <c r="M128" s="5">
        <f>Intv_Ann_TO!M400</f>
        <v>154.69055098602249</v>
      </c>
      <c r="N128" s="5">
        <f>Intv_Ann_TO!N400</f>
        <v>154.69055098602249</v>
      </c>
      <c r="O128" s="5">
        <f>Intv_Ann_TO!O400</f>
        <v>154.69055098602249</v>
      </c>
    </row>
    <row r="129" spans="3:15" s="327" customFormat="1" hidden="1" outlineLevel="1" x14ac:dyDescent="0.2">
      <c r="D129" s="660" t="str">
        <f>Intv_Ann_TO!D401</f>
        <v>North-Western</v>
      </c>
      <c r="J129" s="5">
        <f>Intv_Ann_TO!J401</f>
        <v>154.69055098602249</v>
      </c>
      <c r="K129" s="5">
        <f>Intv_Ann_TO!K401</f>
        <v>154.69055098602249</v>
      </c>
      <c r="L129" s="5">
        <f>Intv_Ann_TO!L401</f>
        <v>154.69055098602249</v>
      </c>
      <c r="M129" s="5">
        <f>Intv_Ann_TO!M401</f>
        <v>154.69055098602249</v>
      </c>
      <c r="N129" s="5">
        <f>Intv_Ann_TO!N401</f>
        <v>154.69055098602249</v>
      </c>
      <c r="O129" s="5">
        <f>Intv_Ann_TO!O401</f>
        <v>154.69055098602249</v>
      </c>
    </row>
    <row r="130" spans="3:15" s="327" customFormat="1" hidden="1" outlineLevel="1" x14ac:dyDescent="0.2">
      <c r="D130" s="660" t="str">
        <f>Intv_Ann_TO!D402</f>
        <v>Southern</v>
      </c>
      <c r="J130" s="5">
        <f>Intv_Ann_TO!J402</f>
        <v>464.07165295806749</v>
      </c>
      <c r="K130" s="5">
        <f>Intv_Ann_TO!K402</f>
        <v>464.07165295806749</v>
      </c>
      <c r="L130" s="5">
        <f>Intv_Ann_TO!L402</f>
        <v>464.07165295806749</v>
      </c>
      <c r="M130" s="5">
        <f>Intv_Ann_TO!M402</f>
        <v>464.07165295806749</v>
      </c>
      <c r="N130" s="5">
        <f>Intv_Ann_TO!N402</f>
        <v>464.07165295806749</v>
      </c>
      <c r="O130" s="5">
        <f>Intv_Ann_TO!O402</f>
        <v>464.07165295806749</v>
      </c>
    </row>
    <row r="131" spans="3:15" s="327" customFormat="1" hidden="1" outlineLevel="1" x14ac:dyDescent="0.2">
      <c r="D131" s="660" t="str">
        <f>Intv_Ann_TO!D403</f>
        <v>Western</v>
      </c>
      <c r="J131" s="5">
        <f>Intv_Ann_TO!J403</f>
        <v>464.07165295806749</v>
      </c>
      <c r="K131" s="5">
        <f>Intv_Ann_TO!K403</f>
        <v>464.07165295806749</v>
      </c>
      <c r="L131" s="5">
        <f>Intv_Ann_TO!L403</f>
        <v>464.07165295806749</v>
      </c>
      <c r="M131" s="5">
        <f>Intv_Ann_TO!M403</f>
        <v>464.07165295806749</v>
      </c>
      <c r="N131" s="5">
        <f>Intv_Ann_TO!N403</f>
        <v>464.07165295806749</v>
      </c>
      <c r="O131" s="5">
        <f>Intv_Ann_TO!O403</f>
        <v>464.07165295806749</v>
      </c>
    </row>
    <row r="132" spans="3:15" s="327" customFormat="1" ht="15.75" collapsed="1" thickBot="1" x14ac:dyDescent="0.25">
      <c r="D132" s="679" t="str">
        <f>"Total "&amp;D121</f>
        <v>Total Economic Capital Expenditures (Capex) (Annualized)</v>
      </c>
      <c r="J132" s="624">
        <f t="shared" ref="J132:O132" si="14">SUM(J122:J131)</f>
        <v>4795.4070805666979</v>
      </c>
      <c r="K132" s="624">
        <f t="shared" si="14"/>
        <v>4795.4070805666979</v>
      </c>
      <c r="L132" s="624">
        <f t="shared" si="14"/>
        <v>4795.4070805666979</v>
      </c>
      <c r="M132" s="624">
        <f t="shared" si="14"/>
        <v>4795.4070805666979</v>
      </c>
      <c r="N132" s="624">
        <f t="shared" si="14"/>
        <v>4795.4070805666979</v>
      </c>
      <c r="O132" s="624">
        <f t="shared" si="14"/>
        <v>4795.4070805666979</v>
      </c>
    </row>
    <row r="133" spans="3:15" s="327" customFormat="1" ht="13.5" thickTop="1" x14ac:dyDescent="0.2"/>
    <row r="134" spans="3:15" s="327" customFormat="1" x14ac:dyDescent="0.2"/>
    <row r="135" spans="3:15" s="327" customFormat="1" ht="15.75" x14ac:dyDescent="0.2">
      <c r="C135" s="330" t="s">
        <v>1937</v>
      </c>
    </row>
    <row r="136" spans="3:15" s="327" customFormat="1" ht="15.75" thickBot="1" x14ac:dyDescent="0.25">
      <c r="D136" s="658" t="s">
        <v>1941</v>
      </c>
      <c r="J136" s="624">
        <f t="shared" ref="J136:O136" ca="1" si="15">J65+J106</f>
        <v>324951.58100000006</v>
      </c>
      <c r="K136" s="624">
        <f t="shared" ca="1" si="15"/>
        <v>324951.58100000006</v>
      </c>
      <c r="L136" s="624">
        <f t="shared" ca="1" si="15"/>
        <v>324951.58100000006</v>
      </c>
      <c r="M136" s="624">
        <f t="shared" ca="1" si="15"/>
        <v>324951.58100000006</v>
      </c>
      <c r="N136" s="624">
        <f t="shared" ca="1" si="15"/>
        <v>324951.58100000006</v>
      </c>
      <c r="O136" s="624">
        <f t="shared" ca="1" si="15"/>
        <v>324951.58100000006</v>
      </c>
    </row>
    <row r="137" spans="3:15" s="327" customFormat="1" ht="13.5" thickTop="1" x14ac:dyDescent="0.2"/>
    <row r="138" spans="3:15" s="327" customFormat="1" ht="15.75" thickBot="1" x14ac:dyDescent="0.25">
      <c r="D138" s="658" t="s">
        <v>1942</v>
      </c>
      <c r="J138" s="624">
        <f t="shared" ref="J138:O138" ca="1" si="16">J78+J132</f>
        <v>327729.829138008</v>
      </c>
      <c r="K138" s="624">
        <f t="shared" ca="1" si="16"/>
        <v>327729.829138008</v>
      </c>
      <c r="L138" s="624">
        <f t="shared" ca="1" si="16"/>
        <v>327729.829138008</v>
      </c>
      <c r="M138" s="624">
        <f t="shared" ca="1" si="16"/>
        <v>327729.829138008</v>
      </c>
      <c r="N138" s="624">
        <f t="shared" ca="1" si="16"/>
        <v>327729.829138008</v>
      </c>
      <c r="O138" s="624">
        <f t="shared" ca="1" si="16"/>
        <v>327729.829138008</v>
      </c>
    </row>
    <row r="139" spans="3:15" s="327" customFormat="1" ht="13.5" thickTop="1" x14ac:dyDescent="0.2"/>
    <row r="140" spans="3:15" s="327" customFormat="1" x14ac:dyDescent="0.2"/>
    <row r="141" spans="3:15" s="327" customFormat="1" x14ac:dyDescent="0.2">
      <c r="C141" s="716" t="str">
        <f>"Go to "&amp;HL_Intv_Ass</f>
        <v>Go to Cryotherapy - Same Visit</v>
      </c>
      <c r="D141" s="716"/>
      <c r="E141" s="716"/>
      <c r="F141" s="716"/>
      <c r="G141" s="716"/>
      <c r="H141" s="716"/>
      <c r="I141" s="716"/>
    </row>
    <row r="142" spans="3:15" s="327" customFormat="1" x14ac:dyDescent="0.2">
      <c r="C142" s="716" t="str">
        <f>"Go to "&amp;HL_Intv_Ann_Ass</f>
        <v>Go to Intervention Services - Annual Assumptions</v>
      </c>
      <c r="D142" s="716"/>
      <c r="E142" s="716"/>
      <c r="F142" s="716"/>
      <c r="G142" s="716"/>
      <c r="H142" s="716"/>
      <c r="I142" s="716"/>
    </row>
    <row r="143" spans="3:15" s="327" customFormat="1" x14ac:dyDescent="0.2">
      <c r="C143" s="716" t="str">
        <f>"Go to "&amp;HL_Intv_Out</f>
        <v>Go to Cryotherapy - Same Visit</v>
      </c>
      <c r="D143" s="716"/>
      <c r="E143" s="716"/>
      <c r="F143" s="716"/>
      <c r="G143" s="716"/>
      <c r="H143" s="716"/>
      <c r="I143" s="716"/>
    </row>
    <row r="144" spans="3:15" s="327" customFormat="1" x14ac:dyDescent="0.2">
      <c r="C144" s="716" t="str">
        <f>"Go to "&amp;HL_Intv_Out_Sum</f>
        <v>Go to Cryo - Ouputs Summary</v>
      </c>
      <c r="D144" s="716"/>
      <c r="E144" s="716"/>
      <c r="F144" s="716"/>
      <c r="G144" s="716"/>
      <c r="H144" s="716"/>
      <c r="I144" s="716"/>
    </row>
  </sheetData>
  <sheetProtection password="F0F4" sheet="1" scenarios="1"/>
  <mergeCells count="5">
    <mergeCell ref="C143:I143"/>
    <mergeCell ref="C144:I144"/>
    <mergeCell ref="B3:F3"/>
    <mergeCell ref="C141:I141"/>
    <mergeCell ref="C142:I142"/>
  </mergeCells>
  <hyperlinks>
    <hyperlink ref="C141:I141" location="HL_Intv_Ass" tooltip="Click to follow hyperlink." display="HL_Intv_Ass"/>
    <hyperlink ref="C142:I142" location="HL_Intv_Ann_Ass" tooltip="Click to follow hyperlink." display="HL_Intv_Ann_Ass"/>
    <hyperlink ref="C143:I143" location="HL_Intv_Out" tooltip="Click to follow hyperlink." display="HL_Intv_Out"/>
    <hyperlink ref="C144:I144" location="HL_Intv_Out_Sum" tooltip="Click to follow hyperlink." display="HL_Intv_Out_Sum"/>
    <hyperlink ref="A4" location="$A$10" tooltip="Go to Top of Sheet" display="$A$10"/>
    <hyperlink ref="B4" location="HL_Sheet_Main_80" tooltip="Go to Previous Sheet" display="HL_Sheet_Main_80"/>
    <hyperlink ref="C4" location="HL_Sheet_Main_81" tooltip="Go to Next Sheet" display="HL_Sheet_Main_81"/>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06"/>
  <sheetViews>
    <sheetView showGridLines="0" zoomScaleNormal="100" workbookViewId="0">
      <pane ySplit="9" topLeftCell="A74" activePane="bottomLeft" state="frozen"/>
      <selection pane="bottomLeft" activeCell="F4" sqref="F4"/>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1954</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329" t="s">
        <v>1954</v>
      </c>
    </row>
    <row r="13" spans="1:15" s="327" customFormat="1" x14ac:dyDescent="0.2"/>
    <row r="14" spans="1:15" s="327" customFormat="1" ht="18.75" x14ac:dyDescent="0.2">
      <c r="B14" s="329" t="s">
        <v>1900</v>
      </c>
    </row>
    <row r="15" spans="1:15" s="327" customFormat="1" ht="15.75" x14ac:dyDescent="0.2">
      <c r="C15" s="330" t="s">
        <v>1894</v>
      </c>
    </row>
    <row r="16" spans="1:15" s="327" customFormat="1" ht="15.75" x14ac:dyDescent="0.2">
      <c r="C16" s="18" t="str">
        <f>Intv_Ann_TO!D598</f>
        <v>Total Active Facilities Offering LEEP with BIOP-H</v>
      </c>
    </row>
    <row r="17" spans="3:15" s="327" customFormat="1" hidden="1" outlineLevel="1" x14ac:dyDescent="0.2">
      <c r="C17" s="660" t="str">
        <f>Intv_Ann_TO!D599</f>
        <v>Central</v>
      </c>
      <c r="J17" s="5">
        <f>Intv_Ann_TO!J599</f>
        <v>2</v>
      </c>
      <c r="K17" s="5">
        <f>Intv_Ann_TO!K599</f>
        <v>2</v>
      </c>
      <c r="L17" s="5">
        <f>Intv_Ann_TO!L599</f>
        <v>2</v>
      </c>
      <c r="M17" s="5">
        <f>Intv_Ann_TO!M599</f>
        <v>2</v>
      </c>
      <c r="N17" s="5">
        <f>Intv_Ann_TO!N599</f>
        <v>2</v>
      </c>
      <c r="O17" s="5">
        <f>Intv_Ann_TO!O599</f>
        <v>2</v>
      </c>
    </row>
    <row r="18" spans="3:15" s="327" customFormat="1" hidden="1" outlineLevel="1" x14ac:dyDescent="0.2">
      <c r="C18" s="660" t="str">
        <f>Intv_Ann_TO!D600</f>
        <v>Copperbelt</v>
      </c>
      <c r="J18" s="5">
        <f>Intv_Ann_TO!J600</f>
        <v>3</v>
      </c>
      <c r="K18" s="5">
        <f>Intv_Ann_TO!K600</f>
        <v>3</v>
      </c>
      <c r="L18" s="5">
        <f>Intv_Ann_TO!L600</f>
        <v>3</v>
      </c>
      <c r="M18" s="5">
        <f>Intv_Ann_TO!M600</f>
        <v>3</v>
      </c>
      <c r="N18" s="5">
        <f>Intv_Ann_TO!N600</f>
        <v>3</v>
      </c>
      <c r="O18" s="5">
        <f>Intv_Ann_TO!O600</f>
        <v>3</v>
      </c>
    </row>
    <row r="19" spans="3:15" s="327" customFormat="1" hidden="1" outlineLevel="1" x14ac:dyDescent="0.2">
      <c r="C19" s="660" t="str">
        <f>Intv_Ann_TO!D601</f>
        <v>Eastern</v>
      </c>
      <c r="J19" s="5">
        <f>Intv_Ann_TO!J601</f>
        <v>3</v>
      </c>
      <c r="K19" s="5">
        <f>Intv_Ann_TO!K601</f>
        <v>3</v>
      </c>
      <c r="L19" s="5">
        <f>Intv_Ann_TO!L601</f>
        <v>3</v>
      </c>
      <c r="M19" s="5">
        <f>Intv_Ann_TO!M601</f>
        <v>3</v>
      </c>
      <c r="N19" s="5">
        <f>Intv_Ann_TO!N601</f>
        <v>3</v>
      </c>
      <c r="O19" s="5">
        <f>Intv_Ann_TO!O601</f>
        <v>3</v>
      </c>
    </row>
    <row r="20" spans="3:15" s="327" customFormat="1" hidden="1" outlineLevel="1" x14ac:dyDescent="0.2">
      <c r="C20" s="660" t="str">
        <f>Intv_Ann_TO!D602</f>
        <v>Luapula</v>
      </c>
      <c r="J20" s="5">
        <f>Intv_Ann_TO!J602</f>
        <v>2</v>
      </c>
      <c r="K20" s="5">
        <f>Intv_Ann_TO!K602</f>
        <v>2</v>
      </c>
      <c r="L20" s="5">
        <f>Intv_Ann_TO!L602</f>
        <v>2</v>
      </c>
      <c r="M20" s="5">
        <f>Intv_Ann_TO!M602</f>
        <v>2</v>
      </c>
      <c r="N20" s="5">
        <f>Intv_Ann_TO!N602</f>
        <v>2</v>
      </c>
      <c r="O20" s="5">
        <f>Intv_Ann_TO!O602</f>
        <v>2</v>
      </c>
    </row>
    <row r="21" spans="3:15" s="327" customFormat="1" hidden="1" outlineLevel="1" x14ac:dyDescent="0.2">
      <c r="C21" s="660" t="str">
        <f>Intv_Ann_TO!D603</f>
        <v>Lusaka</v>
      </c>
      <c r="J21" s="5">
        <f>Intv_Ann_TO!J603</f>
        <v>1</v>
      </c>
      <c r="K21" s="5">
        <f>Intv_Ann_TO!K603</f>
        <v>1</v>
      </c>
      <c r="L21" s="5">
        <f>Intv_Ann_TO!L603</f>
        <v>1</v>
      </c>
      <c r="M21" s="5">
        <f>Intv_Ann_TO!M603</f>
        <v>1</v>
      </c>
      <c r="N21" s="5">
        <f>Intv_Ann_TO!N603</f>
        <v>1</v>
      </c>
      <c r="O21" s="5">
        <f>Intv_Ann_TO!O603</f>
        <v>1</v>
      </c>
    </row>
    <row r="22" spans="3:15" s="327" customFormat="1" hidden="1" outlineLevel="1" x14ac:dyDescent="0.2">
      <c r="C22" s="660" t="str">
        <f>Intv_Ann_TO!D604</f>
        <v>Muchinga</v>
      </c>
      <c r="J22" s="5">
        <f>Intv_Ann_TO!J604</f>
        <v>0</v>
      </c>
      <c r="K22" s="5">
        <f>Intv_Ann_TO!K604</f>
        <v>0</v>
      </c>
      <c r="L22" s="5">
        <f>Intv_Ann_TO!L604</f>
        <v>0</v>
      </c>
      <c r="M22" s="5">
        <f>Intv_Ann_TO!M604</f>
        <v>0</v>
      </c>
      <c r="N22" s="5">
        <f>Intv_Ann_TO!N604</f>
        <v>0</v>
      </c>
      <c r="O22" s="5">
        <f>Intv_Ann_TO!O604</f>
        <v>0</v>
      </c>
    </row>
    <row r="23" spans="3:15" s="327" customFormat="1" hidden="1" outlineLevel="1" x14ac:dyDescent="0.2">
      <c r="C23" s="660" t="str">
        <f>Intv_Ann_TO!D605</f>
        <v>Northern</v>
      </c>
      <c r="J23" s="5">
        <f>Intv_Ann_TO!J605</f>
        <v>1</v>
      </c>
      <c r="K23" s="5">
        <f>Intv_Ann_TO!K605</f>
        <v>1</v>
      </c>
      <c r="L23" s="5">
        <f>Intv_Ann_TO!L605</f>
        <v>1</v>
      </c>
      <c r="M23" s="5">
        <f>Intv_Ann_TO!M605</f>
        <v>1</v>
      </c>
      <c r="N23" s="5">
        <f>Intv_Ann_TO!N605</f>
        <v>1</v>
      </c>
      <c r="O23" s="5">
        <f>Intv_Ann_TO!O605</f>
        <v>1</v>
      </c>
    </row>
    <row r="24" spans="3:15" s="327" customFormat="1" hidden="1" outlineLevel="1" x14ac:dyDescent="0.2">
      <c r="C24" s="660" t="str">
        <f>Intv_Ann_TO!D606</f>
        <v>North-Western</v>
      </c>
      <c r="J24" s="5">
        <f>Intv_Ann_TO!J606</f>
        <v>1</v>
      </c>
      <c r="K24" s="5">
        <f>Intv_Ann_TO!K606</f>
        <v>1</v>
      </c>
      <c r="L24" s="5">
        <f>Intv_Ann_TO!L606</f>
        <v>1</v>
      </c>
      <c r="M24" s="5">
        <f>Intv_Ann_TO!M606</f>
        <v>1</v>
      </c>
      <c r="N24" s="5">
        <f>Intv_Ann_TO!N606</f>
        <v>1</v>
      </c>
      <c r="O24" s="5">
        <f>Intv_Ann_TO!O606</f>
        <v>1</v>
      </c>
    </row>
    <row r="25" spans="3:15" s="327" customFormat="1" hidden="1" outlineLevel="1" x14ac:dyDescent="0.2">
      <c r="C25" s="660" t="str">
        <f>Intv_Ann_TO!D607</f>
        <v>Southern</v>
      </c>
      <c r="J25" s="5">
        <f>Intv_Ann_TO!J607</f>
        <v>2</v>
      </c>
      <c r="K25" s="5">
        <f>Intv_Ann_TO!K607</f>
        <v>2</v>
      </c>
      <c r="L25" s="5">
        <f>Intv_Ann_TO!L607</f>
        <v>2</v>
      </c>
      <c r="M25" s="5">
        <f>Intv_Ann_TO!M607</f>
        <v>2</v>
      </c>
      <c r="N25" s="5">
        <f>Intv_Ann_TO!N607</f>
        <v>2</v>
      </c>
      <c r="O25" s="5">
        <f>Intv_Ann_TO!O607</f>
        <v>2</v>
      </c>
    </row>
    <row r="26" spans="3:15" s="327" customFormat="1" hidden="1" outlineLevel="1" x14ac:dyDescent="0.2">
      <c r="C26" s="660" t="str">
        <f>Intv_Ann_TO!D608</f>
        <v>Western</v>
      </c>
      <c r="J26" s="5">
        <f>Intv_Ann_TO!J608</f>
        <v>3</v>
      </c>
      <c r="K26" s="5">
        <f>Intv_Ann_TO!K608</f>
        <v>3</v>
      </c>
      <c r="L26" s="5">
        <f>Intv_Ann_TO!L608</f>
        <v>3</v>
      </c>
      <c r="M26" s="5">
        <f>Intv_Ann_TO!M608</f>
        <v>3</v>
      </c>
      <c r="N26" s="5">
        <f>Intv_Ann_TO!N608</f>
        <v>3</v>
      </c>
      <c r="O26" s="5">
        <f>Intv_Ann_TO!O608</f>
        <v>3</v>
      </c>
    </row>
    <row r="27" spans="3:15" s="327" customFormat="1" ht="15.75" collapsed="1" thickBot="1" x14ac:dyDescent="0.25">
      <c r="C27" s="646" t="str">
        <f>C16</f>
        <v>Total Active Facilities Offering LEEP with BIOP-H</v>
      </c>
      <c r="J27" s="650">
        <f t="shared" ref="J27:O27" si="4">SUM(J17:J26)</f>
        <v>18</v>
      </c>
      <c r="K27" s="650">
        <f t="shared" si="4"/>
        <v>18</v>
      </c>
      <c r="L27" s="650">
        <f t="shared" si="4"/>
        <v>18</v>
      </c>
      <c r="M27" s="650">
        <f t="shared" si="4"/>
        <v>18</v>
      </c>
      <c r="N27" s="650">
        <f t="shared" si="4"/>
        <v>18</v>
      </c>
      <c r="O27" s="650">
        <f t="shared" si="4"/>
        <v>18</v>
      </c>
    </row>
    <row r="28" spans="3:15" s="327" customFormat="1" ht="13.5" thickTop="1" x14ac:dyDescent="0.2"/>
    <row r="29" spans="3:15" s="327" customFormat="1" ht="15.75" x14ac:dyDescent="0.2">
      <c r="C29" s="330" t="s">
        <v>102</v>
      </c>
    </row>
    <row r="30" spans="3:15" s="327" customFormat="1" ht="15.75" x14ac:dyDescent="0.2">
      <c r="C30" s="18" t="str">
        <f>Intv_Ann_TO!D626</f>
        <v>Maximum Procedures</v>
      </c>
    </row>
    <row r="31" spans="3:15" s="327" customFormat="1" hidden="1" outlineLevel="1" x14ac:dyDescent="0.2">
      <c r="C31" s="660" t="str">
        <f>Intv_Ann_TO!D627</f>
        <v>Central</v>
      </c>
      <c r="J31" s="5">
        <f>Intv_Ann_TO!J627</f>
        <v>5558</v>
      </c>
      <c r="K31" s="5">
        <f>Intv_Ann_TO!K627</f>
        <v>5558</v>
      </c>
      <c r="L31" s="5">
        <f>Intv_Ann_TO!L627</f>
        <v>5558</v>
      </c>
      <c r="M31" s="5">
        <f>Intv_Ann_TO!M627</f>
        <v>5558</v>
      </c>
      <c r="N31" s="5">
        <f>Intv_Ann_TO!N627</f>
        <v>5558</v>
      </c>
      <c r="O31" s="5">
        <f>Intv_Ann_TO!O627</f>
        <v>5558</v>
      </c>
    </row>
    <row r="32" spans="3:15" s="327" customFormat="1" hidden="1" outlineLevel="1" x14ac:dyDescent="0.2">
      <c r="C32" s="660" t="str">
        <f>Intv_Ann_TO!D628</f>
        <v>Copperbelt</v>
      </c>
      <c r="J32" s="5">
        <f>Intv_Ann_TO!J628</f>
        <v>11116</v>
      </c>
      <c r="K32" s="5">
        <f>Intv_Ann_TO!K628</f>
        <v>11116</v>
      </c>
      <c r="L32" s="5">
        <f>Intv_Ann_TO!L628</f>
        <v>11116</v>
      </c>
      <c r="M32" s="5">
        <f>Intv_Ann_TO!M628</f>
        <v>11116</v>
      </c>
      <c r="N32" s="5">
        <f>Intv_Ann_TO!N628</f>
        <v>11116</v>
      </c>
      <c r="O32" s="5">
        <f>Intv_Ann_TO!O628</f>
        <v>11116</v>
      </c>
    </row>
    <row r="33" spans="1:15" s="327" customFormat="1" hidden="1" outlineLevel="1" x14ac:dyDescent="0.2">
      <c r="C33" s="660" t="str">
        <f>Intv_Ann_TO!D629</f>
        <v>Eastern</v>
      </c>
      <c r="J33" s="5">
        <f>Intv_Ann_TO!J629</f>
        <v>0</v>
      </c>
      <c r="K33" s="5">
        <f>Intv_Ann_TO!K629</f>
        <v>0</v>
      </c>
      <c r="L33" s="5">
        <f>Intv_Ann_TO!L629</f>
        <v>0</v>
      </c>
      <c r="M33" s="5">
        <f>Intv_Ann_TO!M629</f>
        <v>0</v>
      </c>
      <c r="N33" s="5">
        <f>Intv_Ann_TO!N629</f>
        <v>0</v>
      </c>
      <c r="O33" s="5">
        <f>Intv_Ann_TO!O629</f>
        <v>0</v>
      </c>
    </row>
    <row r="34" spans="1:15" s="327" customFormat="1" hidden="1" outlineLevel="1" x14ac:dyDescent="0.2">
      <c r="C34" s="660" t="str">
        <f>Intv_Ann_TO!D630</f>
        <v>Luapula</v>
      </c>
      <c r="J34" s="5">
        <f>Intv_Ann_TO!J630</f>
        <v>0</v>
      </c>
      <c r="K34" s="5">
        <f>Intv_Ann_TO!K630</f>
        <v>0</v>
      </c>
      <c r="L34" s="5">
        <f>Intv_Ann_TO!L630</f>
        <v>0</v>
      </c>
      <c r="M34" s="5">
        <f>Intv_Ann_TO!M630</f>
        <v>0</v>
      </c>
      <c r="N34" s="5">
        <f>Intv_Ann_TO!N630</f>
        <v>0</v>
      </c>
      <c r="O34" s="5">
        <f>Intv_Ann_TO!O630</f>
        <v>0</v>
      </c>
    </row>
    <row r="35" spans="1:15" s="327" customFormat="1" hidden="1" outlineLevel="1" x14ac:dyDescent="0.2">
      <c r="C35" s="660" t="str">
        <f>Intv_Ann_TO!D631</f>
        <v>Lusaka</v>
      </c>
      <c r="J35" s="5">
        <f>Intv_Ann_TO!J631</f>
        <v>5558</v>
      </c>
      <c r="K35" s="5">
        <f>Intv_Ann_TO!K631</f>
        <v>5558</v>
      </c>
      <c r="L35" s="5">
        <f>Intv_Ann_TO!L631</f>
        <v>5558</v>
      </c>
      <c r="M35" s="5">
        <f>Intv_Ann_TO!M631</f>
        <v>5558</v>
      </c>
      <c r="N35" s="5">
        <f>Intv_Ann_TO!N631</f>
        <v>5558</v>
      </c>
      <c r="O35" s="5">
        <f>Intv_Ann_TO!O631</f>
        <v>5558</v>
      </c>
    </row>
    <row r="36" spans="1:15" s="327" customFormat="1" hidden="1" outlineLevel="1" x14ac:dyDescent="0.2">
      <c r="C36" s="660" t="str">
        <f>Intv_Ann_TO!D632</f>
        <v>Muchinga</v>
      </c>
      <c r="J36" s="5">
        <f>Intv_Ann_TO!J632</f>
        <v>0</v>
      </c>
      <c r="K36" s="5">
        <f>Intv_Ann_TO!K632</f>
        <v>0</v>
      </c>
      <c r="L36" s="5">
        <f>Intv_Ann_TO!L632</f>
        <v>0</v>
      </c>
      <c r="M36" s="5">
        <f>Intv_Ann_TO!M632</f>
        <v>0</v>
      </c>
      <c r="N36" s="5">
        <f>Intv_Ann_TO!N632</f>
        <v>0</v>
      </c>
      <c r="O36" s="5">
        <f>Intv_Ann_TO!O632</f>
        <v>0</v>
      </c>
    </row>
    <row r="37" spans="1:15" s="327" customFormat="1" hidden="1" outlineLevel="1" x14ac:dyDescent="0.2">
      <c r="C37" s="660" t="str">
        <f>Intv_Ann_TO!D633</f>
        <v>Northern</v>
      </c>
      <c r="J37" s="5">
        <f>Intv_Ann_TO!J633</f>
        <v>0</v>
      </c>
      <c r="K37" s="5">
        <f>Intv_Ann_TO!K633</f>
        <v>0</v>
      </c>
      <c r="L37" s="5">
        <f>Intv_Ann_TO!L633</f>
        <v>0</v>
      </c>
      <c r="M37" s="5">
        <f>Intv_Ann_TO!M633</f>
        <v>0</v>
      </c>
      <c r="N37" s="5">
        <f>Intv_Ann_TO!N633</f>
        <v>0</v>
      </c>
      <c r="O37" s="5">
        <f>Intv_Ann_TO!O633</f>
        <v>0</v>
      </c>
    </row>
    <row r="38" spans="1:15" s="327" customFormat="1" hidden="1" outlineLevel="1" x14ac:dyDescent="0.2">
      <c r="C38" s="660" t="str">
        <f>Intv_Ann_TO!D634</f>
        <v>North-Western</v>
      </c>
      <c r="J38" s="5">
        <f>Intv_Ann_TO!J634</f>
        <v>0</v>
      </c>
      <c r="K38" s="5">
        <f>Intv_Ann_TO!K634</f>
        <v>0</v>
      </c>
      <c r="L38" s="5">
        <f>Intv_Ann_TO!L634</f>
        <v>0</v>
      </c>
      <c r="M38" s="5">
        <f>Intv_Ann_TO!M634</f>
        <v>0</v>
      </c>
      <c r="N38" s="5">
        <f>Intv_Ann_TO!N634</f>
        <v>0</v>
      </c>
      <c r="O38" s="5">
        <f>Intv_Ann_TO!O634</f>
        <v>0</v>
      </c>
    </row>
    <row r="39" spans="1:15" s="327" customFormat="1" hidden="1" outlineLevel="1" x14ac:dyDescent="0.2">
      <c r="C39" s="660" t="str">
        <f>Intv_Ann_TO!D635</f>
        <v>Southern</v>
      </c>
      <c r="J39" s="5">
        <f>Intv_Ann_TO!J635</f>
        <v>0</v>
      </c>
      <c r="K39" s="5">
        <f>Intv_Ann_TO!K635</f>
        <v>0</v>
      </c>
      <c r="L39" s="5">
        <f>Intv_Ann_TO!L635</f>
        <v>0</v>
      </c>
      <c r="M39" s="5">
        <f>Intv_Ann_TO!M635</f>
        <v>0</v>
      </c>
      <c r="N39" s="5">
        <f>Intv_Ann_TO!N635</f>
        <v>0</v>
      </c>
      <c r="O39" s="5">
        <f>Intv_Ann_TO!O635</f>
        <v>0</v>
      </c>
    </row>
    <row r="40" spans="1:15" s="327" customFormat="1" hidden="1" outlineLevel="1" x14ac:dyDescent="0.2">
      <c r="C40" s="660" t="str">
        <f>Intv_Ann_TO!D636</f>
        <v>Western</v>
      </c>
      <c r="J40" s="5">
        <f>Intv_Ann_TO!J636</f>
        <v>0</v>
      </c>
      <c r="K40" s="5">
        <f>Intv_Ann_TO!K636</f>
        <v>0</v>
      </c>
      <c r="L40" s="5">
        <f>Intv_Ann_TO!L636</f>
        <v>0</v>
      </c>
      <c r="M40" s="5">
        <f>Intv_Ann_TO!M636</f>
        <v>0</v>
      </c>
      <c r="N40" s="5">
        <f>Intv_Ann_TO!N636</f>
        <v>0</v>
      </c>
      <c r="O40" s="5">
        <f>Intv_Ann_TO!O636</f>
        <v>0</v>
      </c>
    </row>
    <row r="41" spans="1:15" s="327" customFormat="1" ht="15.75" collapsed="1" thickBot="1" x14ac:dyDescent="0.25">
      <c r="C41" s="679" t="str">
        <f>"Total "&amp;C30</f>
        <v>Total Maximum Procedures</v>
      </c>
      <c r="J41" s="624">
        <f t="shared" ref="J41:O41" si="5">SUM(J31:J40)</f>
        <v>22232</v>
      </c>
      <c r="K41" s="624">
        <f t="shared" si="5"/>
        <v>22232</v>
      </c>
      <c r="L41" s="624">
        <f t="shared" si="5"/>
        <v>22232</v>
      </c>
      <c r="M41" s="624">
        <f t="shared" si="5"/>
        <v>22232</v>
      </c>
      <c r="N41" s="624">
        <f t="shared" si="5"/>
        <v>22232</v>
      </c>
      <c r="O41" s="624">
        <f t="shared" si="5"/>
        <v>22232</v>
      </c>
    </row>
    <row r="42" spans="1:15" s="327" customFormat="1" ht="13.5" thickTop="1" x14ac:dyDescent="0.2"/>
    <row r="43" spans="1:15" s="327" customFormat="1" ht="15" x14ac:dyDescent="0.2">
      <c r="A43" s="658" t="s">
        <v>1899</v>
      </c>
      <c r="I43" s="649" t="str">
        <f>IF(Intv_Ann_TA!H377,"YES!","NO.")</f>
        <v>YES!</v>
      </c>
    </row>
    <row r="44" spans="1:15" s="327" customFormat="1" x14ac:dyDescent="0.2"/>
    <row r="45" spans="1:15" s="327" customFormat="1" ht="18.75" x14ac:dyDescent="0.2">
      <c r="B45" s="329" t="s">
        <v>1898</v>
      </c>
    </row>
    <row r="46" spans="1:15" s="327" customFormat="1" ht="15.75" x14ac:dyDescent="0.2">
      <c r="C46" s="330" t="s">
        <v>1970</v>
      </c>
    </row>
    <row r="47" spans="1:15" s="327" customFormat="1" hidden="1" outlineLevel="1" x14ac:dyDescent="0.2">
      <c r="C47" s="660" t="str">
        <f>Intv_Ann_TA!D380</f>
        <v>Central</v>
      </c>
      <c r="J47" s="5">
        <f ca="1">Intv_Ann_TA!J380*Intv_BA!$J$590</f>
        <v>364.64400000000001</v>
      </c>
      <c r="K47" s="5">
        <f ca="1">Intv_Ann_TA!K380*Intv_BA!$J$590</f>
        <v>364.64400000000001</v>
      </c>
      <c r="L47" s="5">
        <f ca="1">Intv_Ann_TA!L380*Intv_BA!$J$590</f>
        <v>364.64400000000001</v>
      </c>
      <c r="M47" s="5">
        <f ca="1">Intv_Ann_TA!M380*Intv_BA!$J$590</f>
        <v>364.64400000000001</v>
      </c>
      <c r="N47" s="5">
        <f ca="1">Intv_Ann_TA!N380*Intv_BA!$J$590</f>
        <v>364.64400000000001</v>
      </c>
      <c r="O47" s="5">
        <f ca="1">Intv_Ann_TA!O380*Intv_BA!$J$590</f>
        <v>364.64400000000001</v>
      </c>
    </row>
    <row r="48" spans="1:15" s="327" customFormat="1" hidden="1" outlineLevel="1" x14ac:dyDescent="0.2">
      <c r="C48" s="660" t="str">
        <f>Intv_Ann_TA!D381</f>
        <v>Copperbelt</v>
      </c>
      <c r="J48" s="5">
        <f ca="1">Intv_Ann_TA!J381*Intv_BA!$J$590</f>
        <v>512.06399999999996</v>
      </c>
      <c r="K48" s="5">
        <f ca="1">Intv_Ann_TA!K381*Intv_BA!$J$590</f>
        <v>512.06399999999996</v>
      </c>
      <c r="L48" s="5">
        <f ca="1">Intv_Ann_TA!L381*Intv_BA!$J$590</f>
        <v>512.06399999999996</v>
      </c>
      <c r="M48" s="5">
        <f ca="1">Intv_Ann_TA!M381*Intv_BA!$J$590</f>
        <v>512.06399999999996</v>
      </c>
      <c r="N48" s="5">
        <f ca="1">Intv_Ann_TA!N381*Intv_BA!$J$590</f>
        <v>512.06399999999996</v>
      </c>
      <c r="O48" s="5">
        <f ca="1">Intv_Ann_TA!O381*Intv_BA!$J$590</f>
        <v>512.06399999999996</v>
      </c>
    </row>
    <row r="49" spans="2:15" s="327" customFormat="1" hidden="1" outlineLevel="1" x14ac:dyDescent="0.2">
      <c r="C49" s="660" t="str">
        <f>Intv_Ann_TA!D382</f>
        <v>Eastern</v>
      </c>
      <c r="J49" s="5">
        <f ca="1">Intv_Ann_TA!J382*Intv_BA!$J$590</f>
        <v>659.48400000000004</v>
      </c>
      <c r="K49" s="5">
        <f ca="1">Intv_Ann_TA!K382*Intv_BA!$J$590</f>
        <v>659.48400000000004</v>
      </c>
      <c r="L49" s="5">
        <f ca="1">Intv_Ann_TA!L382*Intv_BA!$J$590</f>
        <v>659.48400000000004</v>
      </c>
      <c r="M49" s="5">
        <f ca="1">Intv_Ann_TA!M382*Intv_BA!$J$590</f>
        <v>659.48400000000004</v>
      </c>
      <c r="N49" s="5">
        <f ca="1">Intv_Ann_TA!N382*Intv_BA!$J$590</f>
        <v>659.48400000000004</v>
      </c>
      <c r="O49" s="5">
        <f ca="1">Intv_Ann_TA!O382*Intv_BA!$J$590</f>
        <v>659.48400000000004</v>
      </c>
    </row>
    <row r="50" spans="2:15" s="327" customFormat="1" hidden="1" outlineLevel="1" x14ac:dyDescent="0.2">
      <c r="C50" s="660" t="str">
        <f>Intv_Ann_TA!D383</f>
        <v>Luapula</v>
      </c>
      <c r="J50" s="5">
        <f ca="1">Intv_Ann_TA!J383*Intv_BA!$J$590</f>
        <v>512.06399999999996</v>
      </c>
      <c r="K50" s="5">
        <f ca="1">Intv_Ann_TA!K383*Intv_BA!$J$590</f>
        <v>512.06399999999996</v>
      </c>
      <c r="L50" s="5">
        <f ca="1">Intv_Ann_TA!L383*Intv_BA!$J$590</f>
        <v>512.06399999999996</v>
      </c>
      <c r="M50" s="5">
        <f ca="1">Intv_Ann_TA!M383*Intv_BA!$J$590</f>
        <v>512.06399999999996</v>
      </c>
      <c r="N50" s="5">
        <f ca="1">Intv_Ann_TA!N383*Intv_BA!$J$590</f>
        <v>512.06399999999996</v>
      </c>
      <c r="O50" s="5">
        <f ca="1">Intv_Ann_TA!O383*Intv_BA!$J$590</f>
        <v>512.06399999999996</v>
      </c>
    </row>
    <row r="51" spans="2:15" s="327" customFormat="1" hidden="1" outlineLevel="1" x14ac:dyDescent="0.2">
      <c r="C51" s="660" t="str">
        <f>Intv_Ann_TA!D384</f>
        <v>Lusaka</v>
      </c>
      <c r="J51" s="5">
        <f ca="1">Intv_Ann_TA!J384*Intv_BA!$J$590</f>
        <v>1838.8440000000001</v>
      </c>
      <c r="K51" s="5">
        <f ca="1">Intv_Ann_TA!K384*Intv_BA!$J$590</f>
        <v>1838.8440000000001</v>
      </c>
      <c r="L51" s="5">
        <f ca="1">Intv_Ann_TA!L384*Intv_BA!$J$590</f>
        <v>1838.8440000000001</v>
      </c>
      <c r="M51" s="5">
        <f ca="1">Intv_Ann_TA!M384*Intv_BA!$J$590</f>
        <v>1838.8440000000001</v>
      </c>
      <c r="N51" s="5">
        <f ca="1">Intv_Ann_TA!N384*Intv_BA!$J$590</f>
        <v>1838.8440000000001</v>
      </c>
      <c r="O51" s="5">
        <f ca="1">Intv_Ann_TA!O384*Intv_BA!$J$590</f>
        <v>1838.8440000000001</v>
      </c>
    </row>
    <row r="52" spans="2:15" s="327" customFormat="1" hidden="1" outlineLevel="1" x14ac:dyDescent="0.2">
      <c r="C52" s="660" t="str">
        <f>Intv_Ann_TA!D385</f>
        <v>Muchinga</v>
      </c>
      <c r="J52" s="5">
        <f ca="1">Intv_Ann_TA!J385*Intv_BA!$J$590</f>
        <v>34.902000000000001</v>
      </c>
      <c r="K52" s="5">
        <f ca="1">Intv_Ann_TA!K385*Intv_BA!$J$590</f>
        <v>34.902000000000001</v>
      </c>
      <c r="L52" s="5">
        <f ca="1">Intv_Ann_TA!L385*Intv_BA!$J$590</f>
        <v>34.902000000000001</v>
      </c>
      <c r="M52" s="5">
        <f ca="1">Intv_Ann_TA!M385*Intv_BA!$J$590</f>
        <v>34.902000000000001</v>
      </c>
      <c r="N52" s="5">
        <f ca="1">Intv_Ann_TA!N385*Intv_BA!$J$590</f>
        <v>34.902000000000001</v>
      </c>
      <c r="O52" s="5">
        <f ca="1">Intv_Ann_TA!O385*Intv_BA!$J$590</f>
        <v>34.902000000000001</v>
      </c>
    </row>
    <row r="53" spans="2:15" s="327" customFormat="1" hidden="1" outlineLevel="1" x14ac:dyDescent="0.2">
      <c r="C53" s="660" t="str">
        <f>Intv_Ann_TA!D386</f>
        <v>Northern</v>
      </c>
      <c r="J53" s="5">
        <f ca="1">Intv_Ann_TA!J386*Intv_BA!$J$590</f>
        <v>182.322</v>
      </c>
      <c r="K53" s="5">
        <f ca="1">Intv_Ann_TA!K386*Intv_BA!$J$590</f>
        <v>182.322</v>
      </c>
      <c r="L53" s="5">
        <f ca="1">Intv_Ann_TA!L386*Intv_BA!$J$590</f>
        <v>182.322</v>
      </c>
      <c r="M53" s="5">
        <f ca="1">Intv_Ann_TA!M386*Intv_BA!$J$590</f>
        <v>182.322</v>
      </c>
      <c r="N53" s="5">
        <f ca="1">Intv_Ann_TA!N386*Intv_BA!$J$590</f>
        <v>182.322</v>
      </c>
      <c r="O53" s="5">
        <f ca="1">Intv_Ann_TA!O386*Intv_BA!$J$590</f>
        <v>182.322</v>
      </c>
    </row>
    <row r="54" spans="2:15" s="327" customFormat="1" hidden="1" outlineLevel="1" x14ac:dyDescent="0.2">
      <c r="C54" s="660" t="str">
        <f>Intv_Ann_TA!D387</f>
        <v>North-Western</v>
      </c>
      <c r="J54" s="5">
        <f ca="1">Intv_Ann_TA!J387*Intv_BA!$J$590</f>
        <v>217.22399999999999</v>
      </c>
      <c r="K54" s="5">
        <f ca="1">Intv_Ann_TA!K387*Intv_BA!$J$590</f>
        <v>217.22399999999999</v>
      </c>
      <c r="L54" s="5">
        <f ca="1">Intv_Ann_TA!L387*Intv_BA!$J$590</f>
        <v>217.22399999999999</v>
      </c>
      <c r="M54" s="5">
        <f ca="1">Intv_Ann_TA!M387*Intv_BA!$J$590</f>
        <v>217.22399999999999</v>
      </c>
      <c r="N54" s="5">
        <f ca="1">Intv_Ann_TA!N387*Intv_BA!$J$590</f>
        <v>217.22399999999999</v>
      </c>
      <c r="O54" s="5">
        <f ca="1">Intv_Ann_TA!O387*Intv_BA!$J$590</f>
        <v>217.22399999999999</v>
      </c>
    </row>
    <row r="55" spans="2:15" s="327" customFormat="1" hidden="1" outlineLevel="1" x14ac:dyDescent="0.2">
      <c r="C55" s="660" t="str">
        <f>Intv_Ann_TA!D388</f>
        <v>Southern</v>
      </c>
      <c r="J55" s="5">
        <f ca="1">Intv_Ann_TA!J388*Intv_BA!$J$590</f>
        <v>512.06399999999996</v>
      </c>
      <c r="K55" s="5">
        <f ca="1">Intv_Ann_TA!K388*Intv_BA!$J$590</f>
        <v>512.06399999999996</v>
      </c>
      <c r="L55" s="5">
        <f ca="1">Intv_Ann_TA!L388*Intv_BA!$J$590</f>
        <v>512.06399999999996</v>
      </c>
      <c r="M55" s="5">
        <f ca="1">Intv_Ann_TA!M388*Intv_BA!$J$590</f>
        <v>512.06399999999996</v>
      </c>
      <c r="N55" s="5">
        <f ca="1">Intv_Ann_TA!N388*Intv_BA!$J$590</f>
        <v>512.06399999999996</v>
      </c>
      <c r="O55" s="5">
        <f ca="1">Intv_Ann_TA!O388*Intv_BA!$J$590</f>
        <v>512.06399999999996</v>
      </c>
    </row>
    <row r="56" spans="2:15" s="327" customFormat="1" hidden="1" outlineLevel="1" x14ac:dyDescent="0.2">
      <c r="C56" s="660" t="str">
        <f>Intv_Ann_TA!D389</f>
        <v>Western</v>
      </c>
      <c r="J56" s="5">
        <f ca="1">Intv_Ann_TA!J389*Intv_BA!$J$590</f>
        <v>512.06399999999996</v>
      </c>
      <c r="K56" s="5">
        <f ca="1">Intv_Ann_TA!K389*Intv_BA!$J$590</f>
        <v>512.06399999999996</v>
      </c>
      <c r="L56" s="5">
        <f ca="1">Intv_Ann_TA!L389*Intv_BA!$J$590</f>
        <v>512.06399999999996</v>
      </c>
      <c r="M56" s="5">
        <f ca="1">Intv_Ann_TA!M389*Intv_BA!$J$590</f>
        <v>512.06399999999996</v>
      </c>
      <c r="N56" s="5">
        <f ca="1">Intv_Ann_TA!N389*Intv_BA!$J$590</f>
        <v>512.06399999999996</v>
      </c>
      <c r="O56" s="5">
        <f ca="1">Intv_Ann_TA!O389*Intv_BA!$J$590</f>
        <v>512.06399999999996</v>
      </c>
    </row>
    <row r="57" spans="2:15" s="327" customFormat="1" ht="15.75" collapsed="1" thickBot="1" x14ac:dyDescent="0.25">
      <c r="C57" s="679" t="str">
        <f>"Total "&amp;C46</f>
        <v>Total Screened Patients Referred for Procedure</v>
      </c>
      <c r="J57" s="624">
        <f t="shared" ref="J57:O57" ca="1" si="6">SUM(J47:J56)</f>
        <v>5345.6760000000004</v>
      </c>
      <c r="K57" s="624">
        <f t="shared" ca="1" si="6"/>
        <v>5345.6760000000004</v>
      </c>
      <c r="L57" s="624">
        <f t="shared" ca="1" si="6"/>
        <v>5345.6760000000004</v>
      </c>
      <c r="M57" s="624">
        <f t="shared" ca="1" si="6"/>
        <v>5345.6760000000004</v>
      </c>
      <c r="N57" s="624">
        <f t="shared" ca="1" si="6"/>
        <v>5345.6760000000004</v>
      </c>
      <c r="O57" s="624">
        <f t="shared" ca="1" si="6"/>
        <v>5345.6760000000004</v>
      </c>
    </row>
    <row r="58" spans="2:15" s="327" customFormat="1" ht="13.5" thickTop="1" x14ac:dyDescent="0.2"/>
    <row r="59" spans="2:15" s="327" customFormat="1" ht="18.75" x14ac:dyDescent="0.2">
      <c r="B59" s="329" t="s">
        <v>1895</v>
      </c>
    </row>
    <row r="60" spans="2:15" s="327" customFormat="1" ht="15.75" x14ac:dyDescent="0.2">
      <c r="C60" s="18" t="str">
        <f>Intv_Ann_TO!D640</f>
        <v>Population Seeking Service (New)</v>
      </c>
    </row>
    <row r="61" spans="2:15" s="327" customFormat="1" hidden="1" outlineLevel="1" x14ac:dyDescent="0.2">
      <c r="C61" s="660" t="str">
        <f>Intv_Ann_TO!D641</f>
        <v>Central</v>
      </c>
      <c r="J61" s="5">
        <f ca="1">Intv_Ann_TO!J641</f>
        <v>182</v>
      </c>
      <c r="K61" s="5">
        <f ca="1">Intv_Ann_TO!K641</f>
        <v>182</v>
      </c>
      <c r="L61" s="5">
        <f ca="1">Intv_Ann_TO!L641</f>
        <v>182</v>
      </c>
      <c r="M61" s="5">
        <f ca="1">Intv_Ann_TO!M641</f>
        <v>182</v>
      </c>
      <c r="N61" s="5">
        <f ca="1">Intv_Ann_TO!N641</f>
        <v>182</v>
      </c>
      <c r="O61" s="5">
        <f ca="1">Intv_Ann_TO!O641</f>
        <v>182</v>
      </c>
    </row>
    <row r="62" spans="2:15" s="327" customFormat="1" hidden="1" outlineLevel="1" x14ac:dyDescent="0.2">
      <c r="C62" s="660" t="str">
        <f>Intv_Ann_TO!D642</f>
        <v>Copperbelt</v>
      </c>
      <c r="J62" s="5">
        <f ca="1">Intv_Ann_TO!J642</f>
        <v>256</v>
      </c>
      <c r="K62" s="5">
        <f ca="1">Intv_Ann_TO!K642</f>
        <v>256</v>
      </c>
      <c r="L62" s="5">
        <f ca="1">Intv_Ann_TO!L642</f>
        <v>256</v>
      </c>
      <c r="M62" s="5">
        <f ca="1">Intv_Ann_TO!M642</f>
        <v>256</v>
      </c>
      <c r="N62" s="5">
        <f ca="1">Intv_Ann_TO!N642</f>
        <v>256</v>
      </c>
      <c r="O62" s="5">
        <f ca="1">Intv_Ann_TO!O642</f>
        <v>256</v>
      </c>
    </row>
    <row r="63" spans="2:15" s="327" customFormat="1" hidden="1" outlineLevel="1" x14ac:dyDescent="0.2">
      <c r="C63" s="660" t="str">
        <f>Intv_Ann_TO!D643</f>
        <v>Eastern</v>
      </c>
      <c r="J63" s="5">
        <f ca="1">Intv_Ann_TO!J643</f>
        <v>330</v>
      </c>
      <c r="K63" s="5">
        <f ca="1">Intv_Ann_TO!K643</f>
        <v>330</v>
      </c>
      <c r="L63" s="5">
        <f ca="1">Intv_Ann_TO!L643</f>
        <v>330</v>
      </c>
      <c r="M63" s="5">
        <f ca="1">Intv_Ann_TO!M643</f>
        <v>330</v>
      </c>
      <c r="N63" s="5">
        <f ca="1">Intv_Ann_TO!N643</f>
        <v>330</v>
      </c>
      <c r="O63" s="5">
        <f ca="1">Intv_Ann_TO!O643</f>
        <v>330</v>
      </c>
    </row>
    <row r="64" spans="2:15" s="327" customFormat="1" hidden="1" outlineLevel="1" x14ac:dyDescent="0.2">
      <c r="C64" s="660" t="str">
        <f>Intv_Ann_TO!D644</f>
        <v>Luapula</v>
      </c>
      <c r="J64" s="5">
        <f ca="1">Intv_Ann_TO!J644</f>
        <v>256</v>
      </c>
      <c r="K64" s="5">
        <f ca="1">Intv_Ann_TO!K644</f>
        <v>256</v>
      </c>
      <c r="L64" s="5">
        <f ca="1">Intv_Ann_TO!L644</f>
        <v>256</v>
      </c>
      <c r="M64" s="5">
        <f ca="1">Intv_Ann_TO!M644</f>
        <v>256</v>
      </c>
      <c r="N64" s="5">
        <f ca="1">Intv_Ann_TO!N644</f>
        <v>256</v>
      </c>
      <c r="O64" s="5">
        <f ca="1">Intv_Ann_TO!O644</f>
        <v>256</v>
      </c>
    </row>
    <row r="65" spans="2:15" s="327" customFormat="1" hidden="1" outlineLevel="1" x14ac:dyDescent="0.2">
      <c r="C65" s="660" t="str">
        <f>Intv_Ann_TO!D645</f>
        <v>Lusaka</v>
      </c>
      <c r="J65" s="5">
        <f ca="1">Intv_Ann_TO!J645</f>
        <v>919</v>
      </c>
      <c r="K65" s="5">
        <f ca="1">Intv_Ann_TO!K645</f>
        <v>919</v>
      </c>
      <c r="L65" s="5">
        <f ca="1">Intv_Ann_TO!L645</f>
        <v>919</v>
      </c>
      <c r="M65" s="5">
        <f ca="1">Intv_Ann_TO!M645</f>
        <v>919</v>
      </c>
      <c r="N65" s="5">
        <f ca="1">Intv_Ann_TO!N645</f>
        <v>919</v>
      </c>
      <c r="O65" s="5">
        <f ca="1">Intv_Ann_TO!O645</f>
        <v>919</v>
      </c>
    </row>
    <row r="66" spans="2:15" s="327" customFormat="1" hidden="1" outlineLevel="1" x14ac:dyDescent="0.2">
      <c r="C66" s="660" t="str">
        <f>Intv_Ann_TO!D646</f>
        <v>Muchinga</v>
      </c>
      <c r="J66" s="5">
        <f ca="1">Intv_Ann_TO!J646</f>
        <v>17</v>
      </c>
      <c r="K66" s="5">
        <f ca="1">Intv_Ann_TO!K646</f>
        <v>17</v>
      </c>
      <c r="L66" s="5">
        <f ca="1">Intv_Ann_TO!L646</f>
        <v>17</v>
      </c>
      <c r="M66" s="5">
        <f ca="1">Intv_Ann_TO!M646</f>
        <v>17</v>
      </c>
      <c r="N66" s="5">
        <f ca="1">Intv_Ann_TO!N646</f>
        <v>17</v>
      </c>
      <c r="O66" s="5">
        <f ca="1">Intv_Ann_TO!O646</f>
        <v>17</v>
      </c>
    </row>
    <row r="67" spans="2:15" s="327" customFormat="1" hidden="1" outlineLevel="1" x14ac:dyDescent="0.2">
      <c r="C67" s="660" t="str">
        <f>Intv_Ann_TO!D647</f>
        <v>Northern</v>
      </c>
      <c r="J67" s="5">
        <f ca="1">Intv_Ann_TO!J647</f>
        <v>91</v>
      </c>
      <c r="K67" s="5">
        <f ca="1">Intv_Ann_TO!K647</f>
        <v>91</v>
      </c>
      <c r="L67" s="5">
        <f ca="1">Intv_Ann_TO!L647</f>
        <v>91</v>
      </c>
      <c r="M67" s="5">
        <f ca="1">Intv_Ann_TO!M647</f>
        <v>91</v>
      </c>
      <c r="N67" s="5">
        <f ca="1">Intv_Ann_TO!N647</f>
        <v>91</v>
      </c>
      <c r="O67" s="5">
        <f ca="1">Intv_Ann_TO!O647</f>
        <v>91</v>
      </c>
    </row>
    <row r="68" spans="2:15" s="327" customFormat="1" hidden="1" outlineLevel="1" x14ac:dyDescent="0.2">
      <c r="C68" s="660" t="str">
        <f>Intv_Ann_TO!D648</f>
        <v>North-Western</v>
      </c>
      <c r="J68" s="5">
        <f ca="1">Intv_Ann_TO!J648</f>
        <v>109</v>
      </c>
      <c r="K68" s="5">
        <f ca="1">Intv_Ann_TO!K648</f>
        <v>109</v>
      </c>
      <c r="L68" s="5">
        <f ca="1">Intv_Ann_TO!L648</f>
        <v>109</v>
      </c>
      <c r="M68" s="5">
        <f ca="1">Intv_Ann_TO!M648</f>
        <v>109</v>
      </c>
      <c r="N68" s="5">
        <f ca="1">Intv_Ann_TO!N648</f>
        <v>109</v>
      </c>
      <c r="O68" s="5">
        <f ca="1">Intv_Ann_TO!O648</f>
        <v>109</v>
      </c>
    </row>
    <row r="69" spans="2:15" s="327" customFormat="1" hidden="1" outlineLevel="1" x14ac:dyDescent="0.2">
      <c r="C69" s="660" t="str">
        <f>Intv_Ann_TO!D649</f>
        <v>Southern</v>
      </c>
      <c r="J69" s="5">
        <f ca="1">Intv_Ann_TO!J649</f>
        <v>256</v>
      </c>
      <c r="K69" s="5">
        <f ca="1">Intv_Ann_TO!K649</f>
        <v>256</v>
      </c>
      <c r="L69" s="5">
        <f ca="1">Intv_Ann_TO!L649</f>
        <v>256</v>
      </c>
      <c r="M69" s="5">
        <f ca="1">Intv_Ann_TO!M649</f>
        <v>256</v>
      </c>
      <c r="N69" s="5">
        <f ca="1">Intv_Ann_TO!N649</f>
        <v>256</v>
      </c>
      <c r="O69" s="5">
        <f ca="1">Intv_Ann_TO!O649</f>
        <v>256</v>
      </c>
    </row>
    <row r="70" spans="2:15" s="327" customFormat="1" hidden="1" outlineLevel="1" x14ac:dyDescent="0.2">
      <c r="C70" s="660" t="str">
        <f>Intv_Ann_TO!D650</f>
        <v>Western</v>
      </c>
      <c r="J70" s="5">
        <f ca="1">Intv_Ann_TO!J650</f>
        <v>256</v>
      </c>
      <c r="K70" s="5">
        <f ca="1">Intv_Ann_TO!K650</f>
        <v>256</v>
      </c>
      <c r="L70" s="5">
        <f ca="1">Intv_Ann_TO!L650</f>
        <v>256</v>
      </c>
      <c r="M70" s="5">
        <f ca="1">Intv_Ann_TO!M650</f>
        <v>256</v>
      </c>
      <c r="N70" s="5">
        <f ca="1">Intv_Ann_TO!N650</f>
        <v>256</v>
      </c>
      <c r="O70" s="5">
        <f ca="1">Intv_Ann_TO!O650</f>
        <v>256</v>
      </c>
    </row>
    <row r="71" spans="2:15" s="327" customFormat="1" ht="15.75" collapsed="1" thickBot="1" x14ac:dyDescent="0.25">
      <c r="C71" s="679" t="str">
        <f>"Total "&amp;C60</f>
        <v>Total Population Seeking Service (New)</v>
      </c>
      <c r="J71" s="624">
        <f t="shared" ref="J71:O71" ca="1" si="7">SUM(J61:J70)</f>
        <v>2672</v>
      </c>
      <c r="K71" s="624">
        <f t="shared" ca="1" si="7"/>
        <v>2672</v>
      </c>
      <c r="L71" s="624">
        <f t="shared" ca="1" si="7"/>
        <v>2672</v>
      </c>
      <c r="M71" s="624">
        <f t="shared" ca="1" si="7"/>
        <v>2672</v>
      </c>
      <c r="N71" s="624">
        <f t="shared" ca="1" si="7"/>
        <v>2672</v>
      </c>
      <c r="O71" s="624">
        <f t="shared" ca="1" si="7"/>
        <v>2672</v>
      </c>
    </row>
    <row r="72" spans="2:15" s="327" customFormat="1" ht="13.5" thickTop="1" x14ac:dyDescent="0.2"/>
    <row r="73" spans="2:15" s="327" customFormat="1" ht="15.75" x14ac:dyDescent="0.2">
      <c r="C73" s="330" t="s">
        <v>1893</v>
      </c>
      <c r="J73" s="5">
        <f t="shared" ref="J73:O73" ca="1" si="8">MAX((J71-J41),0)</f>
        <v>0</v>
      </c>
      <c r="K73" s="5">
        <f t="shared" ca="1" si="8"/>
        <v>0</v>
      </c>
      <c r="L73" s="5">
        <f t="shared" ca="1" si="8"/>
        <v>0</v>
      </c>
      <c r="M73" s="5">
        <f t="shared" ca="1" si="8"/>
        <v>0</v>
      </c>
      <c r="N73" s="5">
        <f t="shared" ca="1" si="8"/>
        <v>0</v>
      </c>
      <c r="O73" s="5">
        <f t="shared" ca="1" si="8"/>
        <v>0</v>
      </c>
    </row>
    <row r="74" spans="2:15" s="327" customFormat="1" x14ac:dyDescent="0.2"/>
    <row r="75" spans="2:15" s="327" customFormat="1" ht="18.75" x14ac:dyDescent="0.2">
      <c r="B75" s="329" t="s">
        <v>8</v>
      </c>
    </row>
    <row r="76" spans="2:15" s="327" customFormat="1" ht="15.75" x14ac:dyDescent="0.2">
      <c r="C76" s="330" t="s">
        <v>1901</v>
      </c>
    </row>
    <row r="77" spans="2:15" s="327" customFormat="1" hidden="1" outlineLevel="1" x14ac:dyDescent="0.2">
      <c r="C77" s="660" t="str">
        <f>Intv_Ann_TO!D681</f>
        <v>Central</v>
      </c>
      <c r="J77" s="5">
        <f ca="1">Intv_Ann_TO!J681</f>
        <v>182</v>
      </c>
      <c r="K77" s="5">
        <f ca="1">Intv_Ann_TO!K681</f>
        <v>182</v>
      </c>
      <c r="L77" s="5">
        <f ca="1">Intv_Ann_TO!L681</f>
        <v>182</v>
      </c>
      <c r="M77" s="5">
        <f ca="1">Intv_Ann_TO!M681</f>
        <v>182</v>
      </c>
      <c r="N77" s="5">
        <f ca="1">Intv_Ann_TO!N681</f>
        <v>182</v>
      </c>
      <c r="O77" s="5">
        <f ca="1">Intv_Ann_TO!O681</f>
        <v>182</v>
      </c>
    </row>
    <row r="78" spans="2:15" s="327" customFormat="1" hidden="1" outlineLevel="1" x14ac:dyDescent="0.2">
      <c r="C78" s="660" t="str">
        <f>Intv_Ann_TO!D682</f>
        <v>Copperbelt</v>
      </c>
      <c r="J78" s="5">
        <f ca="1">Intv_Ann_TO!J682</f>
        <v>256</v>
      </c>
      <c r="K78" s="5">
        <f ca="1">Intv_Ann_TO!K682</f>
        <v>256</v>
      </c>
      <c r="L78" s="5">
        <f ca="1">Intv_Ann_TO!L682</f>
        <v>256</v>
      </c>
      <c r="M78" s="5">
        <f ca="1">Intv_Ann_TO!M682</f>
        <v>256</v>
      </c>
      <c r="N78" s="5">
        <f ca="1">Intv_Ann_TO!N682</f>
        <v>256</v>
      </c>
      <c r="O78" s="5">
        <f ca="1">Intv_Ann_TO!O682</f>
        <v>256</v>
      </c>
    </row>
    <row r="79" spans="2:15" s="327" customFormat="1" hidden="1" outlineLevel="1" x14ac:dyDescent="0.2">
      <c r="C79" s="660" t="str">
        <f>Intv_Ann_TO!D683</f>
        <v>Eastern</v>
      </c>
      <c r="J79" s="5">
        <f ca="1">Intv_Ann_TO!J683</f>
        <v>330</v>
      </c>
      <c r="K79" s="5">
        <f ca="1">Intv_Ann_TO!K683</f>
        <v>330</v>
      </c>
      <c r="L79" s="5">
        <f ca="1">Intv_Ann_TO!L683</f>
        <v>330</v>
      </c>
      <c r="M79" s="5">
        <f ca="1">Intv_Ann_TO!M683</f>
        <v>330</v>
      </c>
      <c r="N79" s="5">
        <f ca="1">Intv_Ann_TO!N683</f>
        <v>330</v>
      </c>
      <c r="O79" s="5">
        <f ca="1">Intv_Ann_TO!O683</f>
        <v>330</v>
      </c>
    </row>
    <row r="80" spans="2:15" s="327" customFormat="1" hidden="1" outlineLevel="1" x14ac:dyDescent="0.2">
      <c r="C80" s="660" t="str">
        <f>Intv_Ann_TO!D684</f>
        <v>Luapula</v>
      </c>
      <c r="J80" s="5">
        <f ca="1">Intv_Ann_TO!J684</f>
        <v>256</v>
      </c>
      <c r="K80" s="5">
        <f ca="1">Intv_Ann_TO!K684</f>
        <v>256</v>
      </c>
      <c r="L80" s="5">
        <f ca="1">Intv_Ann_TO!L684</f>
        <v>256</v>
      </c>
      <c r="M80" s="5">
        <f ca="1">Intv_Ann_TO!M684</f>
        <v>256</v>
      </c>
      <c r="N80" s="5">
        <f ca="1">Intv_Ann_TO!N684</f>
        <v>256</v>
      </c>
      <c r="O80" s="5">
        <f ca="1">Intv_Ann_TO!O684</f>
        <v>256</v>
      </c>
    </row>
    <row r="81" spans="3:15" s="327" customFormat="1" hidden="1" outlineLevel="1" x14ac:dyDescent="0.2">
      <c r="C81" s="660" t="str">
        <f>Intv_Ann_TO!D685</f>
        <v>Lusaka</v>
      </c>
      <c r="J81" s="5">
        <f ca="1">Intv_Ann_TO!J685</f>
        <v>919</v>
      </c>
      <c r="K81" s="5">
        <f ca="1">Intv_Ann_TO!K685</f>
        <v>919</v>
      </c>
      <c r="L81" s="5">
        <f ca="1">Intv_Ann_TO!L685</f>
        <v>919</v>
      </c>
      <c r="M81" s="5">
        <f ca="1">Intv_Ann_TO!M685</f>
        <v>919</v>
      </c>
      <c r="N81" s="5">
        <f ca="1">Intv_Ann_TO!N685</f>
        <v>919</v>
      </c>
      <c r="O81" s="5">
        <f ca="1">Intv_Ann_TO!O685</f>
        <v>919</v>
      </c>
    </row>
    <row r="82" spans="3:15" s="327" customFormat="1" hidden="1" outlineLevel="1" x14ac:dyDescent="0.2">
      <c r="C82" s="660" t="str">
        <f>Intv_Ann_TO!D686</f>
        <v>Muchinga</v>
      </c>
      <c r="J82" s="5">
        <f ca="1">Intv_Ann_TO!J686</f>
        <v>17</v>
      </c>
      <c r="K82" s="5">
        <f ca="1">Intv_Ann_TO!K686</f>
        <v>17</v>
      </c>
      <c r="L82" s="5">
        <f ca="1">Intv_Ann_TO!L686</f>
        <v>17</v>
      </c>
      <c r="M82" s="5">
        <f ca="1">Intv_Ann_TO!M686</f>
        <v>17</v>
      </c>
      <c r="N82" s="5">
        <f ca="1">Intv_Ann_TO!N686</f>
        <v>17</v>
      </c>
      <c r="O82" s="5">
        <f ca="1">Intv_Ann_TO!O686</f>
        <v>17</v>
      </c>
    </row>
    <row r="83" spans="3:15" s="327" customFormat="1" hidden="1" outlineLevel="1" x14ac:dyDescent="0.2">
      <c r="C83" s="660" t="str">
        <f>Intv_Ann_TO!D687</f>
        <v>Northern</v>
      </c>
      <c r="J83" s="5">
        <f ca="1">Intv_Ann_TO!J687</f>
        <v>91</v>
      </c>
      <c r="K83" s="5">
        <f ca="1">Intv_Ann_TO!K687</f>
        <v>91</v>
      </c>
      <c r="L83" s="5">
        <f ca="1">Intv_Ann_TO!L687</f>
        <v>91</v>
      </c>
      <c r="M83" s="5">
        <f ca="1">Intv_Ann_TO!M687</f>
        <v>91</v>
      </c>
      <c r="N83" s="5">
        <f ca="1">Intv_Ann_TO!N687</f>
        <v>91</v>
      </c>
      <c r="O83" s="5">
        <f ca="1">Intv_Ann_TO!O687</f>
        <v>91</v>
      </c>
    </row>
    <row r="84" spans="3:15" s="327" customFormat="1" hidden="1" outlineLevel="1" x14ac:dyDescent="0.2">
      <c r="C84" s="660" t="str">
        <f>Intv_Ann_TO!D688</f>
        <v>North-Western</v>
      </c>
      <c r="J84" s="5">
        <f ca="1">Intv_Ann_TO!J688</f>
        <v>109</v>
      </c>
      <c r="K84" s="5">
        <f ca="1">Intv_Ann_TO!K688</f>
        <v>109</v>
      </c>
      <c r="L84" s="5">
        <f ca="1">Intv_Ann_TO!L688</f>
        <v>109</v>
      </c>
      <c r="M84" s="5">
        <f ca="1">Intv_Ann_TO!M688</f>
        <v>109</v>
      </c>
      <c r="N84" s="5">
        <f ca="1">Intv_Ann_TO!N688</f>
        <v>109</v>
      </c>
      <c r="O84" s="5">
        <f ca="1">Intv_Ann_TO!O688</f>
        <v>109</v>
      </c>
    </row>
    <row r="85" spans="3:15" s="327" customFormat="1" hidden="1" outlineLevel="1" x14ac:dyDescent="0.2">
      <c r="C85" s="660" t="str">
        <f>Intv_Ann_TO!D689</f>
        <v>Southern</v>
      </c>
      <c r="J85" s="5">
        <f ca="1">Intv_Ann_TO!J689</f>
        <v>256</v>
      </c>
      <c r="K85" s="5">
        <f ca="1">Intv_Ann_TO!K689</f>
        <v>256</v>
      </c>
      <c r="L85" s="5">
        <f ca="1">Intv_Ann_TO!L689</f>
        <v>256</v>
      </c>
      <c r="M85" s="5">
        <f ca="1">Intv_Ann_TO!M689</f>
        <v>256</v>
      </c>
      <c r="N85" s="5">
        <f ca="1">Intv_Ann_TO!N689</f>
        <v>256</v>
      </c>
      <c r="O85" s="5">
        <f ca="1">Intv_Ann_TO!O689</f>
        <v>256</v>
      </c>
    </row>
    <row r="86" spans="3:15" s="327" customFormat="1" hidden="1" outlineLevel="1" x14ac:dyDescent="0.2">
      <c r="C86" s="660" t="str">
        <f>Intv_Ann_TO!D690</f>
        <v>Western</v>
      </c>
      <c r="J86" s="5">
        <f ca="1">Intv_Ann_TO!J690</f>
        <v>256</v>
      </c>
      <c r="K86" s="5">
        <f ca="1">Intv_Ann_TO!K690</f>
        <v>256</v>
      </c>
      <c r="L86" s="5">
        <f ca="1">Intv_Ann_TO!L690</f>
        <v>256</v>
      </c>
      <c r="M86" s="5">
        <f ca="1">Intv_Ann_TO!M690</f>
        <v>256</v>
      </c>
      <c r="N86" s="5">
        <f ca="1">Intv_Ann_TO!N690</f>
        <v>256</v>
      </c>
      <c r="O86" s="5">
        <f ca="1">Intv_Ann_TO!O690</f>
        <v>256</v>
      </c>
    </row>
    <row r="87" spans="3:15" s="327" customFormat="1" ht="15.75" collapsed="1" thickBot="1" x14ac:dyDescent="0.25">
      <c r="C87" s="646" t="str">
        <f>C76</f>
        <v>Total Procedures Provided (by Patient's Home Province)</v>
      </c>
      <c r="J87" s="624">
        <f t="shared" ref="J87:O87" ca="1" si="9">SUM(J77:J86)</f>
        <v>2672</v>
      </c>
      <c r="K87" s="624">
        <f t="shared" ca="1" si="9"/>
        <v>2672</v>
      </c>
      <c r="L87" s="624">
        <f t="shared" ca="1" si="9"/>
        <v>2672</v>
      </c>
      <c r="M87" s="624">
        <f t="shared" ca="1" si="9"/>
        <v>2672</v>
      </c>
      <c r="N87" s="624">
        <f t="shared" ca="1" si="9"/>
        <v>2672</v>
      </c>
      <c r="O87" s="624">
        <f t="shared" ca="1" si="9"/>
        <v>2672</v>
      </c>
    </row>
    <row r="88" spans="3:15" s="327" customFormat="1" ht="13.5" thickTop="1" x14ac:dyDescent="0.2"/>
    <row r="89" spans="3:15" s="327" customFormat="1" ht="15.75" x14ac:dyDescent="0.2">
      <c r="C89" s="330" t="s">
        <v>1902</v>
      </c>
    </row>
    <row r="90" spans="3:15" s="327" customFormat="1" hidden="1" outlineLevel="1" x14ac:dyDescent="0.2">
      <c r="C90" s="660" t="str">
        <f>Intv_Ann_TO!D694</f>
        <v>Central</v>
      </c>
      <c r="J90" s="5">
        <f ca="1">Intv_Ann_TO!J694</f>
        <v>521</v>
      </c>
      <c r="K90" s="5">
        <f ca="1">Intv_Ann_TO!K694</f>
        <v>521</v>
      </c>
      <c r="L90" s="5">
        <f ca="1">Intv_Ann_TO!L694</f>
        <v>521</v>
      </c>
      <c r="M90" s="5">
        <f ca="1">Intv_Ann_TO!M694</f>
        <v>521</v>
      </c>
      <c r="N90" s="5">
        <f ca="1">Intv_Ann_TO!N694</f>
        <v>521</v>
      </c>
      <c r="O90" s="5">
        <f ca="1">Intv_Ann_TO!O694</f>
        <v>521</v>
      </c>
    </row>
    <row r="91" spans="3:15" s="327" customFormat="1" hidden="1" outlineLevel="1" x14ac:dyDescent="0.2">
      <c r="C91" s="660" t="str">
        <f>Intv_Ann_TO!D695</f>
        <v>Copperbelt</v>
      </c>
      <c r="J91" s="5">
        <f ca="1">Intv_Ann_TO!J695</f>
        <v>940</v>
      </c>
      <c r="K91" s="5">
        <f ca="1">Intv_Ann_TO!K695</f>
        <v>940</v>
      </c>
      <c r="L91" s="5">
        <f ca="1">Intv_Ann_TO!L695</f>
        <v>940</v>
      </c>
      <c r="M91" s="5">
        <f ca="1">Intv_Ann_TO!M695</f>
        <v>940</v>
      </c>
      <c r="N91" s="5">
        <f ca="1">Intv_Ann_TO!N695</f>
        <v>940</v>
      </c>
      <c r="O91" s="5">
        <f ca="1">Intv_Ann_TO!O695</f>
        <v>940</v>
      </c>
    </row>
    <row r="92" spans="3:15" s="327" customFormat="1" hidden="1" outlineLevel="1" x14ac:dyDescent="0.2">
      <c r="C92" s="660" t="str">
        <f>Intv_Ann_TO!D696</f>
        <v>Eastern</v>
      </c>
      <c r="J92" s="5">
        <f ca="1">Intv_Ann_TO!J696</f>
        <v>0</v>
      </c>
      <c r="K92" s="5">
        <f ca="1">Intv_Ann_TO!K696</f>
        <v>0</v>
      </c>
      <c r="L92" s="5">
        <f ca="1">Intv_Ann_TO!L696</f>
        <v>0</v>
      </c>
      <c r="M92" s="5">
        <f ca="1">Intv_Ann_TO!M696</f>
        <v>0</v>
      </c>
      <c r="N92" s="5">
        <f ca="1">Intv_Ann_TO!N696</f>
        <v>0</v>
      </c>
      <c r="O92" s="5">
        <f ca="1">Intv_Ann_TO!O696</f>
        <v>0</v>
      </c>
    </row>
    <row r="93" spans="3:15" s="327" customFormat="1" hidden="1" outlineLevel="1" x14ac:dyDescent="0.2">
      <c r="C93" s="660" t="str">
        <f>Intv_Ann_TO!D697</f>
        <v>Luapula</v>
      </c>
      <c r="J93" s="5">
        <f ca="1">Intv_Ann_TO!J697</f>
        <v>0</v>
      </c>
      <c r="K93" s="5">
        <f ca="1">Intv_Ann_TO!K697</f>
        <v>0</v>
      </c>
      <c r="L93" s="5">
        <f ca="1">Intv_Ann_TO!L697</f>
        <v>0</v>
      </c>
      <c r="M93" s="5">
        <f ca="1">Intv_Ann_TO!M697</f>
        <v>0</v>
      </c>
      <c r="N93" s="5">
        <f ca="1">Intv_Ann_TO!N697</f>
        <v>0</v>
      </c>
      <c r="O93" s="5">
        <f ca="1">Intv_Ann_TO!O697</f>
        <v>0</v>
      </c>
    </row>
    <row r="94" spans="3:15" s="327" customFormat="1" hidden="1" outlineLevel="1" x14ac:dyDescent="0.2">
      <c r="C94" s="660" t="str">
        <f>Intv_Ann_TO!D698</f>
        <v>Lusaka</v>
      </c>
      <c r="J94" s="5">
        <f ca="1">Intv_Ann_TO!J698</f>
        <v>1211</v>
      </c>
      <c r="K94" s="5">
        <f ca="1">Intv_Ann_TO!K698</f>
        <v>1211</v>
      </c>
      <c r="L94" s="5">
        <f ca="1">Intv_Ann_TO!L698</f>
        <v>1211</v>
      </c>
      <c r="M94" s="5">
        <f ca="1">Intv_Ann_TO!M698</f>
        <v>1211</v>
      </c>
      <c r="N94" s="5">
        <f ca="1">Intv_Ann_TO!N698</f>
        <v>1211</v>
      </c>
      <c r="O94" s="5">
        <f ca="1">Intv_Ann_TO!O698</f>
        <v>1211</v>
      </c>
    </row>
    <row r="95" spans="3:15" s="327" customFormat="1" hidden="1" outlineLevel="1" x14ac:dyDescent="0.2">
      <c r="C95" s="660" t="str">
        <f>Intv_Ann_TO!D699</f>
        <v>Muchinga</v>
      </c>
      <c r="J95" s="5">
        <f ca="1">Intv_Ann_TO!J699</f>
        <v>0</v>
      </c>
      <c r="K95" s="5">
        <f ca="1">Intv_Ann_TO!K699</f>
        <v>0</v>
      </c>
      <c r="L95" s="5">
        <f ca="1">Intv_Ann_TO!L699</f>
        <v>0</v>
      </c>
      <c r="M95" s="5">
        <f ca="1">Intv_Ann_TO!M699</f>
        <v>0</v>
      </c>
      <c r="N95" s="5">
        <f ca="1">Intv_Ann_TO!N699</f>
        <v>0</v>
      </c>
      <c r="O95" s="5">
        <f ca="1">Intv_Ann_TO!O699</f>
        <v>0</v>
      </c>
    </row>
    <row r="96" spans="3:15" s="327" customFormat="1" hidden="1" outlineLevel="1" x14ac:dyDescent="0.2">
      <c r="C96" s="660" t="str">
        <f>Intv_Ann_TO!D700</f>
        <v>Northern</v>
      </c>
      <c r="J96" s="5">
        <f ca="1">Intv_Ann_TO!J700</f>
        <v>0</v>
      </c>
      <c r="K96" s="5">
        <f ca="1">Intv_Ann_TO!K700</f>
        <v>0</v>
      </c>
      <c r="L96" s="5">
        <f ca="1">Intv_Ann_TO!L700</f>
        <v>0</v>
      </c>
      <c r="M96" s="5">
        <f ca="1">Intv_Ann_TO!M700</f>
        <v>0</v>
      </c>
      <c r="N96" s="5">
        <f ca="1">Intv_Ann_TO!N700</f>
        <v>0</v>
      </c>
      <c r="O96" s="5">
        <f ca="1">Intv_Ann_TO!O700</f>
        <v>0</v>
      </c>
    </row>
    <row r="97" spans="3:15" s="327" customFormat="1" hidden="1" outlineLevel="1" x14ac:dyDescent="0.2">
      <c r="C97" s="660" t="str">
        <f>Intv_Ann_TO!D701</f>
        <v>North-Western</v>
      </c>
      <c r="J97" s="5">
        <f ca="1">Intv_Ann_TO!J701</f>
        <v>0</v>
      </c>
      <c r="K97" s="5">
        <f ca="1">Intv_Ann_TO!K701</f>
        <v>0</v>
      </c>
      <c r="L97" s="5">
        <f ca="1">Intv_Ann_TO!L701</f>
        <v>0</v>
      </c>
      <c r="M97" s="5">
        <f ca="1">Intv_Ann_TO!M701</f>
        <v>0</v>
      </c>
      <c r="N97" s="5">
        <f ca="1">Intv_Ann_TO!N701</f>
        <v>0</v>
      </c>
      <c r="O97" s="5">
        <f ca="1">Intv_Ann_TO!O701</f>
        <v>0</v>
      </c>
    </row>
    <row r="98" spans="3:15" s="327" customFormat="1" hidden="1" outlineLevel="1" x14ac:dyDescent="0.2">
      <c r="C98" s="660" t="str">
        <f>Intv_Ann_TO!D702</f>
        <v>Southern</v>
      </c>
      <c r="J98" s="5">
        <f ca="1">Intv_Ann_TO!J702</f>
        <v>0</v>
      </c>
      <c r="K98" s="5">
        <f ca="1">Intv_Ann_TO!K702</f>
        <v>0</v>
      </c>
      <c r="L98" s="5">
        <f ca="1">Intv_Ann_TO!L702</f>
        <v>0</v>
      </c>
      <c r="M98" s="5">
        <f ca="1">Intv_Ann_TO!M702</f>
        <v>0</v>
      </c>
      <c r="N98" s="5">
        <f ca="1">Intv_Ann_TO!N702</f>
        <v>0</v>
      </c>
      <c r="O98" s="5">
        <f ca="1">Intv_Ann_TO!O702</f>
        <v>0</v>
      </c>
    </row>
    <row r="99" spans="3:15" s="327" customFormat="1" hidden="1" outlineLevel="1" x14ac:dyDescent="0.2">
      <c r="C99" s="660" t="str">
        <f>Intv_Ann_TO!D703</f>
        <v>Western</v>
      </c>
      <c r="J99" s="5">
        <f ca="1">Intv_Ann_TO!J703</f>
        <v>0</v>
      </c>
      <c r="K99" s="5">
        <f ca="1">Intv_Ann_TO!K703</f>
        <v>0</v>
      </c>
      <c r="L99" s="5">
        <f ca="1">Intv_Ann_TO!L703</f>
        <v>0</v>
      </c>
      <c r="M99" s="5">
        <f ca="1">Intv_Ann_TO!M703</f>
        <v>0</v>
      </c>
      <c r="N99" s="5">
        <f ca="1">Intv_Ann_TO!N703</f>
        <v>0</v>
      </c>
      <c r="O99" s="5">
        <f ca="1">Intv_Ann_TO!O703</f>
        <v>0</v>
      </c>
    </row>
    <row r="100" spans="3:15" s="327" customFormat="1" ht="15.75" collapsed="1" thickBot="1" x14ac:dyDescent="0.25">
      <c r="C100" s="646" t="str">
        <f>C89</f>
        <v>Total Procedures Supplied (by Province Providing)</v>
      </c>
      <c r="J100" s="624">
        <f t="shared" ref="J100:O100" ca="1" si="10">SUM(J90:J99)</f>
        <v>2672</v>
      </c>
      <c r="K100" s="624">
        <f t="shared" ca="1" si="10"/>
        <v>2672</v>
      </c>
      <c r="L100" s="624">
        <f t="shared" ca="1" si="10"/>
        <v>2672</v>
      </c>
      <c r="M100" s="624">
        <f t="shared" ca="1" si="10"/>
        <v>2672</v>
      </c>
      <c r="N100" s="624">
        <f t="shared" ca="1" si="10"/>
        <v>2672</v>
      </c>
      <c r="O100" s="624">
        <f t="shared" ca="1" si="10"/>
        <v>2672</v>
      </c>
    </row>
    <row r="101" spans="3:15" s="327" customFormat="1" ht="13.5" thickTop="1" x14ac:dyDescent="0.2"/>
    <row r="102" spans="3:15" s="327" customFormat="1" x14ac:dyDescent="0.2"/>
    <row r="103" spans="3:15" s="327" customFormat="1" x14ac:dyDescent="0.2">
      <c r="C103" s="716" t="str">
        <f>"Go to "&amp;HL_Intv_2_Ass</f>
        <v>Go to Loop Electrosurgical Excision Procedure  with BIOP-H</v>
      </c>
      <c r="D103" s="716"/>
      <c r="E103" s="716"/>
      <c r="F103" s="716"/>
      <c r="G103" s="716"/>
      <c r="H103" s="716"/>
      <c r="I103" s="716"/>
    </row>
    <row r="104" spans="3:15" s="327" customFormat="1" x14ac:dyDescent="0.2">
      <c r="C104" s="716" t="str">
        <f>"Go to "&amp;HL_Intv_2_Ann_Ass</f>
        <v>Go to Intervention Services - Annual Assumptions</v>
      </c>
      <c r="D104" s="716"/>
      <c r="E104" s="716"/>
      <c r="F104" s="716"/>
      <c r="G104" s="716"/>
      <c r="H104" s="716"/>
      <c r="I104" s="716"/>
    </row>
    <row r="105" spans="3:15" s="327" customFormat="1" x14ac:dyDescent="0.2">
      <c r="C105" s="716" t="str">
        <f>"Go to "&amp;HL_Intv_2_Out</f>
        <v>Go to Loop Electrosurgical Excision Procedure  with BIOP-H</v>
      </c>
      <c r="D105" s="716"/>
      <c r="E105" s="716"/>
      <c r="F105" s="716"/>
      <c r="G105" s="716"/>
      <c r="H105" s="716"/>
      <c r="I105" s="716"/>
    </row>
    <row r="106" spans="3:15" s="327" customFormat="1" x14ac:dyDescent="0.2">
      <c r="C106" s="716" t="str">
        <f>"Go to "&amp;HL_Intv_2_Out_Sum_A</f>
        <v>Go to Loop Electrosurgical Excision Procedure  with BIOP-H Expected Costs (USD)</v>
      </c>
      <c r="D106" s="716"/>
      <c r="E106" s="716"/>
      <c r="F106" s="716"/>
      <c r="G106" s="716"/>
      <c r="H106" s="716"/>
      <c r="I106" s="716"/>
    </row>
  </sheetData>
  <sheetProtection password="F0F4" sheet="1" scenarios="1"/>
  <mergeCells count="5">
    <mergeCell ref="C105:I105"/>
    <mergeCell ref="C106:I106"/>
    <mergeCell ref="B3:F3"/>
    <mergeCell ref="C103:I103"/>
    <mergeCell ref="C104:I104"/>
  </mergeCells>
  <hyperlinks>
    <hyperlink ref="C103:I103" location="HL_Intv_2_Ass" tooltip="Click to follow hyperlink." display="HL_Intv_2_Ass"/>
    <hyperlink ref="C104:I104" location="HL_Intv_2_Ann_Ass" tooltip="Click to follow hyperlink." display="HL_Intv_2_Ann_Ass"/>
    <hyperlink ref="C105:I105" location="HL_Intv_2_Out" tooltip="Click to follow hyperlink." display="HL_Intv_2_Out"/>
    <hyperlink ref="C106:I106" location="HL_Intv_2_Out_Sum_A" tooltip="Click to follow hyperlink." display="HL_Intv_2_Out_Sum_A"/>
    <hyperlink ref="A4" location="$A$10" tooltip="Go to Top of Sheet" display="$A$10"/>
    <hyperlink ref="C4" location="HL_Sheet_Main_87" tooltip="Go to Next Sheet" display="HL_Sheet_Main_87"/>
    <hyperlink ref="B4" location="HL_Sheet_Main_86" tooltip="Go to Previous Sheet" display="HL_Sheet_Main_86"/>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44"/>
  <sheetViews>
    <sheetView showGridLines="0" zoomScaleNormal="100" workbookViewId="0">
      <pane ySplit="9" topLeftCell="A132" activePane="bottomLeft" state="frozen"/>
      <selection pane="bottomLeft" activeCell="F4" sqref="F4"/>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1955</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648" t="str">
        <f>HL_Intv_2_Out&amp;" Expected Costs ("&amp;INDEX(LU_Intv_2_Denom,DD_TS_Denom)&amp;")"</f>
        <v>Loop Electrosurgical Excision Procedure  with BIOP-H Expected Costs (USD)</v>
      </c>
    </row>
    <row r="13" spans="1:15" s="327" customFormat="1" x14ac:dyDescent="0.2"/>
    <row r="14" spans="1:15" s="327" customFormat="1" ht="15.75" x14ac:dyDescent="0.2">
      <c r="C14" s="330" t="s">
        <v>1931</v>
      </c>
    </row>
    <row r="15" spans="1:15" s="327" customFormat="1" ht="15" x14ac:dyDescent="0.2">
      <c r="D15" s="658" t="s">
        <v>1928</v>
      </c>
    </row>
    <row r="16" spans="1:15" s="327" customFormat="1" hidden="1" outlineLevel="1" x14ac:dyDescent="0.2">
      <c r="D16" s="660" t="str">
        <f>Intv_Ann_TO!D722</f>
        <v>Central</v>
      </c>
      <c r="J16" s="5">
        <f ca="1">Intv_Ann_TO!J722+Intv_Ann_TO!J735</f>
        <v>4466.42074108827</v>
      </c>
      <c r="K16" s="5">
        <f ca="1">Intv_Ann_TO!K722+Intv_Ann_TO!K735</f>
        <v>4466.42074108827</v>
      </c>
      <c r="L16" s="5">
        <f ca="1">Intv_Ann_TO!L722+Intv_Ann_TO!L735</f>
        <v>4466.42074108827</v>
      </c>
      <c r="M16" s="5">
        <f ca="1">Intv_Ann_TO!M722+Intv_Ann_TO!M735</f>
        <v>4466.42074108827</v>
      </c>
      <c r="N16" s="5">
        <f ca="1">Intv_Ann_TO!N722+Intv_Ann_TO!N735</f>
        <v>4466.42074108827</v>
      </c>
      <c r="O16" s="5">
        <f ca="1">Intv_Ann_TO!O722+Intv_Ann_TO!O735</f>
        <v>4466.42074108827</v>
      </c>
    </row>
    <row r="17" spans="4:15" s="327" customFormat="1" hidden="1" outlineLevel="1" x14ac:dyDescent="0.2">
      <c r="D17" s="660" t="str">
        <f>Intv_Ann_TO!D723</f>
        <v>Copperbelt</v>
      </c>
      <c r="J17" s="5">
        <f ca="1">Intv_Ann_TO!J723+Intv_Ann_TO!J736</f>
        <v>8058.4174599289317</v>
      </c>
      <c r="K17" s="5">
        <f ca="1">Intv_Ann_TO!K723+Intv_Ann_TO!K736</f>
        <v>8058.4174599289317</v>
      </c>
      <c r="L17" s="5">
        <f ca="1">Intv_Ann_TO!L723+Intv_Ann_TO!L736</f>
        <v>8058.4174599289317</v>
      </c>
      <c r="M17" s="5">
        <f ca="1">Intv_Ann_TO!M723+Intv_Ann_TO!M736</f>
        <v>8058.4174599289317</v>
      </c>
      <c r="N17" s="5">
        <f ca="1">Intv_Ann_TO!N723+Intv_Ann_TO!N736</f>
        <v>8058.4174599289317</v>
      </c>
      <c r="O17" s="5">
        <f ca="1">Intv_Ann_TO!O723+Intv_Ann_TO!O736</f>
        <v>8058.4174599289317</v>
      </c>
    </row>
    <row r="18" spans="4:15" s="327" customFormat="1" hidden="1" outlineLevel="1" x14ac:dyDescent="0.2">
      <c r="D18" s="660" t="str">
        <f>Intv_Ann_TO!D724</f>
        <v>Eastern</v>
      </c>
      <c r="J18" s="5">
        <f ca="1">Intv_Ann_TO!J724+Intv_Ann_TO!J737</f>
        <v>0</v>
      </c>
      <c r="K18" s="5">
        <f ca="1">Intv_Ann_TO!K724+Intv_Ann_TO!K737</f>
        <v>0</v>
      </c>
      <c r="L18" s="5">
        <f ca="1">Intv_Ann_TO!L724+Intv_Ann_TO!L737</f>
        <v>0</v>
      </c>
      <c r="M18" s="5">
        <f ca="1">Intv_Ann_TO!M724+Intv_Ann_TO!M737</f>
        <v>0</v>
      </c>
      <c r="N18" s="5">
        <f ca="1">Intv_Ann_TO!N724+Intv_Ann_TO!N737</f>
        <v>0</v>
      </c>
      <c r="O18" s="5">
        <f ca="1">Intv_Ann_TO!O724+Intv_Ann_TO!O737</f>
        <v>0</v>
      </c>
    </row>
    <row r="19" spans="4:15" s="327" customFormat="1" hidden="1" outlineLevel="1" x14ac:dyDescent="0.2">
      <c r="D19" s="660" t="str">
        <f>Intv_Ann_TO!D725</f>
        <v>Luapula</v>
      </c>
      <c r="J19" s="5">
        <f ca="1">Intv_Ann_TO!J725+Intv_Ann_TO!J738</f>
        <v>0</v>
      </c>
      <c r="K19" s="5">
        <f ca="1">Intv_Ann_TO!K725+Intv_Ann_TO!K738</f>
        <v>0</v>
      </c>
      <c r="L19" s="5">
        <f ca="1">Intv_Ann_TO!L725+Intv_Ann_TO!L738</f>
        <v>0</v>
      </c>
      <c r="M19" s="5">
        <f ca="1">Intv_Ann_TO!M725+Intv_Ann_TO!M738</f>
        <v>0</v>
      </c>
      <c r="N19" s="5">
        <f ca="1">Intv_Ann_TO!N725+Intv_Ann_TO!N738</f>
        <v>0</v>
      </c>
      <c r="O19" s="5">
        <f ca="1">Intv_Ann_TO!O725+Intv_Ann_TO!O738</f>
        <v>0</v>
      </c>
    </row>
    <row r="20" spans="4:15" s="327" customFormat="1" hidden="1" outlineLevel="1" x14ac:dyDescent="0.2">
      <c r="D20" s="660" t="str">
        <f>Intv_Ann_TO!D726</f>
        <v>Lusaka</v>
      </c>
      <c r="J20" s="5">
        <f ca="1">Intv_Ann_TO!J726+Intv_Ann_TO!J739</f>
        <v>10381.642068057379</v>
      </c>
      <c r="K20" s="5">
        <f ca="1">Intv_Ann_TO!K726+Intv_Ann_TO!K739</f>
        <v>10381.642068057379</v>
      </c>
      <c r="L20" s="5">
        <f ca="1">Intv_Ann_TO!L726+Intv_Ann_TO!L739</f>
        <v>10381.642068057379</v>
      </c>
      <c r="M20" s="5">
        <f ca="1">Intv_Ann_TO!M726+Intv_Ann_TO!M739</f>
        <v>10381.642068057379</v>
      </c>
      <c r="N20" s="5">
        <f ca="1">Intv_Ann_TO!N726+Intv_Ann_TO!N739</f>
        <v>10381.642068057379</v>
      </c>
      <c r="O20" s="5">
        <f ca="1">Intv_Ann_TO!O726+Intv_Ann_TO!O739</f>
        <v>10381.642068057379</v>
      </c>
    </row>
    <row r="21" spans="4:15" s="327" customFormat="1" hidden="1" outlineLevel="1" x14ac:dyDescent="0.2">
      <c r="D21" s="660" t="str">
        <f>Intv_Ann_TO!D727</f>
        <v>Muchinga</v>
      </c>
      <c r="J21" s="5">
        <f ca="1">Intv_Ann_TO!J727+Intv_Ann_TO!J740</f>
        <v>0</v>
      </c>
      <c r="K21" s="5">
        <f ca="1">Intv_Ann_TO!K727+Intv_Ann_TO!K740</f>
        <v>0</v>
      </c>
      <c r="L21" s="5">
        <f ca="1">Intv_Ann_TO!L727+Intv_Ann_TO!L740</f>
        <v>0</v>
      </c>
      <c r="M21" s="5">
        <f ca="1">Intv_Ann_TO!M727+Intv_Ann_TO!M740</f>
        <v>0</v>
      </c>
      <c r="N21" s="5">
        <f ca="1">Intv_Ann_TO!N727+Intv_Ann_TO!N740</f>
        <v>0</v>
      </c>
      <c r="O21" s="5">
        <f ca="1">Intv_Ann_TO!O727+Intv_Ann_TO!O740</f>
        <v>0</v>
      </c>
    </row>
    <row r="22" spans="4:15" s="327" customFormat="1" hidden="1" outlineLevel="1" x14ac:dyDescent="0.2">
      <c r="D22" s="660" t="str">
        <f>Intv_Ann_TO!D728</f>
        <v>Northern</v>
      </c>
      <c r="J22" s="5">
        <f ca="1">Intv_Ann_TO!J728+Intv_Ann_TO!J741</f>
        <v>0</v>
      </c>
      <c r="K22" s="5">
        <f ca="1">Intv_Ann_TO!K728+Intv_Ann_TO!K741</f>
        <v>0</v>
      </c>
      <c r="L22" s="5">
        <f ca="1">Intv_Ann_TO!L728+Intv_Ann_TO!L741</f>
        <v>0</v>
      </c>
      <c r="M22" s="5">
        <f ca="1">Intv_Ann_TO!M728+Intv_Ann_TO!M741</f>
        <v>0</v>
      </c>
      <c r="N22" s="5">
        <f ca="1">Intv_Ann_TO!N728+Intv_Ann_TO!N741</f>
        <v>0</v>
      </c>
      <c r="O22" s="5">
        <f ca="1">Intv_Ann_TO!O728+Intv_Ann_TO!O741</f>
        <v>0</v>
      </c>
    </row>
    <row r="23" spans="4:15" s="327" customFormat="1" hidden="1" outlineLevel="1" x14ac:dyDescent="0.2">
      <c r="D23" s="660" t="str">
        <f>Intv_Ann_TO!D729</f>
        <v>North-Western</v>
      </c>
      <c r="J23" s="5">
        <f ca="1">Intv_Ann_TO!J729+Intv_Ann_TO!J742</f>
        <v>0</v>
      </c>
      <c r="K23" s="5">
        <f ca="1">Intv_Ann_TO!K729+Intv_Ann_TO!K742</f>
        <v>0</v>
      </c>
      <c r="L23" s="5">
        <f ca="1">Intv_Ann_TO!L729+Intv_Ann_TO!L742</f>
        <v>0</v>
      </c>
      <c r="M23" s="5">
        <f ca="1">Intv_Ann_TO!M729+Intv_Ann_TO!M742</f>
        <v>0</v>
      </c>
      <c r="N23" s="5">
        <f ca="1">Intv_Ann_TO!N729+Intv_Ann_TO!N742</f>
        <v>0</v>
      </c>
      <c r="O23" s="5">
        <f ca="1">Intv_Ann_TO!O729+Intv_Ann_TO!O742</f>
        <v>0</v>
      </c>
    </row>
    <row r="24" spans="4:15" s="327" customFormat="1" hidden="1" outlineLevel="1" x14ac:dyDescent="0.2">
      <c r="D24" s="660" t="str">
        <f>Intv_Ann_TO!D730</f>
        <v>Southern</v>
      </c>
      <c r="J24" s="5">
        <f ca="1">Intv_Ann_TO!J730+Intv_Ann_TO!J743</f>
        <v>0</v>
      </c>
      <c r="K24" s="5">
        <f ca="1">Intv_Ann_TO!K730+Intv_Ann_TO!K743</f>
        <v>0</v>
      </c>
      <c r="L24" s="5">
        <f ca="1">Intv_Ann_TO!L730+Intv_Ann_TO!L743</f>
        <v>0</v>
      </c>
      <c r="M24" s="5">
        <f ca="1">Intv_Ann_TO!M730+Intv_Ann_TO!M743</f>
        <v>0</v>
      </c>
      <c r="N24" s="5">
        <f ca="1">Intv_Ann_TO!N730+Intv_Ann_TO!N743</f>
        <v>0</v>
      </c>
      <c r="O24" s="5">
        <f ca="1">Intv_Ann_TO!O730+Intv_Ann_TO!O743</f>
        <v>0</v>
      </c>
    </row>
    <row r="25" spans="4:15" s="327" customFormat="1" hidden="1" outlineLevel="1" x14ac:dyDescent="0.2">
      <c r="D25" s="660" t="str">
        <f>Intv_Ann_TO!D731</f>
        <v>Western</v>
      </c>
      <c r="J25" s="5">
        <f ca="1">Intv_Ann_TO!J731+Intv_Ann_TO!J744</f>
        <v>0</v>
      </c>
      <c r="K25" s="5">
        <f ca="1">Intv_Ann_TO!K731+Intv_Ann_TO!K744</f>
        <v>0</v>
      </c>
      <c r="L25" s="5">
        <f ca="1">Intv_Ann_TO!L731+Intv_Ann_TO!L744</f>
        <v>0</v>
      </c>
      <c r="M25" s="5">
        <f ca="1">Intv_Ann_TO!M731+Intv_Ann_TO!M744</f>
        <v>0</v>
      </c>
      <c r="N25" s="5">
        <f ca="1">Intv_Ann_TO!N731+Intv_Ann_TO!N744</f>
        <v>0</v>
      </c>
      <c r="O25" s="5">
        <f ca="1">Intv_Ann_TO!O731+Intv_Ann_TO!O744</f>
        <v>0</v>
      </c>
    </row>
    <row r="26" spans="4:15" s="327" customFormat="1" ht="15" collapsed="1" x14ac:dyDescent="0.2">
      <c r="D26" s="679" t="str">
        <f>"Total "&amp;D15</f>
        <v>Total Personnel Costs</v>
      </c>
      <c r="J26" s="562">
        <f t="shared" ref="J26:O26" ca="1" si="4">SUM(J16:J25)</f>
        <v>22906.480269074582</v>
      </c>
      <c r="K26" s="562">
        <f t="shared" ca="1" si="4"/>
        <v>22906.480269074582</v>
      </c>
      <c r="L26" s="562">
        <f t="shared" ca="1" si="4"/>
        <v>22906.480269074582</v>
      </c>
      <c r="M26" s="562">
        <f t="shared" ca="1" si="4"/>
        <v>22906.480269074582</v>
      </c>
      <c r="N26" s="562">
        <f t="shared" ca="1" si="4"/>
        <v>22906.480269074582</v>
      </c>
      <c r="O26" s="562">
        <f t="shared" ca="1" si="4"/>
        <v>22906.480269074582</v>
      </c>
    </row>
    <row r="27" spans="4:15" s="327" customFormat="1" x14ac:dyDescent="0.2"/>
    <row r="28" spans="4:15" s="327" customFormat="1" ht="15" x14ac:dyDescent="0.2">
      <c r="D28" s="658" t="s">
        <v>105</v>
      </c>
    </row>
    <row r="29" spans="4:15" s="327" customFormat="1" hidden="1" outlineLevel="1" x14ac:dyDescent="0.2">
      <c r="D29" s="660" t="str">
        <f>Intv_Ann_TO!D709</f>
        <v>Central</v>
      </c>
      <c r="J29" s="5">
        <f ca="1">Intv_Ann_TO!J709</f>
        <v>6398.4693378333332</v>
      </c>
      <c r="K29" s="5">
        <f ca="1">Intv_Ann_TO!K709</f>
        <v>6398.4693378333332</v>
      </c>
      <c r="L29" s="5">
        <f ca="1">Intv_Ann_TO!L709</f>
        <v>6398.4693378333332</v>
      </c>
      <c r="M29" s="5">
        <f ca="1">Intv_Ann_TO!M709</f>
        <v>6398.4693378333332</v>
      </c>
      <c r="N29" s="5">
        <f ca="1">Intv_Ann_TO!N709</f>
        <v>6398.4693378333332</v>
      </c>
      <c r="O29" s="5">
        <f ca="1">Intv_Ann_TO!O709</f>
        <v>6398.4693378333332</v>
      </c>
    </row>
    <row r="30" spans="4:15" s="327" customFormat="1" hidden="1" outlineLevel="1" x14ac:dyDescent="0.2">
      <c r="D30" s="660" t="str">
        <f>Intv_Ann_TO!D710</f>
        <v>Copperbelt</v>
      </c>
      <c r="J30" s="5">
        <f ca="1">Intv_Ann_TO!J710</f>
        <v>11544.263296666666</v>
      </c>
      <c r="K30" s="5">
        <f ca="1">Intv_Ann_TO!K710</f>
        <v>11544.263296666666</v>
      </c>
      <c r="L30" s="5">
        <f ca="1">Intv_Ann_TO!L710</f>
        <v>11544.263296666666</v>
      </c>
      <c r="M30" s="5">
        <f ca="1">Intv_Ann_TO!M710</f>
        <v>11544.263296666666</v>
      </c>
      <c r="N30" s="5">
        <f ca="1">Intv_Ann_TO!N710</f>
        <v>11544.263296666666</v>
      </c>
      <c r="O30" s="5">
        <f ca="1">Intv_Ann_TO!O710</f>
        <v>11544.263296666666</v>
      </c>
    </row>
    <row r="31" spans="4:15" s="327" customFormat="1" hidden="1" outlineLevel="1" x14ac:dyDescent="0.2">
      <c r="D31" s="660" t="str">
        <f>Intv_Ann_TO!D711</f>
        <v>Eastern</v>
      </c>
      <c r="J31" s="5">
        <f ca="1">Intv_Ann_TO!J711</f>
        <v>0</v>
      </c>
      <c r="K31" s="5">
        <f ca="1">Intv_Ann_TO!K711</f>
        <v>0</v>
      </c>
      <c r="L31" s="5">
        <f ca="1">Intv_Ann_TO!L711</f>
        <v>0</v>
      </c>
      <c r="M31" s="5">
        <f ca="1">Intv_Ann_TO!M711</f>
        <v>0</v>
      </c>
      <c r="N31" s="5">
        <f ca="1">Intv_Ann_TO!N711</f>
        <v>0</v>
      </c>
      <c r="O31" s="5">
        <f ca="1">Intv_Ann_TO!O711</f>
        <v>0</v>
      </c>
    </row>
    <row r="32" spans="4:15" s="327" customFormat="1" hidden="1" outlineLevel="1" x14ac:dyDescent="0.2">
      <c r="D32" s="660" t="str">
        <f>Intv_Ann_TO!D712</f>
        <v>Luapula</v>
      </c>
      <c r="J32" s="5">
        <f ca="1">Intv_Ann_TO!J712</f>
        <v>0</v>
      </c>
      <c r="K32" s="5">
        <f ca="1">Intv_Ann_TO!K712</f>
        <v>0</v>
      </c>
      <c r="L32" s="5">
        <f ca="1">Intv_Ann_TO!L712</f>
        <v>0</v>
      </c>
      <c r="M32" s="5">
        <f ca="1">Intv_Ann_TO!M712</f>
        <v>0</v>
      </c>
      <c r="N32" s="5">
        <f ca="1">Intv_Ann_TO!N712</f>
        <v>0</v>
      </c>
      <c r="O32" s="5">
        <f ca="1">Intv_Ann_TO!O712</f>
        <v>0</v>
      </c>
    </row>
    <row r="33" spans="4:15" s="327" customFormat="1" hidden="1" outlineLevel="1" x14ac:dyDescent="0.2">
      <c r="D33" s="660" t="str">
        <f>Intv_Ann_TO!D713</f>
        <v>Lusaka</v>
      </c>
      <c r="J33" s="5">
        <f ca="1">Intv_Ann_TO!J713</f>
        <v>14872.449842833334</v>
      </c>
      <c r="K33" s="5">
        <f ca="1">Intv_Ann_TO!K713</f>
        <v>14872.449842833334</v>
      </c>
      <c r="L33" s="5">
        <f ca="1">Intv_Ann_TO!L713</f>
        <v>14872.449842833334</v>
      </c>
      <c r="M33" s="5">
        <f ca="1">Intv_Ann_TO!M713</f>
        <v>14872.449842833334</v>
      </c>
      <c r="N33" s="5">
        <f ca="1">Intv_Ann_TO!N713</f>
        <v>14872.449842833334</v>
      </c>
      <c r="O33" s="5">
        <f ca="1">Intv_Ann_TO!O713</f>
        <v>14872.449842833334</v>
      </c>
    </row>
    <row r="34" spans="4:15" s="327" customFormat="1" hidden="1" outlineLevel="1" x14ac:dyDescent="0.2">
      <c r="D34" s="660" t="str">
        <f>Intv_Ann_TO!D714</f>
        <v>Muchinga</v>
      </c>
      <c r="J34" s="5">
        <f ca="1">Intv_Ann_TO!J714</f>
        <v>0</v>
      </c>
      <c r="K34" s="5">
        <f ca="1">Intv_Ann_TO!K714</f>
        <v>0</v>
      </c>
      <c r="L34" s="5">
        <f ca="1">Intv_Ann_TO!L714</f>
        <v>0</v>
      </c>
      <c r="M34" s="5">
        <f ca="1">Intv_Ann_TO!M714</f>
        <v>0</v>
      </c>
      <c r="N34" s="5">
        <f ca="1">Intv_Ann_TO!N714</f>
        <v>0</v>
      </c>
      <c r="O34" s="5">
        <f ca="1">Intv_Ann_TO!O714</f>
        <v>0</v>
      </c>
    </row>
    <row r="35" spans="4:15" s="327" customFormat="1" hidden="1" outlineLevel="1" x14ac:dyDescent="0.2">
      <c r="D35" s="660" t="str">
        <f>Intv_Ann_TO!D715</f>
        <v>Northern</v>
      </c>
      <c r="J35" s="5">
        <f ca="1">Intv_Ann_TO!J715</f>
        <v>0</v>
      </c>
      <c r="K35" s="5">
        <f ca="1">Intv_Ann_TO!K715</f>
        <v>0</v>
      </c>
      <c r="L35" s="5">
        <f ca="1">Intv_Ann_TO!L715</f>
        <v>0</v>
      </c>
      <c r="M35" s="5">
        <f ca="1">Intv_Ann_TO!M715</f>
        <v>0</v>
      </c>
      <c r="N35" s="5">
        <f ca="1">Intv_Ann_TO!N715</f>
        <v>0</v>
      </c>
      <c r="O35" s="5">
        <f ca="1">Intv_Ann_TO!O715</f>
        <v>0</v>
      </c>
    </row>
    <row r="36" spans="4:15" s="327" customFormat="1" hidden="1" outlineLevel="1" x14ac:dyDescent="0.2">
      <c r="D36" s="660" t="str">
        <f>Intv_Ann_TO!D716</f>
        <v>North-Western</v>
      </c>
      <c r="J36" s="5">
        <f ca="1">Intv_Ann_TO!J716</f>
        <v>0</v>
      </c>
      <c r="K36" s="5">
        <f ca="1">Intv_Ann_TO!K716</f>
        <v>0</v>
      </c>
      <c r="L36" s="5">
        <f ca="1">Intv_Ann_TO!L716</f>
        <v>0</v>
      </c>
      <c r="M36" s="5">
        <f ca="1">Intv_Ann_TO!M716</f>
        <v>0</v>
      </c>
      <c r="N36" s="5">
        <f ca="1">Intv_Ann_TO!N716</f>
        <v>0</v>
      </c>
      <c r="O36" s="5">
        <f ca="1">Intv_Ann_TO!O716</f>
        <v>0</v>
      </c>
    </row>
    <row r="37" spans="4:15" s="327" customFormat="1" hidden="1" outlineLevel="1" x14ac:dyDescent="0.2">
      <c r="D37" s="660" t="str">
        <f>Intv_Ann_TO!D717</f>
        <v>Southern</v>
      </c>
      <c r="J37" s="5">
        <f ca="1">Intv_Ann_TO!J717</f>
        <v>0</v>
      </c>
      <c r="K37" s="5">
        <f ca="1">Intv_Ann_TO!K717</f>
        <v>0</v>
      </c>
      <c r="L37" s="5">
        <f ca="1">Intv_Ann_TO!L717</f>
        <v>0</v>
      </c>
      <c r="M37" s="5">
        <f ca="1">Intv_Ann_TO!M717</f>
        <v>0</v>
      </c>
      <c r="N37" s="5">
        <f ca="1">Intv_Ann_TO!N717</f>
        <v>0</v>
      </c>
      <c r="O37" s="5">
        <f ca="1">Intv_Ann_TO!O717</f>
        <v>0</v>
      </c>
    </row>
    <row r="38" spans="4:15" s="327" customFormat="1" hidden="1" outlineLevel="1" x14ac:dyDescent="0.2">
      <c r="D38" s="660" t="str">
        <f>Intv_Ann_TO!D718</f>
        <v>Western</v>
      </c>
      <c r="J38" s="5">
        <f ca="1">Intv_Ann_TO!J718</f>
        <v>0</v>
      </c>
      <c r="K38" s="5">
        <f ca="1">Intv_Ann_TO!K718</f>
        <v>0</v>
      </c>
      <c r="L38" s="5">
        <f ca="1">Intv_Ann_TO!L718</f>
        <v>0</v>
      </c>
      <c r="M38" s="5">
        <f ca="1">Intv_Ann_TO!M718</f>
        <v>0</v>
      </c>
      <c r="N38" s="5">
        <f ca="1">Intv_Ann_TO!N718</f>
        <v>0</v>
      </c>
      <c r="O38" s="5">
        <f ca="1">Intv_Ann_TO!O718</f>
        <v>0</v>
      </c>
    </row>
    <row r="39" spans="4:15" s="327" customFormat="1" ht="15" collapsed="1" x14ac:dyDescent="0.2">
      <c r="D39" s="679" t="str">
        <f>"Total "&amp;D28</f>
        <v>Total Supply Costs</v>
      </c>
      <c r="J39" s="562">
        <f t="shared" ref="J39:O39" ca="1" si="5">SUM(J29:J38)</f>
        <v>32815.182477333336</v>
      </c>
      <c r="K39" s="562">
        <f t="shared" ca="1" si="5"/>
        <v>32815.182477333336</v>
      </c>
      <c r="L39" s="562">
        <f t="shared" ca="1" si="5"/>
        <v>32815.182477333336</v>
      </c>
      <c r="M39" s="562">
        <f t="shared" ca="1" si="5"/>
        <v>32815.182477333336</v>
      </c>
      <c r="N39" s="562">
        <f t="shared" ca="1" si="5"/>
        <v>32815.182477333336</v>
      </c>
      <c r="O39" s="562">
        <f t="shared" ca="1" si="5"/>
        <v>32815.182477333336</v>
      </c>
    </row>
    <row r="40" spans="4:15" s="327" customFormat="1" x14ac:dyDescent="0.2"/>
    <row r="41" spans="4:15" s="327" customFormat="1" ht="15" x14ac:dyDescent="0.2">
      <c r="D41" s="658" t="s">
        <v>1969</v>
      </c>
    </row>
    <row r="42" spans="4:15" s="327" customFormat="1" hidden="1" outlineLevel="1" x14ac:dyDescent="0.2">
      <c r="D42" s="660" t="str">
        <f>Intv_Ann_TO!D748</f>
        <v>Central</v>
      </c>
      <c r="J42" s="5">
        <f ca="1">Intv_Ann_TO!J748</f>
        <v>32645.859999999997</v>
      </c>
      <c r="K42" s="5">
        <f ca="1">Intv_Ann_TO!K748</f>
        <v>32645.859999999997</v>
      </c>
      <c r="L42" s="5">
        <f ca="1">Intv_Ann_TO!L748</f>
        <v>32645.859999999997</v>
      </c>
      <c r="M42" s="5">
        <f ca="1">Intv_Ann_TO!M748</f>
        <v>32645.859999999997</v>
      </c>
      <c r="N42" s="5">
        <f ca="1">Intv_Ann_TO!N748</f>
        <v>32645.859999999997</v>
      </c>
      <c r="O42" s="5">
        <f ca="1">Intv_Ann_TO!O748</f>
        <v>32645.859999999997</v>
      </c>
    </row>
    <row r="43" spans="4:15" s="327" customFormat="1" hidden="1" outlineLevel="1" x14ac:dyDescent="0.2">
      <c r="D43" s="660" t="str">
        <f>Intv_Ann_TO!D749</f>
        <v>Copperbelt</v>
      </c>
      <c r="J43" s="5">
        <f ca="1">Intv_Ann_TO!J749</f>
        <v>58900.399999999994</v>
      </c>
      <c r="K43" s="5">
        <f ca="1">Intv_Ann_TO!K749</f>
        <v>58900.399999999994</v>
      </c>
      <c r="L43" s="5">
        <f ca="1">Intv_Ann_TO!L749</f>
        <v>58900.399999999994</v>
      </c>
      <c r="M43" s="5">
        <f ca="1">Intv_Ann_TO!M749</f>
        <v>58900.399999999994</v>
      </c>
      <c r="N43" s="5">
        <f ca="1">Intv_Ann_TO!N749</f>
        <v>58900.399999999994</v>
      </c>
      <c r="O43" s="5">
        <f ca="1">Intv_Ann_TO!O749</f>
        <v>58900.399999999994</v>
      </c>
    </row>
    <row r="44" spans="4:15" s="327" customFormat="1" hidden="1" outlineLevel="1" x14ac:dyDescent="0.2">
      <c r="D44" s="660" t="str">
        <f>Intv_Ann_TO!D750</f>
        <v>Eastern</v>
      </c>
      <c r="J44" s="5">
        <f ca="1">Intv_Ann_TO!J750</f>
        <v>0</v>
      </c>
      <c r="K44" s="5">
        <f ca="1">Intv_Ann_TO!K750</f>
        <v>0</v>
      </c>
      <c r="L44" s="5">
        <f ca="1">Intv_Ann_TO!L750</f>
        <v>0</v>
      </c>
      <c r="M44" s="5">
        <f ca="1">Intv_Ann_TO!M750</f>
        <v>0</v>
      </c>
      <c r="N44" s="5">
        <f ca="1">Intv_Ann_TO!N750</f>
        <v>0</v>
      </c>
      <c r="O44" s="5">
        <f ca="1">Intv_Ann_TO!O750</f>
        <v>0</v>
      </c>
    </row>
    <row r="45" spans="4:15" s="327" customFormat="1" hidden="1" outlineLevel="1" x14ac:dyDescent="0.2">
      <c r="D45" s="660" t="str">
        <f>Intv_Ann_TO!D751</f>
        <v>Luapula</v>
      </c>
      <c r="J45" s="5">
        <f ca="1">Intv_Ann_TO!J751</f>
        <v>0</v>
      </c>
      <c r="K45" s="5">
        <f ca="1">Intv_Ann_TO!K751</f>
        <v>0</v>
      </c>
      <c r="L45" s="5">
        <f ca="1">Intv_Ann_TO!L751</f>
        <v>0</v>
      </c>
      <c r="M45" s="5">
        <f ca="1">Intv_Ann_TO!M751</f>
        <v>0</v>
      </c>
      <c r="N45" s="5">
        <f ca="1">Intv_Ann_TO!N751</f>
        <v>0</v>
      </c>
      <c r="O45" s="5">
        <f ca="1">Intv_Ann_TO!O751</f>
        <v>0</v>
      </c>
    </row>
    <row r="46" spans="4:15" s="327" customFormat="1" hidden="1" outlineLevel="1" x14ac:dyDescent="0.2">
      <c r="D46" s="660" t="str">
        <f>Intv_Ann_TO!D752</f>
        <v>Lusaka</v>
      </c>
      <c r="J46" s="5">
        <f ca="1">Intv_Ann_TO!J752</f>
        <v>75881.259999999995</v>
      </c>
      <c r="K46" s="5">
        <f ca="1">Intv_Ann_TO!K752</f>
        <v>75881.259999999995</v>
      </c>
      <c r="L46" s="5">
        <f ca="1">Intv_Ann_TO!L752</f>
        <v>75881.259999999995</v>
      </c>
      <c r="M46" s="5">
        <f ca="1">Intv_Ann_TO!M752</f>
        <v>75881.259999999995</v>
      </c>
      <c r="N46" s="5">
        <f ca="1">Intv_Ann_TO!N752</f>
        <v>75881.259999999995</v>
      </c>
      <c r="O46" s="5">
        <f ca="1">Intv_Ann_TO!O752</f>
        <v>75881.259999999995</v>
      </c>
    </row>
    <row r="47" spans="4:15" s="327" customFormat="1" hidden="1" outlineLevel="1" x14ac:dyDescent="0.2">
      <c r="D47" s="660" t="str">
        <f>Intv_Ann_TO!D753</f>
        <v>Muchinga</v>
      </c>
      <c r="J47" s="5">
        <f ca="1">Intv_Ann_TO!J753</f>
        <v>0</v>
      </c>
      <c r="K47" s="5">
        <f ca="1">Intv_Ann_TO!K753</f>
        <v>0</v>
      </c>
      <c r="L47" s="5">
        <f ca="1">Intv_Ann_TO!L753</f>
        <v>0</v>
      </c>
      <c r="M47" s="5">
        <f ca="1">Intv_Ann_TO!M753</f>
        <v>0</v>
      </c>
      <c r="N47" s="5">
        <f ca="1">Intv_Ann_TO!N753</f>
        <v>0</v>
      </c>
      <c r="O47" s="5">
        <f ca="1">Intv_Ann_TO!O753</f>
        <v>0</v>
      </c>
    </row>
    <row r="48" spans="4:15" s="327" customFormat="1" hidden="1" outlineLevel="1" x14ac:dyDescent="0.2">
      <c r="D48" s="660" t="str">
        <f>Intv_Ann_TO!D754</f>
        <v>Northern</v>
      </c>
      <c r="J48" s="5">
        <f ca="1">Intv_Ann_TO!J754</f>
        <v>0</v>
      </c>
      <c r="K48" s="5">
        <f ca="1">Intv_Ann_TO!K754</f>
        <v>0</v>
      </c>
      <c r="L48" s="5">
        <f ca="1">Intv_Ann_TO!L754</f>
        <v>0</v>
      </c>
      <c r="M48" s="5">
        <f ca="1">Intv_Ann_TO!M754</f>
        <v>0</v>
      </c>
      <c r="N48" s="5">
        <f ca="1">Intv_Ann_TO!N754</f>
        <v>0</v>
      </c>
      <c r="O48" s="5">
        <f ca="1">Intv_Ann_TO!O754</f>
        <v>0</v>
      </c>
    </row>
    <row r="49" spans="4:15" s="327" customFormat="1" hidden="1" outlineLevel="1" x14ac:dyDescent="0.2">
      <c r="D49" s="660" t="str">
        <f>Intv_Ann_TO!D755</f>
        <v>North-Western</v>
      </c>
      <c r="J49" s="5">
        <f ca="1">Intv_Ann_TO!J755</f>
        <v>0</v>
      </c>
      <c r="K49" s="5">
        <f ca="1">Intv_Ann_TO!K755</f>
        <v>0</v>
      </c>
      <c r="L49" s="5">
        <f ca="1">Intv_Ann_TO!L755</f>
        <v>0</v>
      </c>
      <c r="M49" s="5">
        <f ca="1">Intv_Ann_TO!M755</f>
        <v>0</v>
      </c>
      <c r="N49" s="5">
        <f ca="1">Intv_Ann_TO!N755</f>
        <v>0</v>
      </c>
      <c r="O49" s="5">
        <f ca="1">Intv_Ann_TO!O755</f>
        <v>0</v>
      </c>
    </row>
    <row r="50" spans="4:15" s="327" customFormat="1" hidden="1" outlineLevel="1" x14ac:dyDescent="0.2">
      <c r="D50" s="660" t="str">
        <f>Intv_Ann_TO!D756</f>
        <v>Southern</v>
      </c>
      <c r="J50" s="5">
        <f ca="1">Intv_Ann_TO!J756</f>
        <v>0</v>
      </c>
      <c r="K50" s="5">
        <f ca="1">Intv_Ann_TO!K756</f>
        <v>0</v>
      </c>
      <c r="L50" s="5">
        <f ca="1">Intv_Ann_TO!L756</f>
        <v>0</v>
      </c>
      <c r="M50" s="5">
        <f ca="1">Intv_Ann_TO!M756</f>
        <v>0</v>
      </c>
      <c r="N50" s="5">
        <f ca="1">Intv_Ann_TO!N756</f>
        <v>0</v>
      </c>
      <c r="O50" s="5">
        <f ca="1">Intv_Ann_TO!O756</f>
        <v>0</v>
      </c>
    </row>
    <row r="51" spans="4:15" s="327" customFormat="1" hidden="1" outlineLevel="1" x14ac:dyDescent="0.2">
      <c r="D51" s="660" t="str">
        <f>Intv_Ann_TO!D757</f>
        <v>Western</v>
      </c>
      <c r="J51" s="5">
        <f ca="1">Intv_Ann_TO!J757</f>
        <v>0</v>
      </c>
      <c r="K51" s="5">
        <f ca="1">Intv_Ann_TO!K757</f>
        <v>0</v>
      </c>
      <c r="L51" s="5">
        <f ca="1">Intv_Ann_TO!L757</f>
        <v>0</v>
      </c>
      <c r="M51" s="5">
        <f ca="1">Intv_Ann_TO!M757</f>
        <v>0</v>
      </c>
      <c r="N51" s="5">
        <f ca="1">Intv_Ann_TO!N757</f>
        <v>0</v>
      </c>
      <c r="O51" s="5">
        <f ca="1">Intv_Ann_TO!O757</f>
        <v>0</v>
      </c>
    </row>
    <row r="52" spans="4:15" s="327" customFormat="1" ht="15" collapsed="1" x14ac:dyDescent="0.2">
      <c r="D52" s="679" t="str">
        <f>"Total "&amp;D41</f>
        <v>Total Lab Tests and Other Direct Costs (ODC)</v>
      </c>
      <c r="J52" s="562">
        <f t="shared" ref="J52:O52" ca="1" si="6">SUM(J42:J51)</f>
        <v>167427.51999999999</v>
      </c>
      <c r="K52" s="562">
        <f t="shared" ca="1" si="6"/>
        <v>167427.51999999999</v>
      </c>
      <c r="L52" s="562">
        <f t="shared" ca="1" si="6"/>
        <v>167427.51999999999</v>
      </c>
      <c r="M52" s="562">
        <f t="shared" ca="1" si="6"/>
        <v>167427.51999999999</v>
      </c>
      <c r="N52" s="562">
        <f t="shared" ca="1" si="6"/>
        <v>167427.51999999999</v>
      </c>
      <c r="O52" s="562">
        <f t="shared" ca="1" si="6"/>
        <v>167427.51999999999</v>
      </c>
    </row>
    <row r="53" spans="4:15" s="327" customFormat="1" x14ac:dyDescent="0.2"/>
    <row r="54" spans="4:15" s="327" customFormat="1" ht="15" x14ac:dyDescent="0.2">
      <c r="D54" s="658" t="s">
        <v>1939</v>
      </c>
    </row>
    <row r="55" spans="4:15" s="327" customFormat="1" hidden="1" outlineLevel="1" x14ac:dyDescent="0.2">
      <c r="D55" s="660" t="str">
        <f>Intv_Ann_TO!D709</f>
        <v>Central</v>
      </c>
      <c r="J55" s="5">
        <f t="shared" ref="J55:O64" ca="1" si="7">J29+J42</f>
        <v>39044.329337833333</v>
      </c>
      <c r="K55" s="5">
        <f t="shared" ca="1" si="7"/>
        <v>39044.329337833333</v>
      </c>
      <c r="L55" s="5">
        <f t="shared" ca="1" si="7"/>
        <v>39044.329337833333</v>
      </c>
      <c r="M55" s="5">
        <f t="shared" ca="1" si="7"/>
        <v>39044.329337833333</v>
      </c>
      <c r="N55" s="5">
        <f t="shared" ca="1" si="7"/>
        <v>39044.329337833333</v>
      </c>
      <c r="O55" s="5">
        <f t="shared" ca="1" si="7"/>
        <v>39044.329337833333</v>
      </c>
    </row>
    <row r="56" spans="4:15" s="327" customFormat="1" hidden="1" outlineLevel="1" x14ac:dyDescent="0.2">
      <c r="D56" s="660" t="str">
        <f>Intv_Ann_TO!D710</f>
        <v>Copperbelt</v>
      </c>
      <c r="J56" s="5">
        <f t="shared" ca="1" si="7"/>
        <v>70444.663296666666</v>
      </c>
      <c r="K56" s="5">
        <f t="shared" ca="1" si="7"/>
        <v>70444.663296666666</v>
      </c>
      <c r="L56" s="5">
        <f t="shared" ca="1" si="7"/>
        <v>70444.663296666666</v>
      </c>
      <c r="M56" s="5">
        <f t="shared" ca="1" si="7"/>
        <v>70444.663296666666</v>
      </c>
      <c r="N56" s="5">
        <f t="shared" ca="1" si="7"/>
        <v>70444.663296666666</v>
      </c>
      <c r="O56" s="5">
        <f t="shared" ca="1" si="7"/>
        <v>70444.663296666666</v>
      </c>
    </row>
    <row r="57" spans="4:15" s="327" customFormat="1" hidden="1" outlineLevel="1" x14ac:dyDescent="0.2">
      <c r="D57" s="660" t="str">
        <f>Intv_Ann_TO!D711</f>
        <v>Eastern</v>
      </c>
      <c r="J57" s="5">
        <f t="shared" ca="1" si="7"/>
        <v>0</v>
      </c>
      <c r="K57" s="5">
        <f t="shared" ca="1" si="7"/>
        <v>0</v>
      </c>
      <c r="L57" s="5">
        <f t="shared" ca="1" si="7"/>
        <v>0</v>
      </c>
      <c r="M57" s="5">
        <f t="shared" ca="1" si="7"/>
        <v>0</v>
      </c>
      <c r="N57" s="5">
        <f t="shared" ca="1" si="7"/>
        <v>0</v>
      </c>
      <c r="O57" s="5">
        <f t="shared" ca="1" si="7"/>
        <v>0</v>
      </c>
    </row>
    <row r="58" spans="4:15" s="327" customFormat="1" hidden="1" outlineLevel="1" x14ac:dyDescent="0.2">
      <c r="D58" s="660" t="str">
        <f>Intv_Ann_TO!D712</f>
        <v>Luapula</v>
      </c>
      <c r="J58" s="5">
        <f t="shared" ca="1" si="7"/>
        <v>0</v>
      </c>
      <c r="K58" s="5">
        <f t="shared" ca="1" si="7"/>
        <v>0</v>
      </c>
      <c r="L58" s="5">
        <f t="shared" ca="1" si="7"/>
        <v>0</v>
      </c>
      <c r="M58" s="5">
        <f t="shared" ca="1" si="7"/>
        <v>0</v>
      </c>
      <c r="N58" s="5">
        <f t="shared" ca="1" si="7"/>
        <v>0</v>
      </c>
      <c r="O58" s="5">
        <f t="shared" ca="1" si="7"/>
        <v>0</v>
      </c>
    </row>
    <row r="59" spans="4:15" s="327" customFormat="1" hidden="1" outlineLevel="1" x14ac:dyDescent="0.2">
      <c r="D59" s="660" t="str">
        <f>Intv_Ann_TO!D713</f>
        <v>Lusaka</v>
      </c>
      <c r="J59" s="5">
        <f t="shared" ca="1" si="7"/>
        <v>90753.709842833327</v>
      </c>
      <c r="K59" s="5">
        <f t="shared" ca="1" si="7"/>
        <v>90753.709842833327</v>
      </c>
      <c r="L59" s="5">
        <f t="shared" ca="1" si="7"/>
        <v>90753.709842833327</v>
      </c>
      <c r="M59" s="5">
        <f t="shared" ca="1" si="7"/>
        <v>90753.709842833327</v>
      </c>
      <c r="N59" s="5">
        <f t="shared" ca="1" si="7"/>
        <v>90753.709842833327</v>
      </c>
      <c r="O59" s="5">
        <f t="shared" ca="1" si="7"/>
        <v>90753.709842833327</v>
      </c>
    </row>
    <row r="60" spans="4:15" s="327" customFormat="1" hidden="1" outlineLevel="1" x14ac:dyDescent="0.2">
      <c r="D60" s="660" t="str">
        <f>Intv_Ann_TO!D714</f>
        <v>Muchinga</v>
      </c>
      <c r="J60" s="5">
        <f t="shared" ca="1" si="7"/>
        <v>0</v>
      </c>
      <c r="K60" s="5">
        <f t="shared" ca="1" si="7"/>
        <v>0</v>
      </c>
      <c r="L60" s="5">
        <f t="shared" ca="1" si="7"/>
        <v>0</v>
      </c>
      <c r="M60" s="5">
        <f t="shared" ca="1" si="7"/>
        <v>0</v>
      </c>
      <c r="N60" s="5">
        <f t="shared" ca="1" si="7"/>
        <v>0</v>
      </c>
      <c r="O60" s="5">
        <f t="shared" ca="1" si="7"/>
        <v>0</v>
      </c>
    </row>
    <row r="61" spans="4:15" s="327" customFormat="1" hidden="1" outlineLevel="1" x14ac:dyDescent="0.2">
      <c r="D61" s="660" t="str">
        <f>Intv_Ann_TO!D715</f>
        <v>Northern</v>
      </c>
      <c r="J61" s="5">
        <f t="shared" ca="1" si="7"/>
        <v>0</v>
      </c>
      <c r="K61" s="5">
        <f t="shared" ca="1" si="7"/>
        <v>0</v>
      </c>
      <c r="L61" s="5">
        <f t="shared" ca="1" si="7"/>
        <v>0</v>
      </c>
      <c r="M61" s="5">
        <f t="shared" ca="1" si="7"/>
        <v>0</v>
      </c>
      <c r="N61" s="5">
        <f t="shared" ca="1" si="7"/>
        <v>0</v>
      </c>
      <c r="O61" s="5">
        <f t="shared" ca="1" si="7"/>
        <v>0</v>
      </c>
    </row>
    <row r="62" spans="4:15" s="327" customFormat="1" hidden="1" outlineLevel="1" x14ac:dyDescent="0.2">
      <c r="D62" s="660" t="str">
        <f>Intv_Ann_TO!D716</f>
        <v>North-Western</v>
      </c>
      <c r="J62" s="5">
        <f t="shared" ca="1" si="7"/>
        <v>0</v>
      </c>
      <c r="K62" s="5">
        <f t="shared" ca="1" si="7"/>
        <v>0</v>
      </c>
      <c r="L62" s="5">
        <f t="shared" ca="1" si="7"/>
        <v>0</v>
      </c>
      <c r="M62" s="5">
        <f t="shared" ca="1" si="7"/>
        <v>0</v>
      </c>
      <c r="N62" s="5">
        <f t="shared" ca="1" si="7"/>
        <v>0</v>
      </c>
      <c r="O62" s="5">
        <f t="shared" ca="1" si="7"/>
        <v>0</v>
      </c>
    </row>
    <row r="63" spans="4:15" s="327" customFormat="1" hidden="1" outlineLevel="1" x14ac:dyDescent="0.2">
      <c r="D63" s="660" t="str">
        <f>Intv_Ann_TO!D717</f>
        <v>Southern</v>
      </c>
      <c r="J63" s="5">
        <f t="shared" ca="1" si="7"/>
        <v>0</v>
      </c>
      <c r="K63" s="5">
        <f t="shared" ca="1" si="7"/>
        <v>0</v>
      </c>
      <c r="L63" s="5">
        <f t="shared" ca="1" si="7"/>
        <v>0</v>
      </c>
      <c r="M63" s="5">
        <f t="shared" ca="1" si="7"/>
        <v>0</v>
      </c>
      <c r="N63" s="5">
        <f t="shared" ca="1" si="7"/>
        <v>0</v>
      </c>
      <c r="O63" s="5">
        <f t="shared" ca="1" si="7"/>
        <v>0</v>
      </c>
    </row>
    <row r="64" spans="4:15" s="327" customFormat="1" hidden="1" outlineLevel="1" x14ac:dyDescent="0.2">
      <c r="D64" s="660" t="str">
        <f>Intv_Ann_TO!D718</f>
        <v>Western</v>
      </c>
      <c r="J64" s="5">
        <f t="shared" ca="1" si="7"/>
        <v>0</v>
      </c>
      <c r="K64" s="5">
        <f t="shared" ca="1" si="7"/>
        <v>0</v>
      </c>
      <c r="L64" s="5">
        <f t="shared" ca="1" si="7"/>
        <v>0</v>
      </c>
      <c r="M64" s="5">
        <f t="shared" ca="1" si="7"/>
        <v>0</v>
      </c>
      <c r="N64" s="5">
        <f t="shared" ca="1" si="7"/>
        <v>0</v>
      </c>
      <c r="O64" s="5">
        <f t="shared" ca="1" si="7"/>
        <v>0</v>
      </c>
    </row>
    <row r="65" spans="4:15" s="327" customFormat="1" ht="15.75" collapsed="1" thickBot="1" x14ac:dyDescent="0.25">
      <c r="D65" s="679" t="str">
        <f>"Total "&amp;D54</f>
        <v>Total Recurrent Financial Costs</v>
      </c>
      <c r="J65" s="624">
        <f t="shared" ref="J65:O65" ca="1" si="8">SUM(J55:J64)</f>
        <v>200242.70247733331</v>
      </c>
      <c r="K65" s="624">
        <f t="shared" ca="1" si="8"/>
        <v>200242.70247733331</v>
      </c>
      <c r="L65" s="624">
        <f t="shared" ca="1" si="8"/>
        <v>200242.70247733331</v>
      </c>
      <c r="M65" s="624">
        <f t="shared" ca="1" si="8"/>
        <v>200242.70247733331</v>
      </c>
      <c r="N65" s="624">
        <f t="shared" ca="1" si="8"/>
        <v>200242.70247733331</v>
      </c>
      <c r="O65" s="624">
        <f t="shared" ca="1" si="8"/>
        <v>200242.70247733331</v>
      </c>
    </row>
    <row r="66" spans="4:15" s="327" customFormat="1" ht="13.5" thickTop="1" x14ac:dyDescent="0.2"/>
    <row r="67" spans="4:15" s="327" customFormat="1" ht="15" x14ac:dyDescent="0.2">
      <c r="D67" s="658" t="s">
        <v>1940</v>
      </c>
    </row>
    <row r="68" spans="4:15" s="327" customFormat="1" hidden="1" outlineLevel="1" x14ac:dyDescent="0.2">
      <c r="D68" s="660" t="str">
        <f>Intv_Ann_TO!D709</f>
        <v>Central</v>
      </c>
      <c r="J68" s="5">
        <f t="shared" ref="J68:O77" ca="1" si="9">J16+J29+J42</f>
        <v>43510.750078921599</v>
      </c>
      <c r="K68" s="5">
        <f t="shared" ca="1" si="9"/>
        <v>43510.750078921599</v>
      </c>
      <c r="L68" s="5">
        <f t="shared" ca="1" si="9"/>
        <v>43510.750078921599</v>
      </c>
      <c r="M68" s="5">
        <f t="shared" ca="1" si="9"/>
        <v>43510.750078921599</v>
      </c>
      <c r="N68" s="5">
        <f t="shared" ca="1" si="9"/>
        <v>43510.750078921599</v>
      </c>
      <c r="O68" s="5">
        <f t="shared" ca="1" si="9"/>
        <v>43510.750078921599</v>
      </c>
    </row>
    <row r="69" spans="4:15" s="327" customFormat="1" hidden="1" outlineLevel="1" x14ac:dyDescent="0.2">
      <c r="D69" s="660" t="str">
        <f>Intv_Ann_TO!D710</f>
        <v>Copperbelt</v>
      </c>
      <c r="J69" s="5">
        <f t="shared" ca="1" si="9"/>
        <v>78503.080756595591</v>
      </c>
      <c r="K69" s="5">
        <f t="shared" ca="1" si="9"/>
        <v>78503.080756595591</v>
      </c>
      <c r="L69" s="5">
        <f t="shared" ca="1" si="9"/>
        <v>78503.080756595591</v>
      </c>
      <c r="M69" s="5">
        <f t="shared" ca="1" si="9"/>
        <v>78503.080756595591</v>
      </c>
      <c r="N69" s="5">
        <f t="shared" ca="1" si="9"/>
        <v>78503.080756595591</v>
      </c>
      <c r="O69" s="5">
        <f t="shared" ca="1" si="9"/>
        <v>78503.080756595591</v>
      </c>
    </row>
    <row r="70" spans="4:15" s="327" customFormat="1" hidden="1" outlineLevel="1" x14ac:dyDescent="0.2">
      <c r="D70" s="660" t="str">
        <f>Intv_Ann_TO!D711</f>
        <v>Eastern</v>
      </c>
      <c r="J70" s="5">
        <f t="shared" ca="1" si="9"/>
        <v>0</v>
      </c>
      <c r="K70" s="5">
        <f t="shared" ca="1" si="9"/>
        <v>0</v>
      </c>
      <c r="L70" s="5">
        <f t="shared" ca="1" si="9"/>
        <v>0</v>
      </c>
      <c r="M70" s="5">
        <f t="shared" ca="1" si="9"/>
        <v>0</v>
      </c>
      <c r="N70" s="5">
        <f t="shared" ca="1" si="9"/>
        <v>0</v>
      </c>
      <c r="O70" s="5">
        <f t="shared" ca="1" si="9"/>
        <v>0</v>
      </c>
    </row>
    <row r="71" spans="4:15" s="327" customFormat="1" hidden="1" outlineLevel="1" x14ac:dyDescent="0.2">
      <c r="D71" s="660" t="str">
        <f>Intv_Ann_TO!D712</f>
        <v>Luapula</v>
      </c>
      <c r="J71" s="5">
        <f t="shared" ca="1" si="9"/>
        <v>0</v>
      </c>
      <c r="K71" s="5">
        <f t="shared" ca="1" si="9"/>
        <v>0</v>
      </c>
      <c r="L71" s="5">
        <f t="shared" ca="1" si="9"/>
        <v>0</v>
      </c>
      <c r="M71" s="5">
        <f t="shared" ca="1" si="9"/>
        <v>0</v>
      </c>
      <c r="N71" s="5">
        <f t="shared" ca="1" si="9"/>
        <v>0</v>
      </c>
      <c r="O71" s="5">
        <f t="shared" ca="1" si="9"/>
        <v>0</v>
      </c>
    </row>
    <row r="72" spans="4:15" s="327" customFormat="1" hidden="1" outlineLevel="1" x14ac:dyDescent="0.2">
      <c r="D72" s="660" t="str">
        <f>Intv_Ann_TO!D713</f>
        <v>Lusaka</v>
      </c>
      <c r="J72" s="5">
        <f t="shared" ca="1" si="9"/>
        <v>101135.35191089071</v>
      </c>
      <c r="K72" s="5">
        <f t="shared" ca="1" si="9"/>
        <v>101135.35191089071</v>
      </c>
      <c r="L72" s="5">
        <f t="shared" ca="1" si="9"/>
        <v>101135.35191089071</v>
      </c>
      <c r="M72" s="5">
        <f t="shared" ca="1" si="9"/>
        <v>101135.35191089071</v>
      </c>
      <c r="N72" s="5">
        <f t="shared" ca="1" si="9"/>
        <v>101135.35191089071</v>
      </c>
      <c r="O72" s="5">
        <f t="shared" ca="1" si="9"/>
        <v>101135.35191089071</v>
      </c>
    </row>
    <row r="73" spans="4:15" s="327" customFormat="1" hidden="1" outlineLevel="1" x14ac:dyDescent="0.2">
      <c r="D73" s="660" t="str">
        <f>Intv_Ann_TO!D714</f>
        <v>Muchinga</v>
      </c>
      <c r="J73" s="5">
        <f t="shared" ca="1" si="9"/>
        <v>0</v>
      </c>
      <c r="K73" s="5">
        <f t="shared" ca="1" si="9"/>
        <v>0</v>
      </c>
      <c r="L73" s="5">
        <f t="shared" ca="1" si="9"/>
        <v>0</v>
      </c>
      <c r="M73" s="5">
        <f t="shared" ca="1" si="9"/>
        <v>0</v>
      </c>
      <c r="N73" s="5">
        <f t="shared" ca="1" si="9"/>
        <v>0</v>
      </c>
      <c r="O73" s="5">
        <f t="shared" ca="1" si="9"/>
        <v>0</v>
      </c>
    </row>
    <row r="74" spans="4:15" s="327" customFormat="1" hidden="1" outlineLevel="1" x14ac:dyDescent="0.2">
      <c r="D74" s="660" t="str">
        <f>Intv_Ann_TO!D715</f>
        <v>Northern</v>
      </c>
      <c r="J74" s="5">
        <f t="shared" ca="1" si="9"/>
        <v>0</v>
      </c>
      <c r="K74" s="5">
        <f t="shared" ca="1" si="9"/>
        <v>0</v>
      </c>
      <c r="L74" s="5">
        <f t="shared" ca="1" si="9"/>
        <v>0</v>
      </c>
      <c r="M74" s="5">
        <f t="shared" ca="1" si="9"/>
        <v>0</v>
      </c>
      <c r="N74" s="5">
        <f t="shared" ca="1" si="9"/>
        <v>0</v>
      </c>
      <c r="O74" s="5">
        <f t="shared" ca="1" si="9"/>
        <v>0</v>
      </c>
    </row>
    <row r="75" spans="4:15" s="327" customFormat="1" hidden="1" outlineLevel="1" x14ac:dyDescent="0.2">
      <c r="D75" s="660" t="str">
        <f>Intv_Ann_TO!D716</f>
        <v>North-Western</v>
      </c>
      <c r="J75" s="5">
        <f t="shared" ca="1" si="9"/>
        <v>0</v>
      </c>
      <c r="K75" s="5">
        <f t="shared" ca="1" si="9"/>
        <v>0</v>
      </c>
      <c r="L75" s="5">
        <f t="shared" ca="1" si="9"/>
        <v>0</v>
      </c>
      <c r="M75" s="5">
        <f t="shared" ca="1" si="9"/>
        <v>0</v>
      </c>
      <c r="N75" s="5">
        <f t="shared" ca="1" si="9"/>
        <v>0</v>
      </c>
      <c r="O75" s="5">
        <f t="shared" ca="1" si="9"/>
        <v>0</v>
      </c>
    </row>
    <row r="76" spans="4:15" s="327" customFormat="1" hidden="1" outlineLevel="1" x14ac:dyDescent="0.2">
      <c r="D76" s="660" t="str">
        <f>Intv_Ann_TO!D717</f>
        <v>Southern</v>
      </c>
      <c r="J76" s="5">
        <f t="shared" ca="1" si="9"/>
        <v>0</v>
      </c>
      <c r="K76" s="5">
        <f t="shared" ca="1" si="9"/>
        <v>0</v>
      </c>
      <c r="L76" s="5">
        <f t="shared" ca="1" si="9"/>
        <v>0</v>
      </c>
      <c r="M76" s="5">
        <f t="shared" ca="1" si="9"/>
        <v>0</v>
      </c>
      <c r="N76" s="5">
        <f t="shared" ca="1" si="9"/>
        <v>0</v>
      </c>
      <c r="O76" s="5">
        <f t="shared" ca="1" si="9"/>
        <v>0</v>
      </c>
    </row>
    <row r="77" spans="4:15" s="327" customFormat="1" hidden="1" outlineLevel="1" x14ac:dyDescent="0.2">
      <c r="D77" s="660" t="str">
        <f>Intv_Ann_TO!D718</f>
        <v>Western</v>
      </c>
      <c r="J77" s="5">
        <f t="shared" ca="1" si="9"/>
        <v>0</v>
      </c>
      <c r="K77" s="5">
        <f t="shared" ca="1" si="9"/>
        <v>0</v>
      </c>
      <c r="L77" s="5">
        <f t="shared" ca="1" si="9"/>
        <v>0</v>
      </c>
      <c r="M77" s="5">
        <f t="shared" ca="1" si="9"/>
        <v>0</v>
      </c>
      <c r="N77" s="5">
        <f t="shared" ca="1" si="9"/>
        <v>0</v>
      </c>
      <c r="O77" s="5">
        <f t="shared" ca="1" si="9"/>
        <v>0</v>
      </c>
    </row>
    <row r="78" spans="4:15" s="327" customFormat="1" ht="15.75" collapsed="1" thickBot="1" x14ac:dyDescent="0.25">
      <c r="D78" s="679" t="str">
        <f>"Total "&amp;D67</f>
        <v>Total Recurrent Economic Costs</v>
      </c>
      <c r="J78" s="624">
        <f t="shared" ref="J78:O78" ca="1" si="10">SUM(J68:J77)</f>
        <v>223149.1827464079</v>
      </c>
      <c r="K78" s="624">
        <f t="shared" ca="1" si="10"/>
        <v>223149.1827464079</v>
      </c>
      <c r="L78" s="624">
        <f t="shared" ca="1" si="10"/>
        <v>223149.1827464079</v>
      </c>
      <c r="M78" s="624">
        <f t="shared" ca="1" si="10"/>
        <v>223149.1827464079</v>
      </c>
      <c r="N78" s="624">
        <f t="shared" ca="1" si="10"/>
        <v>223149.1827464079</v>
      </c>
      <c r="O78" s="624">
        <f t="shared" ca="1" si="10"/>
        <v>223149.1827464079</v>
      </c>
    </row>
    <row r="79" spans="4:15" s="327" customFormat="1" ht="13.5" thickTop="1" x14ac:dyDescent="0.2"/>
    <row r="80" spans="4:15" s="327" customFormat="1" x14ac:dyDescent="0.2"/>
    <row r="81" spans="3:15" s="327" customFormat="1" ht="15.75" x14ac:dyDescent="0.2">
      <c r="C81" s="330" t="s">
        <v>1932</v>
      </c>
    </row>
    <row r="82" spans="3:15" s="327" customFormat="1" ht="15" x14ac:dyDescent="0.2">
      <c r="D82" s="646" t="str">
        <f>Intv_Ann_TO!D763</f>
        <v>Financial Capital Expenditures (Capex) (NonAnnualized)</v>
      </c>
    </row>
    <row r="83" spans="3:15" s="327" customFormat="1" hidden="1" outlineLevel="1" x14ac:dyDescent="0.2">
      <c r="D83" s="660" t="str">
        <f>Intv_Ann_TO!D764</f>
        <v>Central</v>
      </c>
      <c r="J83" s="5">
        <f>Intv_Ann_TO!J764</f>
        <v>16526</v>
      </c>
      <c r="K83" s="5">
        <f>Intv_Ann_TO!K764</f>
        <v>0</v>
      </c>
      <c r="L83" s="5">
        <f>Intv_Ann_TO!L764</f>
        <v>0</v>
      </c>
      <c r="M83" s="5">
        <f>Intv_Ann_TO!M764</f>
        <v>0</v>
      </c>
      <c r="N83" s="5">
        <f>Intv_Ann_TO!N764</f>
        <v>0</v>
      </c>
      <c r="O83" s="5">
        <f>Intv_Ann_TO!O764</f>
        <v>0</v>
      </c>
    </row>
    <row r="84" spans="3:15" s="327" customFormat="1" hidden="1" outlineLevel="1" x14ac:dyDescent="0.2">
      <c r="D84" s="660" t="str">
        <f>Intv_Ann_TO!D765</f>
        <v>Copperbelt</v>
      </c>
      <c r="J84" s="5">
        <f>Intv_Ann_TO!J765</f>
        <v>24789</v>
      </c>
      <c r="K84" s="5">
        <f>Intv_Ann_TO!K765</f>
        <v>0</v>
      </c>
      <c r="L84" s="5">
        <f>Intv_Ann_TO!L765</f>
        <v>0</v>
      </c>
      <c r="M84" s="5">
        <f>Intv_Ann_TO!M765</f>
        <v>0</v>
      </c>
      <c r="N84" s="5">
        <f>Intv_Ann_TO!N765</f>
        <v>0</v>
      </c>
      <c r="O84" s="5">
        <f>Intv_Ann_TO!O765</f>
        <v>0</v>
      </c>
    </row>
    <row r="85" spans="3:15" s="327" customFormat="1" hidden="1" outlineLevel="1" x14ac:dyDescent="0.2">
      <c r="D85" s="660" t="str">
        <f>Intv_Ann_TO!D766</f>
        <v>Eastern</v>
      </c>
      <c r="J85" s="5">
        <f>Intv_Ann_TO!J766</f>
        <v>24789</v>
      </c>
      <c r="K85" s="5">
        <f>Intv_Ann_TO!K766</f>
        <v>0</v>
      </c>
      <c r="L85" s="5">
        <f>Intv_Ann_TO!L766</f>
        <v>0</v>
      </c>
      <c r="M85" s="5">
        <f>Intv_Ann_TO!M766</f>
        <v>0</v>
      </c>
      <c r="N85" s="5">
        <f>Intv_Ann_TO!N766</f>
        <v>0</v>
      </c>
      <c r="O85" s="5">
        <f>Intv_Ann_TO!O766</f>
        <v>0</v>
      </c>
    </row>
    <row r="86" spans="3:15" s="327" customFormat="1" hidden="1" outlineLevel="1" x14ac:dyDescent="0.2">
      <c r="D86" s="660" t="str">
        <f>Intv_Ann_TO!D767</f>
        <v>Luapula</v>
      </c>
      <c r="J86" s="5">
        <f>Intv_Ann_TO!J767</f>
        <v>16526</v>
      </c>
      <c r="K86" s="5">
        <f>Intv_Ann_TO!K767</f>
        <v>0</v>
      </c>
      <c r="L86" s="5">
        <f>Intv_Ann_TO!L767</f>
        <v>0</v>
      </c>
      <c r="M86" s="5">
        <f>Intv_Ann_TO!M767</f>
        <v>0</v>
      </c>
      <c r="N86" s="5">
        <f>Intv_Ann_TO!N767</f>
        <v>0</v>
      </c>
      <c r="O86" s="5">
        <f>Intv_Ann_TO!O767</f>
        <v>0</v>
      </c>
    </row>
    <row r="87" spans="3:15" s="327" customFormat="1" hidden="1" outlineLevel="1" x14ac:dyDescent="0.2">
      <c r="D87" s="660" t="str">
        <f>Intv_Ann_TO!D768</f>
        <v>Lusaka</v>
      </c>
      <c r="J87" s="5">
        <f>Intv_Ann_TO!J768</f>
        <v>8263</v>
      </c>
      <c r="K87" s="5">
        <f>Intv_Ann_TO!K768</f>
        <v>0</v>
      </c>
      <c r="L87" s="5">
        <f>Intv_Ann_TO!L768</f>
        <v>0</v>
      </c>
      <c r="M87" s="5">
        <f>Intv_Ann_TO!M768</f>
        <v>0</v>
      </c>
      <c r="N87" s="5">
        <f>Intv_Ann_TO!N768</f>
        <v>0</v>
      </c>
      <c r="O87" s="5">
        <f>Intv_Ann_TO!O768</f>
        <v>0</v>
      </c>
    </row>
    <row r="88" spans="3:15" s="327" customFormat="1" hidden="1" outlineLevel="1" x14ac:dyDescent="0.2">
      <c r="D88" s="660" t="str">
        <f>Intv_Ann_TO!D769</f>
        <v>Muchinga</v>
      </c>
      <c r="J88" s="5">
        <f>Intv_Ann_TO!J769</f>
        <v>0</v>
      </c>
      <c r="K88" s="5">
        <f>Intv_Ann_TO!K769</f>
        <v>0</v>
      </c>
      <c r="L88" s="5">
        <f>Intv_Ann_TO!L769</f>
        <v>0</v>
      </c>
      <c r="M88" s="5">
        <f>Intv_Ann_TO!M769</f>
        <v>0</v>
      </c>
      <c r="N88" s="5">
        <f>Intv_Ann_TO!N769</f>
        <v>0</v>
      </c>
      <c r="O88" s="5">
        <f>Intv_Ann_TO!O769</f>
        <v>0</v>
      </c>
    </row>
    <row r="89" spans="3:15" s="327" customFormat="1" hidden="1" outlineLevel="1" x14ac:dyDescent="0.2">
      <c r="D89" s="660" t="str">
        <f>Intv_Ann_TO!D770</f>
        <v>Northern</v>
      </c>
      <c r="J89" s="5">
        <f>Intv_Ann_TO!J770</f>
        <v>8263</v>
      </c>
      <c r="K89" s="5">
        <f>Intv_Ann_TO!K770</f>
        <v>0</v>
      </c>
      <c r="L89" s="5">
        <f>Intv_Ann_TO!L770</f>
        <v>0</v>
      </c>
      <c r="M89" s="5">
        <f>Intv_Ann_TO!M770</f>
        <v>0</v>
      </c>
      <c r="N89" s="5">
        <f>Intv_Ann_TO!N770</f>
        <v>0</v>
      </c>
      <c r="O89" s="5">
        <f>Intv_Ann_TO!O770</f>
        <v>0</v>
      </c>
    </row>
    <row r="90" spans="3:15" s="327" customFormat="1" hidden="1" outlineLevel="1" x14ac:dyDescent="0.2">
      <c r="D90" s="660" t="str">
        <f>Intv_Ann_TO!D771</f>
        <v>North-Western</v>
      </c>
      <c r="J90" s="5">
        <f>Intv_Ann_TO!J771</f>
        <v>8263</v>
      </c>
      <c r="K90" s="5">
        <f>Intv_Ann_TO!K771</f>
        <v>0</v>
      </c>
      <c r="L90" s="5">
        <f>Intv_Ann_TO!L771</f>
        <v>0</v>
      </c>
      <c r="M90" s="5">
        <f>Intv_Ann_TO!M771</f>
        <v>0</v>
      </c>
      <c r="N90" s="5">
        <f>Intv_Ann_TO!N771</f>
        <v>0</v>
      </c>
      <c r="O90" s="5">
        <f>Intv_Ann_TO!O771</f>
        <v>0</v>
      </c>
    </row>
    <row r="91" spans="3:15" s="327" customFormat="1" hidden="1" outlineLevel="1" x14ac:dyDescent="0.2">
      <c r="D91" s="660" t="str">
        <f>Intv_Ann_TO!D772</f>
        <v>Southern</v>
      </c>
      <c r="J91" s="5">
        <f>Intv_Ann_TO!J772</f>
        <v>16526</v>
      </c>
      <c r="K91" s="5">
        <f>Intv_Ann_TO!K772</f>
        <v>0</v>
      </c>
      <c r="L91" s="5">
        <f>Intv_Ann_TO!L772</f>
        <v>0</v>
      </c>
      <c r="M91" s="5">
        <f>Intv_Ann_TO!M772</f>
        <v>0</v>
      </c>
      <c r="N91" s="5">
        <f>Intv_Ann_TO!N772</f>
        <v>0</v>
      </c>
      <c r="O91" s="5">
        <f>Intv_Ann_TO!O772</f>
        <v>0</v>
      </c>
    </row>
    <row r="92" spans="3:15" s="327" customFormat="1" hidden="1" outlineLevel="1" x14ac:dyDescent="0.2">
      <c r="D92" s="660" t="str">
        <f>Intv_Ann_TO!D773</f>
        <v>Western</v>
      </c>
      <c r="J92" s="5">
        <f>Intv_Ann_TO!J773</f>
        <v>24789</v>
      </c>
      <c r="K92" s="5">
        <f>Intv_Ann_TO!K773</f>
        <v>0</v>
      </c>
      <c r="L92" s="5">
        <f>Intv_Ann_TO!L773</f>
        <v>0</v>
      </c>
      <c r="M92" s="5">
        <f>Intv_Ann_TO!M773</f>
        <v>0</v>
      </c>
      <c r="N92" s="5">
        <f>Intv_Ann_TO!N773</f>
        <v>0</v>
      </c>
      <c r="O92" s="5">
        <f>Intv_Ann_TO!O773</f>
        <v>0</v>
      </c>
    </row>
    <row r="93" spans="3:15" s="327" customFormat="1" ht="15.75" collapsed="1" thickBot="1" x14ac:dyDescent="0.25">
      <c r="D93" s="679" t="str">
        <f>"Total "&amp;D82</f>
        <v>Total Financial Capital Expenditures (Capex) (NonAnnualized)</v>
      </c>
      <c r="J93" s="624">
        <f t="shared" ref="J93:O93" si="11">SUM(J83:J92)</f>
        <v>148734</v>
      </c>
      <c r="K93" s="624">
        <f t="shared" si="11"/>
        <v>0</v>
      </c>
      <c r="L93" s="624">
        <f t="shared" si="11"/>
        <v>0</v>
      </c>
      <c r="M93" s="624">
        <f t="shared" si="11"/>
        <v>0</v>
      </c>
      <c r="N93" s="624">
        <f t="shared" si="11"/>
        <v>0</v>
      </c>
      <c r="O93" s="624">
        <f t="shared" si="11"/>
        <v>0</v>
      </c>
    </row>
    <row r="94" spans="3:15" s="327" customFormat="1" ht="13.5" thickTop="1" x14ac:dyDescent="0.2"/>
    <row r="95" spans="3:15" s="327" customFormat="1" ht="15" x14ac:dyDescent="0.2">
      <c r="D95" s="646" t="str">
        <f>Intv_Ann_TO!D775</f>
        <v>Financial Capital Expenditures (Capex) (Annualized)</v>
      </c>
    </row>
    <row r="96" spans="3:15" s="327" customFormat="1" hidden="1" outlineLevel="1" x14ac:dyDescent="0.2">
      <c r="D96" s="660" t="str">
        <f>Intv_Ann_TO!D776</f>
        <v>Central</v>
      </c>
      <c r="J96" s="5">
        <f>Intv_Ann_TO!J776</f>
        <v>5235.6305555555546</v>
      </c>
      <c r="K96" s="5">
        <f>Intv_Ann_TO!K776</f>
        <v>5235.6305555555546</v>
      </c>
      <c r="L96" s="5">
        <f>Intv_Ann_TO!L776</f>
        <v>5235.6305555555546</v>
      </c>
      <c r="M96" s="5">
        <f>Intv_Ann_TO!M776</f>
        <v>5235.6305555555546</v>
      </c>
      <c r="N96" s="5">
        <f>Intv_Ann_TO!N776</f>
        <v>5235.6305555555546</v>
      </c>
      <c r="O96" s="5">
        <f>Intv_Ann_TO!O776</f>
        <v>5235.6305555555546</v>
      </c>
    </row>
    <row r="97" spans="4:15" s="327" customFormat="1" hidden="1" outlineLevel="1" x14ac:dyDescent="0.2">
      <c r="D97" s="660" t="str">
        <f>Intv_Ann_TO!D777</f>
        <v>Copperbelt</v>
      </c>
      <c r="J97" s="5">
        <f>Intv_Ann_TO!J777</f>
        <v>7853.4458333333314</v>
      </c>
      <c r="K97" s="5">
        <f>Intv_Ann_TO!K777</f>
        <v>7853.4458333333314</v>
      </c>
      <c r="L97" s="5">
        <f>Intv_Ann_TO!L777</f>
        <v>7853.4458333333314</v>
      </c>
      <c r="M97" s="5">
        <f>Intv_Ann_TO!M777</f>
        <v>7853.4458333333314</v>
      </c>
      <c r="N97" s="5">
        <f>Intv_Ann_TO!N777</f>
        <v>7853.4458333333314</v>
      </c>
      <c r="O97" s="5">
        <f>Intv_Ann_TO!O777</f>
        <v>7853.4458333333314</v>
      </c>
    </row>
    <row r="98" spans="4:15" s="327" customFormat="1" hidden="1" outlineLevel="1" x14ac:dyDescent="0.2">
      <c r="D98" s="660" t="str">
        <f>Intv_Ann_TO!D778</f>
        <v>Eastern</v>
      </c>
      <c r="J98" s="5">
        <f>Intv_Ann_TO!J778</f>
        <v>7853.4458333333314</v>
      </c>
      <c r="K98" s="5">
        <f>Intv_Ann_TO!K778</f>
        <v>7853.4458333333314</v>
      </c>
      <c r="L98" s="5">
        <f>Intv_Ann_TO!L778</f>
        <v>7853.4458333333314</v>
      </c>
      <c r="M98" s="5">
        <f>Intv_Ann_TO!M778</f>
        <v>7853.4458333333314</v>
      </c>
      <c r="N98" s="5">
        <f>Intv_Ann_TO!N778</f>
        <v>7853.4458333333314</v>
      </c>
      <c r="O98" s="5">
        <f>Intv_Ann_TO!O778</f>
        <v>7853.4458333333314</v>
      </c>
    </row>
    <row r="99" spans="4:15" s="327" customFormat="1" hidden="1" outlineLevel="1" x14ac:dyDescent="0.2">
      <c r="D99" s="660" t="str">
        <f>Intv_Ann_TO!D779</f>
        <v>Luapula</v>
      </c>
      <c r="J99" s="5">
        <f>Intv_Ann_TO!J779</f>
        <v>5235.6305555555546</v>
      </c>
      <c r="K99" s="5">
        <f>Intv_Ann_TO!K779</f>
        <v>5235.6305555555546</v>
      </c>
      <c r="L99" s="5">
        <f>Intv_Ann_TO!L779</f>
        <v>5235.6305555555546</v>
      </c>
      <c r="M99" s="5">
        <f>Intv_Ann_TO!M779</f>
        <v>5235.6305555555546</v>
      </c>
      <c r="N99" s="5">
        <f>Intv_Ann_TO!N779</f>
        <v>5235.6305555555546</v>
      </c>
      <c r="O99" s="5">
        <f>Intv_Ann_TO!O779</f>
        <v>5235.6305555555546</v>
      </c>
    </row>
    <row r="100" spans="4:15" s="327" customFormat="1" hidden="1" outlineLevel="1" x14ac:dyDescent="0.2">
      <c r="D100" s="660" t="str">
        <f>Intv_Ann_TO!D780</f>
        <v>Lusaka</v>
      </c>
      <c r="J100" s="5">
        <f>Intv_Ann_TO!J780</f>
        <v>2617.8152777777773</v>
      </c>
      <c r="K100" s="5">
        <f>Intv_Ann_TO!K780</f>
        <v>2617.8152777777773</v>
      </c>
      <c r="L100" s="5">
        <f>Intv_Ann_TO!L780</f>
        <v>2617.8152777777773</v>
      </c>
      <c r="M100" s="5">
        <f>Intv_Ann_TO!M780</f>
        <v>2617.8152777777773</v>
      </c>
      <c r="N100" s="5">
        <f>Intv_Ann_TO!N780</f>
        <v>2617.8152777777773</v>
      </c>
      <c r="O100" s="5">
        <f>Intv_Ann_TO!O780</f>
        <v>2617.8152777777773</v>
      </c>
    </row>
    <row r="101" spans="4:15" s="327" customFormat="1" hidden="1" outlineLevel="1" x14ac:dyDescent="0.2">
      <c r="D101" s="660" t="str">
        <f>Intv_Ann_TO!D781</f>
        <v>Muchinga</v>
      </c>
      <c r="J101" s="5">
        <f>Intv_Ann_TO!J781</f>
        <v>0</v>
      </c>
      <c r="K101" s="5">
        <f>Intv_Ann_TO!K781</f>
        <v>0</v>
      </c>
      <c r="L101" s="5">
        <f>Intv_Ann_TO!L781</f>
        <v>0</v>
      </c>
      <c r="M101" s="5">
        <f>Intv_Ann_TO!M781</f>
        <v>0</v>
      </c>
      <c r="N101" s="5">
        <f>Intv_Ann_TO!N781</f>
        <v>0</v>
      </c>
      <c r="O101" s="5">
        <f>Intv_Ann_TO!O781</f>
        <v>0</v>
      </c>
    </row>
    <row r="102" spans="4:15" s="327" customFormat="1" hidden="1" outlineLevel="1" x14ac:dyDescent="0.2">
      <c r="D102" s="660" t="str">
        <f>Intv_Ann_TO!D782</f>
        <v>Northern</v>
      </c>
      <c r="J102" s="5">
        <f>Intv_Ann_TO!J782</f>
        <v>2617.8152777777773</v>
      </c>
      <c r="K102" s="5">
        <f>Intv_Ann_TO!K782</f>
        <v>2617.8152777777773</v>
      </c>
      <c r="L102" s="5">
        <f>Intv_Ann_TO!L782</f>
        <v>2617.8152777777773</v>
      </c>
      <c r="M102" s="5">
        <f>Intv_Ann_TO!M782</f>
        <v>2617.8152777777773</v>
      </c>
      <c r="N102" s="5">
        <f>Intv_Ann_TO!N782</f>
        <v>2617.8152777777773</v>
      </c>
      <c r="O102" s="5">
        <f>Intv_Ann_TO!O782</f>
        <v>2617.8152777777773</v>
      </c>
    </row>
    <row r="103" spans="4:15" s="327" customFormat="1" hidden="1" outlineLevel="1" x14ac:dyDescent="0.2">
      <c r="D103" s="660" t="str">
        <f>Intv_Ann_TO!D783</f>
        <v>North-Western</v>
      </c>
      <c r="J103" s="5">
        <f>Intv_Ann_TO!J783</f>
        <v>2617.8152777777773</v>
      </c>
      <c r="K103" s="5">
        <f>Intv_Ann_TO!K783</f>
        <v>2617.8152777777773</v>
      </c>
      <c r="L103" s="5">
        <f>Intv_Ann_TO!L783</f>
        <v>2617.8152777777773</v>
      </c>
      <c r="M103" s="5">
        <f>Intv_Ann_TO!M783</f>
        <v>2617.8152777777773</v>
      </c>
      <c r="N103" s="5">
        <f>Intv_Ann_TO!N783</f>
        <v>2617.8152777777773</v>
      </c>
      <c r="O103" s="5">
        <f>Intv_Ann_TO!O783</f>
        <v>2617.8152777777773</v>
      </c>
    </row>
    <row r="104" spans="4:15" s="327" customFormat="1" hidden="1" outlineLevel="1" x14ac:dyDescent="0.2">
      <c r="D104" s="660" t="str">
        <f>Intv_Ann_TO!D784</f>
        <v>Southern</v>
      </c>
      <c r="J104" s="5">
        <f>Intv_Ann_TO!J784</f>
        <v>5235.6305555555546</v>
      </c>
      <c r="K104" s="5">
        <f>Intv_Ann_TO!K784</f>
        <v>5235.6305555555546</v>
      </c>
      <c r="L104" s="5">
        <f>Intv_Ann_TO!L784</f>
        <v>5235.6305555555546</v>
      </c>
      <c r="M104" s="5">
        <f>Intv_Ann_TO!M784</f>
        <v>5235.6305555555546</v>
      </c>
      <c r="N104" s="5">
        <f>Intv_Ann_TO!N784</f>
        <v>5235.6305555555546</v>
      </c>
      <c r="O104" s="5">
        <f>Intv_Ann_TO!O784</f>
        <v>5235.6305555555546</v>
      </c>
    </row>
    <row r="105" spans="4:15" s="327" customFormat="1" hidden="1" outlineLevel="1" x14ac:dyDescent="0.2">
      <c r="D105" s="660" t="str">
        <f>Intv_Ann_TO!D785</f>
        <v>Western</v>
      </c>
      <c r="J105" s="5">
        <f>Intv_Ann_TO!J785</f>
        <v>7853.4458333333314</v>
      </c>
      <c r="K105" s="5">
        <f>Intv_Ann_TO!K785</f>
        <v>7853.4458333333314</v>
      </c>
      <c r="L105" s="5">
        <f>Intv_Ann_TO!L785</f>
        <v>7853.4458333333314</v>
      </c>
      <c r="M105" s="5">
        <f>Intv_Ann_TO!M785</f>
        <v>7853.4458333333314</v>
      </c>
      <c r="N105" s="5">
        <f>Intv_Ann_TO!N785</f>
        <v>7853.4458333333314</v>
      </c>
      <c r="O105" s="5">
        <f>Intv_Ann_TO!O785</f>
        <v>7853.4458333333314</v>
      </c>
    </row>
    <row r="106" spans="4:15" s="327" customFormat="1" ht="15.75" collapsed="1" thickBot="1" x14ac:dyDescent="0.25">
      <c r="D106" s="679" t="str">
        <f>"Total "&amp;D95</f>
        <v>Total Financial Capital Expenditures (Capex) (Annualized)</v>
      </c>
      <c r="J106" s="624">
        <f t="shared" ref="J106:O106" si="12">SUM(J96:J105)</f>
        <v>47120.674999999988</v>
      </c>
      <c r="K106" s="624">
        <f t="shared" si="12"/>
        <v>47120.674999999988</v>
      </c>
      <c r="L106" s="624">
        <f t="shared" si="12"/>
        <v>47120.674999999988</v>
      </c>
      <c r="M106" s="624">
        <f t="shared" si="12"/>
        <v>47120.674999999988</v>
      </c>
      <c r="N106" s="624">
        <f t="shared" si="12"/>
        <v>47120.674999999988</v>
      </c>
      <c r="O106" s="624">
        <f t="shared" si="12"/>
        <v>47120.674999999988</v>
      </c>
    </row>
    <row r="107" spans="4:15" s="327" customFormat="1" ht="13.5" thickTop="1" x14ac:dyDescent="0.2"/>
    <row r="108" spans="4:15" s="327" customFormat="1" ht="15" x14ac:dyDescent="0.2">
      <c r="D108" s="646" t="str">
        <f>Intv_Ann_TO!D788</f>
        <v>Economic Capex (NonAnnualized)</v>
      </c>
    </row>
    <row r="109" spans="4:15" s="327" customFormat="1" hidden="1" outlineLevel="1" x14ac:dyDescent="0.2">
      <c r="D109" s="660" t="str">
        <f>Intv_Ann_TO!D789</f>
        <v>Central</v>
      </c>
      <c r="J109" s="5">
        <f>Intv_Ann_TO!J789</f>
        <v>16526</v>
      </c>
      <c r="K109" s="5">
        <f>Intv_Ann_TO!K789</f>
        <v>0</v>
      </c>
      <c r="L109" s="5">
        <f>Intv_Ann_TO!L789</f>
        <v>0</v>
      </c>
      <c r="M109" s="5">
        <f>Intv_Ann_TO!M789</f>
        <v>0</v>
      </c>
      <c r="N109" s="5">
        <f>Intv_Ann_TO!N789</f>
        <v>0</v>
      </c>
      <c r="O109" s="5">
        <f>Intv_Ann_TO!O789</f>
        <v>0</v>
      </c>
    </row>
    <row r="110" spans="4:15" s="327" customFormat="1" hidden="1" outlineLevel="1" x14ac:dyDescent="0.2">
      <c r="D110" s="660" t="str">
        <f>Intv_Ann_TO!D790</f>
        <v>Copperbelt</v>
      </c>
      <c r="J110" s="5">
        <f>Intv_Ann_TO!J790</f>
        <v>24789</v>
      </c>
      <c r="K110" s="5">
        <f>Intv_Ann_TO!K790</f>
        <v>0</v>
      </c>
      <c r="L110" s="5">
        <f>Intv_Ann_TO!L790</f>
        <v>0</v>
      </c>
      <c r="M110" s="5">
        <f>Intv_Ann_TO!M790</f>
        <v>0</v>
      </c>
      <c r="N110" s="5">
        <f>Intv_Ann_TO!N790</f>
        <v>0</v>
      </c>
      <c r="O110" s="5">
        <f>Intv_Ann_TO!O790</f>
        <v>0</v>
      </c>
    </row>
    <row r="111" spans="4:15" s="327" customFormat="1" hidden="1" outlineLevel="1" x14ac:dyDescent="0.2">
      <c r="D111" s="660" t="str">
        <f>Intv_Ann_TO!D791</f>
        <v>Eastern</v>
      </c>
      <c r="J111" s="5">
        <f>Intv_Ann_TO!J791</f>
        <v>24789</v>
      </c>
      <c r="K111" s="5">
        <f>Intv_Ann_TO!K791</f>
        <v>0</v>
      </c>
      <c r="L111" s="5">
        <f>Intv_Ann_TO!L791</f>
        <v>0</v>
      </c>
      <c r="M111" s="5">
        <f>Intv_Ann_TO!M791</f>
        <v>0</v>
      </c>
      <c r="N111" s="5">
        <f>Intv_Ann_TO!N791</f>
        <v>0</v>
      </c>
      <c r="O111" s="5">
        <f>Intv_Ann_TO!O791</f>
        <v>0</v>
      </c>
    </row>
    <row r="112" spans="4:15" s="327" customFormat="1" hidden="1" outlineLevel="1" x14ac:dyDescent="0.2">
      <c r="D112" s="660" t="str">
        <f>Intv_Ann_TO!D792</f>
        <v>Luapula</v>
      </c>
      <c r="J112" s="5">
        <f>Intv_Ann_TO!J792</f>
        <v>16526</v>
      </c>
      <c r="K112" s="5">
        <f>Intv_Ann_TO!K792</f>
        <v>0</v>
      </c>
      <c r="L112" s="5">
        <f>Intv_Ann_TO!L792</f>
        <v>0</v>
      </c>
      <c r="M112" s="5">
        <f>Intv_Ann_TO!M792</f>
        <v>0</v>
      </c>
      <c r="N112" s="5">
        <f>Intv_Ann_TO!N792</f>
        <v>0</v>
      </c>
      <c r="O112" s="5">
        <f>Intv_Ann_TO!O792</f>
        <v>0</v>
      </c>
    </row>
    <row r="113" spans="4:15" s="327" customFormat="1" hidden="1" outlineLevel="1" x14ac:dyDescent="0.2">
      <c r="D113" s="660" t="str">
        <f>Intv_Ann_TO!D793</f>
        <v>Lusaka</v>
      </c>
      <c r="J113" s="5">
        <f>Intv_Ann_TO!J793</f>
        <v>8263</v>
      </c>
      <c r="K113" s="5">
        <f>Intv_Ann_TO!K793</f>
        <v>0</v>
      </c>
      <c r="L113" s="5">
        <f>Intv_Ann_TO!L793</f>
        <v>0</v>
      </c>
      <c r="M113" s="5">
        <f>Intv_Ann_TO!M793</f>
        <v>0</v>
      </c>
      <c r="N113" s="5">
        <f>Intv_Ann_TO!N793</f>
        <v>0</v>
      </c>
      <c r="O113" s="5">
        <f>Intv_Ann_TO!O793</f>
        <v>0</v>
      </c>
    </row>
    <row r="114" spans="4:15" s="327" customFormat="1" hidden="1" outlineLevel="1" x14ac:dyDescent="0.2">
      <c r="D114" s="660" t="str">
        <f>Intv_Ann_TO!D794</f>
        <v>Muchinga</v>
      </c>
      <c r="J114" s="5">
        <f>Intv_Ann_TO!J794</f>
        <v>0</v>
      </c>
      <c r="K114" s="5">
        <f>Intv_Ann_TO!K794</f>
        <v>0</v>
      </c>
      <c r="L114" s="5">
        <f>Intv_Ann_TO!L794</f>
        <v>0</v>
      </c>
      <c r="M114" s="5">
        <f>Intv_Ann_TO!M794</f>
        <v>0</v>
      </c>
      <c r="N114" s="5">
        <f>Intv_Ann_TO!N794</f>
        <v>0</v>
      </c>
      <c r="O114" s="5">
        <f>Intv_Ann_TO!O794</f>
        <v>0</v>
      </c>
    </row>
    <row r="115" spans="4:15" s="327" customFormat="1" hidden="1" outlineLevel="1" x14ac:dyDescent="0.2">
      <c r="D115" s="660" t="str">
        <f>Intv_Ann_TO!D795</f>
        <v>Northern</v>
      </c>
      <c r="J115" s="5">
        <f>Intv_Ann_TO!J795</f>
        <v>8263</v>
      </c>
      <c r="K115" s="5">
        <f>Intv_Ann_TO!K795</f>
        <v>0</v>
      </c>
      <c r="L115" s="5">
        <f>Intv_Ann_TO!L795</f>
        <v>0</v>
      </c>
      <c r="M115" s="5">
        <f>Intv_Ann_TO!M795</f>
        <v>0</v>
      </c>
      <c r="N115" s="5">
        <f>Intv_Ann_TO!N795</f>
        <v>0</v>
      </c>
      <c r="O115" s="5">
        <f>Intv_Ann_TO!O795</f>
        <v>0</v>
      </c>
    </row>
    <row r="116" spans="4:15" s="327" customFormat="1" hidden="1" outlineLevel="1" x14ac:dyDescent="0.2">
      <c r="D116" s="660" t="str">
        <f>Intv_Ann_TO!D796</f>
        <v>North-Western</v>
      </c>
      <c r="J116" s="5">
        <f>Intv_Ann_TO!J796</f>
        <v>8263</v>
      </c>
      <c r="K116" s="5">
        <f>Intv_Ann_TO!K796</f>
        <v>0</v>
      </c>
      <c r="L116" s="5">
        <f>Intv_Ann_TO!L796</f>
        <v>0</v>
      </c>
      <c r="M116" s="5">
        <f>Intv_Ann_TO!M796</f>
        <v>0</v>
      </c>
      <c r="N116" s="5">
        <f>Intv_Ann_TO!N796</f>
        <v>0</v>
      </c>
      <c r="O116" s="5">
        <f>Intv_Ann_TO!O796</f>
        <v>0</v>
      </c>
    </row>
    <row r="117" spans="4:15" s="327" customFormat="1" hidden="1" outlineLevel="1" x14ac:dyDescent="0.2">
      <c r="D117" s="660" t="str">
        <f>Intv_Ann_TO!D797</f>
        <v>Southern</v>
      </c>
      <c r="J117" s="5">
        <f>Intv_Ann_TO!J797</f>
        <v>16526</v>
      </c>
      <c r="K117" s="5">
        <f>Intv_Ann_TO!K797</f>
        <v>0</v>
      </c>
      <c r="L117" s="5">
        <f>Intv_Ann_TO!L797</f>
        <v>0</v>
      </c>
      <c r="M117" s="5">
        <f>Intv_Ann_TO!M797</f>
        <v>0</v>
      </c>
      <c r="N117" s="5">
        <f>Intv_Ann_TO!N797</f>
        <v>0</v>
      </c>
      <c r="O117" s="5">
        <f>Intv_Ann_TO!O797</f>
        <v>0</v>
      </c>
    </row>
    <row r="118" spans="4:15" s="327" customFormat="1" hidden="1" outlineLevel="1" x14ac:dyDescent="0.2">
      <c r="D118" s="660" t="str">
        <f>Intv_Ann_TO!D798</f>
        <v>Western</v>
      </c>
      <c r="J118" s="5">
        <f>Intv_Ann_TO!J798</f>
        <v>24789</v>
      </c>
      <c r="K118" s="5">
        <f>Intv_Ann_TO!K798</f>
        <v>0</v>
      </c>
      <c r="L118" s="5">
        <f>Intv_Ann_TO!L798</f>
        <v>0</v>
      </c>
      <c r="M118" s="5">
        <f>Intv_Ann_TO!M798</f>
        <v>0</v>
      </c>
      <c r="N118" s="5">
        <f>Intv_Ann_TO!N798</f>
        <v>0</v>
      </c>
      <c r="O118" s="5">
        <f>Intv_Ann_TO!O798</f>
        <v>0</v>
      </c>
    </row>
    <row r="119" spans="4:15" s="327" customFormat="1" ht="15.75" collapsed="1" thickBot="1" x14ac:dyDescent="0.25">
      <c r="D119" s="679" t="str">
        <f>"Total "&amp;D108</f>
        <v>Total Economic Capex (NonAnnualized)</v>
      </c>
      <c r="J119" s="624">
        <f t="shared" ref="J119:O119" si="13">SUM(J109:J118)</f>
        <v>148734</v>
      </c>
      <c r="K119" s="624">
        <f t="shared" si="13"/>
        <v>0</v>
      </c>
      <c r="L119" s="624">
        <f t="shared" si="13"/>
        <v>0</v>
      </c>
      <c r="M119" s="624">
        <f t="shared" si="13"/>
        <v>0</v>
      </c>
      <c r="N119" s="624">
        <f t="shared" si="13"/>
        <v>0</v>
      </c>
      <c r="O119" s="624">
        <f t="shared" si="13"/>
        <v>0</v>
      </c>
    </row>
    <row r="120" spans="4:15" s="327" customFormat="1" ht="13.5" thickTop="1" x14ac:dyDescent="0.2"/>
    <row r="121" spans="4:15" s="327" customFormat="1" ht="15" x14ac:dyDescent="0.2">
      <c r="D121" s="646" t="str">
        <f>Intv_Ann_TO!D800</f>
        <v>Economic Capital Expenditures (Capex) (Annualized)</v>
      </c>
    </row>
    <row r="122" spans="4:15" s="327" customFormat="1" hidden="1" outlineLevel="1" x14ac:dyDescent="0.2">
      <c r="D122" s="660" t="str">
        <f>Intv_Ann_TO!D801</f>
        <v>Central</v>
      </c>
      <c r="J122" s="5">
        <f>Intv_Ann_TO!J801</f>
        <v>5609.1937941770011</v>
      </c>
      <c r="K122" s="5">
        <f>Intv_Ann_TO!K801</f>
        <v>5609.1937941770011</v>
      </c>
      <c r="L122" s="5">
        <f>Intv_Ann_TO!L801</f>
        <v>5609.1937941770011</v>
      </c>
      <c r="M122" s="5">
        <f>Intv_Ann_TO!M801</f>
        <v>5609.1937941770011</v>
      </c>
      <c r="N122" s="5">
        <f>Intv_Ann_TO!N801</f>
        <v>5609.1937941770011</v>
      </c>
      <c r="O122" s="5">
        <f>Intv_Ann_TO!O801</f>
        <v>5609.1937941770011</v>
      </c>
    </row>
    <row r="123" spans="4:15" s="327" customFormat="1" hidden="1" outlineLevel="1" x14ac:dyDescent="0.2">
      <c r="D123" s="660" t="str">
        <f>Intv_Ann_TO!D802</f>
        <v>Copperbelt</v>
      </c>
      <c r="J123" s="5">
        <f>Intv_Ann_TO!J802</f>
        <v>8413.7906912655017</v>
      </c>
      <c r="K123" s="5">
        <f>Intv_Ann_TO!K802</f>
        <v>8413.7906912655017</v>
      </c>
      <c r="L123" s="5">
        <f>Intv_Ann_TO!L802</f>
        <v>8413.7906912655017</v>
      </c>
      <c r="M123" s="5">
        <f>Intv_Ann_TO!M802</f>
        <v>8413.7906912655017</v>
      </c>
      <c r="N123" s="5">
        <f>Intv_Ann_TO!N802</f>
        <v>8413.7906912655017</v>
      </c>
      <c r="O123" s="5">
        <f>Intv_Ann_TO!O802</f>
        <v>8413.7906912655017</v>
      </c>
    </row>
    <row r="124" spans="4:15" s="327" customFormat="1" hidden="1" outlineLevel="1" x14ac:dyDescent="0.2">
      <c r="D124" s="660" t="str">
        <f>Intv_Ann_TO!D803</f>
        <v>Eastern</v>
      </c>
      <c r="J124" s="5">
        <f>Intv_Ann_TO!J803</f>
        <v>8413.7906912655017</v>
      </c>
      <c r="K124" s="5">
        <f>Intv_Ann_TO!K803</f>
        <v>8413.7906912655017</v>
      </c>
      <c r="L124" s="5">
        <f>Intv_Ann_TO!L803</f>
        <v>8413.7906912655017</v>
      </c>
      <c r="M124" s="5">
        <f>Intv_Ann_TO!M803</f>
        <v>8413.7906912655017</v>
      </c>
      <c r="N124" s="5">
        <f>Intv_Ann_TO!N803</f>
        <v>8413.7906912655017</v>
      </c>
      <c r="O124" s="5">
        <f>Intv_Ann_TO!O803</f>
        <v>8413.7906912655017</v>
      </c>
    </row>
    <row r="125" spans="4:15" s="327" customFormat="1" hidden="1" outlineLevel="1" x14ac:dyDescent="0.2">
      <c r="D125" s="660" t="str">
        <f>Intv_Ann_TO!D804</f>
        <v>Luapula</v>
      </c>
      <c r="J125" s="5">
        <f>Intv_Ann_TO!J804</f>
        <v>5609.1937941770011</v>
      </c>
      <c r="K125" s="5">
        <f>Intv_Ann_TO!K804</f>
        <v>5609.1937941770011</v>
      </c>
      <c r="L125" s="5">
        <f>Intv_Ann_TO!L804</f>
        <v>5609.1937941770011</v>
      </c>
      <c r="M125" s="5">
        <f>Intv_Ann_TO!M804</f>
        <v>5609.1937941770011</v>
      </c>
      <c r="N125" s="5">
        <f>Intv_Ann_TO!N804</f>
        <v>5609.1937941770011</v>
      </c>
      <c r="O125" s="5">
        <f>Intv_Ann_TO!O804</f>
        <v>5609.1937941770011</v>
      </c>
    </row>
    <row r="126" spans="4:15" s="327" customFormat="1" hidden="1" outlineLevel="1" x14ac:dyDescent="0.2">
      <c r="D126" s="660" t="str">
        <f>Intv_Ann_TO!D805</f>
        <v>Lusaka</v>
      </c>
      <c r="J126" s="5">
        <f>Intv_Ann_TO!J805</f>
        <v>2804.5968970885006</v>
      </c>
      <c r="K126" s="5">
        <f>Intv_Ann_TO!K805</f>
        <v>2804.5968970885006</v>
      </c>
      <c r="L126" s="5">
        <f>Intv_Ann_TO!L805</f>
        <v>2804.5968970885006</v>
      </c>
      <c r="M126" s="5">
        <f>Intv_Ann_TO!M805</f>
        <v>2804.5968970885006</v>
      </c>
      <c r="N126" s="5">
        <f>Intv_Ann_TO!N805</f>
        <v>2804.5968970885006</v>
      </c>
      <c r="O126" s="5">
        <f>Intv_Ann_TO!O805</f>
        <v>2804.5968970885006</v>
      </c>
    </row>
    <row r="127" spans="4:15" s="327" customFormat="1" hidden="1" outlineLevel="1" x14ac:dyDescent="0.2">
      <c r="D127" s="660" t="str">
        <f>Intv_Ann_TO!D806</f>
        <v>Muchinga</v>
      </c>
      <c r="J127" s="5">
        <f>Intv_Ann_TO!J806</f>
        <v>0</v>
      </c>
      <c r="K127" s="5">
        <f>Intv_Ann_TO!K806</f>
        <v>0</v>
      </c>
      <c r="L127" s="5">
        <f>Intv_Ann_TO!L806</f>
        <v>0</v>
      </c>
      <c r="M127" s="5">
        <f>Intv_Ann_TO!M806</f>
        <v>0</v>
      </c>
      <c r="N127" s="5">
        <f>Intv_Ann_TO!N806</f>
        <v>0</v>
      </c>
      <c r="O127" s="5">
        <f>Intv_Ann_TO!O806</f>
        <v>0</v>
      </c>
    </row>
    <row r="128" spans="4:15" s="327" customFormat="1" hidden="1" outlineLevel="1" x14ac:dyDescent="0.2">
      <c r="D128" s="660" t="str">
        <f>Intv_Ann_TO!D807</f>
        <v>Northern</v>
      </c>
      <c r="J128" s="5">
        <f>Intv_Ann_TO!J807</f>
        <v>2804.5968970885006</v>
      </c>
      <c r="K128" s="5">
        <f>Intv_Ann_TO!K807</f>
        <v>2804.5968970885006</v>
      </c>
      <c r="L128" s="5">
        <f>Intv_Ann_TO!L807</f>
        <v>2804.5968970885006</v>
      </c>
      <c r="M128" s="5">
        <f>Intv_Ann_TO!M807</f>
        <v>2804.5968970885006</v>
      </c>
      <c r="N128" s="5">
        <f>Intv_Ann_TO!N807</f>
        <v>2804.5968970885006</v>
      </c>
      <c r="O128" s="5">
        <f>Intv_Ann_TO!O807</f>
        <v>2804.5968970885006</v>
      </c>
    </row>
    <row r="129" spans="3:15" s="327" customFormat="1" hidden="1" outlineLevel="1" x14ac:dyDescent="0.2">
      <c r="D129" s="660" t="str">
        <f>Intv_Ann_TO!D808</f>
        <v>North-Western</v>
      </c>
      <c r="J129" s="5">
        <f>Intv_Ann_TO!J808</f>
        <v>2804.5968970885006</v>
      </c>
      <c r="K129" s="5">
        <f>Intv_Ann_TO!K808</f>
        <v>2804.5968970885006</v>
      </c>
      <c r="L129" s="5">
        <f>Intv_Ann_TO!L808</f>
        <v>2804.5968970885006</v>
      </c>
      <c r="M129" s="5">
        <f>Intv_Ann_TO!M808</f>
        <v>2804.5968970885006</v>
      </c>
      <c r="N129" s="5">
        <f>Intv_Ann_TO!N808</f>
        <v>2804.5968970885006</v>
      </c>
      <c r="O129" s="5">
        <f>Intv_Ann_TO!O808</f>
        <v>2804.5968970885006</v>
      </c>
    </row>
    <row r="130" spans="3:15" s="327" customFormat="1" hidden="1" outlineLevel="1" x14ac:dyDescent="0.2">
      <c r="D130" s="660" t="str">
        <f>Intv_Ann_TO!D809</f>
        <v>Southern</v>
      </c>
      <c r="J130" s="5">
        <f>Intv_Ann_TO!J809</f>
        <v>5609.1937941770011</v>
      </c>
      <c r="K130" s="5">
        <f>Intv_Ann_TO!K809</f>
        <v>5609.1937941770011</v>
      </c>
      <c r="L130" s="5">
        <f>Intv_Ann_TO!L809</f>
        <v>5609.1937941770011</v>
      </c>
      <c r="M130" s="5">
        <f>Intv_Ann_TO!M809</f>
        <v>5609.1937941770011</v>
      </c>
      <c r="N130" s="5">
        <f>Intv_Ann_TO!N809</f>
        <v>5609.1937941770011</v>
      </c>
      <c r="O130" s="5">
        <f>Intv_Ann_TO!O809</f>
        <v>5609.1937941770011</v>
      </c>
    </row>
    <row r="131" spans="3:15" s="327" customFormat="1" hidden="1" outlineLevel="1" x14ac:dyDescent="0.2">
      <c r="D131" s="660" t="str">
        <f>Intv_Ann_TO!D810</f>
        <v>Western</v>
      </c>
      <c r="J131" s="5">
        <f>Intv_Ann_TO!J810</f>
        <v>8413.7906912655017</v>
      </c>
      <c r="K131" s="5">
        <f>Intv_Ann_TO!K810</f>
        <v>8413.7906912655017</v>
      </c>
      <c r="L131" s="5">
        <f>Intv_Ann_TO!L810</f>
        <v>8413.7906912655017</v>
      </c>
      <c r="M131" s="5">
        <f>Intv_Ann_TO!M810</f>
        <v>8413.7906912655017</v>
      </c>
      <c r="N131" s="5">
        <f>Intv_Ann_TO!N810</f>
        <v>8413.7906912655017</v>
      </c>
      <c r="O131" s="5">
        <f>Intv_Ann_TO!O810</f>
        <v>8413.7906912655017</v>
      </c>
    </row>
    <row r="132" spans="3:15" s="327" customFormat="1" ht="15.75" collapsed="1" thickBot="1" x14ac:dyDescent="0.25">
      <c r="D132" s="679" t="str">
        <f>"Total "&amp;D121</f>
        <v>Total Economic Capital Expenditures (Capex) (Annualized)</v>
      </c>
      <c r="J132" s="624">
        <f t="shared" ref="J132:O132" si="14">SUM(J122:J131)</f>
        <v>50482.74414759301</v>
      </c>
      <c r="K132" s="624">
        <f t="shared" si="14"/>
        <v>50482.74414759301</v>
      </c>
      <c r="L132" s="624">
        <f t="shared" si="14"/>
        <v>50482.74414759301</v>
      </c>
      <c r="M132" s="624">
        <f t="shared" si="14"/>
        <v>50482.74414759301</v>
      </c>
      <c r="N132" s="624">
        <f t="shared" si="14"/>
        <v>50482.74414759301</v>
      </c>
      <c r="O132" s="624">
        <f t="shared" si="14"/>
        <v>50482.74414759301</v>
      </c>
    </row>
    <row r="133" spans="3:15" s="327" customFormat="1" ht="13.5" thickTop="1" x14ac:dyDescent="0.2"/>
    <row r="134" spans="3:15" s="327" customFormat="1" x14ac:dyDescent="0.2"/>
    <row r="135" spans="3:15" s="327" customFormat="1" ht="15.75" x14ac:dyDescent="0.2">
      <c r="C135" s="330" t="s">
        <v>1937</v>
      </c>
    </row>
    <row r="136" spans="3:15" s="327" customFormat="1" ht="15.75" thickBot="1" x14ac:dyDescent="0.25">
      <c r="D136" s="658" t="s">
        <v>1941</v>
      </c>
      <c r="J136" s="624">
        <f t="shared" ref="J136:O136" ca="1" si="15">J65+J106</f>
        <v>247363.3774773333</v>
      </c>
      <c r="K136" s="624">
        <f t="shared" ca="1" si="15"/>
        <v>247363.3774773333</v>
      </c>
      <c r="L136" s="624">
        <f t="shared" ca="1" si="15"/>
        <v>247363.3774773333</v>
      </c>
      <c r="M136" s="624">
        <f t="shared" ca="1" si="15"/>
        <v>247363.3774773333</v>
      </c>
      <c r="N136" s="624">
        <f t="shared" ca="1" si="15"/>
        <v>247363.3774773333</v>
      </c>
      <c r="O136" s="624">
        <f t="shared" ca="1" si="15"/>
        <v>247363.3774773333</v>
      </c>
    </row>
    <row r="137" spans="3:15" s="327" customFormat="1" ht="13.5" thickTop="1" x14ac:dyDescent="0.2"/>
    <row r="138" spans="3:15" s="327" customFormat="1" ht="15.75" thickBot="1" x14ac:dyDescent="0.25">
      <c r="D138" s="658" t="s">
        <v>1942</v>
      </c>
      <c r="J138" s="624">
        <f t="shared" ref="J138:O138" ca="1" si="16">J78+J132</f>
        <v>273631.92689400091</v>
      </c>
      <c r="K138" s="624">
        <f t="shared" ca="1" si="16"/>
        <v>273631.92689400091</v>
      </c>
      <c r="L138" s="624">
        <f t="shared" ca="1" si="16"/>
        <v>273631.92689400091</v>
      </c>
      <c r="M138" s="624">
        <f t="shared" ca="1" si="16"/>
        <v>273631.92689400091</v>
      </c>
      <c r="N138" s="624">
        <f t="shared" ca="1" si="16"/>
        <v>273631.92689400091</v>
      </c>
      <c r="O138" s="624">
        <f t="shared" ca="1" si="16"/>
        <v>273631.92689400091</v>
      </c>
    </row>
    <row r="139" spans="3:15" s="327" customFormat="1" ht="13.5" thickTop="1" x14ac:dyDescent="0.2"/>
    <row r="140" spans="3:15" s="327" customFormat="1" x14ac:dyDescent="0.2"/>
    <row r="141" spans="3:15" s="327" customFormat="1" x14ac:dyDescent="0.2">
      <c r="C141" s="716" t="str">
        <f>"Go to "&amp;HL_Intv_2_Ass</f>
        <v>Go to Loop Electrosurgical Excision Procedure  with BIOP-H</v>
      </c>
      <c r="D141" s="716"/>
      <c r="E141" s="716"/>
      <c r="F141" s="716"/>
      <c r="G141" s="716"/>
      <c r="H141" s="716"/>
      <c r="I141" s="716"/>
    </row>
    <row r="142" spans="3:15" s="327" customFormat="1" x14ac:dyDescent="0.2">
      <c r="C142" s="716" t="str">
        <f>"Go to "&amp;HL_Intv_2_Ann_Ass</f>
        <v>Go to Intervention Services - Annual Assumptions</v>
      </c>
      <c r="D142" s="716"/>
      <c r="E142" s="716"/>
      <c r="F142" s="716"/>
      <c r="G142" s="716"/>
      <c r="H142" s="716"/>
      <c r="I142" s="716"/>
    </row>
    <row r="143" spans="3:15" s="327" customFormat="1" x14ac:dyDescent="0.2">
      <c r="C143" s="716" t="str">
        <f>"Go to "&amp;HL_Intv_2_Out</f>
        <v>Go to Loop Electrosurgical Excision Procedure  with BIOP-H</v>
      </c>
      <c r="D143" s="716"/>
      <c r="E143" s="716"/>
      <c r="F143" s="716"/>
      <c r="G143" s="716"/>
      <c r="H143" s="716"/>
      <c r="I143" s="716"/>
    </row>
    <row r="144" spans="3:15" s="327" customFormat="1" x14ac:dyDescent="0.2">
      <c r="C144" s="716" t="str">
        <f>"Go to "&amp;HL_Intv_2_Out_Sum</f>
        <v>Go to LEEP - Ouptputs Summary</v>
      </c>
      <c r="D144" s="716"/>
      <c r="E144" s="716"/>
      <c r="F144" s="716"/>
      <c r="G144" s="716"/>
      <c r="H144" s="716"/>
      <c r="I144" s="716"/>
    </row>
  </sheetData>
  <sheetProtection password="F0F4" sheet="1" scenarios="1"/>
  <mergeCells count="5">
    <mergeCell ref="C143:I143"/>
    <mergeCell ref="C144:I144"/>
    <mergeCell ref="B3:F3"/>
    <mergeCell ref="C141:I141"/>
    <mergeCell ref="C142:I142"/>
  </mergeCells>
  <hyperlinks>
    <hyperlink ref="C141:I141" location="HL_Intv_2_Ass" tooltip="Click to follow hyperlink." display="HL_Intv_2_Ass"/>
    <hyperlink ref="C142:I142" location="HL_Intv_2_Ann_Ass" tooltip="Click to follow hyperlink." display="HL_Intv_2_Ann_Ass"/>
    <hyperlink ref="C143:I143" location="HL_Intv_2_Out" tooltip="Click to follow hyperlink." display="HL_Intv_2_Out"/>
    <hyperlink ref="C144:I144" location="HL_Intv_2_Out_Sum" tooltip="Click to follow hyperlink." display="HL_Intv_2_Out_Sum"/>
    <hyperlink ref="A4" location="$A$10" tooltip="Go to Top of Sheet" display="$A$10"/>
    <hyperlink ref="B4" location="HL_Sheet_Main_81" tooltip="Go to Previous Sheet" display="HL_Sheet_Main_81"/>
    <hyperlink ref="C4" location="HL_Sheet_Main_84" tooltip="Go to Next Sheet" display="HL_Sheet_Main_84"/>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06"/>
  <sheetViews>
    <sheetView showGridLines="0" zoomScaleNormal="100" workbookViewId="0">
      <pane ySplit="9" topLeftCell="A16" activePane="bottomLeft" state="frozen"/>
      <selection pane="bottomLeft" activeCell="F4" sqref="F4"/>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1956</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329" t="s">
        <v>1956</v>
      </c>
    </row>
    <row r="13" spans="1:15" s="327" customFormat="1" x14ac:dyDescent="0.2"/>
    <row r="14" spans="1:15" s="327" customFormat="1" ht="18.75" x14ac:dyDescent="0.2">
      <c r="B14" s="329" t="s">
        <v>1900</v>
      </c>
    </row>
    <row r="15" spans="1:15" s="327" customFormat="1" ht="15.75" x14ac:dyDescent="0.2">
      <c r="C15" s="330" t="s">
        <v>1894</v>
      </c>
    </row>
    <row r="16" spans="1:15" s="327" customFormat="1" ht="15.75" x14ac:dyDescent="0.2">
      <c r="C16" s="18" t="str">
        <f>Intv_Ann_TO!D1005</f>
        <v>Total Active Facilities Offering SURG</v>
      </c>
    </row>
    <row r="17" spans="3:15" s="327" customFormat="1" hidden="1" outlineLevel="1" x14ac:dyDescent="0.2">
      <c r="C17" s="660" t="str">
        <f>Intv_Ann_TO!D1006</f>
        <v>Central</v>
      </c>
      <c r="J17" s="5">
        <f>Intv_Ann_TO!J1006</f>
        <v>0</v>
      </c>
      <c r="K17" s="5">
        <f>Intv_Ann_TO!K1006</f>
        <v>0</v>
      </c>
      <c r="L17" s="5">
        <f>Intv_Ann_TO!L1006</f>
        <v>0</v>
      </c>
      <c r="M17" s="5">
        <f>Intv_Ann_TO!M1006</f>
        <v>0</v>
      </c>
      <c r="N17" s="5">
        <f>Intv_Ann_TO!N1006</f>
        <v>0</v>
      </c>
      <c r="O17" s="5">
        <f>Intv_Ann_TO!O1006</f>
        <v>0</v>
      </c>
    </row>
    <row r="18" spans="3:15" s="327" customFormat="1" hidden="1" outlineLevel="1" x14ac:dyDescent="0.2">
      <c r="C18" s="660" t="str">
        <f>Intv_Ann_TO!D1007</f>
        <v>Copperbelt</v>
      </c>
      <c r="J18" s="5">
        <f>Intv_Ann_TO!J1007</f>
        <v>3</v>
      </c>
      <c r="K18" s="5">
        <f>Intv_Ann_TO!K1007</f>
        <v>3</v>
      </c>
      <c r="L18" s="5">
        <f>Intv_Ann_TO!L1007</f>
        <v>3</v>
      </c>
      <c r="M18" s="5">
        <f>Intv_Ann_TO!M1007</f>
        <v>3</v>
      </c>
      <c r="N18" s="5">
        <f>Intv_Ann_TO!N1007</f>
        <v>3</v>
      </c>
      <c r="O18" s="5">
        <f>Intv_Ann_TO!O1007</f>
        <v>3</v>
      </c>
    </row>
    <row r="19" spans="3:15" s="327" customFormat="1" hidden="1" outlineLevel="1" x14ac:dyDescent="0.2">
      <c r="C19" s="660" t="str">
        <f>Intv_Ann_TO!D1008</f>
        <v>Eastern</v>
      </c>
      <c r="J19" s="5">
        <f>Intv_Ann_TO!J1008</f>
        <v>0</v>
      </c>
      <c r="K19" s="5">
        <f>Intv_Ann_TO!K1008</f>
        <v>0</v>
      </c>
      <c r="L19" s="5">
        <f>Intv_Ann_TO!L1008</f>
        <v>0</v>
      </c>
      <c r="M19" s="5">
        <f>Intv_Ann_TO!M1008</f>
        <v>0</v>
      </c>
      <c r="N19" s="5">
        <f>Intv_Ann_TO!N1008</f>
        <v>0</v>
      </c>
      <c r="O19" s="5">
        <f>Intv_Ann_TO!O1008</f>
        <v>0</v>
      </c>
    </row>
    <row r="20" spans="3:15" s="327" customFormat="1" hidden="1" outlineLevel="1" x14ac:dyDescent="0.2">
      <c r="C20" s="660" t="str">
        <f>Intv_Ann_TO!D1009</f>
        <v>Luapula</v>
      </c>
      <c r="J20" s="5">
        <f>Intv_Ann_TO!J1009</f>
        <v>0</v>
      </c>
      <c r="K20" s="5">
        <f>Intv_Ann_TO!K1009</f>
        <v>0</v>
      </c>
      <c r="L20" s="5">
        <f>Intv_Ann_TO!L1009</f>
        <v>0</v>
      </c>
      <c r="M20" s="5">
        <f>Intv_Ann_TO!M1009</f>
        <v>0</v>
      </c>
      <c r="N20" s="5">
        <f>Intv_Ann_TO!N1009</f>
        <v>0</v>
      </c>
      <c r="O20" s="5">
        <f>Intv_Ann_TO!O1009</f>
        <v>0</v>
      </c>
    </row>
    <row r="21" spans="3:15" s="327" customFormat="1" hidden="1" outlineLevel="1" x14ac:dyDescent="0.2">
      <c r="C21" s="660" t="str">
        <f>Intv_Ann_TO!D1010</f>
        <v>Lusaka</v>
      </c>
      <c r="J21" s="5">
        <f>Intv_Ann_TO!J1010</f>
        <v>1</v>
      </c>
      <c r="K21" s="5">
        <f>Intv_Ann_TO!K1010</f>
        <v>1</v>
      </c>
      <c r="L21" s="5">
        <f>Intv_Ann_TO!L1010</f>
        <v>1</v>
      </c>
      <c r="M21" s="5">
        <f>Intv_Ann_TO!M1010</f>
        <v>1</v>
      </c>
      <c r="N21" s="5">
        <f>Intv_Ann_TO!N1010</f>
        <v>1</v>
      </c>
      <c r="O21" s="5">
        <f>Intv_Ann_TO!O1010</f>
        <v>1</v>
      </c>
    </row>
    <row r="22" spans="3:15" s="327" customFormat="1" hidden="1" outlineLevel="1" x14ac:dyDescent="0.2">
      <c r="C22" s="660" t="str">
        <f>Intv_Ann_TO!D1011</f>
        <v>Muchinga</v>
      </c>
      <c r="J22" s="5">
        <f>Intv_Ann_TO!J1011</f>
        <v>0</v>
      </c>
      <c r="K22" s="5">
        <f>Intv_Ann_TO!K1011</f>
        <v>0</v>
      </c>
      <c r="L22" s="5">
        <f>Intv_Ann_TO!L1011</f>
        <v>0</v>
      </c>
      <c r="M22" s="5">
        <f>Intv_Ann_TO!M1011</f>
        <v>0</v>
      </c>
      <c r="N22" s="5">
        <f>Intv_Ann_TO!N1011</f>
        <v>0</v>
      </c>
      <c r="O22" s="5">
        <f>Intv_Ann_TO!O1011</f>
        <v>0</v>
      </c>
    </row>
    <row r="23" spans="3:15" s="327" customFormat="1" hidden="1" outlineLevel="1" x14ac:dyDescent="0.2">
      <c r="C23" s="660" t="str">
        <f>Intv_Ann_TO!D1012</f>
        <v>Northern</v>
      </c>
      <c r="J23" s="5">
        <f>Intv_Ann_TO!J1012</f>
        <v>0</v>
      </c>
      <c r="K23" s="5">
        <f>Intv_Ann_TO!K1012</f>
        <v>0</v>
      </c>
      <c r="L23" s="5">
        <f>Intv_Ann_TO!L1012</f>
        <v>0</v>
      </c>
      <c r="M23" s="5">
        <f>Intv_Ann_TO!M1012</f>
        <v>0</v>
      </c>
      <c r="N23" s="5">
        <f>Intv_Ann_TO!N1012</f>
        <v>0</v>
      </c>
      <c r="O23" s="5">
        <f>Intv_Ann_TO!O1012</f>
        <v>0</v>
      </c>
    </row>
    <row r="24" spans="3:15" s="327" customFormat="1" hidden="1" outlineLevel="1" x14ac:dyDescent="0.2">
      <c r="C24" s="660" t="str">
        <f>Intv_Ann_TO!D1013</f>
        <v>North-Western</v>
      </c>
      <c r="J24" s="5">
        <f>Intv_Ann_TO!J1013</f>
        <v>0</v>
      </c>
      <c r="K24" s="5">
        <f>Intv_Ann_TO!K1013</f>
        <v>0</v>
      </c>
      <c r="L24" s="5">
        <f>Intv_Ann_TO!L1013</f>
        <v>0</v>
      </c>
      <c r="M24" s="5">
        <f>Intv_Ann_TO!M1013</f>
        <v>0</v>
      </c>
      <c r="N24" s="5">
        <f>Intv_Ann_TO!N1013</f>
        <v>0</v>
      </c>
      <c r="O24" s="5">
        <f>Intv_Ann_TO!O1013</f>
        <v>0</v>
      </c>
    </row>
    <row r="25" spans="3:15" s="327" customFormat="1" hidden="1" outlineLevel="1" x14ac:dyDescent="0.2">
      <c r="C25" s="660" t="str">
        <f>Intv_Ann_TO!D1014</f>
        <v>Southern</v>
      </c>
      <c r="J25" s="5">
        <f>Intv_Ann_TO!J1014</f>
        <v>0</v>
      </c>
      <c r="K25" s="5">
        <f>Intv_Ann_TO!K1014</f>
        <v>0</v>
      </c>
      <c r="L25" s="5">
        <f>Intv_Ann_TO!L1014</f>
        <v>0</v>
      </c>
      <c r="M25" s="5">
        <f>Intv_Ann_TO!M1014</f>
        <v>0</v>
      </c>
      <c r="N25" s="5">
        <f>Intv_Ann_TO!N1014</f>
        <v>0</v>
      </c>
      <c r="O25" s="5">
        <f>Intv_Ann_TO!O1014</f>
        <v>0</v>
      </c>
    </row>
    <row r="26" spans="3:15" s="327" customFormat="1" hidden="1" outlineLevel="1" x14ac:dyDescent="0.2">
      <c r="C26" s="660" t="str">
        <f>Intv_Ann_TO!D1015</f>
        <v>Western</v>
      </c>
      <c r="J26" s="5">
        <f>Intv_Ann_TO!J1015</f>
        <v>0</v>
      </c>
      <c r="K26" s="5">
        <f>Intv_Ann_TO!K1015</f>
        <v>0</v>
      </c>
      <c r="L26" s="5">
        <f>Intv_Ann_TO!L1015</f>
        <v>0</v>
      </c>
      <c r="M26" s="5">
        <f>Intv_Ann_TO!M1015</f>
        <v>0</v>
      </c>
      <c r="N26" s="5">
        <f>Intv_Ann_TO!N1015</f>
        <v>0</v>
      </c>
      <c r="O26" s="5">
        <f>Intv_Ann_TO!O1015</f>
        <v>0</v>
      </c>
    </row>
    <row r="27" spans="3:15" s="327" customFormat="1" ht="15.75" collapsed="1" thickBot="1" x14ac:dyDescent="0.25">
      <c r="C27" s="646" t="str">
        <f>C16</f>
        <v>Total Active Facilities Offering SURG</v>
      </c>
      <c r="J27" s="650">
        <f t="shared" ref="J27:O27" si="4">SUM(J17:J26)</f>
        <v>4</v>
      </c>
      <c r="K27" s="650">
        <f t="shared" si="4"/>
        <v>4</v>
      </c>
      <c r="L27" s="650">
        <f t="shared" si="4"/>
        <v>4</v>
      </c>
      <c r="M27" s="650">
        <f t="shared" si="4"/>
        <v>4</v>
      </c>
      <c r="N27" s="650">
        <f t="shared" si="4"/>
        <v>4</v>
      </c>
      <c r="O27" s="650">
        <f t="shared" si="4"/>
        <v>4</v>
      </c>
    </row>
    <row r="28" spans="3:15" s="327" customFormat="1" ht="13.5" thickTop="1" x14ac:dyDescent="0.2"/>
    <row r="29" spans="3:15" s="327" customFormat="1" ht="15.75" x14ac:dyDescent="0.2">
      <c r="C29" s="330" t="s">
        <v>102</v>
      </c>
    </row>
    <row r="30" spans="3:15" s="327" customFormat="1" ht="15.75" x14ac:dyDescent="0.2">
      <c r="C30" s="18" t="str">
        <f>Intv_Ann_TO!D1033</f>
        <v>Maximum Procedures</v>
      </c>
    </row>
    <row r="31" spans="3:15" s="327" customFormat="1" hidden="1" outlineLevel="1" x14ac:dyDescent="0.2">
      <c r="C31" s="660" t="str">
        <f>Intv_Ann_TO!D1034</f>
        <v>Central</v>
      </c>
      <c r="J31" s="5">
        <f>Intv_Ann_TO!J1034</f>
        <v>0</v>
      </c>
      <c r="K31" s="5">
        <f>Intv_Ann_TO!K1034</f>
        <v>0</v>
      </c>
      <c r="L31" s="5">
        <f>Intv_Ann_TO!L1034</f>
        <v>0</v>
      </c>
      <c r="M31" s="5">
        <f>Intv_Ann_TO!M1034</f>
        <v>0</v>
      </c>
      <c r="N31" s="5">
        <f>Intv_Ann_TO!N1034</f>
        <v>0</v>
      </c>
      <c r="O31" s="5">
        <f>Intv_Ann_TO!O1034</f>
        <v>0</v>
      </c>
    </row>
    <row r="32" spans="3:15" s="327" customFormat="1" hidden="1" outlineLevel="1" x14ac:dyDescent="0.2">
      <c r="C32" s="660" t="str">
        <f>Intv_Ann_TO!D1035</f>
        <v>Copperbelt</v>
      </c>
      <c r="J32" s="5">
        <f>Intv_Ann_TO!J1035</f>
        <v>0</v>
      </c>
      <c r="K32" s="5">
        <f>Intv_Ann_TO!K1035</f>
        <v>0</v>
      </c>
      <c r="L32" s="5">
        <f>Intv_Ann_TO!L1035</f>
        <v>0</v>
      </c>
      <c r="M32" s="5">
        <f>Intv_Ann_TO!M1035</f>
        <v>0</v>
      </c>
      <c r="N32" s="5">
        <f>Intv_Ann_TO!N1035</f>
        <v>0</v>
      </c>
      <c r="O32" s="5">
        <f>Intv_Ann_TO!O1035</f>
        <v>0</v>
      </c>
    </row>
    <row r="33" spans="1:15" s="327" customFormat="1" hidden="1" outlineLevel="1" x14ac:dyDescent="0.2">
      <c r="C33" s="660" t="str">
        <f>Intv_Ann_TO!D1036</f>
        <v>Eastern</v>
      </c>
      <c r="J33" s="5">
        <f>Intv_Ann_TO!J1036</f>
        <v>0</v>
      </c>
      <c r="K33" s="5">
        <f>Intv_Ann_TO!K1036</f>
        <v>0</v>
      </c>
      <c r="L33" s="5">
        <f>Intv_Ann_TO!L1036</f>
        <v>0</v>
      </c>
      <c r="M33" s="5">
        <f>Intv_Ann_TO!M1036</f>
        <v>0</v>
      </c>
      <c r="N33" s="5">
        <f>Intv_Ann_TO!N1036</f>
        <v>0</v>
      </c>
      <c r="O33" s="5">
        <f>Intv_Ann_TO!O1036</f>
        <v>0</v>
      </c>
    </row>
    <row r="34" spans="1:15" s="327" customFormat="1" hidden="1" outlineLevel="1" x14ac:dyDescent="0.2">
      <c r="C34" s="660" t="str">
        <f>Intv_Ann_TO!D1037</f>
        <v>Luapula</v>
      </c>
      <c r="J34" s="5">
        <f>Intv_Ann_TO!J1037</f>
        <v>0</v>
      </c>
      <c r="K34" s="5">
        <f>Intv_Ann_TO!K1037</f>
        <v>0</v>
      </c>
      <c r="L34" s="5">
        <f>Intv_Ann_TO!L1037</f>
        <v>0</v>
      </c>
      <c r="M34" s="5">
        <f>Intv_Ann_TO!M1037</f>
        <v>0</v>
      </c>
      <c r="N34" s="5">
        <f>Intv_Ann_TO!N1037</f>
        <v>0</v>
      </c>
      <c r="O34" s="5">
        <f>Intv_Ann_TO!O1037</f>
        <v>0</v>
      </c>
    </row>
    <row r="35" spans="1:15" s="327" customFormat="1" hidden="1" outlineLevel="1" x14ac:dyDescent="0.2">
      <c r="C35" s="660" t="str">
        <f>Intv_Ann_TO!D1038</f>
        <v>Lusaka</v>
      </c>
      <c r="J35" s="5">
        <f>Intv_Ann_TO!J1038</f>
        <v>0</v>
      </c>
      <c r="K35" s="5">
        <f>Intv_Ann_TO!K1038</f>
        <v>0</v>
      </c>
      <c r="L35" s="5">
        <f>Intv_Ann_TO!L1038</f>
        <v>0</v>
      </c>
      <c r="M35" s="5">
        <f>Intv_Ann_TO!M1038</f>
        <v>0</v>
      </c>
      <c r="N35" s="5">
        <f>Intv_Ann_TO!N1038</f>
        <v>0</v>
      </c>
      <c r="O35" s="5">
        <f>Intv_Ann_TO!O1038</f>
        <v>0</v>
      </c>
    </row>
    <row r="36" spans="1:15" s="327" customFormat="1" hidden="1" outlineLevel="1" x14ac:dyDescent="0.2">
      <c r="C36" s="660" t="str">
        <f>Intv_Ann_TO!D1039</f>
        <v>Muchinga</v>
      </c>
      <c r="J36" s="5">
        <f>Intv_Ann_TO!J1039</f>
        <v>0</v>
      </c>
      <c r="K36" s="5">
        <f>Intv_Ann_TO!K1039</f>
        <v>0</v>
      </c>
      <c r="L36" s="5">
        <f>Intv_Ann_TO!L1039</f>
        <v>0</v>
      </c>
      <c r="M36" s="5">
        <f>Intv_Ann_TO!M1039</f>
        <v>0</v>
      </c>
      <c r="N36" s="5">
        <f>Intv_Ann_TO!N1039</f>
        <v>0</v>
      </c>
      <c r="O36" s="5">
        <f>Intv_Ann_TO!O1039</f>
        <v>0</v>
      </c>
    </row>
    <row r="37" spans="1:15" s="327" customFormat="1" hidden="1" outlineLevel="1" x14ac:dyDescent="0.2">
      <c r="C37" s="660" t="str">
        <f>Intv_Ann_TO!D1040</f>
        <v>Northern</v>
      </c>
      <c r="J37" s="5">
        <f>Intv_Ann_TO!J1040</f>
        <v>0</v>
      </c>
      <c r="K37" s="5">
        <f>Intv_Ann_TO!K1040</f>
        <v>0</v>
      </c>
      <c r="L37" s="5">
        <f>Intv_Ann_TO!L1040</f>
        <v>0</v>
      </c>
      <c r="M37" s="5">
        <f>Intv_Ann_TO!M1040</f>
        <v>0</v>
      </c>
      <c r="N37" s="5">
        <f>Intv_Ann_TO!N1040</f>
        <v>0</v>
      </c>
      <c r="O37" s="5">
        <f>Intv_Ann_TO!O1040</f>
        <v>0</v>
      </c>
    </row>
    <row r="38" spans="1:15" s="327" customFormat="1" hidden="1" outlineLevel="1" x14ac:dyDescent="0.2">
      <c r="C38" s="660" t="str">
        <f>Intv_Ann_TO!D1041</f>
        <v>North-Western</v>
      </c>
      <c r="J38" s="5">
        <f>Intv_Ann_TO!J1041</f>
        <v>0</v>
      </c>
      <c r="K38" s="5">
        <f>Intv_Ann_TO!K1041</f>
        <v>0</v>
      </c>
      <c r="L38" s="5">
        <f>Intv_Ann_TO!L1041</f>
        <v>0</v>
      </c>
      <c r="M38" s="5">
        <f>Intv_Ann_TO!M1041</f>
        <v>0</v>
      </c>
      <c r="N38" s="5">
        <f>Intv_Ann_TO!N1041</f>
        <v>0</v>
      </c>
      <c r="O38" s="5">
        <f>Intv_Ann_TO!O1041</f>
        <v>0</v>
      </c>
    </row>
    <row r="39" spans="1:15" s="327" customFormat="1" hidden="1" outlineLevel="1" x14ac:dyDescent="0.2">
      <c r="C39" s="660" t="str">
        <f>Intv_Ann_TO!D1042</f>
        <v>Southern</v>
      </c>
      <c r="J39" s="5">
        <f>Intv_Ann_TO!J1042</f>
        <v>0</v>
      </c>
      <c r="K39" s="5">
        <f>Intv_Ann_TO!K1042</f>
        <v>0</v>
      </c>
      <c r="L39" s="5">
        <f>Intv_Ann_TO!L1042</f>
        <v>0</v>
      </c>
      <c r="M39" s="5">
        <f>Intv_Ann_TO!M1042</f>
        <v>0</v>
      </c>
      <c r="N39" s="5">
        <f>Intv_Ann_TO!N1042</f>
        <v>0</v>
      </c>
      <c r="O39" s="5">
        <f>Intv_Ann_TO!O1042</f>
        <v>0</v>
      </c>
    </row>
    <row r="40" spans="1:15" s="327" customFormat="1" hidden="1" outlineLevel="1" x14ac:dyDescent="0.2">
      <c r="C40" s="660" t="str">
        <f>Intv_Ann_TO!D1043</f>
        <v>Western</v>
      </c>
      <c r="J40" s="5">
        <f>Intv_Ann_TO!J1043</f>
        <v>0</v>
      </c>
      <c r="K40" s="5">
        <f>Intv_Ann_TO!K1043</f>
        <v>0</v>
      </c>
      <c r="L40" s="5">
        <f>Intv_Ann_TO!L1043</f>
        <v>0</v>
      </c>
      <c r="M40" s="5">
        <f>Intv_Ann_TO!M1043</f>
        <v>0</v>
      </c>
      <c r="N40" s="5">
        <f>Intv_Ann_TO!N1043</f>
        <v>0</v>
      </c>
      <c r="O40" s="5">
        <f>Intv_Ann_TO!O1043</f>
        <v>0</v>
      </c>
    </row>
    <row r="41" spans="1:15" s="327" customFormat="1" ht="15.75" collapsed="1" thickBot="1" x14ac:dyDescent="0.25">
      <c r="C41" s="679" t="str">
        <f>"Total "&amp;C30</f>
        <v>Total Maximum Procedures</v>
      </c>
      <c r="J41" s="624">
        <f t="shared" ref="J41:O41" si="5">SUM(J31:J40)</f>
        <v>0</v>
      </c>
      <c r="K41" s="624">
        <f t="shared" si="5"/>
        <v>0</v>
      </c>
      <c r="L41" s="624">
        <f t="shared" si="5"/>
        <v>0</v>
      </c>
      <c r="M41" s="624">
        <f t="shared" si="5"/>
        <v>0</v>
      </c>
      <c r="N41" s="624">
        <f t="shared" si="5"/>
        <v>0</v>
      </c>
      <c r="O41" s="624">
        <f t="shared" si="5"/>
        <v>0</v>
      </c>
    </row>
    <row r="42" spans="1:15" s="327" customFormat="1" ht="13.5" thickTop="1" x14ac:dyDescent="0.2"/>
    <row r="43" spans="1:15" s="327" customFormat="1" ht="15" x14ac:dyDescent="0.2">
      <c r="A43" s="658" t="s">
        <v>1899</v>
      </c>
      <c r="I43" s="649" t="str">
        <f>IF(Intv_Ann_TA!H572,"YES!","NO.")</f>
        <v>YES!</v>
      </c>
    </row>
    <row r="44" spans="1:15" s="327" customFormat="1" x14ac:dyDescent="0.2"/>
    <row r="45" spans="1:15" s="327" customFormat="1" ht="18.75" x14ac:dyDescent="0.2">
      <c r="B45" s="329" t="s">
        <v>1898</v>
      </c>
    </row>
    <row r="46" spans="1:15" s="327" customFormat="1" ht="15.75" x14ac:dyDescent="0.2">
      <c r="C46" s="330" t="s">
        <v>1970</v>
      </c>
    </row>
    <row r="47" spans="1:15" s="327" customFormat="1" hidden="1" outlineLevel="1" x14ac:dyDescent="0.2">
      <c r="C47" s="660" t="str">
        <f>Intv_Ann_TA!D575</f>
        <v>Central</v>
      </c>
      <c r="J47" s="5">
        <f ca="1">Intv_Ann_TA!J575*Intv_BA!$J$2362</f>
        <v>41.442079999999997</v>
      </c>
      <c r="K47" s="5">
        <f ca="1">Intv_Ann_TA!K575*Intv_BA!$J$2362</f>
        <v>41.442079999999997</v>
      </c>
      <c r="L47" s="5">
        <f ca="1">Intv_Ann_TA!L575*Intv_BA!$J$2362</f>
        <v>41.442079999999997</v>
      </c>
      <c r="M47" s="5">
        <f ca="1">Intv_Ann_TA!M575*Intv_BA!$J$2362</f>
        <v>41.442079999999997</v>
      </c>
      <c r="N47" s="5">
        <f ca="1">Intv_Ann_TA!N575*Intv_BA!$J$2362</f>
        <v>41.442079999999997</v>
      </c>
      <c r="O47" s="5">
        <f ca="1">Intv_Ann_TA!O575*Intv_BA!$J$2362</f>
        <v>41.442079999999997</v>
      </c>
    </row>
    <row r="48" spans="1:15" s="327" customFormat="1" hidden="1" outlineLevel="1" x14ac:dyDescent="0.2">
      <c r="C48" s="660" t="str">
        <f>Intv_Ann_TA!D576</f>
        <v>Copperbelt</v>
      </c>
      <c r="J48" s="5">
        <f ca="1">Intv_Ann_TA!J576*Intv_BA!$J$2362</f>
        <v>58.196479999999994</v>
      </c>
      <c r="K48" s="5">
        <f ca="1">Intv_Ann_TA!K576*Intv_BA!$J$2362</f>
        <v>58.196479999999994</v>
      </c>
      <c r="L48" s="5">
        <f ca="1">Intv_Ann_TA!L576*Intv_BA!$J$2362</f>
        <v>58.196479999999994</v>
      </c>
      <c r="M48" s="5">
        <f ca="1">Intv_Ann_TA!M576*Intv_BA!$J$2362</f>
        <v>58.196479999999994</v>
      </c>
      <c r="N48" s="5">
        <f ca="1">Intv_Ann_TA!N576*Intv_BA!$J$2362</f>
        <v>58.196479999999994</v>
      </c>
      <c r="O48" s="5">
        <f ca="1">Intv_Ann_TA!O576*Intv_BA!$J$2362</f>
        <v>58.196479999999994</v>
      </c>
    </row>
    <row r="49" spans="2:15" s="327" customFormat="1" hidden="1" outlineLevel="1" x14ac:dyDescent="0.2">
      <c r="C49" s="660" t="str">
        <f>Intv_Ann_TA!D577</f>
        <v>Eastern</v>
      </c>
      <c r="J49" s="5">
        <f ca="1">Intv_Ann_TA!J577*Intv_BA!$J$2362</f>
        <v>74.950879999999998</v>
      </c>
      <c r="K49" s="5">
        <f ca="1">Intv_Ann_TA!K577*Intv_BA!$J$2362</f>
        <v>74.950879999999998</v>
      </c>
      <c r="L49" s="5">
        <f ca="1">Intv_Ann_TA!L577*Intv_BA!$J$2362</f>
        <v>74.950879999999998</v>
      </c>
      <c r="M49" s="5">
        <f ca="1">Intv_Ann_TA!M577*Intv_BA!$J$2362</f>
        <v>74.950879999999998</v>
      </c>
      <c r="N49" s="5">
        <f ca="1">Intv_Ann_TA!N577*Intv_BA!$J$2362</f>
        <v>74.950879999999998</v>
      </c>
      <c r="O49" s="5">
        <f ca="1">Intv_Ann_TA!O577*Intv_BA!$J$2362</f>
        <v>74.950879999999998</v>
      </c>
    </row>
    <row r="50" spans="2:15" s="327" customFormat="1" hidden="1" outlineLevel="1" x14ac:dyDescent="0.2">
      <c r="C50" s="660" t="str">
        <f>Intv_Ann_TA!D578</f>
        <v>Luapula</v>
      </c>
      <c r="J50" s="5">
        <f ca="1">Intv_Ann_TA!J578*Intv_BA!$J$2362</f>
        <v>58.196479999999994</v>
      </c>
      <c r="K50" s="5">
        <f ca="1">Intv_Ann_TA!K578*Intv_BA!$J$2362</f>
        <v>58.196479999999994</v>
      </c>
      <c r="L50" s="5">
        <f ca="1">Intv_Ann_TA!L578*Intv_BA!$J$2362</f>
        <v>58.196479999999994</v>
      </c>
      <c r="M50" s="5">
        <f ca="1">Intv_Ann_TA!M578*Intv_BA!$J$2362</f>
        <v>58.196479999999994</v>
      </c>
      <c r="N50" s="5">
        <f ca="1">Intv_Ann_TA!N578*Intv_BA!$J$2362</f>
        <v>58.196479999999994</v>
      </c>
      <c r="O50" s="5">
        <f ca="1">Intv_Ann_TA!O578*Intv_BA!$J$2362</f>
        <v>58.196479999999994</v>
      </c>
    </row>
    <row r="51" spans="2:15" s="327" customFormat="1" hidden="1" outlineLevel="1" x14ac:dyDescent="0.2">
      <c r="C51" s="660" t="str">
        <f>Intv_Ann_TA!D579</f>
        <v>Lusaka</v>
      </c>
      <c r="J51" s="5">
        <f ca="1">Intv_Ann_TA!J579*Intv_BA!$J$2362</f>
        <v>208.98607999999999</v>
      </c>
      <c r="K51" s="5">
        <f ca="1">Intv_Ann_TA!K579*Intv_BA!$J$2362</f>
        <v>208.98607999999999</v>
      </c>
      <c r="L51" s="5">
        <f ca="1">Intv_Ann_TA!L579*Intv_BA!$J$2362</f>
        <v>208.98607999999999</v>
      </c>
      <c r="M51" s="5">
        <f ca="1">Intv_Ann_TA!M579*Intv_BA!$J$2362</f>
        <v>208.98607999999999</v>
      </c>
      <c r="N51" s="5">
        <f ca="1">Intv_Ann_TA!N579*Intv_BA!$J$2362</f>
        <v>208.98607999999999</v>
      </c>
      <c r="O51" s="5">
        <f ca="1">Intv_Ann_TA!O579*Intv_BA!$J$2362</f>
        <v>208.98607999999999</v>
      </c>
    </row>
    <row r="52" spans="2:15" s="327" customFormat="1" hidden="1" outlineLevel="1" x14ac:dyDescent="0.2">
      <c r="C52" s="660" t="str">
        <f>Intv_Ann_TA!D580</f>
        <v>Muchinga</v>
      </c>
      <c r="J52" s="5">
        <f ca="1">Intv_Ann_TA!J580*Intv_BA!$J$2362</f>
        <v>3.9666399999999999</v>
      </c>
      <c r="K52" s="5">
        <f ca="1">Intv_Ann_TA!K580*Intv_BA!$J$2362</f>
        <v>3.9666399999999999</v>
      </c>
      <c r="L52" s="5">
        <f ca="1">Intv_Ann_TA!L580*Intv_BA!$J$2362</f>
        <v>3.9666399999999999</v>
      </c>
      <c r="M52" s="5">
        <f ca="1">Intv_Ann_TA!M580*Intv_BA!$J$2362</f>
        <v>3.9666399999999999</v>
      </c>
      <c r="N52" s="5">
        <f ca="1">Intv_Ann_TA!N580*Intv_BA!$J$2362</f>
        <v>3.9666399999999999</v>
      </c>
      <c r="O52" s="5">
        <f ca="1">Intv_Ann_TA!O580*Intv_BA!$J$2362</f>
        <v>3.9666399999999999</v>
      </c>
    </row>
    <row r="53" spans="2:15" s="327" customFormat="1" hidden="1" outlineLevel="1" x14ac:dyDescent="0.2">
      <c r="C53" s="660" t="str">
        <f>Intv_Ann_TA!D581</f>
        <v>Northern</v>
      </c>
      <c r="J53" s="5">
        <f ca="1">Intv_Ann_TA!J581*Intv_BA!$J$2362</f>
        <v>20.721039999999999</v>
      </c>
      <c r="K53" s="5">
        <f ca="1">Intv_Ann_TA!K581*Intv_BA!$J$2362</f>
        <v>20.721039999999999</v>
      </c>
      <c r="L53" s="5">
        <f ca="1">Intv_Ann_TA!L581*Intv_BA!$J$2362</f>
        <v>20.721039999999999</v>
      </c>
      <c r="M53" s="5">
        <f ca="1">Intv_Ann_TA!M581*Intv_BA!$J$2362</f>
        <v>20.721039999999999</v>
      </c>
      <c r="N53" s="5">
        <f ca="1">Intv_Ann_TA!N581*Intv_BA!$J$2362</f>
        <v>20.721039999999999</v>
      </c>
      <c r="O53" s="5">
        <f ca="1">Intv_Ann_TA!O581*Intv_BA!$J$2362</f>
        <v>20.721039999999999</v>
      </c>
    </row>
    <row r="54" spans="2:15" s="327" customFormat="1" hidden="1" outlineLevel="1" x14ac:dyDescent="0.2">
      <c r="C54" s="660" t="str">
        <f>Intv_Ann_TA!D582</f>
        <v>North-Western</v>
      </c>
      <c r="J54" s="5">
        <f ca="1">Intv_Ann_TA!J582*Intv_BA!$J$2362</f>
        <v>24.68768</v>
      </c>
      <c r="K54" s="5">
        <f ca="1">Intv_Ann_TA!K582*Intv_BA!$J$2362</f>
        <v>24.68768</v>
      </c>
      <c r="L54" s="5">
        <f ca="1">Intv_Ann_TA!L582*Intv_BA!$J$2362</f>
        <v>24.68768</v>
      </c>
      <c r="M54" s="5">
        <f ca="1">Intv_Ann_TA!M582*Intv_BA!$J$2362</f>
        <v>24.68768</v>
      </c>
      <c r="N54" s="5">
        <f ca="1">Intv_Ann_TA!N582*Intv_BA!$J$2362</f>
        <v>24.68768</v>
      </c>
      <c r="O54" s="5">
        <f ca="1">Intv_Ann_TA!O582*Intv_BA!$J$2362</f>
        <v>24.68768</v>
      </c>
    </row>
    <row r="55" spans="2:15" s="327" customFormat="1" hidden="1" outlineLevel="1" x14ac:dyDescent="0.2">
      <c r="C55" s="660" t="str">
        <f>Intv_Ann_TA!D583</f>
        <v>Southern</v>
      </c>
      <c r="J55" s="5">
        <f ca="1">Intv_Ann_TA!J583*Intv_BA!$J$2362</f>
        <v>58.196479999999994</v>
      </c>
      <c r="K55" s="5">
        <f ca="1">Intv_Ann_TA!K583*Intv_BA!$J$2362</f>
        <v>58.196479999999994</v>
      </c>
      <c r="L55" s="5">
        <f ca="1">Intv_Ann_TA!L583*Intv_BA!$J$2362</f>
        <v>58.196479999999994</v>
      </c>
      <c r="M55" s="5">
        <f ca="1">Intv_Ann_TA!M583*Intv_BA!$J$2362</f>
        <v>58.196479999999994</v>
      </c>
      <c r="N55" s="5">
        <f ca="1">Intv_Ann_TA!N583*Intv_BA!$J$2362</f>
        <v>58.196479999999994</v>
      </c>
      <c r="O55" s="5">
        <f ca="1">Intv_Ann_TA!O583*Intv_BA!$J$2362</f>
        <v>58.196479999999994</v>
      </c>
    </row>
    <row r="56" spans="2:15" s="327" customFormat="1" hidden="1" outlineLevel="1" x14ac:dyDescent="0.2">
      <c r="C56" s="660" t="str">
        <f>Intv_Ann_TA!D584</f>
        <v>Western</v>
      </c>
      <c r="J56" s="5">
        <f ca="1">Intv_Ann_TA!J584*Intv_BA!$J$2362</f>
        <v>58.196479999999994</v>
      </c>
      <c r="K56" s="5">
        <f ca="1">Intv_Ann_TA!K584*Intv_BA!$J$2362</f>
        <v>58.196479999999994</v>
      </c>
      <c r="L56" s="5">
        <f ca="1">Intv_Ann_TA!L584*Intv_BA!$J$2362</f>
        <v>58.196479999999994</v>
      </c>
      <c r="M56" s="5">
        <f ca="1">Intv_Ann_TA!M584*Intv_BA!$J$2362</f>
        <v>58.196479999999994</v>
      </c>
      <c r="N56" s="5">
        <f ca="1">Intv_Ann_TA!N584*Intv_BA!$J$2362</f>
        <v>58.196479999999994</v>
      </c>
      <c r="O56" s="5">
        <f ca="1">Intv_Ann_TA!O584*Intv_BA!$J$2362</f>
        <v>58.196479999999994</v>
      </c>
    </row>
    <row r="57" spans="2:15" s="327" customFormat="1" ht="15.75" collapsed="1" thickBot="1" x14ac:dyDescent="0.25">
      <c r="C57" s="679" t="str">
        <f>"Total "&amp;C46</f>
        <v>Total Screened Patients Referred for Procedure</v>
      </c>
      <c r="J57" s="624">
        <f t="shared" ref="J57:O57" ca="1" si="6">SUM(J47:J56)</f>
        <v>607.54031999999984</v>
      </c>
      <c r="K57" s="624">
        <f t="shared" ca="1" si="6"/>
        <v>607.54031999999984</v>
      </c>
      <c r="L57" s="624">
        <f t="shared" ca="1" si="6"/>
        <v>607.54031999999984</v>
      </c>
      <c r="M57" s="624">
        <f t="shared" ca="1" si="6"/>
        <v>607.54031999999984</v>
      </c>
      <c r="N57" s="624">
        <f t="shared" ca="1" si="6"/>
        <v>607.54031999999984</v>
      </c>
      <c r="O57" s="624">
        <f t="shared" ca="1" si="6"/>
        <v>607.54031999999984</v>
      </c>
    </row>
    <row r="58" spans="2:15" s="327" customFormat="1" ht="13.5" thickTop="1" x14ac:dyDescent="0.2"/>
    <row r="59" spans="2:15" s="327" customFormat="1" ht="18.75" x14ac:dyDescent="0.2">
      <c r="B59" s="329" t="s">
        <v>1895</v>
      </c>
    </row>
    <row r="60" spans="2:15" s="327" customFormat="1" ht="15.75" x14ac:dyDescent="0.2">
      <c r="C60" s="18" t="str">
        <f>Intv_Ann_TO!D1047</f>
        <v>Population Seeking Service (New)</v>
      </c>
    </row>
    <row r="61" spans="2:15" s="327" customFormat="1" hidden="1" outlineLevel="1" x14ac:dyDescent="0.2">
      <c r="C61" s="660" t="str">
        <f>Intv_Ann_TO!D1048</f>
        <v>Central</v>
      </c>
      <c r="J61" s="5">
        <f ca="1">Intv_Ann_TO!J1048</f>
        <v>4</v>
      </c>
      <c r="K61" s="5">
        <f ca="1">Intv_Ann_TO!K1048</f>
        <v>4</v>
      </c>
      <c r="L61" s="5">
        <f ca="1">Intv_Ann_TO!L1048</f>
        <v>4</v>
      </c>
      <c r="M61" s="5">
        <f ca="1">Intv_Ann_TO!M1048</f>
        <v>4</v>
      </c>
      <c r="N61" s="5">
        <f ca="1">Intv_Ann_TO!N1048</f>
        <v>4</v>
      </c>
      <c r="O61" s="5">
        <f ca="1">Intv_Ann_TO!O1048</f>
        <v>4</v>
      </c>
    </row>
    <row r="62" spans="2:15" s="327" customFormat="1" hidden="1" outlineLevel="1" x14ac:dyDescent="0.2">
      <c r="C62" s="660" t="str">
        <f>Intv_Ann_TO!D1049</f>
        <v>Copperbelt</v>
      </c>
      <c r="J62" s="5">
        <f ca="1">Intv_Ann_TO!J1049</f>
        <v>6</v>
      </c>
      <c r="K62" s="5">
        <f ca="1">Intv_Ann_TO!K1049</f>
        <v>6</v>
      </c>
      <c r="L62" s="5">
        <f ca="1">Intv_Ann_TO!L1049</f>
        <v>6</v>
      </c>
      <c r="M62" s="5">
        <f ca="1">Intv_Ann_TO!M1049</f>
        <v>6</v>
      </c>
      <c r="N62" s="5">
        <f ca="1">Intv_Ann_TO!N1049</f>
        <v>6</v>
      </c>
      <c r="O62" s="5">
        <f ca="1">Intv_Ann_TO!O1049</f>
        <v>6</v>
      </c>
    </row>
    <row r="63" spans="2:15" s="327" customFormat="1" hidden="1" outlineLevel="1" x14ac:dyDescent="0.2">
      <c r="C63" s="660" t="str">
        <f>Intv_Ann_TO!D1050</f>
        <v>Eastern</v>
      </c>
      <c r="J63" s="5">
        <f ca="1">Intv_Ann_TO!J1050</f>
        <v>7</v>
      </c>
      <c r="K63" s="5">
        <f ca="1">Intv_Ann_TO!K1050</f>
        <v>7</v>
      </c>
      <c r="L63" s="5">
        <f ca="1">Intv_Ann_TO!L1050</f>
        <v>7</v>
      </c>
      <c r="M63" s="5">
        <f ca="1">Intv_Ann_TO!M1050</f>
        <v>7</v>
      </c>
      <c r="N63" s="5">
        <f ca="1">Intv_Ann_TO!N1050</f>
        <v>7</v>
      </c>
      <c r="O63" s="5">
        <f ca="1">Intv_Ann_TO!O1050</f>
        <v>7</v>
      </c>
    </row>
    <row r="64" spans="2:15" s="327" customFormat="1" hidden="1" outlineLevel="1" x14ac:dyDescent="0.2">
      <c r="C64" s="660" t="str">
        <f>Intv_Ann_TO!D1051</f>
        <v>Luapula</v>
      </c>
      <c r="J64" s="5">
        <f ca="1">Intv_Ann_TO!J1051</f>
        <v>6</v>
      </c>
      <c r="K64" s="5">
        <f ca="1">Intv_Ann_TO!K1051</f>
        <v>6</v>
      </c>
      <c r="L64" s="5">
        <f ca="1">Intv_Ann_TO!L1051</f>
        <v>6</v>
      </c>
      <c r="M64" s="5">
        <f ca="1">Intv_Ann_TO!M1051</f>
        <v>6</v>
      </c>
      <c r="N64" s="5">
        <f ca="1">Intv_Ann_TO!N1051</f>
        <v>6</v>
      </c>
      <c r="O64" s="5">
        <f ca="1">Intv_Ann_TO!O1051</f>
        <v>6</v>
      </c>
    </row>
    <row r="65" spans="2:15" s="327" customFormat="1" hidden="1" outlineLevel="1" x14ac:dyDescent="0.2">
      <c r="C65" s="660" t="str">
        <f>Intv_Ann_TO!D1052</f>
        <v>Lusaka</v>
      </c>
      <c r="J65" s="5">
        <f ca="1">Intv_Ann_TO!J1052</f>
        <v>21</v>
      </c>
      <c r="K65" s="5">
        <f ca="1">Intv_Ann_TO!K1052</f>
        <v>21</v>
      </c>
      <c r="L65" s="5">
        <f ca="1">Intv_Ann_TO!L1052</f>
        <v>21</v>
      </c>
      <c r="M65" s="5">
        <f ca="1">Intv_Ann_TO!M1052</f>
        <v>21</v>
      </c>
      <c r="N65" s="5">
        <f ca="1">Intv_Ann_TO!N1052</f>
        <v>21</v>
      </c>
      <c r="O65" s="5">
        <f ca="1">Intv_Ann_TO!O1052</f>
        <v>21</v>
      </c>
    </row>
    <row r="66" spans="2:15" s="327" customFormat="1" hidden="1" outlineLevel="1" x14ac:dyDescent="0.2">
      <c r="C66" s="660" t="str">
        <f>Intv_Ann_TO!D1053</f>
        <v>Muchinga</v>
      </c>
      <c r="J66" s="5">
        <f ca="1">Intv_Ann_TO!J1053</f>
        <v>0</v>
      </c>
      <c r="K66" s="5">
        <f ca="1">Intv_Ann_TO!K1053</f>
        <v>0</v>
      </c>
      <c r="L66" s="5">
        <f ca="1">Intv_Ann_TO!L1053</f>
        <v>0</v>
      </c>
      <c r="M66" s="5">
        <f ca="1">Intv_Ann_TO!M1053</f>
        <v>0</v>
      </c>
      <c r="N66" s="5">
        <f ca="1">Intv_Ann_TO!N1053</f>
        <v>0</v>
      </c>
      <c r="O66" s="5">
        <f ca="1">Intv_Ann_TO!O1053</f>
        <v>0</v>
      </c>
    </row>
    <row r="67" spans="2:15" s="327" customFormat="1" hidden="1" outlineLevel="1" x14ac:dyDescent="0.2">
      <c r="C67" s="660" t="str">
        <f>Intv_Ann_TO!D1054</f>
        <v>Northern</v>
      </c>
      <c r="J67" s="5">
        <f ca="1">Intv_Ann_TO!J1054</f>
        <v>2</v>
      </c>
      <c r="K67" s="5">
        <f ca="1">Intv_Ann_TO!K1054</f>
        <v>2</v>
      </c>
      <c r="L67" s="5">
        <f ca="1">Intv_Ann_TO!L1054</f>
        <v>2</v>
      </c>
      <c r="M67" s="5">
        <f ca="1">Intv_Ann_TO!M1054</f>
        <v>2</v>
      </c>
      <c r="N67" s="5">
        <f ca="1">Intv_Ann_TO!N1054</f>
        <v>2</v>
      </c>
      <c r="O67" s="5">
        <f ca="1">Intv_Ann_TO!O1054</f>
        <v>2</v>
      </c>
    </row>
    <row r="68" spans="2:15" s="327" customFormat="1" hidden="1" outlineLevel="1" x14ac:dyDescent="0.2">
      <c r="C68" s="660" t="str">
        <f>Intv_Ann_TO!D1055</f>
        <v>North-Western</v>
      </c>
      <c r="J68" s="5">
        <f ca="1">Intv_Ann_TO!J1055</f>
        <v>2</v>
      </c>
      <c r="K68" s="5">
        <f ca="1">Intv_Ann_TO!K1055</f>
        <v>2</v>
      </c>
      <c r="L68" s="5">
        <f ca="1">Intv_Ann_TO!L1055</f>
        <v>2</v>
      </c>
      <c r="M68" s="5">
        <f ca="1">Intv_Ann_TO!M1055</f>
        <v>2</v>
      </c>
      <c r="N68" s="5">
        <f ca="1">Intv_Ann_TO!N1055</f>
        <v>2</v>
      </c>
      <c r="O68" s="5">
        <f ca="1">Intv_Ann_TO!O1055</f>
        <v>2</v>
      </c>
    </row>
    <row r="69" spans="2:15" s="327" customFormat="1" hidden="1" outlineLevel="1" x14ac:dyDescent="0.2">
      <c r="C69" s="660" t="str">
        <f>Intv_Ann_TO!D1056</f>
        <v>Southern</v>
      </c>
      <c r="J69" s="5">
        <f ca="1">Intv_Ann_TO!J1056</f>
        <v>6</v>
      </c>
      <c r="K69" s="5">
        <f ca="1">Intv_Ann_TO!K1056</f>
        <v>6</v>
      </c>
      <c r="L69" s="5">
        <f ca="1">Intv_Ann_TO!L1056</f>
        <v>6</v>
      </c>
      <c r="M69" s="5">
        <f ca="1">Intv_Ann_TO!M1056</f>
        <v>6</v>
      </c>
      <c r="N69" s="5">
        <f ca="1">Intv_Ann_TO!N1056</f>
        <v>6</v>
      </c>
      <c r="O69" s="5">
        <f ca="1">Intv_Ann_TO!O1056</f>
        <v>6</v>
      </c>
    </row>
    <row r="70" spans="2:15" s="327" customFormat="1" hidden="1" outlineLevel="1" x14ac:dyDescent="0.2">
      <c r="C70" s="660" t="str">
        <f>Intv_Ann_TO!D1057</f>
        <v>Western</v>
      </c>
      <c r="J70" s="5">
        <f ca="1">Intv_Ann_TO!J1057</f>
        <v>6</v>
      </c>
      <c r="K70" s="5">
        <f ca="1">Intv_Ann_TO!K1057</f>
        <v>6</v>
      </c>
      <c r="L70" s="5">
        <f ca="1">Intv_Ann_TO!L1057</f>
        <v>6</v>
      </c>
      <c r="M70" s="5">
        <f ca="1">Intv_Ann_TO!M1057</f>
        <v>6</v>
      </c>
      <c r="N70" s="5">
        <f ca="1">Intv_Ann_TO!N1057</f>
        <v>6</v>
      </c>
      <c r="O70" s="5">
        <f ca="1">Intv_Ann_TO!O1057</f>
        <v>6</v>
      </c>
    </row>
    <row r="71" spans="2:15" s="327" customFormat="1" ht="15.75" collapsed="1" thickBot="1" x14ac:dyDescent="0.25">
      <c r="C71" s="679" t="str">
        <f>"Total "&amp;C60</f>
        <v>Total Population Seeking Service (New)</v>
      </c>
      <c r="J71" s="624">
        <f t="shared" ref="J71:O71" ca="1" si="7">SUM(J61:J70)</f>
        <v>60</v>
      </c>
      <c r="K71" s="624">
        <f t="shared" ca="1" si="7"/>
        <v>60</v>
      </c>
      <c r="L71" s="624">
        <f t="shared" ca="1" si="7"/>
        <v>60</v>
      </c>
      <c r="M71" s="624">
        <f t="shared" ca="1" si="7"/>
        <v>60</v>
      </c>
      <c r="N71" s="624">
        <f t="shared" ca="1" si="7"/>
        <v>60</v>
      </c>
      <c r="O71" s="624">
        <f t="shared" ca="1" si="7"/>
        <v>60</v>
      </c>
    </row>
    <row r="72" spans="2:15" s="327" customFormat="1" ht="13.5" thickTop="1" x14ac:dyDescent="0.2"/>
    <row r="73" spans="2:15" s="327" customFormat="1" ht="15.75" x14ac:dyDescent="0.2">
      <c r="C73" s="330" t="s">
        <v>1893</v>
      </c>
      <c r="J73" s="5">
        <f t="shared" ref="J73:O73" ca="1" si="8">MAX((J71-J41),0)</f>
        <v>60</v>
      </c>
      <c r="K73" s="5">
        <f t="shared" ca="1" si="8"/>
        <v>60</v>
      </c>
      <c r="L73" s="5">
        <f t="shared" ca="1" si="8"/>
        <v>60</v>
      </c>
      <c r="M73" s="5">
        <f t="shared" ca="1" si="8"/>
        <v>60</v>
      </c>
      <c r="N73" s="5">
        <f t="shared" ca="1" si="8"/>
        <v>60</v>
      </c>
      <c r="O73" s="5">
        <f t="shared" ca="1" si="8"/>
        <v>60</v>
      </c>
    </row>
    <row r="74" spans="2:15" s="327" customFormat="1" x14ac:dyDescent="0.2"/>
    <row r="75" spans="2:15" s="327" customFormat="1" ht="18.75" x14ac:dyDescent="0.2">
      <c r="B75" s="329" t="s">
        <v>8</v>
      </c>
    </row>
    <row r="76" spans="2:15" s="327" customFormat="1" ht="15.75" x14ac:dyDescent="0.2">
      <c r="C76" s="330" t="s">
        <v>1901</v>
      </c>
    </row>
    <row r="77" spans="2:15" s="327" customFormat="1" hidden="1" outlineLevel="1" x14ac:dyDescent="0.2">
      <c r="C77" s="660" t="str">
        <f>Intv_Ann_TO!D1088</f>
        <v>Central</v>
      </c>
      <c r="J77" s="5">
        <f ca="1">Intv_Ann_TO!J1088</f>
        <v>0</v>
      </c>
      <c r="K77" s="5">
        <f ca="1">Intv_Ann_TO!K1088</f>
        <v>0</v>
      </c>
      <c r="L77" s="5">
        <f ca="1">Intv_Ann_TO!L1088</f>
        <v>0</v>
      </c>
      <c r="M77" s="5">
        <f ca="1">Intv_Ann_TO!M1088</f>
        <v>0</v>
      </c>
      <c r="N77" s="5">
        <f ca="1">Intv_Ann_TO!N1088</f>
        <v>0</v>
      </c>
      <c r="O77" s="5">
        <f ca="1">Intv_Ann_TO!O1088</f>
        <v>0</v>
      </c>
    </row>
    <row r="78" spans="2:15" s="327" customFormat="1" hidden="1" outlineLevel="1" x14ac:dyDescent="0.2">
      <c r="C78" s="660" t="str">
        <f>Intv_Ann_TO!D1089</f>
        <v>Copperbelt</v>
      </c>
      <c r="J78" s="5">
        <f ca="1">Intv_Ann_TO!J1089</f>
        <v>0</v>
      </c>
      <c r="K78" s="5">
        <f ca="1">Intv_Ann_TO!K1089</f>
        <v>0</v>
      </c>
      <c r="L78" s="5">
        <f ca="1">Intv_Ann_TO!L1089</f>
        <v>0</v>
      </c>
      <c r="M78" s="5">
        <f ca="1">Intv_Ann_TO!M1089</f>
        <v>0</v>
      </c>
      <c r="N78" s="5">
        <f ca="1">Intv_Ann_TO!N1089</f>
        <v>0</v>
      </c>
      <c r="O78" s="5">
        <f ca="1">Intv_Ann_TO!O1089</f>
        <v>0</v>
      </c>
    </row>
    <row r="79" spans="2:15" s="327" customFormat="1" hidden="1" outlineLevel="1" x14ac:dyDescent="0.2">
      <c r="C79" s="660" t="str">
        <f>Intv_Ann_TO!D1090</f>
        <v>Eastern</v>
      </c>
      <c r="J79" s="5">
        <f ca="1">Intv_Ann_TO!J1090</f>
        <v>0</v>
      </c>
      <c r="K79" s="5">
        <f ca="1">Intv_Ann_TO!K1090</f>
        <v>0</v>
      </c>
      <c r="L79" s="5">
        <f ca="1">Intv_Ann_TO!L1090</f>
        <v>0</v>
      </c>
      <c r="M79" s="5">
        <f ca="1">Intv_Ann_TO!M1090</f>
        <v>0</v>
      </c>
      <c r="N79" s="5">
        <f ca="1">Intv_Ann_TO!N1090</f>
        <v>0</v>
      </c>
      <c r="O79" s="5">
        <f ca="1">Intv_Ann_TO!O1090</f>
        <v>0</v>
      </c>
    </row>
    <row r="80" spans="2:15" s="327" customFormat="1" hidden="1" outlineLevel="1" x14ac:dyDescent="0.2">
      <c r="C80" s="660" t="str">
        <f>Intv_Ann_TO!D1091</f>
        <v>Luapula</v>
      </c>
      <c r="J80" s="5">
        <f ca="1">Intv_Ann_TO!J1091</f>
        <v>0</v>
      </c>
      <c r="K80" s="5">
        <f ca="1">Intv_Ann_TO!K1091</f>
        <v>0</v>
      </c>
      <c r="L80" s="5">
        <f ca="1">Intv_Ann_TO!L1091</f>
        <v>0</v>
      </c>
      <c r="M80" s="5">
        <f ca="1">Intv_Ann_TO!M1091</f>
        <v>0</v>
      </c>
      <c r="N80" s="5">
        <f ca="1">Intv_Ann_TO!N1091</f>
        <v>0</v>
      </c>
      <c r="O80" s="5">
        <f ca="1">Intv_Ann_TO!O1091</f>
        <v>0</v>
      </c>
    </row>
    <row r="81" spans="3:15" s="327" customFormat="1" hidden="1" outlineLevel="1" x14ac:dyDescent="0.2">
      <c r="C81" s="660" t="str">
        <f>Intv_Ann_TO!D1092</f>
        <v>Lusaka</v>
      </c>
      <c r="J81" s="5">
        <f ca="1">Intv_Ann_TO!J1092</f>
        <v>0</v>
      </c>
      <c r="K81" s="5">
        <f ca="1">Intv_Ann_TO!K1092</f>
        <v>0</v>
      </c>
      <c r="L81" s="5">
        <f ca="1">Intv_Ann_TO!L1092</f>
        <v>0</v>
      </c>
      <c r="M81" s="5">
        <f ca="1">Intv_Ann_TO!M1092</f>
        <v>0</v>
      </c>
      <c r="N81" s="5">
        <f ca="1">Intv_Ann_TO!N1092</f>
        <v>0</v>
      </c>
      <c r="O81" s="5">
        <f ca="1">Intv_Ann_TO!O1092</f>
        <v>0</v>
      </c>
    </row>
    <row r="82" spans="3:15" s="327" customFormat="1" hidden="1" outlineLevel="1" x14ac:dyDescent="0.2">
      <c r="C82" s="660" t="str">
        <f>Intv_Ann_TO!D1093</f>
        <v>Muchinga</v>
      </c>
      <c r="J82" s="5">
        <f ca="1">Intv_Ann_TO!J1093</f>
        <v>0</v>
      </c>
      <c r="K82" s="5">
        <f ca="1">Intv_Ann_TO!K1093</f>
        <v>0</v>
      </c>
      <c r="L82" s="5">
        <f ca="1">Intv_Ann_TO!L1093</f>
        <v>0</v>
      </c>
      <c r="M82" s="5">
        <f ca="1">Intv_Ann_TO!M1093</f>
        <v>0</v>
      </c>
      <c r="N82" s="5">
        <f ca="1">Intv_Ann_TO!N1093</f>
        <v>0</v>
      </c>
      <c r="O82" s="5">
        <f ca="1">Intv_Ann_TO!O1093</f>
        <v>0</v>
      </c>
    </row>
    <row r="83" spans="3:15" s="327" customFormat="1" hidden="1" outlineLevel="1" x14ac:dyDescent="0.2">
      <c r="C83" s="660" t="str">
        <f>Intv_Ann_TO!D1094</f>
        <v>Northern</v>
      </c>
      <c r="J83" s="5">
        <f ca="1">Intv_Ann_TO!J1094</f>
        <v>0</v>
      </c>
      <c r="K83" s="5">
        <f ca="1">Intv_Ann_TO!K1094</f>
        <v>0</v>
      </c>
      <c r="L83" s="5">
        <f ca="1">Intv_Ann_TO!L1094</f>
        <v>0</v>
      </c>
      <c r="M83" s="5">
        <f ca="1">Intv_Ann_TO!M1094</f>
        <v>0</v>
      </c>
      <c r="N83" s="5">
        <f ca="1">Intv_Ann_TO!N1094</f>
        <v>0</v>
      </c>
      <c r="O83" s="5">
        <f ca="1">Intv_Ann_TO!O1094</f>
        <v>0</v>
      </c>
    </row>
    <row r="84" spans="3:15" s="327" customFormat="1" hidden="1" outlineLevel="1" x14ac:dyDescent="0.2">
      <c r="C84" s="660" t="str">
        <f>Intv_Ann_TO!D1095</f>
        <v>North-Western</v>
      </c>
      <c r="J84" s="5">
        <f ca="1">Intv_Ann_TO!J1095</f>
        <v>0</v>
      </c>
      <c r="K84" s="5">
        <f ca="1">Intv_Ann_TO!K1095</f>
        <v>0</v>
      </c>
      <c r="L84" s="5">
        <f ca="1">Intv_Ann_TO!L1095</f>
        <v>0</v>
      </c>
      <c r="M84" s="5">
        <f ca="1">Intv_Ann_TO!M1095</f>
        <v>0</v>
      </c>
      <c r="N84" s="5">
        <f ca="1">Intv_Ann_TO!N1095</f>
        <v>0</v>
      </c>
      <c r="O84" s="5">
        <f ca="1">Intv_Ann_TO!O1095</f>
        <v>0</v>
      </c>
    </row>
    <row r="85" spans="3:15" s="327" customFormat="1" hidden="1" outlineLevel="1" x14ac:dyDescent="0.2">
      <c r="C85" s="660" t="str">
        <f>Intv_Ann_TO!D1096</f>
        <v>Southern</v>
      </c>
      <c r="J85" s="5">
        <f ca="1">Intv_Ann_TO!J1096</f>
        <v>0</v>
      </c>
      <c r="K85" s="5">
        <f ca="1">Intv_Ann_TO!K1096</f>
        <v>0</v>
      </c>
      <c r="L85" s="5">
        <f ca="1">Intv_Ann_TO!L1096</f>
        <v>0</v>
      </c>
      <c r="M85" s="5">
        <f ca="1">Intv_Ann_TO!M1096</f>
        <v>0</v>
      </c>
      <c r="N85" s="5">
        <f ca="1">Intv_Ann_TO!N1096</f>
        <v>0</v>
      </c>
      <c r="O85" s="5">
        <f ca="1">Intv_Ann_TO!O1096</f>
        <v>0</v>
      </c>
    </row>
    <row r="86" spans="3:15" s="327" customFormat="1" hidden="1" outlineLevel="1" x14ac:dyDescent="0.2">
      <c r="C86" s="660" t="str">
        <f>Intv_Ann_TO!D1097</f>
        <v>Western</v>
      </c>
      <c r="J86" s="5">
        <f ca="1">Intv_Ann_TO!J1097</f>
        <v>0</v>
      </c>
      <c r="K86" s="5">
        <f ca="1">Intv_Ann_TO!K1097</f>
        <v>0</v>
      </c>
      <c r="L86" s="5">
        <f ca="1">Intv_Ann_TO!L1097</f>
        <v>0</v>
      </c>
      <c r="M86" s="5">
        <f ca="1">Intv_Ann_TO!M1097</f>
        <v>0</v>
      </c>
      <c r="N86" s="5">
        <f ca="1">Intv_Ann_TO!N1097</f>
        <v>0</v>
      </c>
      <c r="O86" s="5">
        <f ca="1">Intv_Ann_TO!O1097</f>
        <v>0</v>
      </c>
    </row>
    <row r="87" spans="3:15" s="327" customFormat="1" ht="15.75" collapsed="1" thickBot="1" x14ac:dyDescent="0.25">
      <c r="C87" s="646" t="str">
        <f>C76</f>
        <v>Total Procedures Provided (by Patient's Home Province)</v>
      </c>
      <c r="J87" s="624">
        <f t="shared" ref="J87:O87" ca="1" si="9">SUM(J77:J86)</f>
        <v>0</v>
      </c>
      <c r="K87" s="624">
        <f t="shared" ca="1" si="9"/>
        <v>0</v>
      </c>
      <c r="L87" s="624">
        <f t="shared" ca="1" si="9"/>
        <v>0</v>
      </c>
      <c r="M87" s="624">
        <f t="shared" ca="1" si="9"/>
        <v>0</v>
      </c>
      <c r="N87" s="624">
        <f t="shared" ca="1" si="9"/>
        <v>0</v>
      </c>
      <c r="O87" s="624">
        <f t="shared" ca="1" si="9"/>
        <v>0</v>
      </c>
    </row>
    <row r="88" spans="3:15" s="327" customFormat="1" ht="13.5" thickTop="1" x14ac:dyDescent="0.2"/>
    <row r="89" spans="3:15" s="327" customFormat="1" ht="15.75" x14ac:dyDescent="0.2">
      <c r="C89" s="330" t="s">
        <v>1902</v>
      </c>
    </row>
    <row r="90" spans="3:15" s="327" customFormat="1" hidden="1" outlineLevel="1" x14ac:dyDescent="0.2">
      <c r="C90" s="660" t="str">
        <f>Intv_Ann_TO!D1101</f>
        <v>Central</v>
      </c>
      <c r="J90" s="5">
        <f ca="1">Intv_Ann_TO!J1101</f>
        <v>0</v>
      </c>
      <c r="K90" s="5">
        <f ca="1">Intv_Ann_TO!K1101</f>
        <v>0</v>
      </c>
      <c r="L90" s="5">
        <f ca="1">Intv_Ann_TO!L1101</f>
        <v>0</v>
      </c>
      <c r="M90" s="5">
        <f ca="1">Intv_Ann_TO!M1101</f>
        <v>0</v>
      </c>
      <c r="N90" s="5">
        <f ca="1">Intv_Ann_TO!N1101</f>
        <v>0</v>
      </c>
      <c r="O90" s="5">
        <f ca="1">Intv_Ann_TO!O1101</f>
        <v>0</v>
      </c>
    </row>
    <row r="91" spans="3:15" s="327" customFormat="1" hidden="1" outlineLevel="1" x14ac:dyDescent="0.2">
      <c r="C91" s="660" t="str">
        <f>Intv_Ann_TO!D1102</f>
        <v>Copperbelt</v>
      </c>
      <c r="J91" s="5">
        <f ca="1">Intv_Ann_TO!J1102</f>
        <v>0</v>
      </c>
      <c r="K91" s="5">
        <f ca="1">Intv_Ann_TO!K1102</f>
        <v>0</v>
      </c>
      <c r="L91" s="5">
        <f ca="1">Intv_Ann_TO!L1102</f>
        <v>0</v>
      </c>
      <c r="M91" s="5">
        <f ca="1">Intv_Ann_TO!M1102</f>
        <v>0</v>
      </c>
      <c r="N91" s="5">
        <f ca="1">Intv_Ann_TO!N1102</f>
        <v>0</v>
      </c>
      <c r="O91" s="5">
        <f ca="1">Intv_Ann_TO!O1102</f>
        <v>0</v>
      </c>
    </row>
    <row r="92" spans="3:15" s="327" customFormat="1" hidden="1" outlineLevel="1" x14ac:dyDescent="0.2">
      <c r="C92" s="660" t="str">
        <f>Intv_Ann_TO!D1103</f>
        <v>Eastern</v>
      </c>
      <c r="J92" s="5">
        <f ca="1">Intv_Ann_TO!J1103</f>
        <v>0</v>
      </c>
      <c r="K92" s="5">
        <f ca="1">Intv_Ann_TO!K1103</f>
        <v>0</v>
      </c>
      <c r="L92" s="5">
        <f ca="1">Intv_Ann_TO!L1103</f>
        <v>0</v>
      </c>
      <c r="M92" s="5">
        <f ca="1">Intv_Ann_TO!M1103</f>
        <v>0</v>
      </c>
      <c r="N92" s="5">
        <f ca="1">Intv_Ann_TO!N1103</f>
        <v>0</v>
      </c>
      <c r="O92" s="5">
        <f ca="1">Intv_Ann_TO!O1103</f>
        <v>0</v>
      </c>
    </row>
    <row r="93" spans="3:15" s="327" customFormat="1" hidden="1" outlineLevel="1" x14ac:dyDescent="0.2">
      <c r="C93" s="660" t="str">
        <f>Intv_Ann_TO!D1104</f>
        <v>Luapula</v>
      </c>
      <c r="J93" s="5">
        <f ca="1">Intv_Ann_TO!J1104</f>
        <v>0</v>
      </c>
      <c r="K93" s="5">
        <f ca="1">Intv_Ann_TO!K1104</f>
        <v>0</v>
      </c>
      <c r="L93" s="5">
        <f ca="1">Intv_Ann_TO!L1104</f>
        <v>0</v>
      </c>
      <c r="M93" s="5">
        <f ca="1">Intv_Ann_TO!M1104</f>
        <v>0</v>
      </c>
      <c r="N93" s="5">
        <f ca="1">Intv_Ann_TO!N1104</f>
        <v>0</v>
      </c>
      <c r="O93" s="5">
        <f ca="1">Intv_Ann_TO!O1104</f>
        <v>0</v>
      </c>
    </row>
    <row r="94" spans="3:15" s="327" customFormat="1" hidden="1" outlineLevel="1" x14ac:dyDescent="0.2">
      <c r="C94" s="660" t="str">
        <f>Intv_Ann_TO!D1105</f>
        <v>Lusaka</v>
      </c>
      <c r="J94" s="5">
        <f ca="1">Intv_Ann_TO!J1105</f>
        <v>0</v>
      </c>
      <c r="K94" s="5">
        <f ca="1">Intv_Ann_TO!K1105</f>
        <v>0</v>
      </c>
      <c r="L94" s="5">
        <f ca="1">Intv_Ann_TO!L1105</f>
        <v>0</v>
      </c>
      <c r="M94" s="5">
        <f ca="1">Intv_Ann_TO!M1105</f>
        <v>0</v>
      </c>
      <c r="N94" s="5">
        <f ca="1">Intv_Ann_TO!N1105</f>
        <v>0</v>
      </c>
      <c r="O94" s="5">
        <f ca="1">Intv_Ann_TO!O1105</f>
        <v>0</v>
      </c>
    </row>
    <row r="95" spans="3:15" s="327" customFormat="1" hidden="1" outlineLevel="1" x14ac:dyDescent="0.2">
      <c r="C95" s="660" t="str">
        <f>Intv_Ann_TO!D1106</f>
        <v>Muchinga</v>
      </c>
      <c r="J95" s="5">
        <f ca="1">Intv_Ann_TO!J1106</f>
        <v>0</v>
      </c>
      <c r="K95" s="5">
        <f ca="1">Intv_Ann_TO!K1106</f>
        <v>0</v>
      </c>
      <c r="L95" s="5">
        <f ca="1">Intv_Ann_TO!L1106</f>
        <v>0</v>
      </c>
      <c r="M95" s="5">
        <f ca="1">Intv_Ann_TO!M1106</f>
        <v>0</v>
      </c>
      <c r="N95" s="5">
        <f ca="1">Intv_Ann_TO!N1106</f>
        <v>0</v>
      </c>
      <c r="O95" s="5">
        <f ca="1">Intv_Ann_TO!O1106</f>
        <v>0</v>
      </c>
    </row>
    <row r="96" spans="3:15" s="327" customFormat="1" hidden="1" outlineLevel="1" x14ac:dyDescent="0.2">
      <c r="C96" s="660" t="str">
        <f>Intv_Ann_TO!D1107</f>
        <v>Northern</v>
      </c>
      <c r="J96" s="5">
        <f ca="1">Intv_Ann_TO!J1107</f>
        <v>0</v>
      </c>
      <c r="K96" s="5">
        <f ca="1">Intv_Ann_TO!K1107</f>
        <v>0</v>
      </c>
      <c r="L96" s="5">
        <f ca="1">Intv_Ann_TO!L1107</f>
        <v>0</v>
      </c>
      <c r="M96" s="5">
        <f ca="1">Intv_Ann_TO!M1107</f>
        <v>0</v>
      </c>
      <c r="N96" s="5">
        <f ca="1">Intv_Ann_TO!N1107</f>
        <v>0</v>
      </c>
      <c r="O96" s="5">
        <f ca="1">Intv_Ann_TO!O1107</f>
        <v>0</v>
      </c>
    </row>
    <row r="97" spans="3:15" s="327" customFormat="1" hidden="1" outlineLevel="1" x14ac:dyDescent="0.2">
      <c r="C97" s="660" t="str">
        <f>Intv_Ann_TO!D1108</f>
        <v>North-Western</v>
      </c>
      <c r="J97" s="5">
        <f ca="1">Intv_Ann_TO!J1108</f>
        <v>0</v>
      </c>
      <c r="K97" s="5">
        <f ca="1">Intv_Ann_TO!K1108</f>
        <v>0</v>
      </c>
      <c r="L97" s="5">
        <f ca="1">Intv_Ann_TO!L1108</f>
        <v>0</v>
      </c>
      <c r="M97" s="5">
        <f ca="1">Intv_Ann_TO!M1108</f>
        <v>0</v>
      </c>
      <c r="N97" s="5">
        <f ca="1">Intv_Ann_TO!N1108</f>
        <v>0</v>
      </c>
      <c r="O97" s="5">
        <f ca="1">Intv_Ann_TO!O1108</f>
        <v>0</v>
      </c>
    </row>
    <row r="98" spans="3:15" s="327" customFormat="1" hidden="1" outlineLevel="1" x14ac:dyDescent="0.2">
      <c r="C98" s="660" t="str">
        <f>Intv_Ann_TO!D1109</f>
        <v>Southern</v>
      </c>
      <c r="J98" s="5">
        <f ca="1">Intv_Ann_TO!J1109</f>
        <v>0</v>
      </c>
      <c r="K98" s="5">
        <f ca="1">Intv_Ann_TO!K1109</f>
        <v>0</v>
      </c>
      <c r="L98" s="5">
        <f ca="1">Intv_Ann_TO!L1109</f>
        <v>0</v>
      </c>
      <c r="M98" s="5">
        <f ca="1">Intv_Ann_TO!M1109</f>
        <v>0</v>
      </c>
      <c r="N98" s="5">
        <f ca="1">Intv_Ann_TO!N1109</f>
        <v>0</v>
      </c>
      <c r="O98" s="5">
        <f ca="1">Intv_Ann_TO!O1109</f>
        <v>0</v>
      </c>
    </row>
    <row r="99" spans="3:15" s="327" customFormat="1" hidden="1" outlineLevel="1" x14ac:dyDescent="0.2">
      <c r="C99" s="660" t="str">
        <f>Intv_Ann_TO!D1110</f>
        <v>Western</v>
      </c>
      <c r="J99" s="5">
        <f ca="1">Intv_Ann_TO!J1110</f>
        <v>0</v>
      </c>
      <c r="K99" s="5">
        <f ca="1">Intv_Ann_TO!K1110</f>
        <v>0</v>
      </c>
      <c r="L99" s="5">
        <f ca="1">Intv_Ann_TO!L1110</f>
        <v>0</v>
      </c>
      <c r="M99" s="5">
        <f ca="1">Intv_Ann_TO!M1110</f>
        <v>0</v>
      </c>
      <c r="N99" s="5">
        <f ca="1">Intv_Ann_TO!N1110</f>
        <v>0</v>
      </c>
      <c r="O99" s="5">
        <f ca="1">Intv_Ann_TO!O1110</f>
        <v>0</v>
      </c>
    </row>
    <row r="100" spans="3:15" s="327" customFormat="1" ht="15.75" collapsed="1" thickBot="1" x14ac:dyDescent="0.25">
      <c r="C100" s="646" t="str">
        <f>C89</f>
        <v>Total Procedures Supplied (by Province Providing)</v>
      </c>
      <c r="J100" s="624">
        <f t="shared" ref="J100:O100" ca="1" si="10">SUM(J90:J99)</f>
        <v>0</v>
      </c>
      <c r="K100" s="624">
        <f t="shared" ca="1" si="10"/>
        <v>0</v>
      </c>
      <c r="L100" s="624">
        <f t="shared" ca="1" si="10"/>
        <v>0</v>
      </c>
      <c r="M100" s="624">
        <f t="shared" ca="1" si="10"/>
        <v>0</v>
      </c>
      <c r="N100" s="624">
        <f t="shared" ca="1" si="10"/>
        <v>0</v>
      </c>
      <c r="O100" s="624">
        <f t="shared" ca="1" si="10"/>
        <v>0</v>
      </c>
    </row>
    <row r="101" spans="3:15" s="327" customFormat="1" ht="13.5" thickTop="1" x14ac:dyDescent="0.2"/>
    <row r="102" spans="3:15" s="327" customFormat="1" x14ac:dyDescent="0.2"/>
    <row r="103" spans="3:15" s="327" customFormat="1" x14ac:dyDescent="0.2">
      <c r="C103" s="716" t="str">
        <f>"Go to "&amp;HL_Intv_5_Ass</f>
        <v>Go to Surgery (Radical Hysterectomy plus Stump Removal)</v>
      </c>
      <c r="D103" s="716"/>
      <c r="E103" s="716"/>
      <c r="F103" s="716"/>
      <c r="G103" s="716"/>
      <c r="H103" s="716"/>
      <c r="I103" s="716"/>
    </row>
    <row r="104" spans="3:15" s="327" customFormat="1" x14ac:dyDescent="0.2">
      <c r="C104" s="716" t="str">
        <f>"Go to "&amp;HL_Intv_5_Ann_Ass</f>
        <v>Go to Intervention Services - Annual Assumptions</v>
      </c>
      <c r="D104" s="716"/>
      <c r="E104" s="716"/>
      <c r="F104" s="716"/>
      <c r="G104" s="716"/>
      <c r="H104" s="716"/>
      <c r="I104" s="716"/>
    </row>
    <row r="105" spans="3:15" s="327" customFormat="1" x14ac:dyDescent="0.2">
      <c r="C105" s="716" t="str">
        <f>"Go to "&amp;HL_Intv_5_Out</f>
        <v>Go to Surgery (Radical Hysterectomy plus Stump Removal)</v>
      </c>
      <c r="D105" s="716"/>
      <c r="E105" s="716"/>
      <c r="F105" s="716"/>
      <c r="G105" s="716"/>
      <c r="H105" s="716"/>
      <c r="I105" s="716"/>
    </row>
    <row r="106" spans="3:15" s="327" customFormat="1" x14ac:dyDescent="0.2">
      <c r="C106" s="716" t="str">
        <f>"Go to "&amp;HL_Intv_5_Out_Sum_A</f>
        <v>Go to Surgery (Radical Hysterectomy plus Stump Removal) Expected Costs (USD)</v>
      </c>
      <c r="D106" s="716"/>
      <c r="E106" s="716"/>
      <c r="F106" s="716"/>
      <c r="G106" s="716"/>
      <c r="H106" s="716"/>
      <c r="I106" s="716"/>
    </row>
  </sheetData>
  <sheetProtection password="F0F4" sheet="1" scenarios="1"/>
  <mergeCells count="5">
    <mergeCell ref="C105:I105"/>
    <mergeCell ref="C106:I106"/>
    <mergeCell ref="B3:F3"/>
    <mergeCell ref="C103:I103"/>
    <mergeCell ref="C104:I104"/>
  </mergeCells>
  <hyperlinks>
    <hyperlink ref="C103:I103" location="HL_Intv_5_Ass" tooltip="Click to follow hyperlink." display="HL_Intv_5_Ass"/>
    <hyperlink ref="C104:I104" location="HL_Intv_5_Ann_Ass" tooltip="Click to follow hyperlink." display="HL_Intv_5_Ann_Ass"/>
    <hyperlink ref="C105:I105" location="HL_Intv_5_Out" tooltip="Click to follow hyperlink." display="HL_Intv_5_Out"/>
    <hyperlink ref="C106:I106" location="HL_Intv_5_Out_Sum_A" tooltip="Click to follow hyperlink." display="HL_Intv_5_Out_Sum_A"/>
    <hyperlink ref="A4" location="$A$10" tooltip="Go to Top of Sheet" display="$A$10"/>
    <hyperlink ref="B4" location="HL_Sheet_Main_87" tooltip="Go to Previous Sheet" display="HL_Sheet_Main_87"/>
    <hyperlink ref="C4" location="HL_Sheet_Main_90" tooltip="Go to Next Sheet" display="HL_Sheet_Main_90"/>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44"/>
  <sheetViews>
    <sheetView showGridLines="0" zoomScaleNormal="100" workbookViewId="0">
      <pane ySplit="9" topLeftCell="A10" activePane="bottomLeft" state="frozen"/>
      <selection pane="bottomLeft" activeCell="F4" sqref="F4"/>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1957</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648" t="str">
        <f>HL_Intv_5_Out&amp;" Expected Costs ("&amp;INDEX(LU_Intv_5_Denom,DD_TS_Denom)&amp;")"</f>
        <v>Surgery (Radical Hysterectomy plus Stump Removal) Expected Costs (USD)</v>
      </c>
    </row>
    <row r="13" spans="1:15" s="327" customFormat="1" x14ac:dyDescent="0.2"/>
    <row r="14" spans="1:15" s="327" customFormat="1" ht="15.75" x14ac:dyDescent="0.2">
      <c r="C14" s="330" t="s">
        <v>1931</v>
      </c>
    </row>
    <row r="15" spans="1:15" s="327" customFormat="1" ht="15" x14ac:dyDescent="0.2">
      <c r="D15" s="658" t="s">
        <v>1928</v>
      </c>
    </row>
    <row r="16" spans="1:15" s="327" customFormat="1" hidden="1" outlineLevel="1" x14ac:dyDescent="0.2">
      <c r="D16" s="660" t="str">
        <f>Intv_Ann_TO!D1129</f>
        <v>Central</v>
      </c>
      <c r="J16" s="5">
        <f ca="1">Intv_Ann_TO!J1129+Intv_Ann_TO!J1142</f>
        <v>0</v>
      </c>
      <c r="K16" s="5">
        <f ca="1">Intv_Ann_TO!K1129+Intv_Ann_TO!K1142</f>
        <v>0</v>
      </c>
      <c r="L16" s="5">
        <f ca="1">Intv_Ann_TO!L1129+Intv_Ann_TO!L1142</f>
        <v>0</v>
      </c>
      <c r="M16" s="5">
        <f ca="1">Intv_Ann_TO!M1129+Intv_Ann_TO!M1142</f>
        <v>0</v>
      </c>
      <c r="N16" s="5">
        <f ca="1">Intv_Ann_TO!N1129+Intv_Ann_TO!N1142</f>
        <v>0</v>
      </c>
      <c r="O16" s="5">
        <f ca="1">Intv_Ann_TO!O1129+Intv_Ann_TO!O1142</f>
        <v>0</v>
      </c>
    </row>
    <row r="17" spans="4:15" s="327" customFormat="1" hidden="1" outlineLevel="1" x14ac:dyDescent="0.2">
      <c r="D17" s="660" t="str">
        <f>Intv_Ann_TO!D1130</f>
        <v>Copperbelt</v>
      </c>
      <c r="J17" s="5">
        <f ca="1">Intv_Ann_TO!J1130+Intv_Ann_TO!J1143</f>
        <v>0</v>
      </c>
      <c r="K17" s="5">
        <f ca="1">Intv_Ann_TO!K1130+Intv_Ann_TO!K1143</f>
        <v>0</v>
      </c>
      <c r="L17" s="5">
        <f ca="1">Intv_Ann_TO!L1130+Intv_Ann_TO!L1143</f>
        <v>0</v>
      </c>
      <c r="M17" s="5">
        <f ca="1">Intv_Ann_TO!M1130+Intv_Ann_TO!M1143</f>
        <v>0</v>
      </c>
      <c r="N17" s="5">
        <f ca="1">Intv_Ann_TO!N1130+Intv_Ann_TO!N1143</f>
        <v>0</v>
      </c>
      <c r="O17" s="5">
        <f ca="1">Intv_Ann_TO!O1130+Intv_Ann_TO!O1143</f>
        <v>0</v>
      </c>
    </row>
    <row r="18" spans="4:15" s="327" customFormat="1" hidden="1" outlineLevel="1" x14ac:dyDescent="0.2">
      <c r="D18" s="660" t="str">
        <f>Intv_Ann_TO!D1131</f>
        <v>Eastern</v>
      </c>
      <c r="J18" s="5">
        <f ca="1">Intv_Ann_TO!J1131+Intv_Ann_TO!J1144</f>
        <v>0</v>
      </c>
      <c r="K18" s="5">
        <f ca="1">Intv_Ann_TO!K1131+Intv_Ann_TO!K1144</f>
        <v>0</v>
      </c>
      <c r="L18" s="5">
        <f ca="1">Intv_Ann_TO!L1131+Intv_Ann_TO!L1144</f>
        <v>0</v>
      </c>
      <c r="M18" s="5">
        <f ca="1">Intv_Ann_TO!M1131+Intv_Ann_TO!M1144</f>
        <v>0</v>
      </c>
      <c r="N18" s="5">
        <f ca="1">Intv_Ann_TO!N1131+Intv_Ann_TO!N1144</f>
        <v>0</v>
      </c>
      <c r="O18" s="5">
        <f ca="1">Intv_Ann_TO!O1131+Intv_Ann_TO!O1144</f>
        <v>0</v>
      </c>
    </row>
    <row r="19" spans="4:15" s="327" customFormat="1" hidden="1" outlineLevel="1" x14ac:dyDescent="0.2">
      <c r="D19" s="660" t="str">
        <f>Intv_Ann_TO!D1132</f>
        <v>Luapula</v>
      </c>
      <c r="J19" s="5">
        <f ca="1">Intv_Ann_TO!J1132+Intv_Ann_TO!J1145</f>
        <v>0</v>
      </c>
      <c r="K19" s="5">
        <f ca="1">Intv_Ann_TO!K1132+Intv_Ann_TO!K1145</f>
        <v>0</v>
      </c>
      <c r="L19" s="5">
        <f ca="1">Intv_Ann_TO!L1132+Intv_Ann_TO!L1145</f>
        <v>0</v>
      </c>
      <c r="M19" s="5">
        <f ca="1">Intv_Ann_TO!M1132+Intv_Ann_TO!M1145</f>
        <v>0</v>
      </c>
      <c r="N19" s="5">
        <f ca="1">Intv_Ann_TO!N1132+Intv_Ann_TO!N1145</f>
        <v>0</v>
      </c>
      <c r="O19" s="5">
        <f ca="1">Intv_Ann_TO!O1132+Intv_Ann_TO!O1145</f>
        <v>0</v>
      </c>
    </row>
    <row r="20" spans="4:15" s="327" customFormat="1" hidden="1" outlineLevel="1" x14ac:dyDescent="0.2">
      <c r="D20" s="660" t="str">
        <f>Intv_Ann_TO!D1133</f>
        <v>Lusaka</v>
      </c>
      <c r="J20" s="5">
        <f ca="1">Intv_Ann_TO!J1133+Intv_Ann_TO!J1146</f>
        <v>0</v>
      </c>
      <c r="K20" s="5">
        <f ca="1">Intv_Ann_TO!K1133+Intv_Ann_TO!K1146</f>
        <v>0</v>
      </c>
      <c r="L20" s="5">
        <f ca="1">Intv_Ann_TO!L1133+Intv_Ann_TO!L1146</f>
        <v>0</v>
      </c>
      <c r="M20" s="5">
        <f ca="1">Intv_Ann_TO!M1133+Intv_Ann_TO!M1146</f>
        <v>0</v>
      </c>
      <c r="N20" s="5">
        <f ca="1">Intv_Ann_TO!N1133+Intv_Ann_TO!N1146</f>
        <v>0</v>
      </c>
      <c r="O20" s="5">
        <f ca="1">Intv_Ann_TO!O1133+Intv_Ann_TO!O1146</f>
        <v>0</v>
      </c>
    </row>
    <row r="21" spans="4:15" s="327" customFormat="1" hidden="1" outlineLevel="1" x14ac:dyDescent="0.2">
      <c r="D21" s="660" t="str">
        <f>Intv_Ann_TO!D1134</f>
        <v>Muchinga</v>
      </c>
      <c r="J21" s="5">
        <f ca="1">Intv_Ann_TO!J1134+Intv_Ann_TO!J1147</f>
        <v>0</v>
      </c>
      <c r="K21" s="5">
        <f ca="1">Intv_Ann_TO!K1134+Intv_Ann_TO!K1147</f>
        <v>0</v>
      </c>
      <c r="L21" s="5">
        <f ca="1">Intv_Ann_TO!L1134+Intv_Ann_TO!L1147</f>
        <v>0</v>
      </c>
      <c r="M21" s="5">
        <f ca="1">Intv_Ann_TO!M1134+Intv_Ann_TO!M1147</f>
        <v>0</v>
      </c>
      <c r="N21" s="5">
        <f ca="1">Intv_Ann_TO!N1134+Intv_Ann_TO!N1147</f>
        <v>0</v>
      </c>
      <c r="O21" s="5">
        <f ca="1">Intv_Ann_TO!O1134+Intv_Ann_TO!O1147</f>
        <v>0</v>
      </c>
    </row>
    <row r="22" spans="4:15" s="327" customFormat="1" hidden="1" outlineLevel="1" x14ac:dyDescent="0.2">
      <c r="D22" s="660" t="str">
        <f>Intv_Ann_TO!D1135</f>
        <v>Northern</v>
      </c>
      <c r="J22" s="5">
        <f ca="1">Intv_Ann_TO!J1135+Intv_Ann_TO!J1148</f>
        <v>0</v>
      </c>
      <c r="K22" s="5">
        <f ca="1">Intv_Ann_TO!K1135+Intv_Ann_TO!K1148</f>
        <v>0</v>
      </c>
      <c r="L22" s="5">
        <f ca="1">Intv_Ann_TO!L1135+Intv_Ann_TO!L1148</f>
        <v>0</v>
      </c>
      <c r="M22" s="5">
        <f ca="1">Intv_Ann_TO!M1135+Intv_Ann_TO!M1148</f>
        <v>0</v>
      </c>
      <c r="N22" s="5">
        <f ca="1">Intv_Ann_TO!N1135+Intv_Ann_TO!N1148</f>
        <v>0</v>
      </c>
      <c r="O22" s="5">
        <f ca="1">Intv_Ann_TO!O1135+Intv_Ann_TO!O1148</f>
        <v>0</v>
      </c>
    </row>
    <row r="23" spans="4:15" s="327" customFormat="1" hidden="1" outlineLevel="1" x14ac:dyDescent="0.2">
      <c r="D23" s="660" t="str">
        <f>Intv_Ann_TO!D1136</f>
        <v>North-Western</v>
      </c>
      <c r="J23" s="5">
        <f ca="1">Intv_Ann_TO!J1136+Intv_Ann_TO!J1149</f>
        <v>0</v>
      </c>
      <c r="K23" s="5">
        <f ca="1">Intv_Ann_TO!K1136+Intv_Ann_TO!K1149</f>
        <v>0</v>
      </c>
      <c r="L23" s="5">
        <f ca="1">Intv_Ann_TO!L1136+Intv_Ann_TO!L1149</f>
        <v>0</v>
      </c>
      <c r="M23" s="5">
        <f ca="1">Intv_Ann_TO!M1136+Intv_Ann_TO!M1149</f>
        <v>0</v>
      </c>
      <c r="N23" s="5">
        <f ca="1">Intv_Ann_TO!N1136+Intv_Ann_TO!N1149</f>
        <v>0</v>
      </c>
      <c r="O23" s="5">
        <f ca="1">Intv_Ann_TO!O1136+Intv_Ann_TO!O1149</f>
        <v>0</v>
      </c>
    </row>
    <row r="24" spans="4:15" s="327" customFormat="1" hidden="1" outlineLevel="1" x14ac:dyDescent="0.2">
      <c r="D24" s="660" t="str">
        <f>Intv_Ann_TO!D1137</f>
        <v>Southern</v>
      </c>
      <c r="J24" s="5">
        <f ca="1">Intv_Ann_TO!J1137+Intv_Ann_TO!J1150</f>
        <v>0</v>
      </c>
      <c r="K24" s="5">
        <f ca="1">Intv_Ann_TO!K1137+Intv_Ann_TO!K1150</f>
        <v>0</v>
      </c>
      <c r="L24" s="5">
        <f ca="1">Intv_Ann_TO!L1137+Intv_Ann_TO!L1150</f>
        <v>0</v>
      </c>
      <c r="M24" s="5">
        <f ca="1">Intv_Ann_TO!M1137+Intv_Ann_TO!M1150</f>
        <v>0</v>
      </c>
      <c r="N24" s="5">
        <f ca="1">Intv_Ann_TO!N1137+Intv_Ann_TO!N1150</f>
        <v>0</v>
      </c>
      <c r="O24" s="5">
        <f ca="1">Intv_Ann_TO!O1137+Intv_Ann_TO!O1150</f>
        <v>0</v>
      </c>
    </row>
    <row r="25" spans="4:15" s="327" customFormat="1" hidden="1" outlineLevel="1" x14ac:dyDescent="0.2">
      <c r="D25" s="660" t="str">
        <f>Intv_Ann_TO!D1138</f>
        <v>Western</v>
      </c>
      <c r="J25" s="5">
        <f ca="1">Intv_Ann_TO!J1138+Intv_Ann_TO!J1151</f>
        <v>0</v>
      </c>
      <c r="K25" s="5">
        <f ca="1">Intv_Ann_TO!K1138+Intv_Ann_TO!K1151</f>
        <v>0</v>
      </c>
      <c r="L25" s="5">
        <f ca="1">Intv_Ann_TO!L1138+Intv_Ann_TO!L1151</f>
        <v>0</v>
      </c>
      <c r="M25" s="5">
        <f ca="1">Intv_Ann_TO!M1138+Intv_Ann_TO!M1151</f>
        <v>0</v>
      </c>
      <c r="N25" s="5">
        <f ca="1">Intv_Ann_TO!N1138+Intv_Ann_TO!N1151</f>
        <v>0</v>
      </c>
      <c r="O25" s="5">
        <f ca="1">Intv_Ann_TO!O1138+Intv_Ann_TO!O1151</f>
        <v>0</v>
      </c>
    </row>
    <row r="26" spans="4:15" s="327" customFormat="1" ht="15" collapsed="1" x14ac:dyDescent="0.2">
      <c r="D26" s="679" t="str">
        <f>"Total "&amp;D15</f>
        <v>Total Personnel Costs</v>
      </c>
      <c r="J26" s="562">
        <f t="shared" ref="J26:O26" ca="1" si="4">SUM(J16:J25)</f>
        <v>0</v>
      </c>
      <c r="K26" s="562">
        <f t="shared" ca="1" si="4"/>
        <v>0</v>
      </c>
      <c r="L26" s="562">
        <f t="shared" ca="1" si="4"/>
        <v>0</v>
      </c>
      <c r="M26" s="562">
        <f t="shared" ca="1" si="4"/>
        <v>0</v>
      </c>
      <c r="N26" s="562">
        <f t="shared" ca="1" si="4"/>
        <v>0</v>
      </c>
      <c r="O26" s="562">
        <f t="shared" ca="1" si="4"/>
        <v>0</v>
      </c>
    </row>
    <row r="27" spans="4:15" s="327" customFormat="1" x14ac:dyDescent="0.2"/>
    <row r="28" spans="4:15" s="327" customFormat="1" ht="15" x14ac:dyDescent="0.2">
      <c r="D28" s="658" t="s">
        <v>105</v>
      </c>
    </row>
    <row r="29" spans="4:15" s="327" customFormat="1" hidden="1" outlineLevel="1" x14ac:dyDescent="0.2">
      <c r="D29" s="660" t="str">
        <f>Intv_Ann_TO!D1116</f>
        <v>Central</v>
      </c>
      <c r="J29" s="5">
        <f ca="1">Intv_Ann_TO!J1116</f>
        <v>0</v>
      </c>
      <c r="K29" s="5">
        <f ca="1">Intv_Ann_TO!K1116</f>
        <v>0</v>
      </c>
      <c r="L29" s="5">
        <f ca="1">Intv_Ann_TO!L1116</f>
        <v>0</v>
      </c>
      <c r="M29" s="5">
        <f ca="1">Intv_Ann_TO!M1116</f>
        <v>0</v>
      </c>
      <c r="N29" s="5">
        <f ca="1">Intv_Ann_TO!N1116</f>
        <v>0</v>
      </c>
      <c r="O29" s="5">
        <f ca="1">Intv_Ann_TO!O1116</f>
        <v>0</v>
      </c>
    </row>
    <row r="30" spans="4:15" s="327" customFormat="1" hidden="1" outlineLevel="1" x14ac:dyDescent="0.2">
      <c r="D30" s="660" t="str">
        <f>Intv_Ann_TO!D1117</f>
        <v>Copperbelt</v>
      </c>
      <c r="J30" s="5">
        <f ca="1">Intv_Ann_TO!J1117</f>
        <v>0</v>
      </c>
      <c r="K30" s="5">
        <f ca="1">Intv_Ann_TO!K1117</f>
        <v>0</v>
      </c>
      <c r="L30" s="5">
        <f ca="1">Intv_Ann_TO!L1117</f>
        <v>0</v>
      </c>
      <c r="M30" s="5">
        <f ca="1">Intv_Ann_TO!M1117</f>
        <v>0</v>
      </c>
      <c r="N30" s="5">
        <f ca="1">Intv_Ann_TO!N1117</f>
        <v>0</v>
      </c>
      <c r="O30" s="5">
        <f ca="1">Intv_Ann_TO!O1117</f>
        <v>0</v>
      </c>
    </row>
    <row r="31" spans="4:15" s="327" customFormat="1" hidden="1" outlineLevel="1" x14ac:dyDescent="0.2">
      <c r="D31" s="660" t="str">
        <f>Intv_Ann_TO!D1118</f>
        <v>Eastern</v>
      </c>
      <c r="J31" s="5">
        <f ca="1">Intv_Ann_TO!J1118</f>
        <v>0</v>
      </c>
      <c r="K31" s="5">
        <f ca="1">Intv_Ann_TO!K1118</f>
        <v>0</v>
      </c>
      <c r="L31" s="5">
        <f ca="1">Intv_Ann_TO!L1118</f>
        <v>0</v>
      </c>
      <c r="M31" s="5">
        <f ca="1">Intv_Ann_TO!M1118</f>
        <v>0</v>
      </c>
      <c r="N31" s="5">
        <f ca="1">Intv_Ann_TO!N1118</f>
        <v>0</v>
      </c>
      <c r="O31" s="5">
        <f ca="1">Intv_Ann_TO!O1118</f>
        <v>0</v>
      </c>
    </row>
    <row r="32" spans="4:15" s="327" customFormat="1" hidden="1" outlineLevel="1" x14ac:dyDescent="0.2">
      <c r="D32" s="660" t="str">
        <f>Intv_Ann_TO!D1119</f>
        <v>Luapula</v>
      </c>
      <c r="J32" s="5">
        <f ca="1">Intv_Ann_TO!J1119</f>
        <v>0</v>
      </c>
      <c r="K32" s="5">
        <f ca="1">Intv_Ann_TO!K1119</f>
        <v>0</v>
      </c>
      <c r="L32" s="5">
        <f ca="1">Intv_Ann_TO!L1119</f>
        <v>0</v>
      </c>
      <c r="M32" s="5">
        <f ca="1">Intv_Ann_TO!M1119</f>
        <v>0</v>
      </c>
      <c r="N32" s="5">
        <f ca="1">Intv_Ann_TO!N1119</f>
        <v>0</v>
      </c>
      <c r="O32" s="5">
        <f ca="1">Intv_Ann_TO!O1119</f>
        <v>0</v>
      </c>
    </row>
    <row r="33" spans="4:15" s="327" customFormat="1" hidden="1" outlineLevel="1" x14ac:dyDescent="0.2">
      <c r="D33" s="660" t="str">
        <f>Intv_Ann_TO!D1120</f>
        <v>Lusaka</v>
      </c>
      <c r="J33" s="5">
        <f ca="1">Intv_Ann_TO!J1120</f>
        <v>0</v>
      </c>
      <c r="K33" s="5">
        <f ca="1">Intv_Ann_TO!K1120</f>
        <v>0</v>
      </c>
      <c r="L33" s="5">
        <f ca="1">Intv_Ann_TO!L1120</f>
        <v>0</v>
      </c>
      <c r="M33" s="5">
        <f ca="1">Intv_Ann_TO!M1120</f>
        <v>0</v>
      </c>
      <c r="N33" s="5">
        <f ca="1">Intv_Ann_TO!N1120</f>
        <v>0</v>
      </c>
      <c r="O33" s="5">
        <f ca="1">Intv_Ann_TO!O1120</f>
        <v>0</v>
      </c>
    </row>
    <row r="34" spans="4:15" s="327" customFormat="1" hidden="1" outlineLevel="1" x14ac:dyDescent="0.2">
      <c r="D34" s="660" t="str">
        <f>Intv_Ann_TO!D1121</f>
        <v>Muchinga</v>
      </c>
      <c r="J34" s="5">
        <f ca="1">Intv_Ann_TO!J1121</f>
        <v>0</v>
      </c>
      <c r="K34" s="5">
        <f ca="1">Intv_Ann_TO!K1121</f>
        <v>0</v>
      </c>
      <c r="L34" s="5">
        <f ca="1">Intv_Ann_TO!L1121</f>
        <v>0</v>
      </c>
      <c r="M34" s="5">
        <f ca="1">Intv_Ann_TO!M1121</f>
        <v>0</v>
      </c>
      <c r="N34" s="5">
        <f ca="1">Intv_Ann_TO!N1121</f>
        <v>0</v>
      </c>
      <c r="O34" s="5">
        <f ca="1">Intv_Ann_TO!O1121</f>
        <v>0</v>
      </c>
    </row>
    <row r="35" spans="4:15" s="327" customFormat="1" hidden="1" outlineLevel="1" x14ac:dyDescent="0.2">
      <c r="D35" s="660" t="str">
        <f>Intv_Ann_TO!D1122</f>
        <v>Northern</v>
      </c>
      <c r="J35" s="5">
        <f ca="1">Intv_Ann_TO!J1122</f>
        <v>0</v>
      </c>
      <c r="K35" s="5">
        <f ca="1">Intv_Ann_TO!K1122</f>
        <v>0</v>
      </c>
      <c r="L35" s="5">
        <f ca="1">Intv_Ann_TO!L1122</f>
        <v>0</v>
      </c>
      <c r="M35" s="5">
        <f ca="1">Intv_Ann_TO!M1122</f>
        <v>0</v>
      </c>
      <c r="N35" s="5">
        <f ca="1">Intv_Ann_TO!N1122</f>
        <v>0</v>
      </c>
      <c r="O35" s="5">
        <f ca="1">Intv_Ann_TO!O1122</f>
        <v>0</v>
      </c>
    </row>
    <row r="36" spans="4:15" s="327" customFormat="1" hidden="1" outlineLevel="1" x14ac:dyDescent="0.2">
      <c r="D36" s="660" t="str">
        <f>Intv_Ann_TO!D1123</f>
        <v>North-Western</v>
      </c>
      <c r="J36" s="5">
        <f ca="1">Intv_Ann_TO!J1123</f>
        <v>0</v>
      </c>
      <c r="K36" s="5">
        <f ca="1">Intv_Ann_TO!K1123</f>
        <v>0</v>
      </c>
      <c r="L36" s="5">
        <f ca="1">Intv_Ann_TO!L1123</f>
        <v>0</v>
      </c>
      <c r="M36" s="5">
        <f ca="1">Intv_Ann_TO!M1123</f>
        <v>0</v>
      </c>
      <c r="N36" s="5">
        <f ca="1">Intv_Ann_TO!N1123</f>
        <v>0</v>
      </c>
      <c r="O36" s="5">
        <f ca="1">Intv_Ann_TO!O1123</f>
        <v>0</v>
      </c>
    </row>
    <row r="37" spans="4:15" s="327" customFormat="1" hidden="1" outlineLevel="1" x14ac:dyDescent="0.2">
      <c r="D37" s="660" t="str">
        <f>Intv_Ann_TO!D1124</f>
        <v>Southern</v>
      </c>
      <c r="J37" s="5">
        <f ca="1">Intv_Ann_TO!J1124</f>
        <v>0</v>
      </c>
      <c r="K37" s="5">
        <f ca="1">Intv_Ann_TO!K1124</f>
        <v>0</v>
      </c>
      <c r="L37" s="5">
        <f ca="1">Intv_Ann_TO!L1124</f>
        <v>0</v>
      </c>
      <c r="M37" s="5">
        <f ca="1">Intv_Ann_TO!M1124</f>
        <v>0</v>
      </c>
      <c r="N37" s="5">
        <f ca="1">Intv_Ann_TO!N1124</f>
        <v>0</v>
      </c>
      <c r="O37" s="5">
        <f ca="1">Intv_Ann_TO!O1124</f>
        <v>0</v>
      </c>
    </row>
    <row r="38" spans="4:15" s="327" customFormat="1" hidden="1" outlineLevel="1" x14ac:dyDescent="0.2">
      <c r="D38" s="660" t="str">
        <f>Intv_Ann_TO!D1125</f>
        <v>Western</v>
      </c>
      <c r="J38" s="5">
        <f ca="1">Intv_Ann_TO!J1125</f>
        <v>0</v>
      </c>
      <c r="K38" s="5">
        <f ca="1">Intv_Ann_TO!K1125</f>
        <v>0</v>
      </c>
      <c r="L38" s="5">
        <f ca="1">Intv_Ann_TO!L1125</f>
        <v>0</v>
      </c>
      <c r="M38" s="5">
        <f ca="1">Intv_Ann_TO!M1125</f>
        <v>0</v>
      </c>
      <c r="N38" s="5">
        <f ca="1">Intv_Ann_TO!N1125</f>
        <v>0</v>
      </c>
      <c r="O38" s="5">
        <f ca="1">Intv_Ann_TO!O1125</f>
        <v>0</v>
      </c>
    </row>
    <row r="39" spans="4:15" s="327" customFormat="1" ht="15" collapsed="1" x14ac:dyDescent="0.2">
      <c r="D39" s="679" t="str">
        <f>"Total "&amp;D28</f>
        <v>Total Supply Costs</v>
      </c>
      <c r="J39" s="562">
        <f t="shared" ref="J39:O39" ca="1" si="5">SUM(J29:J38)</f>
        <v>0</v>
      </c>
      <c r="K39" s="562">
        <f t="shared" ca="1" si="5"/>
        <v>0</v>
      </c>
      <c r="L39" s="562">
        <f t="shared" ca="1" si="5"/>
        <v>0</v>
      </c>
      <c r="M39" s="562">
        <f t="shared" ca="1" si="5"/>
        <v>0</v>
      </c>
      <c r="N39" s="562">
        <f t="shared" ca="1" si="5"/>
        <v>0</v>
      </c>
      <c r="O39" s="562">
        <f t="shared" ca="1" si="5"/>
        <v>0</v>
      </c>
    </row>
    <row r="40" spans="4:15" s="327" customFormat="1" x14ac:dyDescent="0.2"/>
    <row r="41" spans="4:15" s="327" customFormat="1" ht="15" x14ac:dyDescent="0.2">
      <c r="D41" s="658" t="s">
        <v>1969</v>
      </c>
    </row>
    <row r="42" spans="4:15" s="327" customFormat="1" hidden="1" outlineLevel="1" x14ac:dyDescent="0.2">
      <c r="D42" s="660" t="str">
        <f>Intv_Ann_TO!D1155</f>
        <v>Central</v>
      </c>
      <c r="J42" s="5">
        <f ca="1">Intv_Ann_TO!J1155</f>
        <v>0</v>
      </c>
      <c r="K42" s="5">
        <f ca="1">Intv_Ann_TO!K1155</f>
        <v>0</v>
      </c>
      <c r="L42" s="5">
        <f ca="1">Intv_Ann_TO!L1155</f>
        <v>0</v>
      </c>
      <c r="M42" s="5">
        <f ca="1">Intv_Ann_TO!M1155</f>
        <v>0</v>
      </c>
      <c r="N42" s="5">
        <f ca="1">Intv_Ann_TO!N1155</f>
        <v>0</v>
      </c>
      <c r="O42" s="5">
        <f ca="1">Intv_Ann_TO!O1155</f>
        <v>0</v>
      </c>
    </row>
    <row r="43" spans="4:15" s="327" customFormat="1" hidden="1" outlineLevel="1" x14ac:dyDescent="0.2">
      <c r="D43" s="660" t="str">
        <f>Intv_Ann_TO!D1156</f>
        <v>Copperbelt</v>
      </c>
      <c r="J43" s="5">
        <f ca="1">Intv_Ann_TO!J1156</f>
        <v>0</v>
      </c>
      <c r="K43" s="5">
        <f ca="1">Intv_Ann_TO!K1156</f>
        <v>0</v>
      </c>
      <c r="L43" s="5">
        <f ca="1">Intv_Ann_TO!L1156</f>
        <v>0</v>
      </c>
      <c r="M43" s="5">
        <f ca="1">Intv_Ann_TO!M1156</f>
        <v>0</v>
      </c>
      <c r="N43" s="5">
        <f ca="1">Intv_Ann_TO!N1156</f>
        <v>0</v>
      </c>
      <c r="O43" s="5">
        <f ca="1">Intv_Ann_TO!O1156</f>
        <v>0</v>
      </c>
    </row>
    <row r="44" spans="4:15" s="327" customFormat="1" hidden="1" outlineLevel="1" x14ac:dyDescent="0.2">
      <c r="D44" s="660" t="str">
        <f>Intv_Ann_TO!D1157</f>
        <v>Eastern</v>
      </c>
      <c r="J44" s="5">
        <f ca="1">Intv_Ann_TO!J1157</f>
        <v>0</v>
      </c>
      <c r="K44" s="5">
        <f ca="1">Intv_Ann_TO!K1157</f>
        <v>0</v>
      </c>
      <c r="L44" s="5">
        <f ca="1">Intv_Ann_TO!L1157</f>
        <v>0</v>
      </c>
      <c r="M44" s="5">
        <f ca="1">Intv_Ann_TO!M1157</f>
        <v>0</v>
      </c>
      <c r="N44" s="5">
        <f ca="1">Intv_Ann_TO!N1157</f>
        <v>0</v>
      </c>
      <c r="O44" s="5">
        <f ca="1">Intv_Ann_TO!O1157</f>
        <v>0</v>
      </c>
    </row>
    <row r="45" spans="4:15" s="327" customFormat="1" hidden="1" outlineLevel="1" x14ac:dyDescent="0.2">
      <c r="D45" s="660" t="str">
        <f>Intv_Ann_TO!D1158</f>
        <v>Luapula</v>
      </c>
      <c r="J45" s="5">
        <f ca="1">Intv_Ann_TO!J1158</f>
        <v>0</v>
      </c>
      <c r="K45" s="5">
        <f ca="1">Intv_Ann_TO!K1158</f>
        <v>0</v>
      </c>
      <c r="L45" s="5">
        <f ca="1">Intv_Ann_TO!L1158</f>
        <v>0</v>
      </c>
      <c r="M45" s="5">
        <f ca="1">Intv_Ann_TO!M1158</f>
        <v>0</v>
      </c>
      <c r="N45" s="5">
        <f ca="1">Intv_Ann_TO!N1158</f>
        <v>0</v>
      </c>
      <c r="O45" s="5">
        <f ca="1">Intv_Ann_TO!O1158</f>
        <v>0</v>
      </c>
    </row>
    <row r="46" spans="4:15" s="327" customFormat="1" hidden="1" outlineLevel="1" x14ac:dyDescent="0.2">
      <c r="D46" s="660" t="str">
        <f>Intv_Ann_TO!D1159</f>
        <v>Lusaka</v>
      </c>
      <c r="J46" s="5">
        <f ca="1">Intv_Ann_TO!J1159</f>
        <v>0</v>
      </c>
      <c r="K46" s="5">
        <f ca="1">Intv_Ann_TO!K1159</f>
        <v>0</v>
      </c>
      <c r="L46" s="5">
        <f ca="1">Intv_Ann_TO!L1159</f>
        <v>0</v>
      </c>
      <c r="M46" s="5">
        <f ca="1">Intv_Ann_TO!M1159</f>
        <v>0</v>
      </c>
      <c r="N46" s="5">
        <f ca="1">Intv_Ann_TO!N1159</f>
        <v>0</v>
      </c>
      <c r="O46" s="5">
        <f ca="1">Intv_Ann_TO!O1159</f>
        <v>0</v>
      </c>
    </row>
    <row r="47" spans="4:15" s="327" customFormat="1" hidden="1" outlineLevel="1" x14ac:dyDescent="0.2">
      <c r="D47" s="660" t="str">
        <f>Intv_Ann_TO!D1160</f>
        <v>Muchinga</v>
      </c>
      <c r="J47" s="5">
        <f ca="1">Intv_Ann_TO!J1160</f>
        <v>0</v>
      </c>
      <c r="K47" s="5">
        <f ca="1">Intv_Ann_TO!K1160</f>
        <v>0</v>
      </c>
      <c r="L47" s="5">
        <f ca="1">Intv_Ann_TO!L1160</f>
        <v>0</v>
      </c>
      <c r="M47" s="5">
        <f ca="1">Intv_Ann_TO!M1160</f>
        <v>0</v>
      </c>
      <c r="N47" s="5">
        <f ca="1">Intv_Ann_TO!N1160</f>
        <v>0</v>
      </c>
      <c r="O47" s="5">
        <f ca="1">Intv_Ann_TO!O1160</f>
        <v>0</v>
      </c>
    </row>
    <row r="48" spans="4:15" s="327" customFormat="1" hidden="1" outlineLevel="1" x14ac:dyDescent="0.2">
      <c r="D48" s="660" t="str">
        <f>Intv_Ann_TO!D1161</f>
        <v>Northern</v>
      </c>
      <c r="J48" s="5">
        <f ca="1">Intv_Ann_TO!J1161</f>
        <v>0</v>
      </c>
      <c r="K48" s="5">
        <f ca="1">Intv_Ann_TO!K1161</f>
        <v>0</v>
      </c>
      <c r="L48" s="5">
        <f ca="1">Intv_Ann_TO!L1161</f>
        <v>0</v>
      </c>
      <c r="M48" s="5">
        <f ca="1">Intv_Ann_TO!M1161</f>
        <v>0</v>
      </c>
      <c r="N48" s="5">
        <f ca="1">Intv_Ann_TO!N1161</f>
        <v>0</v>
      </c>
      <c r="O48" s="5">
        <f ca="1">Intv_Ann_TO!O1161</f>
        <v>0</v>
      </c>
    </row>
    <row r="49" spans="4:15" s="327" customFormat="1" hidden="1" outlineLevel="1" x14ac:dyDescent="0.2">
      <c r="D49" s="660" t="str">
        <f>Intv_Ann_TO!D1162</f>
        <v>North-Western</v>
      </c>
      <c r="J49" s="5">
        <f ca="1">Intv_Ann_TO!J1162</f>
        <v>0</v>
      </c>
      <c r="K49" s="5">
        <f ca="1">Intv_Ann_TO!K1162</f>
        <v>0</v>
      </c>
      <c r="L49" s="5">
        <f ca="1">Intv_Ann_TO!L1162</f>
        <v>0</v>
      </c>
      <c r="M49" s="5">
        <f ca="1">Intv_Ann_TO!M1162</f>
        <v>0</v>
      </c>
      <c r="N49" s="5">
        <f ca="1">Intv_Ann_TO!N1162</f>
        <v>0</v>
      </c>
      <c r="O49" s="5">
        <f ca="1">Intv_Ann_TO!O1162</f>
        <v>0</v>
      </c>
    </row>
    <row r="50" spans="4:15" s="327" customFormat="1" hidden="1" outlineLevel="1" x14ac:dyDescent="0.2">
      <c r="D50" s="660" t="str">
        <f>Intv_Ann_TO!D1163</f>
        <v>Southern</v>
      </c>
      <c r="J50" s="5">
        <f ca="1">Intv_Ann_TO!J1163</f>
        <v>0</v>
      </c>
      <c r="K50" s="5">
        <f ca="1">Intv_Ann_TO!K1163</f>
        <v>0</v>
      </c>
      <c r="L50" s="5">
        <f ca="1">Intv_Ann_TO!L1163</f>
        <v>0</v>
      </c>
      <c r="M50" s="5">
        <f ca="1">Intv_Ann_TO!M1163</f>
        <v>0</v>
      </c>
      <c r="N50" s="5">
        <f ca="1">Intv_Ann_TO!N1163</f>
        <v>0</v>
      </c>
      <c r="O50" s="5">
        <f ca="1">Intv_Ann_TO!O1163</f>
        <v>0</v>
      </c>
    </row>
    <row r="51" spans="4:15" s="327" customFormat="1" hidden="1" outlineLevel="1" x14ac:dyDescent="0.2">
      <c r="D51" s="660" t="str">
        <f>Intv_Ann_TO!D1164</f>
        <v>Western</v>
      </c>
      <c r="J51" s="5">
        <f ca="1">Intv_Ann_TO!J1164</f>
        <v>0</v>
      </c>
      <c r="K51" s="5">
        <f ca="1">Intv_Ann_TO!K1164</f>
        <v>0</v>
      </c>
      <c r="L51" s="5">
        <f ca="1">Intv_Ann_TO!L1164</f>
        <v>0</v>
      </c>
      <c r="M51" s="5">
        <f ca="1">Intv_Ann_TO!M1164</f>
        <v>0</v>
      </c>
      <c r="N51" s="5">
        <f ca="1">Intv_Ann_TO!N1164</f>
        <v>0</v>
      </c>
      <c r="O51" s="5">
        <f ca="1">Intv_Ann_TO!O1164</f>
        <v>0</v>
      </c>
    </row>
    <row r="52" spans="4:15" s="327" customFormat="1" ht="15" collapsed="1" x14ac:dyDescent="0.2">
      <c r="D52" s="679" t="str">
        <f>"Total "&amp;D41</f>
        <v>Total Lab Tests and Other Direct Costs (ODC)</v>
      </c>
      <c r="J52" s="562">
        <f t="shared" ref="J52:O52" ca="1" si="6">SUM(J42:J51)</f>
        <v>0</v>
      </c>
      <c r="K52" s="562">
        <f t="shared" ca="1" si="6"/>
        <v>0</v>
      </c>
      <c r="L52" s="562">
        <f t="shared" ca="1" si="6"/>
        <v>0</v>
      </c>
      <c r="M52" s="562">
        <f t="shared" ca="1" si="6"/>
        <v>0</v>
      </c>
      <c r="N52" s="562">
        <f t="shared" ca="1" si="6"/>
        <v>0</v>
      </c>
      <c r="O52" s="562">
        <f t="shared" ca="1" si="6"/>
        <v>0</v>
      </c>
    </row>
    <row r="53" spans="4:15" s="327" customFormat="1" x14ac:dyDescent="0.2"/>
    <row r="54" spans="4:15" s="327" customFormat="1" ht="15" x14ac:dyDescent="0.2">
      <c r="D54" s="658" t="s">
        <v>1939</v>
      </c>
    </row>
    <row r="55" spans="4:15" s="327" customFormat="1" hidden="1" outlineLevel="1" x14ac:dyDescent="0.2">
      <c r="D55" s="660" t="str">
        <f>Intv_Ann_TO!D1116</f>
        <v>Central</v>
      </c>
      <c r="J55" s="5">
        <f t="shared" ref="J55:O64" ca="1" si="7">J29+J42</f>
        <v>0</v>
      </c>
      <c r="K55" s="5">
        <f t="shared" ca="1" si="7"/>
        <v>0</v>
      </c>
      <c r="L55" s="5">
        <f t="shared" ca="1" si="7"/>
        <v>0</v>
      </c>
      <c r="M55" s="5">
        <f t="shared" ca="1" si="7"/>
        <v>0</v>
      </c>
      <c r="N55" s="5">
        <f t="shared" ca="1" si="7"/>
        <v>0</v>
      </c>
      <c r="O55" s="5">
        <f t="shared" ca="1" si="7"/>
        <v>0</v>
      </c>
    </row>
    <row r="56" spans="4:15" s="327" customFormat="1" hidden="1" outlineLevel="1" x14ac:dyDescent="0.2">
      <c r="D56" s="660" t="str">
        <f>Intv_Ann_TO!D1117</f>
        <v>Copperbelt</v>
      </c>
      <c r="J56" s="5">
        <f t="shared" ca="1" si="7"/>
        <v>0</v>
      </c>
      <c r="K56" s="5">
        <f t="shared" ca="1" si="7"/>
        <v>0</v>
      </c>
      <c r="L56" s="5">
        <f t="shared" ca="1" si="7"/>
        <v>0</v>
      </c>
      <c r="M56" s="5">
        <f t="shared" ca="1" si="7"/>
        <v>0</v>
      </c>
      <c r="N56" s="5">
        <f t="shared" ca="1" si="7"/>
        <v>0</v>
      </c>
      <c r="O56" s="5">
        <f t="shared" ca="1" si="7"/>
        <v>0</v>
      </c>
    </row>
    <row r="57" spans="4:15" s="327" customFormat="1" hidden="1" outlineLevel="1" x14ac:dyDescent="0.2">
      <c r="D57" s="660" t="str">
        <f>Intv_Ann_TO!D1118</f>
        <v>Eastern</v>
      </c>
      <c r="J57" s="5">
        <f t="shared" ca="1" si="7"/>
        <v>0</v>
      </c>
      <c r="K57" s="5">
        <f t="shared" ca="1" si="7"/>
        <v>0</v>
      </c>
      <c r="L57" s="5">
        <f t="shared" ca="1" si="7"/>
        <v>0</v>
      </c>
      <c r="M57" s="5">
        <f t="shared" ca="1" si="7"/>
        <v>0</v>
      </c>
      <c r="N57" s="5">
        <f t="shared" ca="1" si="7"/>
        <v>0</v>
      </c>
      <c r="O57" s="5">
        <f t="shared" ca="1" si="7"/>
        <v>0</v>
      </c>
    </row>
    <row r="58" spans="4:15" s="327" customFormat="1" hidden="1" outlineLevel="1" x14ac:dyDescent="0.2">
      <c r="D58" s="660" t="str">
        <f>Intv_Ann_TO!D1119</f>
        <v>Luapula</v>
      </c>
      <c r="J58" s="5">
        <f t="shared" ca="1" si="7"/>
        <v>0</v>
      </c>
      <c r="K58" s="5">
        <f t="shared" ca="1" si="7"/>
        <v>0</v>
      </c>
      <c r="L58" s="5">
        <f t="shared" ca="1" si="7"/>
        <v>0</v>
      </c>
      <c r="M58" s="5">
        <f t="shared" ca="1" si="7"/>
        <v>0</v>
      </c>
      <c r="N58" s="5">
        <f t="shared" ca="1" si="7"/>
        <v>0</v>
      </c>
      <c r="O58" s="5">
        <f t="shared" ca="1" si="7"/>
        <v>0</v>
      </c>
    </row>
    <row r="59" spans="4:15" s="327" customFormat="1" hidden="1" outlineLevel="1" x14ac:dyDescent="0.2">
      <c r="D59" s="660" t="str">
        <f>Intv_Ann_TO!D1120</f>
        <v>Lusaka</v>
      </c>
      <c r="J59" s="5">
        <f t="shared" ca="1" si="7"/>
        <v>0</v>
      </c>
      <c r="K59" s="5">
        <f t="shared" ca="1" si="7"/>
        <v>0</v>
      </c>
      <c r="L59" s="5">
        <f t="shared" ca="1" si="7"/>
        <v>0</v>
      </c>
      <c r="M59" s="5">
        <f t="shared" ca="1" si="7"/>
        <v>0</v>
      </c>
      <c r="N59" s="5">
        <f t="shared" ca="1" si="7"/>
        <v>0</v>
      </c>
      <c r="O59" s="5">
        <f t="shared" ca="1" si="7"/>
        <v>0</v>
      </c>
    </row>
    <row r="60" spans="4:15" s="327" customFormat="1" hidden="1" outlineLevel="1" x14ac:dyDescent="0.2">
      <c r="D60" s="660" t="str">
        <f>Intv_Ann_TO!D1121</f>
        <v>Muchinga</v>
      </c>
      <c r="J60" s="5">
        <f t="shared" ca="1" si="7"/>
        <v>0</v>
      </c>
      <c r="K60" s="5">
        <f t="shared" ca="1" si="7"/>
        <v>0</v>
      </c>
      <c r="L60" s="5">
        <f t="shared" ca="1" si="7"/>
        <v>0</v>
      </c>
      <c r="M60" s="5">
        <f t="shared" ca="1" si="7"/>
        <v>0</v>
      </c>
      <c r="N60" s="5">
        <f t="shared" ca="1" si="7"/>
        <v>0</v>
      </c>
      <c r="O60" s="5">
        <f t="shared" ca="1" si="7"/>
        <v>0</v>
      </c>
    </row>
    <row r="61" spans="4:15" s="327" customFormat="1" hidden="1" outlineLevel="1" x14ac:dyDescent="0.2">
      <c r="D61" s="660" t="str">
        <f>Intv_Ann_TO!D1122</f>
        <v>Northern</v>
      </c>
      <c r="J61" s="5">
        <f t="shared" ca="1" si="7"/>
        <v>0</v>
      </c>
      <c r="K61" s="5">
        <f t="shared" ca="1" si="7"/>
        <v>0</v>
      </c>
      <c r="L61" s="5">
        <f t="shared" ca="1" si="7"/>
        <v>0</v>
      </c>
      <c r="M61" s="5">
        <f t="shared" ca="1" si="7"/>
        <v>0</v>
      </c>
      <c r="N61" s="5">
        <f t="shared" ca="1" si="7"/>
        <v>0</v>
      </c>
      <c r="O61" s="5">
        <f t="shared" ca="1" si="7"/>
        <v>0</v>
      </c>
    </row>
    <row r="62" spans="4:15" s="327" customFormat="1" hidden="1" outlineLevel="1" x14ac:dyDescent="0.2">
      <c r="D62" s="660" t="str">
        <f>Intv_Ann_TO!D1123</f>
        <v>North-Western</v>
      </c>
      <c r="J62" s="5">
        <f t="shared" ca="1" si="7"/>
        <v>0</v>
      </c>
      <c r="K62" s="5">
        <f t="shared" ca="1" si="7"/>
        <v>0</v>
      </c>
      <c r="L62" s="5">
        <f t="shared" ca="1" si="7"/>
        <v>0</v>
      </c>
      <c r="M62" s="5">
        <f t="shared" ca="1" si="7"/>
        <v>0</v>
      </c>
      <c r="N62" s="5">
        <f t="shared" ca="1" si="7"/>
        <v>0</v>
      </c>
      <c r="O62" s="5">
        <f t="shared" ca="1" si="7"/>
        <v>0</v>
      </c>
    </row>
    <row r="63" spans="4:15" s="327" customFormat="1" hidden="1" outlineLevel="1" x14ac:dyDescent="0.2">
      <c r="D63" s="660" t="str">
        <f>Intv_Ann_TO!D1124</f>
        <v>Southern</v>
      </c>
      <c r="J63" s="5">
        <f t="shared" ca="1" si="7"/>
        <v>0</v>
      </c>
      <c r="K63" s="5">
        <f t="shared" ca="1" si="7"/>
        <v>0</v>
      </c>
      <c r="L63" s="5">
        <f t="shared" ca="1" si="7"/>
        <v>0</v>
      </c>
      <c r="M63" s="5">
        <f t="shared" ca="1" si="7"/>
        <v>0</v>
      </c>
      <c r="N63" s="5">
        <f t="shared" ca="1" si="7"/>
        <v>0</v>
      </c>
      <c r="O63" s="5">
        <f t="shared" ca="1" si="7"/>
        <v>0</v>
      </c>
    </row>
    <row r="64" spans="4:15" s="327" customFormat="1" hidden="1" outlineLevel="1" x14ac:dyDescent="0.2">
      <c r="D64" s="660" t="str">
        <f>Intv_Ann_TO!D1125</f>
        <v>Western</v>
      </c>
      <c r="J64" s="5">
        <f t="shared" ca="1" si="7"/>
        <v>0</v>
      </c>
      <c r="K64" s="5">
        <f t="shared" ca="1" si="7"/>
        <v>0</v>
      </c>
      <c r="L64" s="5">
        <f t="shared" ca="1" si="7"/>
        <v>0</v>
      </c>
      <c r="M64" s="5">
        <f t="shared" ca="1" si="7"/>
        <v>0</v>
      </c>
      <c r="N64" s="5">
        <f t="shared" ca="1" si="7"/>
        <v>0</v>
      </c>
      <c r="O64" s="5">
        <f t="shared" ca="1" si="7"/>
        <v>0</v>
      </c>
    </row>
    <row r="65" spans="4:15" s="327" customFormat="1" ht="15.75" collapsed="1" thickBot="1" x14ac:dyDescent="0.25">
      <c r="D65" s="679" t="str">
        <f>"Total "&amp;D54</f>
        <v>Total Recurrent Financial Costs</v>
      </c>
      <c r="J65" s="624">
        <f t="shared" ref="J65:O65" ca="1" si="8">SUM(J55:J64)</f>
        <v>0</v>
      </c>
      <c r="K65" s="624">
        <f t="shared" ca="1" si="8"/>
        <v>0</v>
      </c>
      <c r="L65" s="624">
        <f t="shared" ca="1" si="8"/>
        <v>0</v>
      </c>
      <c r="M65" s="624">
        <f t="shared" ca="1" si="8"/>
        <v>0</v>
      </c>
      <c r="N65" s="624">
        <f t="shared" ca="1" si="8"/>
        <v>0</v>
      </c>
      <c r="O65" s="624">
        <f t="shared" ca="1" si="8"/>
        <v>0</v>
      </c>
    </row>
    <row r="66" spans="4:15" s="327" customFormat="1" ht="13.5" thickTop="1" x14ac:dyDescent="0.2"/>
    <row r="67" spans="4:15" s="327" customFormat="1" ht="15" x14ac:dyDescent="0.2">
      <c r="D67" s="658" t="s">
        <v>1940</v>
      </c>
    </row>
    <row r="68" spans="4:15" s="327" customFormat="1" hidden="1" outlineLevel="1" x14ac:dyDescent="0.2">
      <c r="D68" s="660" t="str">
        <f>Intv_Ann_TO!D1116</f>
        <v>Central</v>
      </c>
      <c r="J68" s="5">
        <f t="shared" ref="J68:O77" ca="1" si="9">J16+J29+J42</f>
        <v>0</v>
      </c>
      <c r="K68" s="5">
        <f t="shared" ca="1" si="9"/>
        <v>0</v>
      </c>
      <c r="L68" s="5">
        <f t="shared" ca="1" si="9"/>
        <v>0</v>
      </c>
      <c r="M68" s="5">
        <f t="shared" ca="1" si="9"/>
        <v>0</v>
      </c>
      <c r="N68" s="5">
        <f t="shared" ca="1" si="9"/>
        <v>0</v>
      </c>
      <c r="O68" s="5">
        <f t="shared" ca="1" si="9"/>
        <v>0</v>
      </c>
    </row>
    <row r="69" spans="4:15" s="327" customFormat="1" hidden="1" outlineLevel="1" x14ac:dyDescent="0.2">
      <c r="D69" s="660" t="str">
        <f>Intv_Ann_TO!D1117</f>
        <v>Copperbelt</v>
      </c>
      <c r="J69" s="5">
        <f t="shared" ca="1" si="9"/>
        <v>0</v>
      </c>
      <c r="K69" s="5">
        <f t="shared" ca="1" si="9"/>
        <v>0</v>
      </c>
      <c r="L69" s="5">
        <f t="shared" ca="1" si="9"/>
        <v>0</v>
      </c>
      <c r="M69" s="5">
        <f t="shared" ca="1" si="9"/>
        <v>0</v>
      </c>
      <c r="N69" s="5">
        <f t="shared" ca="1" si="9"/>
        <v>0</v>
      </c>
      <c r="O69" s="5">
        <f t="shared" ca="1" si="9"/>
        <v>0</v>
      </c>
    </row>
    <row r="70" spans="4:15" s="327" customFormat="1" hidden="1" outlineLevel="1" x14ac:dyDescent="0.2">
      <c r="D70" s="660" t="str">
        <f>Intv_Ann_TO!D1118</f>
        <v>Eastern</v>
      </c>
      <c r="J70" s="5">
        <f t="shared" ca="1" si="9"/>
        <v>0</v>
      </c>
      <c r="K70" s="5">
        <f t="shared" ca="1" si="9"/>
        <v>0</v>
      </c>
      <c r="L70" s="5">
        <f t="shared" ca="1" si="9"/>
        <v>0</v>
      </c>
      <c r="M70" s="5">
        <f t="shared" ca="1" si="9"/>
        <v>0</v>
      </c>
      <c r="N70" s="5">
        <f t="shared" ca="1" si="9"/>
        <v>0</v>
      </c>
      <c r="O70" s="5">
        <f t="shared" ca="1" si="9"/>
        <v>0</v>
      </c>
    </row>
    <row r="71" spans="4:15" s="327" customFormat="1" hidden="1" outlineLevel="1" x14ac:dyDescent="0.2">
      <c r="D71" s="660" t="str">
        <f>Intv_Ann_TO!D1119</f>
        <v>Luapula</v>
      </c>
      <c r="J71" s="5">
        <f t="shared" ca="1" si="9"/>
        <v>0</v>
      </c>
      <c r="K71" s="5">
        <f t="shared" ca="1" si="9"/>
        <v>0</v>
      </c>
      <c r="L71" s="5">
        <f t="shared" ca="1" si="9"/>
        <v>0</v>
      </c>
      <c r="M71" s="5">
        <f t="shared" ca="1" si="9"/>
        <v>0</v>
      </c>
      <c r="N71" s="5">
        <f t="shared" ca="1" si="9"/>
        <v>0</v>
      </c>
      <c r="O71" s="5">
        <f t="shared" ca="1" si="9"/>
        <v>0</v>
      </c>
    </row>
    <row r="72" spans="4:15" s="327" customFormat="1" hidden="1" outlineLevel="1" x14ac:dyDescent="0.2">
      <c r="D72" s="660" t="str">
        <f>Intv_Ann_TO!D1120</f>
        <v>Lusaka</v>
      </c>
      <c r="J72" s="5">
        <f t="shared" ca="1" si="9"/>
        <v>0</v>
      </c>
      <c r="K72" s="5">
        <f t="shared" ca="1" si="9"/>
        <v>0</v>
      </c>
      <c r="L72" s="5">
        <f t="shared" ca="1" si="9"/>
        <v>0</v>
      </c>
      <c r="M72" s="5">
        <f t="shared" ca="1" si="9"/>
        <v>0</v>
      </c>
      <c r="N72" s="5">
        <f t="shared" ca="1" si="9"/>
        <v>0</v>
      </c>
      <c r="O72" s="5">
        <f t="shared" ca="1" si="9"/>
        <v>0</v>
      </c>
    </row>
    <row r="73" spans="4:15" s="327" customFormat="1" hidden="1" outlineLevel="1" x14ac:dyDescent="0.2">
      <c r="D73" s="660" t="str">
        <f>Intv_Ann_TO!D1121</f>
        <v>Muchinga</v>
      </c>
      <c r="J73" s="5">
        <f t="shared" ca="1" si="9"/>
        <v>0</v>
      </c>
      <c r="K73" s="5">
        <f t="shared" ca="1" si="9"/>
        <v>0</v>
      </c>
      <c r="L73" s="5">
        <f t="shared" ca="1" si="9"/>
        <v>0</v>
      </c>
      <c r="M73" s="5">
        <f t="shared" ca="1" si="9"/>
        <v>0</v>
      </c>
      <c r="N73" s="5">
        <f t="shared" ca="1" si="9"/>
        <v>0</v>
      </c>
      <c r="O73" s="5">
        <f t="shared" ca="1" si="9"/>
        <v>0</v>
      </c>
    </row>
    <row r="74" spans="4:15" s="327" customFormat="1" hidden="1" outlineLevel="1" x14ac:dyDescent="0.2">
      <c r="D74" s="660" t="str">
        <f>Intv_Ann_TO!D1122</f>
        <v>Northern</v>
      </c>
      <c r="J74" s="5">
        <f t="shared" ca="1" si="9"/>
        <v>0</v>
      </c>
      <c r="K74" s="5">
        <f t="shared" ca="1" si="9"/>
        <v>0</v>
      </c>
      <c r="L74" s="5">
        <f t="shared" ca="1" si="9"/>
        <v>0</v>
      </c>
      <c r="M74" s="5">
        <f t="shared" ca="1" si="9"/>
        <v>0</v>
      </c>
      <c r="N74" s="5">
        <f t="shared" ca="1" si="9"/>
        <v>0</v>
      </c>
      <c r="O74" s="5">
        <f t="shared" ca="1" si="9"/>
        <v>0</v>
      </c>
    </row>
    <row r="75" spans="4:15" s="327" customFormat="1" hidden="1" outlineLevel="1" x14ac:dyDescent="0.2">
      <c r="D75" s="660" t="str">
        <f>Intv_Ann_TO!D1123</f>
        <v>North-Western</v>
      </c>
      <c r="J75" s="5">
        <f t="shared" ca="1" si="9"/>
        <v>0</v>
      </c>
      <c r="K75" s="5">
        <f t="shared" ca="1" si="9"/>
        <v>0</v>
      </c>
      <c r="L75" s="5">
        <f t="shared" ca="1" si="9"/>
        <v>0</v>
      </c>
      <c r="M75" s="5">
        <f t="shared" ca="1" si="9"/>
        <v>0</v>
      </c>
      <c r="N75" s="5">
        <f t="shared" ca="1" si="9"/>
        <v>0</v>
      </c>
      <c r="O75" s="5">
        <f t="shared" ca="1" si="9"/>
        <v>0</v>
      </c>
    </row>
    <row r="76" spans="4:15" s="327" customFormat="1" hidden="1" outlineLevel="1" x14ac:dyDescent="0.2">
      <c r="D76" s="660" t="str">
        <f>Intv_Ann_TO!D1124</f>
        <v>Southern</v>
      </c>
      <c r="J76" s="5">
        <f t="shared" ca="1" si="9"/>
        <v>0</v>
      </c>
      <c r="K76" s="5">
        <f t="shared" ca="1" si="9"/>
        <v>0</v>
      </c>
      <c r="L76" s="5">
        <f t="shared" ca="1" si="9"/>
        <v>0</v>
      </c>
      <c r="M76" s="5">
        <f t="shared" ca="1" si="9"/>
        <v>0</v>
      </c>
      <c r="N76" s="5">
        <f t="shared" ca="1" si="9"/>
        <v>0</v>
      </c>
      <c r="O76" s="5">
        <f t="shared" ca="1" si="9"/>
        <v>0</v>
      </c>
    </row>
    <row r="77" spans="4:15" s="327" customFormat="1" hidden="1" outlineLevel="1" x14ac:dyDescent="0.2">
      <c r="D77" s="660" t="str">
        <f>Intv_Ann_TO!D1125</f>
        <v>Western</v>
      </c>
      <c r="J77" s="5">
        <f t="shared" ca="1" si="9"/>
        <v>0</v>
      </c>
      <c r="K77" s="5">
        <f t="shared" ca="1" si="9"/>
        <v>0</v>
      </c>
      <c r="L77" s="5">
        <f t="shared" ca="1" si="9"/>
        <v>0</v>
      </c>
      <c r="M77" s="5">
        <f t="shared" ca="1" si="9"/>
        <v>0</v>
      </c>
      <c r="N77" s="5">
        <f t="shared" ca="1" si="9"/>
        <v>0</v>
      </c>
      <c r="O77" s="5">
        <f t="shared" ca="1" si="9"/>
        <v>0</v>
      </c>
    </row>
    <row r="78" spans="4:15" s="327" customFormat="1" ht="15.75" collapsed="1" thickBot="1" x14ac:dyDescent="0.25">
      <c r="D78" s="679" t="str">
        <f>"Total "&amp;D67</f>
        <v>Total Recurrent Economic Costs</v>
      </c>
      <c r="J78" s="624">
        <f t="shared" ref="J78:O78" ca="1" si="10">SUM(J68:J77)</f>
        <v>0</v>
      </c>
      <c r="K78" s="624">
        <f t="shared" ca="1" si="10"/>
        <v>0</v>
      </c>
      <c r="L78" s="624">
        <f t="shared" ca="1" si="10"/>
        <v>0</v>
      </c>
      <c r="M78" s="624">
        <f t="shared" ca="1" si="10"/>
        <v>0</v>
      </c>
      <c r="N78" s="624">
        <f t="shared" ca="1" si="10"/>
        <v>0</v>
      </c>
      <c r="O78" s="624">
        <f t="shared" ca="1" si="10"/>
        <v>0</v>
      </c>
    </row>
    <row r="79" spans="4:15" s="327" customFormat="1" ht="13.5" thickTop="1" x14ac:dyDescent="0.2"/>
    <row r="80" spans="4:15" s="327" customFormat="1" x14ac:dyDescent="0.2"/>
    <row r="81" spans="3:15" s="327" customFormat="1" ht="15.75" x14ac:dyDescent="0.2">
      <c r="C81" s="330" t="s">
        <v>1932</v>
      </c>
    </row>
    <row r="82" spans="3:15" s="327" customFormat="1" ht="15" x14ac:dyDescent="0.2">
      <c r="D82" s="646" t="str">
        <f>Intv_Ann_TO!D1170</f>
        <v>Financial Capital Expenditures (Capex) (NonAnnualized)</v>
      </c>
    </row>
    <row r="83" spans="3:15" s="327" customFormat="1" hidden="1" outlineLevel="1" x14ac:dyDescent="0.2">
      <c r="D83" s="660" t="str">
        <f>Intv_Ann_TO!D1171</f>
        <v>Central</v>
      </c>
      <c r="J83" s="5">
        <f>Intv_Ann_TO!J1171</f>
        <v>0</v>
      </c>
      <c r="K83" s="5">
        <f>Intv_Ann_TO!K1171</f>
        <v>0</v>
      </c>
      <c r="L83" s="5">
        <f>Intv_Ann_TO!L1171</f>
        <v>0</v>
      </c>
      <c r="M83" s="5">
        <f>Intv_Ann_TO!M1171</f>
        <v>0</v>
      </c>
      <c r="N83" s="5">
        <f>Intv_Ann_TO!N1171</f>
        <v>0</v>
      </c>
      <c r="O83" s="5">
        <f>Intv_Ann_TO!O1171</f>
        <v>0</v>
      </c>
    </row>
    <row r="84" spans="3:15" s="327" customFormat="1" hidden="1" outlineLevel="1" x14ac:dyDescent="0.2">
      <c r="D84" s="660" t="str">
        <f>Intv_Ann_TO!D1172</f>
        <v>Copperbelt</v>
      </c>
      <c r="J84" s="5">
        <f>Intv_Ann_TO!J1172</f>
        <v>0</v>
      </c>
      <c r="K84" s="5">
        <f>Intv_Ann_TO!K1172</f>
        <v>0</v>
      </c>
      <c r="L84" s="5">
        <f>Intv_Ann_TO!L1172</f>
        <v>0</v>
      </c>
      <c r="M84" s="5">
        <f>Intv_Ann_TO!M1172</f>
        <v>0</v>
      </c>
      <c r="N84" s="5">
        <f>Intv_Ann_TO!N1172</f>
        <v>0</v>
      </c>
      <c r="O84" s="5">
        <f>Intv_Ann_TO!O1172</f>
        <v>0</v>
      </c>
    </row>
    <row r="85" spans="3:15" s="327" customFormat="1" hidden="1" outlineLevel="1" x14ac:dyDescent="0.2">
      <c r="D85" s="660" t="str">
        <f>Intv_Ann_TO!D1173</f>
        <v>Eastern</v>
      </c>
      <c r="J85" s="5">
        <f>Intv_Ann_TO!J1173</f>
        <v>0</v>
      </c>
      <c r="K85" s="5">
        <f>Intv_Ann_TO!K1173</f>
        <v>0</v>
      </c>
      <c r="L85" s="5">
        <f>Intv_Ann_TO!L1173</f>
        <v>0</v>
      </c>
      <c r="M85" s="5">
        <f>Intv_Ann_TO!M1173</f>
        <v>0</v>
      </c>
      <c r="N85" s="5">
        <f>Intv_Ann_TO!N1173</f>
        <v>0</v>
      </c>
      <c r="O85" s="5">
        <f>Intv_Ann_TO!O1173</f>
        <v>0</v>
      </c>
    </row>
    <row r="86" spans="3:15" s="327" customFormat="1" hidden="1" outlineLevel="1" x14ac:dyDescent="0.2">
      <c r="D86" s="660" t="str">
        <f>Intv_Ann_TO!D1174</f>
        <v>Luapula</v>
      </c>
      <c r="J86" s="5">
        <f>Intv_Ann_TO!J1174</f>
        <v>0</v>
      </c>
      <c r="K86" s="5">
        <f>Intv_Ann_TO!K1174</f>
        <v>0</v>
      </c>
      <c r="L86" s="5">
        <f>Intv_Ann_TO!L1174</f>
        <v>0</v>
      </c>
      <c r="M86" s="5">
        <f>Intv_Ann_TO!M1174</f>
        <v>0</v>
      </c>
      <c r="N86" s="5">
        <f>Intv_Ann_TO!N1174</f>
        <v>0</v>
      </c>
      <c r="O86" s="5">
        <f>Intv_Ann_TO!O1174</f>
        <v>0</v>
      </c>
    </row>
    <row r="87" spans="3:15" s="327" customFormat="1" hidden="1" outlineLevel="1" x14ac:dyDescent="0.2">
      <c r="D87" s="660" t="str">
        <f>Intv_Ann_TO!D1175</f>
        <v>Lusaka</v>
      </c>
      <c r="J87" s="5">
        <f>Intv_Ann_TO!J1175</f>
        <v>0</v>
      </c>
      <c r="K87" s="5">
        <f>Intv_Ann_TO!K1175</f>
        <v>0</v>
      </c>
      <c r="L87" s="5">
        <f>Intv_Ann_TO!L1175</f>
        <v>0</v>
      </c>
      <c r="M87" s="5">
        <f>Intv_Ann_TO!M1175</f>
        <v>0</v>
      </c>
      <c r="N87" s="5">
        <f>Intv_Ann_TO!N1175</f>
        <v>0</v>
      </c>
      <c r="O87" s="5">
        <f>Intv_Ann_TO!O1175</f>
        <v>0</v>
      </c>
    </row>
    <row r="88" spans="3:15" s="327" customFormat="1" hidden="1" outlineLevel="1" x14ac:dyDescent="0.2">
      <c r="D88" s="660" t="str">
        <f>Intv_Ann_TO!D1176</f>
        <v>Muchinga</v>
      </c>
      <c r="J88" s="5">
        <f>Intv_Ann_TO!J1176</f>
        <v>0</v>
      </c>
      <c r="K88" s="5">
        <f>Intv_Ann_TO!K1176</f>
        <v>0</v>
      </c>
      <c r="L88" s="5">
        <f>Intv_Ann_TO!L1176</f>
        <v>0</v>
      </c>
      <c r="M88" s="5">
        <f>Intv_Ann_TO!M1176</f>
        <v>0</v>
      </c>
      <c r="N88" s="5">
        <f>Intv_Ann_TO!N1176</f>
        <v>0</v>
      </c>
      <c r="O88" s="5">
        <f>Intv_Ann_TO!O1176</f>
        <v>0</v>
      </c>
    </row>
    <row r="89" spans="3:15" s="327" customFormat="1" hidden="1" outlineLevel="1" x14ac:dyDescent="0.2">
      <c r="D89" s="660" t="str">
        <f>Intv_Ann_TO!D1177</f>
        <v>Northern</v>
      </c>
      <c r="J89" s="5">
        <f>Intv_Ann_TO!J1177</f>
        <v>0</v>
      </c>
      <c r="K89" s="5">
        <f>Intv_Ann_TO!K1177</f>
        <v>0</v>
      </c>
      <c r="L89" s="5">
        <f>Intv_Ann_TO!L1177</f>
        <v>0</v>
      </c>
      <c r="M89" s="5">
        <f>Intv_Ann_TO!M1177</f>
        <v>0</v>
      </c>
      <c r="N89" s="5">
        <f>Intv_Ann_TO!N1177</f>
        <v>0</v>
      </c>
      <c r="O89" s="5">
        <f>Intv_Ann_TO!O1177</f>
        <v>0</v>
      </c>
    </row>
    <row r="90" spans="3:15" s="327" customFormat="1" hidden="1" outlineLevel="1" x14ac:dyDescent="0.2">
      <c r="D90" s="660" t="str">
        <f>Intv_Ann_TO!D1178</f>
        <v>North-Western</v>
      </c>
      <c r="J90" s="5">
        <f>Intv_Ann_TO!J1178</f>
        <v>0</v>
      </c>
      <c r="K90" s="5">
        <f>Intv_Ann_TO!K1178</f>
        <v>0</v>
      </c>
      <c r="L90" s="5">
        <f>Intv_Ann_TO!L1178</f>
        <v>0</v>
      </c>
      <c r="M90" s="5">
        <f>Intv_Ann_TO!M1178</f>
        <v>0</v>
      </c>
      <c r="N90" s="5">
        <f>Intv_Ann_TO!N1178</f>
        <v>0</v>
      </c>
      <c r="O90" s="5">
        <f>Intv_Ann_TO!O1178</f>
        <v>0</v>
      </c>
    </row>
    <row r="91" spans="3:15" s="327" customFormat="1" hidden="1" outlineLevel="1" x14ac:dyDescent="0.2">
      <c r="D91" s="660" t="str">
        <f>Intv_Ann_TO!D1179</f>
        <v>Southern</v>
      </c>
      <c r="J91" s="5">
        <f>Intv_Ann_TO!J1179</f>
        <v>0</v>
      </c>
      <c r="K91" s="5">
        <f>Intv_Ann_TO!K1179</f>
        <v>0</v>
      </c>
      <c r="L91" s="5">
        <f>Intv_Ann_TO!L1179</f>
        <v>0</v>
      </c>
      <c r="M91" s="5">
        <f>Intv_Ann_TO!M1179</f>
        <v>0</v>
      </c>
      <c r="N91" s="5">
        <f>Intv_Ann_TO!N1179</f>
        <v>0</v>
      </c>
      <c r="O91" s="5">
        <f>Intv_Ann_TO!O1179</f>
        <v>0</v>
      </c>
    </row>
    <row r="92" spans="3:15" s="327" customFormat="1" hidden="1" outlineLevel="1" x14ac:dyDescent="0.2">
      <c r="D92" s="660" t="str">
        <f>Intv_Ann_TO!D1180</f>
        <v>Western</v>
      </c>
      <c r="J92" s="5">
        <f>Intv_Ann_TO!J1180</f>
        <v>0</v>
      </c>
      <c r="K92" s="5">
        <f>Intv_Ann_TO!K1180</f>
        <v>0</v>
      </c>
      <c r="L92" s="5">
        <f>Intv_Ann_TO!L1180</f>
        <v>0</v>
      </c>
      <c r="M92" s="5">
        <f>Intv_Ann_TO!M1180</f>
        <v>0</v>
      </c>
      <c r="N92" s="5">
        <f>Intv_Ann_TO!N1180</f>
        <v>0</v>
      </c>
      <c r="O92" s="5">
        <f>Intv_Ann_TO!O1180</f>
        <v>0</v>
      </c>
    </row>
    <row r="93" spans="3:15" s="327" customFormat="1" ht="15.75" collapsed="1" thickBot="1" x14ac:dyDescent="0.25">
      <c r="D93" s="679" t="str">
        <f>"Total "&amp;D82</f>
        <v>Total Financial Capital Expenditures (Capex) (NonAnnualized)</v>
      </c>
      <c r="J93" s="624">
        <f t="shared" ref="J93:O93" si="11">SUM(J83:J92)</f>
        <v>0</v>
      </c>
      <c r="K93" s="624">
        <f t="shared" si="11"/>
        <v>0</v>
      </c>
      <c r="L93" s="624">
        <f t="shared" si="11"/>
        <v>0</v>
      </c>
      <c r="M93" s="624">
        <f t="shared" si="11"/>
        <v>0</v>
      </c>
      <c r="N93" s="624">
        <f t="shared" si="11"/>
        <v>0</v>
      </c>
      <c r="O93" s="624">
        <f t="shared" si="11"/>
        <v>0</v>
      </c>
    </row>
    <row r="94" spans="3:15" s="327" customFormat="1" ht="13.5" thickTop="1" x14ac:dyDescent="0.2"/>
    <row r="95" spans="3:15" s="327" customFormat="1" ht="15" x14ac:dyDescent="0.2">
      <c r="D95" s="646" t="str">
        <f>Intv_Ann_TO!D1182</f>
        <v>Financial Capital Expenditures (Capex) (Annualized)</v>
      </c>
    </row>
    <row r="96" spans="3:15" s="327" customFormat="1" hidden="1" outlineLevel="1" x14ac:dyDescent="0.2">
      <c r="D96" s="660" t="str">
        <f>Intv_Ann_TO!D1183</f>
        <v>Central</v>
      </c>
      <c r="J96" s="5">
        <f>Intv_Ann_TO!J1183</f>
        <v>0</v>
      </c>
      <c r="K96" s="5">
        <f>Intv_Ann_TO!K1183</f>
        <v>0</v>
      </c>
      <c r="L96" s="5">
        <f>Intv_Ann_TO!L1183</f>
        <v>0</v>
      </c>
      <c r="M96" s="5">
        <f>Intv_Ann_TO!M1183</f>
        <v>0</v>
      </c>
      <c r="N96" s="5">
        <f>Intv_Ann_TO!N1183</f>
        <v>0</v>
      </c>
      <c r="O96" s="5">
        <f>Intv_Ann_TO!O1183</f>
        <v>0</v>
      </c>
    </row>
    <row r="97" spans="4:15" s="327" customFormat="1" hidden="1" outlineLevel="1" x14ac:dyDescent="0.2">
      <c r="D97" s="660" t="str">
        <f>Intv_Ann_TO!D1184</f>
        <v>Copperbelt</v>
      </c>
      <c r="J97" s="5">
        <f>Intv_Ann_TO!J1184</f>
        <v>0</v>
      </c>
      <c r="K97" s="5">
        <f>Intv_Ann_TO!K1184</f>
        <v>0</v>
      </c>
      <c r="L97" s="5">
        <f>Intv_Ann_TO!L1184</f>
        <v>0</v>
      </c>
      <c r="M97" s="5">
        <f>Intv_Ann_TO!M1184</f>
        <v>0</v>
      </c>
      <c r="N97" s="5">
        <f>Intv_Ann_TO!N1184</f>
        <v>0</v>
      </c>
      <c r="O97" s="5">
        <f>Intv_Ann_TO!O1184</f>
        <v>0</v>
      </c>
    </row>
    <row r="98" spans="4:15" s="327" customFormat="1" hidden="1" outlineLevel="1" x14ac:dyDescent="0.2">
      <c r="D98" s="660" t="str">
        <f>Intv_Ann_TO!D1185</f>
        <v>Eastern</v>
      </c>
      <c r="J98" s="5">
        <f>Intv_Ann_TO!J1185</f>
        <v>0</v>
      </c>
      <c r="K98" s="5">
        <f>Intv_Ann_TO!K1185</f>
        <v>0</v>
      </c>
      <c r="L98" s="5">
        <f>Intv_Ann_TO!L1185</f>
        <v>0</v>
      </c>
      <c r="M98" s="5">
        <f>Intv_Ann_TO!M1185</f>
        <v>0</v>
      </c>
      <c r="N98" s="5">
        <f>Intv_Ann_TO!N1185</f>
        <v>0</v>
      </c>
      <c r="O98" s="5">
        <f>Intv_Ann_TO!O1185</f>
        <v>0</v>
      </c>
    </row>
    <row r="99" spans="4:15" s="327" customFormat="1" hidden="1" outlineLevel="1" x14ac:dyDescent="0.2">
      <c r="D99" s="660" t="str">
        <f>Intv_Ann_TO!D1186</f>
        <v>Luapula</v>
      </c>
      <c r="J99" s="5">
        <f>Intv_Ann_TO!J1186</f>
        <v>0</v>
      </c>
      <c r="K99" s="5">
        <f>Intv_Ann_TO!K1186</f>
        <v>0</v>
      </c>
      <c r="L99" s="5">
        <f>Intv_Ann_TO!L1186</f>
        <v>0</v>
      </c>
      <c r="M99" s="5">
        <f>Intv_Ann_TO!M1186</f>
        <v>0</v>
      </c>
      <c r="N99" s="5">
        <f>Intv_Ann_TO!N1186</f>
        <v>0</v>
      </c>
      <c r="O99" s="5">
        <f>Intv_Ann_TO!O1186</f>
        <v>0</v>
      </c>
    </row>
    <row r="100" spans="4:15" s="327" customFormat="1" hidden="1" outlineLevel="1" x14ac:dyDescent="0.2">
      <c r="D100" s="660" t="str">
        <f>Intv_Ann_TO!D1187</f>
        <v>Lusaka</v>
      </c>
      <c r="J100" s="5">
        <f>Intv_Ann_TO!J1187</f>
        <v>0</v>
      </c>
      <c r="K100" s="5">
        <f>Intv_Ann_TO!K1187</f>
        <v>0</v>
      </c>
      <c r="L100" s="5">
        <f>Intv_Ann_TO!L1187</f>
        <v>0</v>
      </c>
      <c r="M100" s="5">
        <f>Intv_Ann_TO!M1187</f>
        <v>0</v>
      </c>
      <c r="N100" s="5">
        <f>Intv_Ann_TO!N1187</f>
        <v>0</v>
      </c>
      <c r="O100" s="5">
        <f>Intv_Ann_TO!O1187</f>
        <v>0</v>
      </c>
    </row>
    <row r="101" spans="4:15" s="327" customFormat="1" hidden="1" outlineLevel="1" x14ac:dyDescent="0.2">
      <c r="D101" s="660" t="str">
        <f>Intv_Ann_TO!D1188</f>
        <v>Muchinga</v>
      </c>
      <c r="J101" s="5">
        <f>Intv_Ann_TO!J1188</f>
        <v>0</v>
      </c>
      <c r="K101" s="5">
        <f>Intv_Ann_TO!K1188</f>
        <v>0</v>
      </c>
      <c r="L101" s="5">
        <f>Intv_Ann_TO!L1188</f>
        <v>0</v>
      </c>
      <c r="M101" s="5">
        <f>Intv_Ann_TO!M1188</f>
        <v>0</v>
      </c>
      <c r="N101" s="5">
        <f>Intv_Ann_TO!N1188</f>
        <v>0</v>
      </c>
      <c r="O101" s="5">
        <f>Intv_Ann_TO!O1188</f>
        <v>0</v>
      </c>
    </row>
    <row r="102" spans="4:15" s="327" customFormat="1" hidden="1" outlineLevel="1" x14ac:dyDescent="0.2">
      <c r="D102" s="660" t="str">
        <f>Intv_Ann_TO!D1189</f>
        <v>Northern</v>
      </c>
      <c r="J102" s="5">
        <f>Intv_Ann_TO!J1189</f>
        <v>0</v>
      </c>
      <c r="K102" s="5">
        <f>Intv_Ann_TO!K1189</f>
        <v>0</v>
      </c>
      <c r="L102" s="5">
        <f>Intv_Ann_TO!L1189</f>
        <v>0</v>
      </c>
      <c r="M102" s="5">
        <f>Intv_Ann_TO!M1189</f>
        <v>0</v>
      </c>
      <c r="N102" s="5">
        <f>Intv_Ann_TO!N1189</f>
        <v>0</v>
      </c>
      <c r="O102" s="5">
        <f>Intv_Ann_TO!O1189</f>
        <v>0</v>
      </c>
    </row>
    <row r="103" spans="4:15" s="327" customFormat="1" hidden="1" outlineLevel="1" x14ac:dyDescent="0.2">
      <c r="D103" s="660" t="str">
        <f>Intv_Ann_TO!D1190</f>
        <v>North-Western</v>
      </c>
      <c r="J103" s="5">
        <f>Intv_Ann_TO!J1190</f>
        <v>0</v>
      </c>
      <c r="K103" s="5">
        <f>Intv_Ann_TO!K1190</f>
        <v>0</v>
      </c>
      <c r="L103" s="5">
        <f>Intv_Ann_TO!L1190</f>
        <v>0</v>
      </c>
      <c r="M103" s="5">
        <f>Intv_Ann_TO!M1190</f>
        <v>0</v>
      </c>
      <c r="N103" s="5">
        <f>Intv_Ann_TO!N1190</f>
        <v>0</v>
      </c>
      <c r="O103" s="5">
        <f>Intv_Ann_TO!O1190</f>
        <v>0</v>
      </c>
    </row>
    <row r="104" spans="4:15" s="327" customFormat="1" hidden="1" outlineLevel="1" x14ac:dyDescent="0.2">
      <c r="D104" s="660" t="str">
        <f>Intv_Ann_TO!D1191</f>
        <v>Southern</v>
      </c>
      <c r="J104" s="5">
        <f>Intv_Ann_TO!J1191</f>
        <v>0</v>
      </c>
      <c r="K104" s="5">
        <f>Intv_Ann_TO!K1191</f>
        <v>0</v>
      </c>
      <c r="L104" s="5">
        <f>Intv_Ann_TO!L1191</f>
        <v>0</v>
      </c>
      <c r="M104" s="5">
        <f>Intv_Ann_TO!M1191</f>
        <v>0</v>
      </c>
      <c r="N104" s="5">
        <f>Intv_Ann_TO!N1191</f>
        <v>0</v>
      </c>
      <c r="O104" s="5">
        <f>Intv_Ann_TO!O1191</f>
        <v>0</v>
      </c>
    </row>
    <row r="105" spans="4:15" s="327" customFormat="1" hidden="1" outlineLevel="1" x14ac:dyDescent="0.2">
      <c r="D105" s="660" t="str">
        <f>Intv_Ann_TO!D1192</f>
        <v>Western</v>
      </c>
      <c r="J105" s="5">
        <f>Intv_Ann_TO!J1192</f>
        <v>0</v>
      </c>
      <c r="K105" s="5">
        <f>Intv_Ann_TO!K1192</f>
        <v>0</v>
      </c>
      <c r="L105" s="5">
        <f>Intv_Ann_TO!L1192</f>
        <v>0</v>
      </c>
      <c r="M105" s="5">
        <f>Intv_Ann_TO!M1192</f>
        <v>0</v>
      </c>
      <c r="N105" s="5">
        <f>Intv_Ann_TO!N1192</f>
        <v>0</v>
      </c>
      <c r="O105" s="5">
        <f>Intv_Ann_TO!O1192</f>
        <v>0</v>
      </c>
    </row>
    <row r="106" spans="4:15" s="327" customFormat="1" ht="15.75" collapsed="1" thickBot="1" x14ac:dyDescent="0.25">
      <c r="D106" s="679" t="str">
        <f>"Total "&amp;D95</f>
        <v>Total Financial Capital Expenditures (Capex) (Annualized)</v>
      </c>
      <c r="J106" s="624">
        <f t="shared" ref="J106:O106" si="12">SUM(J96:J105)</f>
        <v>0</v>
      </c>
      <c r="K106" s="624">
        <f t="shared" si="12"/>
        <v>0</v>
      </c>
      <c r="L106" s="624">
        <f t="shared" si="12"/>
        <v>0</v>
      </c>
      <c r="M106" s="624">
        <f t="shared" si="12"/>
        <v>0</v>
      </c>
      <c r="N106" s="624">
        <f t="shared" si="12"/>
        <v>0</v>
      </c>
      <c r="O106" s="624">
        <f t="shared" si="12"/>
        <v>0</v>
      </c>
    </row>
    <row r="107" spans="4:15" s="327" customFormat="1" ht="13.5" thickTop="1" x14ac:dyDescent="0.2"/>
    <row r="108" spans="4:15" s="327" customFormat="1" ht="15" x14ac:dyDescent="0.2">
      <c r="D108" s="646" t="str">
        <f>Intv_Ann_TO!D1195</f>
        <v>Economic Capex (NonAnnualized)</v>
      </c>
    </row>
    <row r="109" spans="4:15" s="327" customFormat="1" hidden="1" outlineLevel="1" x14ac:dyDescent="0.2">
      <c r="D109" s="660" t="str">
        <f>Intv_Ann_TO!D1196</f>
        <v>Central</v>
      </c>
      <c r="J109" s="5">
        <f>Intv_Ann_TO!J1196</f>
        <v>0</v>
      </c>
      <c r="K109" s="5">
        <f>Intv_Ann_TO!K1196</f>
        <v>0</v>
      </c>
      <c r="L109" s="5">
        <f>Intv_Ann_TO!L1196</f>
        <v>0</v>
      </c>
      <c r="M109" s="5">
        <f>Intv_Ann_TO!M1196</f>
        <v>0</v>
      </c>
      <c r="N109" s="5">
        <f>Intv_Ann_TO!N1196</f>
        <v>0</v>
      </c>
      <c r="O109" s="5">
        <f>Intv_Ann_TO!O1196</f>
        <v>0</v>
      </c>
    </row>
    <row r="110" spans="4:15" s="327" customFormat="1" hidden="1" outlineLevel="1" x14ac:dyDescent="0.2">
      <c r="D110" s="660" t="str">
        <f>Intv_Ann_TO!D1197</f>
        <v>Copperbelt</v>
      </c>
      <c r="J110" s="5">
        <f>Intv_Ann_TO!J1197</f>
        <v>0</v>
      </c>
      <c r="K110" s="5">
        <f>Intv_Ann_TO!K1197</f>
        <v>0</v>
      </c>
      <c r="L110" s="5">
        <f>Intv_Ann_TO!L1197</f>
        <v>0</v>
      </c>
      <c r="M110" s="5">
        <f>Intv_Ann_TO!M1197</f>
        <v>0</v>
      </c>
      <c r="N110" s="5">
        <f>Intv_Ann_TO!N1197</f>
        <v>0</v>
      </c>
      <c r="O110" s="5">
        <f>Intv_Ann_TO!O1197</f>
        <v>0</v>
      </c>
    </row>
    <row r="111" spans="4:15" s="327" customFormat="1" hidden="1" outlineLevel="1" x14ac:dyDescent="0.2">
      <c r="D111" s="660" t="str">
        <f>Intv_Ann_TO!D1198</f>
        <v>Eastern</v>
      </c>
      <c r="J111" s="5">
        <f>Intv_Ann_TO!J1198</f>
        <v>0</v>
      </c>
      <c r="K111" s="5">
        <f>Intv_Ann_TO!K1198</f>
        <v>0</v>
      </c>
      <c r="L111" s="5">
        <f>Intv_Ann_TO!L1198</f>
        <v>0</v>
      </c>
      <c r="M111" s="5">
        <f>Intv_Ann_TO!M1198</f>
        <v>0</v>
      </c>
      <c r="N111" s="5">
        <f>Intv_Ann_TO!N1198</f>
        <v>0</v>
      </c>
      <c r="O111" s="5">
        <f>Intv_Ann_TO!O1198</f>
        <v>0</v>
      </c>
    </row>
    <row r="112" spans="4:15" s="327" customFormat="1" hidden="1" outlineLevel="1" x14ac:dyDescent="0.2">
      <c r="D112" s="660" t="str">
        <f>Intv_Ann_TO!D1199</f>
        <v>Luapula</v>
      </c>
      <c r="J112" s="5">
        <f>Intv_Ann_TO!J1199</f>
        <v>0</v>
      </c>
      <c r="K112" s="5">
        <f>Intv_Ann_TO!K1199</f>
        <v>0</v>
      </c>
      <c r="L112" s="5">
        <f>Intv_Ann_TO!L1199</f>
        <v>0</v>
      </c>
      <c r="M112" s="5">
        <f>Intv_Ann_TO!M1199</f>
        <v>0</v>
      </c>
      <c r="N112" s="5">
        <f>Intv_Ann_TO!N1199</f>
        <v>0</v>
      </c>
      <c r="O112" s="5">
        <f>Intv_Ann_TO!O1199</f>
        <v>0</v>
      </c>
    </row>
    <row r="113" spans="4:15" s="327" customFormat="1" hidden="1" outlineLevel="1" x14ac:dyDescent="0.2">
      <c r="D113" s="660" t="str">
        <f>Intv_Ann_TO!D1200</f>
        <v>Lusaka</v>
      </c>
      <c r="J113" s="5">
        <f>Intv_Ann_TO!J1200</f>
        <v>0</v>
      </c>
      <c r="K113" s="5">
        <f>Intv_Ann_TO!K1200</f>
        <v>0</v>
      </c>
      <c r="L113" s="5">
        <f>Intv_Ann_TO!L1200</f>
        <v>0</v>
      </c>
      <c r="M113" s="5">
        <f>Intv_Ann_TO!M1200</f>
        <v>0</v>
      </c>
      <c r="N113" s="5">
        <f>Intv_Ann_TO!N1200</f>
        <v>0</v>
      </c>
      <c r="O113" s="5">
        <f>Intv_Ann_TO!O1200</f>
        <v>0</v>
      </c>
    </row>
    <row r="114" spans="4:15" s="327" customFormat="1" hidden="1" outlineLevel="1" x14ac:dyDescent="0.2">
      <c r="D114" s="660" t="str">
        <f>Intv_Ann_TO!D1201</f>
        <v>Muchinga</v>
      </c>
      <c r="J114" s="5">
        <f>Intv_Ann_TO!J1201</f>
        <v>0</v>
      </c>
      <c r="K114" s="5">
        <f>Intv_Ann_TO!K1201</f>
        <v>0</v>
      </c>
      <c r="L114" s="5">
        <f>Intv_Ann_TO!L1201</f>
        <v>0</v>
      </c>
      <c r="M114" s="5">
        <f>Intv_Ann_TO!M1201</f>
        <v>0</v>
      </c>
      <c r="N114" s="5">
        <f>Intv_Ann_TO!N1201</f>
        <v>0</v>
      </c>
      <c r="O114" s="5">
        <f>Intv_Ann_TO!O1201</f>
        <v>0</v>
      </c>
    </row>
    <row r="115" spans="4:15" s="327" customFormat="1" hidden="1" outlineLevel="1" x14ac:dyDescent="0.2">
      <c r="D115" s="660" t="str">
        <f>Intv_Ann_TO!D1202</f>
        <v>Northern</v>
      </c>
      <c r="J115" s="5">
        <f>Intv_Ann_TO!J1202</f>
        <v>0</v>
      </c>
      <c r="K115" s="5">
        <f>Intv_Ann_TO!K1202</f>
        <v>0</v>
      </c>
      <c r="L115" s="5">
        <f>Intv_Ann_TO!L1202</f>
        <v>0</v>
      </c>
      <c r="M115" s="5">
        <f>Intv_Ann_TO!M1202</f>
        <v>0</v>
      </c>
      <c r="N115" s="5">
        <f>Intv_Ann_TO!N1202</f>
        <v>0</v>
      </c>
      <c r="O115" s="5">
        <f>Intv_Ann_TO!O1202</f>
        <v>0</v>
      </c>
    </row>
    <row r="116" spans="4:15" s="327" customFormat="1" hidden="1" outlineLevel="1" x14ac:dyDescent="0.2">
      <c r="D116" s="660" t="str">
        <f>Intv_Ann_TO!D1203</f>
        <v>North-Western</v>
      </c>
      <c r="J116" s="5">
        <f>Intv_Ann_TO!J1203</f>
        <v>0</v>
      </c>
      <c r="K116" s="5">
        <f>Intv_Ann_TO!K1203</f>
        <v>0</v>
      </c>
      <c r="L116" s="5">
        <f>Intv_Ann_TO!L1203</f>
        <v>0</v>
      </c>
      <c r="M116" s="5">
        <f>Intv_Ann_TO!M1203</f>
        <v>0</v>
      </c>
      <c r="N116" s="5">
        <f>Intv_Ann_TO!N1203</f>
        <v>0</v>
      </c>
      <c r="O116" s="5">
        <f>Intv_Ann_TO!O1203</f>
        <v>0</v>
      </c>
    </row>
    <row r="117" spans="4:15" s="327" customFormat="1" hidden="1" outlineLevel="1" x14ac:dyDescent="0.2">
      <c r="D117" s="660" t="str">
        <f>Intv_Ann_TO!D1204</f>
        <v>Southern</v>
      </c>
      <c r="J117" s="5">
        <f>Intv_Ann_TO!J1204</f>
        <v>0</v>
      </c>
      <c r="K117" s="5">
        <f>Intv_Ann_TO!K1204</f>
        <v>0</v>
      </c>
      <c r="L117" s="5">
        <f>Intv_Ann_TO!L1204</f>
        <v>0</v>
      </c>
      <c r="M117" s="5">
        <f>Intv_Ann_TO!M1204</f>
        <v>0</v>
      </c>
      <c r="N117" s="5">
        <f>Intv_Ann_TO!N1204</f>
        <v>0</v>
      </c>
      <c r="O117" s="5">
        <f>Intv_Ann_TO!O1204</f>
        <v>0</v>
      </c>
    </row>
    <row r="118" spans="4:15" s="327" customFormat="1" hidden="1" outlineLevel="1" x14ac:dyDescent="0.2">
      <c r="D118" s="660" t="str">
        <f>Intv_Ann_TO!D1205</f>
        <v>Western</v>
      </c>
      <c r="J118" s="5">
        <f>Intv_Ann_TO!J1205</f>
        <v>0</v>
      </c>
      <c r="K118" s="5">
        <f>Intv_Ann_TO!K1205</f>
        <v>0</v>
      </c>
      <c r="L118" s="5">
        <f>Intv_Ann_TO!L1205</f>
        <v>0</v>
      </c>
      <c r="M118" s="5">
        <f>Intv_Ann_TO!M1205</f>
        <v>0</v>
      </c>
      <c r="N118" s="5">
        <f>Intv_Ann_TO!N1205</f>
        <v>0</v>
      </c>
      <c r="O118" s="5">
        <f>Intv_Ann_TO!O1205</f>
        <v>0</v>
      </c>
    </row>
    <row r="119" spans="4:15" s="327" customFormat="1" ht="15.75" collapsed="1" thickBot="1" x14ac:dyDescent="0.25">
      <c r="D119" s="679" t="str">
        <f>"Total "&amp;D108</f>
        <v>Total Economic Capex (NonAnnualized)</v>
      </c>
      <c r="J119" s="624">
        <f t="shared" ref="J119:O119" si="13">SUM(J109:J118)</f>
        <v>0</v>
      </c>
      <c r="K119" s="624">
        <f t="shared" si="13"/>
        <v>0</v>
      </c>
      <c r="L119" s="624">
        <f t="shared" si="13"/>
        <v>0</v>
      </c>
      <c r="M119" s="624">
        <f t="shared" si="13"/>
        <v>0</v>
      </c>
      <c r="N119" s="624">
        <f t="shared" si="13"/>
        <v>0</v>
      </c>
      <c r="O119" s="624">
        <f t="shared" si="13"/>
        <v>0</v>
      </c>
    </row>
    <row r="120" spans="4:15" s="327" customFormat="1" ht="13.5" thickTop="1" x14ac:dyDescent="0.2"/>
    <row r="121" spans="4:15" s="327" customFormat="1" ht="15" x14ac:dyDescent="0.2">
      <c r="D121" s="646" t="str">
        <f>Intv_Ann_TO!D1207</f>
        <v>Economic Capital Expenditures (Capex) (Annualized)</v>
      </c>
    </row>
    <row r="122" spans="4:15" s="327" customFormat="1" hidden="1" outlineLevel="1" x14ac:dyDescent="0.2">
      <c r="D122" s="660" t="str">
        <f>Intv_Ann_TO!D1208</f>
        <v>Central</v>
      </c>
      <c r="J122" s="5">
        <f>Intv_Ann_TO!J1208</f>
        <v>0</v>
      </c>
      <c r="K122" s="5">
        <f>Intv_Ann_TO!K1208</f>
        <v>0</v>
      </c>
      <c r="L122" s="5">
        <f>Intv_Ann_TO!L1208</f>
        <v>0</v>
      </c>
      <c r="M122" s="5">
        <f>Intv_Ann_TO!M1208</f>
        <v>0</v>
      </c>
      <c r="N122" s="5">
        <f>Intv_Ann_TO!N1208</f>
        <v>0</v>
      </c>
      <c r="O122" s="5">
        <f>Intv_Ann_TO!O1208</f>
        <v>0</v>
      </c>
    </row>
    <row r="123" spans="4:15" s="327" customFormat="1" hidden="1" outlineLevel="1" x14ac:dyDescent="0.2">
      <c r="D123" s="660" t="str">
        <f>Intv_Ann_TO!D1209</f>
        <v>Copperbelt</v>
      </c>
      <c r="J123" s="5">
        <f>Intv_Ann_TO!J1209</f>
        <v>0</v>
      </c>
      <c r="K123" s="5">
        <f>Intv_Ann_TO!K1209</f>
        <v>0</v>
      </c>
      <c r="L123" s="5">
        <f>Intv_Ann_TO!L1209</f>
        <v>0</v>
      </c>
      <c r="M123" s="5">
        <f>Intv_Ann_TO!M1209</f>
        <v>0</v>
      </c>
      <c r="N123" s="5">
        <f>Intv_Ann_TO!N1209</f>
        <v>0</v>
      </c>
      <c r="O123" s="5">
        <f>Intv_Ann_TO!O1209</f>
        <v>0</v>
      </c>
    </row>
    <row r="124" spans="4:15" s="327" customFormat="1" hidden="1" outlineLevel="1" x14ac:dyDescent="0.2">
      <c r="D124" s="660" t="str">
        <f>Intv_Ann_TO!D1210</f>
        <v>Eastern</v>
      </c>
      <c r="J124" s="5">
        <f>Intv_Ann_TO!J1210</f>
        <v>0</v>
      </c>
      <c r="K124" s="5">
        <f>Intv_Ann_TO!K1210</f>
        <v>0</v>
      </c>
      <c r="L124" s="5">
        <f>Intv_Ann_TO!L1210</f>
        <v>0</v>
      </c>
      <c r="M124" s="5">
        <f>Intv_Ann_TO!M1210</f>
        <v>0</v>
      </c>
      <c r="N124" s="5">
        <f>Intv_Ann_TO!N1210</f>
        <v>0</v>
      </c>
      <c r="O124" s="5">
        <f>Intv_Ann_TO!O1210</f>
        <v>0</v>
      </c>
    </row>
    <row r="125" spans="4:15" s="327" customFormat="1" hidden="1" outlineLevel="1" x14ac:dyDescent="0.2">
      <c r="D125" s="660" t="str">
        <f>Intv_Ann_TO!D1211</f>
        <v>Luapula</v>
      </c>
      <c r="J125" s="5">
        <f>Intv_Ann_TO!J1211</f>
        <v>0</v>
      </c>
      <c r="K125" s="5">
        <f>Intv_Ann_TO!K1211</f>
        <v>0</v>
      </c>
      <c r="L125" s="5">
        <f>Intv_Ann_TO!L1211</f>
        <v>0</v>
      </c>
      <c r="M125" s="5">
        <f>Intv_Ann_TO!M1211</f>
        <v>0</v>
      </c>
      <c r="N125" s="5">
        <f>Intv_Ann_TO!N1211</f>
        <v>0</v>
      </c>
      <c r="O125" s="5">
        <f>Intv_Ann_TO!O1211</f>
        <v>0</v>
      </c>
    </row>
    <row r="126" spans="4:15" s="327" customFormat="1" hidden="1" outlineLevel="1" x14ac:dyDescent="0.2">
      <c r="D126" s="660" t="str">
        <f>Intv_Ann_TO!D1212</f>
        <v>Lusaka</v>
      </c>
      <c r="J126" s="5">
        <f>Intv_Ann_TO!J1212</f>
        <v>0</v>
      </c>
      <c r="K126" s="5">
        <f>Intv_Ann_TO!K1212</f>
        <v>0</v>
      </c>
      <c r="L126" s="5">
        <f>Intv_Ann_TO!L1212</f>
        <v>0</v>
      </c>
      <c r="M126" s="5">
        <f>Intv_Ann_TO!M1212</f>
        <v>0</v>
      </c>
      <c r="N126" s="5">
        <f>Intv_Ann_TO!N1212</f>
        <v>0</v>
      </c>
      <c r="O126" s="5">
        <f>Intv_Ann_TO!O1212</f>
        <v>0</v>
      </c>
    </row>
    <row r="127" spans="4:15" s="327" customFormat="1" hidden="1" outlineLevel="1" x14ac:dyDescent="0.2">
      <c r="D127" s="660" t="str">
        <f>Intv_Ann_TO!D1213</f>
        <v>Muchinga</v>
      </c>
      <c r="J127" s="5">
        <f>Intv_Ann_TO!J1213</f>
        <v>0</v>
      </c>
      <c r="K127" s="5">
        <f>Intv_Ann_TO!K1213</f>
        <v>0</v>
      </c>
      <c r="L127" s="5">
        <f>Intv_Ann_TO!L1213</f>
        <v>0</v>
      </c>
      <c r="M127" s="5">
        <f>Intv_Ann_TO!M1213</f>
        <v>0</v>
      </c>
      <c r="N127" s="5">
        <f>Intv_Ann_TO!N1213</f>
        <v>0</v>
      </c>
      <c r="O127" s="5">
        <f>Intv_Ann_TO!O1213</f>
        <v>0</v>
      </c>
    </row>
    <row r="128" spans="4:15" s="327" customFormat="1" hidden="1" outlineLevel="1" x14ac:dyDescent="0.2">
      <c r="D128" s="660" t="str">
        <f>Intv_Ann_TO!D1214</f>
        <v>Northern</v>
      </c>
      <c r="J128" s="5">
        <f>Intv_Ann_TO!J1214</f>
        <v>0</v>
      </c>
      <c r="K128" s="5">
        <f>Intv_Ann_TO!K1214</f>
        <v>0</v>
      </c>
      <c r="L128" s="5">
        <f>Intv_Ann_TO!L1214</f>
        <v>0</v>
      </c>
      <c r="M128" s="5">
        <f>Intv_Ann_TO!M1214</f>
        <v>0</v>
      </c>
      <c r="N128" s="5">
        <f>Intv_Ann_TO!N1214</f>
        <v>0</v>
      </c>
      <c r="O128" s="5">
        <f>Intv_Ann_TO!O1214</f>
        <v>0</v>
      </c>
    </row>
    <row r="129" spans="3:15" s="327" customFormat="1" hidden="1" outlineLevel="1" x14ac:dyDescent="0.2">
      <c r="D129" s="660" t="str">
        <f>Intv_Ann_TO!D1215</f>
        <v>North-Western</v>
      </c>
      <c r="J129" s="5">
        <f>Intv_Ann_TO!J1215</f>
        <v>0</v>
      </c>
      <c r="K129" s="5">
        <f>Intv_Ann_TO!K1215</f>
        <v>0</v>
      </c>
      <c r="L129" s="5">
        <f>Intv_Ann_TO!L1215</f>
        <v>0</v>
      </c>
      <c r="M129" s="5">
        <f>Intv_Ann_TO!M1215</f>
        <v>0</v>
      </c>
      <c r="N129" s="5">
        <f>Intv_Ann_TO!N1215</f>
        <v>0</v>
      </c>
      <c r="O129" s="5">
        <f>Intv_Ann_TO!O1215</f>
        <v>0</v>
      </c>
    </row>
    <row r="130" spans="3:15" s="327" customFormat="1" hidden="1" outlineLevel="1" x14ac:dyDescent="0.2">
      <c r="D130" s="660" t="str">
        <f>Intv_Ann_TO!D1216</f>
        <v>Southern</v>
      </c>
      <c r="J130" s="5">
        <f>Intv_Ann_TO!J1216</f>
        <v>0</v>
      </c>
      <c r="K130" s="5">
        <f>Intv_Ann_TO!K1216</f>
        <v>0</v>
      </c>
      <c r="L130" s="5">
        <f>Intv_Ann_TO!L1216</f>
        <v>0</v>
      </c>
      <c r="M130" s="5">
        <f>Intv_Ann_TO!M1216</f>
        <v>0</v>
      </c>
      <c r="N130" s="5">
        <f>Intv_Ann_TO!N1216</f>
        <v>0</v>
      </c>
      <c r="O130" s="5">
        <f>Intv_Ann_TO!O1216</f>
        <v>0</v>
      </c>
    </row>
    <row r="131" spans="3:15" s="327" customFormat="1" hidden="1" outlineLevel="1" x14ac:dyDescent="0.2">
      <c r="D131" s="660" t="str">
        <f>Intv_Ann_TO!D1217</f>
        <v>Western</v>
      </c>
      <c r="J131" s="5">
        <f>Intv_Ann_TO!J1217</f>
        <v>0</v>
      </c>
      <c r="K131" s="5">
        <f>Intv_Ann_TO!K1217</f>
        <v>0</v>
      </c>
      <c r="L131" s="5">
        <f>Intv_Ann_TO!L1217</f>
        <v>0</v>
      </c>
      <c r="M131" s="5">
        <f>Intv_Ann_TO!M1217</f>
        <v>0</v>
      </c>
      <c r="N131" s="5">
        <f>Intv_Ann_TO!N1217</f>
        <v>0</v>
      </c>
      <c r="O131" s="5">
        <f>Intv_Ann_TO!O1217</f>
        <v>0</v>
      </c>
    </row>
    <row r="132" spans="3:15" s="327" customFormat="1" ht="15.75" collapsed="1" thickBot="1" x14ac:dyDescent="0.25">
      <c r="D132" s="679" t="str">
        <f>"Total "&amp;D121</f>
        <v>Total Economic Capital Expenditures (Capex) (Annualized)</v>
      </c>
      <c r="J132" s="624">
        <f t="shared" ref="J132:O132" si="14">SUM(J122:J131)</f>
        <v>0</v>
      </c>
      <c r="K132" s="624">
        <f t="shared" si="14"/>
        <v>0</v>
      </c>
      <c r="L132" s="624">
        <f t="shared" si="14"/>
        <v>0</v>
      </c>
      <c r="M132" s="624">
        <f t="shared" si="14"/>
        <v>0</v>
      </c>
      <c r="N132" s="624">
        <f t="shared" si="14"/>
        <v>0</v>
      </c>
      <c r="O132" s="624">
        <f t="shared" si="14"/>
        <v>0</v>
      </c>
    </row>
    <row r="133" spans="3:15" s="327" customFormat="1" ht="13.5" thickTop="1" x14ac:dyDescent="0.2"/>
    <row r="134" spans="3:15" s="327" customFormat="1" x14ac:dyDescent="0.2"/>
    <row r="135" spans="3:15" s="327" customFormat="1" ht="15.75" x14ac:dyDescent="0.2">
      <c r="C135" s="330" t="s">
        <v>1937</v>
      </c>
    </row>
    <row r="136" spans="3:15" s="327" customFormat="1" ht="15.75" thickBot="1" x14ac:dyDescent="0.25">
      <c r="D136" s="658" t="s">
        <v>1941</v>
      </c>
      <c r="J136" s="624">
        <f t="shared" ref="J136:O136" ca="1" si="15">J65+J106</f>
        <v>0</v>
      </c>
      <c r="K136" s="624">
        <f t="shared" ca="1" si="15"/>
        <v>0</v>
      </c>
      <c r="L136" s="624">
        <f t="shared" ca="1" si="15"/>
        <v>0</v>
      </c>
      <c r="M136" s="624">
        <f t="shared" ca="1" si="15"/>
        <v>0</v>
      </c>
      <c r="N136" s="624">
        <f t="shared" ca="1" si="15"/>
        <v>0</v>
      </c>
      <c r="O136" s="624">
        <f t="shared" ca="1" si="15"/>
        <v>0</v>
      </c>
    </row>
    <row r="137" spans="3:15" s="327" customFormat="1" ht="13.5" thickTop="1" x14ac:dyDescent="0.2"/>
    <row r="138" spans="3:15" s="327" customFormat="1" ht="15.75" thickBot="1" x14ac:dyDescent="0.25">
      <c r="D138" s="658" t="s">
        <v>1942</v>
      </c>
      <c r="J138" s="624">
        <f t="shared" ref="J138:O138" ca="1" si="16">J78+J132</f>
        <v>0</v>
      </c>
      <c r="K138" s="624">
        <f t="shared" ca="1" si="16"/>
        <v>0</v>
      </c>
      <c r="L138" s="624">
        <f t="shared" ca="1" si="16"/>
        <v>0</v>
      </c>
      <c r="M138" s="624">
        <f t="shared" ca="1" si="16"/>
        <v>0</v>
      </c>
      <c r="N138" s="624">
        <f t="shared" ca="1" si="16"/>
        <v>0</v>
      </c>
      <c r="O138" s="624">
        <f t="shared" ca="1" si="16"/>
        <v>0</v>
      </c>
    </row>
    <row r="139" spans="3:15" s="327" customFormat="1" ht="13.5" thickTop="1" x14ac:dyDescent="0.2"/>
    <row r="140" spans="3:15" s="327" customFormat="1" x14ac:dyDescent="0.2"/>
    <row r="141" spans="3:15" s="327" customFormat="1" x14ac:dyDescent="0.2">
      <c r="C141" s="716" t="str">
        <f>"Go to "&amp;HL_Intv_5_Ass</f>
        <v>Go to Surgery (Radical Hysterectomy plus Stump Removal)</v>
      </c>
      <c r="D141" s="716"/>
      <c r="E141" s="716"/>
      <c r="F141" s="716"/>
      <c r="G141" s="716"/>
      <c r="H141" s="716"/>
      <c r="I141" s="716"/>
    </row>
    <row r="142" spans="3:15" s="327" customFormat="1" x14ac:dyDescent="0.2">
      <c r="C142" s="716" t="str">
        <f>"Go to "&amp;HL_Intv_5_Ann_Ass</f>
        <v>Go to Intervention Services - Annual Assumptions</v>
      </c>
      <c r="D142" s="716"/>
      <c r="E142" s="716"/>
      <c r="F142" s="716"/>
      <c r="G142" s="716"/>
      <c r="H142" s="716"/>
      <c r="I142" s="716"/>
    </row>
    <row r="143" spans="3:15" s="327" customFormat="1" x14ac:dyDescent="0.2">
      <c r="C143" s="716" t="str">
        <f>"Go to "&amp;HL_Intv_5_Out</f>
        <v>Go to Surgery (Radical Hysterectomy plus Stump Removal)</v>
      </c>
      <c r="D143" s="716"/>
      <c r="E143" s="716"/>
      <c r="F143" s="716"/>
      <c r="G143" s="716"/>
      <c r="H143" s="716"/>
      <c r="I143" s="716"/>
    </row>
    <row r="144" spans="3:15" s="327" customFormat="1" x14ac:dyDescent="0.2">
      <c r="C144" s="716" t="str">
        <f>"Go to "&amp;HL_Intv_5_Out_Sum</f>
        <v>Go to Surgery - Outputs Summary</v>
      </c>
      <c r="D144" s="716"/>
      <c r="E144" s="716"/>
      <c r="F144" s="716"/>
      <c r="G144" s="716"/>
      <c r="H144" s="716"/>
      <c r="I144" s="716"/>
    </row>
  </sheetData>
  <sheetProtection password="F0F4" sheet="1" scenarios="1"/>
  <mergeCells count="5">
    <mergeCell ref="C143:I143"/>
    <mergeCell ref="C144:I144"/>
    <mergeCell ref="B3:F3"/>
    <mergeCell ref="C141:I141"/>
    <mergeCell ref="C142:I142"/>
  </mergeCells>
  <hyperlinks>
    <hyperlink ref="C141:I141" location="HL_Intv_5_Ass" tooltip="Click to follow hyperlink." display="HL_Intv_5_Ass"/>
    <hyperlink ref="C142:I142" location="HL_Intv_5_Ann_Ass" tooltip="Click to follow hyperlink." display="HL_Intv_5_Ann_Ass"/>
    <hyperlink ref="C143:I143" location="HL_Intv_5_Out" tooltip="Click to follow hyperlink." display="HL_Intv_5_Out"/>
    <hyperlink ref="C144:I144" location="HL_Intv_5_Out_Sum" tooltip="Click to follow hyperlink." display="HL_Intv_5_Out_Sum"/>
    <hyperlink ref="A4" location="$A$10" tooltip="Go to Top of Sheet" display="$A$10"/>
    <hyperlink ref="B4" location="HL_Sheet_Main_84" tooltip="Go to Previous Sheet" display="HL_Sheet_Main_84"/>
    <hyperlink ref="C4" location="HL_Sheet_Main_82" tooltip="Go to Next Sheet" display="HL_Sheet_Main_82"/>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06"/>
  <sheetViews>
    <sheetView showGridLines="0" zoomScaleNormal="100" workbookViewId="0">
      <pane ySplit="9" topLeftCell="A10" activePane="bottomLeft" state="frozen"/>
      <selection pane="bottomLeft" activeCell="J17" sqref="J17:O26"/>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1958</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329" t="s">
        <v>1958</v>
      </c>
    </row>
    <row r="13" spans="1:15" s="327" customFormat="1" x14ac:dyDescent="0.2"/>
    <row r="14" spans="1:15" s="327" customFormat="1" ht="18.75" x14ac:dyDescent="0.2">
      <c r="B14" s="329" t="s">
        <v>1900</v>
      </c>
    </row>
    <row r="15" spans="1:15" s="327" customFormat="1" ht="15.75" x14ac:dyDescent="0.2">
      <c r="C15" s="330" t="s">
        <v>1894</v>
      </c>
    </row>
    <row r="16" spans="1:15" s="327" customFormat="1" ht="15.75" x14ac:dyDescent="0.2">
      <c r="C16" s="18" t="str">
        <f>Intv_Ann_TO!D1412</f>
        <v>Total Active Facilities Offering Chemo</v>
      </c>
    </row>
    <row r="17" spans="3:15" s="327" customFormat="1" outlineLevel="1" x14ac:dyDescent="0.2">
      <c r="C17" s="660" t="str">
        <f>Intv_Ann_TO!D1413</f>
        <v>Central</v>
      </c>
      <c r="J17" s="5">
        <f>Intv_Ann_TO!J1413</f>
        <v>0</v>
      </c>
      <c r="K17" s="5">
        <f>Intv_Ann_TO!K1413</f>
        <v>0</v>
      </c>
      <c r="L17" s="5">
        <f>Intv_Ann_TO!L1413</f>
        <v>0</v>
      </c>
      <c r="M17" s="5">
        <f>Intv_Ann_TO!M1413</f>
        <v>0</v>
      </c>
      <c r="N17" s="5">
        <f>Intv_Ann_TO!N1413</f>
        <v>0</v>
      </c>
      <c r="O17" s="5">
        <f>Intv_Ann_TO!O1413</f>
        <v>0</v>
      </c>
    </row>
    <row r="18" spans="3:15" s="327" customFormat="1" outlineLevel="1" x14ac:dyDescent="0.2">
      <c r="C18" s="660" t="str">
        <f>Intv_Ann_TO!D1414</f>
        <v>Copperbelt</v>
      </c>
      <c r="J18" s="5">
        <f>Intv_Ann_TO!J1414</f>
        <v>0</v>
      </c>
      <c r="K18" s="5">
        <f>Intv_Ann_TO!K1414</f>
        <v>0</v>
      </c>
      <c r="L18" s="5">
        <f>Intv_Ann_TO!L1414</f>
        <v>0</v>
      </c>
      <c r="M18" s="5">
        <f>Intv_Ann_TO!M1414</f>
        <v>0</v>
      </c>
      <c r="N18" s="5">
        <f>Intv_Ann_TO!N1414</f>
        <v>1</v>
      </c>
      <c r="O18" s="5">
        <f>Intv_Ann_TO!O1414</f>
        <v>1</v>
      </c>
    </row>
    <row r="19" spans="3:15" s="327" customFormat="1" outlineLevel="1" x14ac:dyDescent="0.2">
      <c r="C19" s="660" t="str">
        <f>Intv_Ann_TO!D1415</f>
        <v>Eastern</v>
      </c>
      <c r="J19" s="5">
        <f>Intv_Ann_TO!J1415</f>
        <v>0</v>
      </c>
      <c r="K19" s="5">
        <f>Intv_Ann_TO!K1415</f>
        <v>0</v>
      </c>
      <c r="L19" s="5">
        <f>Intv_Ann_TO!L1415</f>
        <v>0</v>
      </c>
      <c r="M19" s="5">
        <f>Intv_Ann_TO!M1415</f>
        <v>0</v>
      </c>
      <c r="N19" s="5">
        <f>Intv_Ann_TO!N1415</f>
        <v>0</v>
      </c>
      <c r="O19" s="5">
        <f>Intv_Ann_TO!O1415</f>
        <v>0</v>
      </c>
    </row>
    <row r="20" spans="3:15" s="327" customFormat="1" outlineLevel="1" x14ac:dyDescent="0.2">
      <c r="C20" s="660" t="str">
        <f>Intv_Ann_TO!D1416</f>
        <v>Luapula</v>
      </c>
      <c r="J20" s="5">
        <f>Intv_Ann_TO!J1416</f>
        <v>0</v>
      </c>
      <c r="K20" s="5">
        <f>Intv_Ann_TO!K1416</f>
        <v>0</v>
      </c>
      <c r="L20" s="5">
        <f>Intv_Ann_TO!L1416</f>
        <v>0</v>
      </c>
      <c r="M20" s="5">
        <f>Intv_Ann_TO!M1416</f>
        <v>0</v>
      </c>
      <c r="N20" s="5">
        <f>Intv_Ann_TO!N1416</f>
        <v>0</v>
      </c>
      <c r="O20" s="5">
        <f>Intv_Ann_TO!O1416</f>
        <v>0</v>
      </c>
    </row>
    <row r="21" spans="3:15" s="327" customFormat="1" outlineLevel="1" x14ac:dyDescent="0.2">
      <c r="C21" s="660" t="str">
        <f>Intv_Ann_TO!D1417</f>
        <v>Lusaka</v>
      </c>
      <c r="J21" s="5">
        <f>Intv_Ann_TO!J1417</f>
        <v>1</v>
      </c>
      <c r="K21" s="5">
        <f>Intv_Ann_TO!K1417</f>
        <v>1</v>
      </c>
      <c r="L21" s="5">
        <f>Intv_Ann_TO!L1417</f>
        <v>1</v>
      </c>
      <c r="M21" s="5">
        <f>Intv_Ann_TO!M1417</f>
        <v>1</v>
      </c>
      <c r="N21" s="5">
        <f>Intv_Ann_TO!N1417</f>
        <v>1</v>
      </c>
      <c r="O21" s="5">
        <f>Intv_Ann_TO!O1417</f>
        <v>1</v>
      </c>
    </row>
    <row r="22" spans="3:15" s="327" customFormat="1" outlineLevel="1" x14ac:dyDescent="0.2">
      <c r="C22" s="660" t="str">
        <f>Intv_Ann_TO!D1418</f>
        <v>Muchinga</v>
      </c>
      <c r="J22" s="5">
        <f>Intv_Ann_TO!J1418</f>
        <v>0</v>
      </c>
      <c r="K22" s="5">
        <f>Intv_Ann_TO!K1418</f>
        <v>0</v>
      </c>
      <c r="L22" s="5">
        <f>Intv_Ann_TO!L1418</f>
        <v>0</v>
      </c>
      <c r="M22" s="5">
        <f>Intv_Ann_TO!M1418</f>
        <v>0</v>
      </c>
      <c r="N22" s="5">
        <f>Intv_Ann_TO!N1418</f>
        <v>0</v>
      </c>
      <c r="O22" s="5">
        <f>Intv_Ann_TO!O1418</f>
        <v>0</v>
      </c>
    </row>
    <row r="23" spans="3:15" s="327" customFormat="1" outlineLevel="1" x14ac:dyDescent="0.2">
      <c r="C23" s="660" t="str">
        <f>Intv_Ann_TO!D1419</f>
        <v>Northern</v>
      </c>
      <c r="J23" s="5">
        <f>Intv_Ann_TO!J1419</f>
        <v>0</v>
      </c>
      <c r="K23" s="5">
        <f>Intv_Ann_TO!K1419</f>
        <v>0</v>
      </c>
      <c r="L23" s="5">
        <f>Intv_Ann_TO!L1419</f>
        <v>0</v>
      </c>
      <c r="M23" s="5">
        <f>Intv_Ann_TO!M1419</f>
        <v>0</v>
      </c>
      <c r="N23" s="5">
        <f>Intv_Ann_TO!N1419</f>
        <v>0</v>
      </c>
      <c r="O23" s="5">
        <f>Intv_Ann_TO!O1419</f>
        <v>0</v>
      </c>
    </row>
    <row r="24" spans="3:15" s="327" customFormat="1" outlineLevel="1" x14ac:dyDescent="0.2">
      <c r="C24" s="660" t="str">
        <f>Intv_Ann_TO!D1420</f>
        <v>North-Western</v>
      </c>
      <c r="J24" s="5">
        <f>Intv_Ann_TO!J1420</f>
        <v>0</v>
      </c>
      <c r="K24" s="5">
        <f>Intv_Ann_TO!K1420</f>
        <v>0</v>
      </c>
      <c r="L24" s="5">
        <f>Intv_Ann_TO!L1420</f>
        <v>0</v>
      </c>
      <c r="M24" s="5">
        <f>Intv_Ann_TO!M1420</f>
        <v>0</v>
      </c>
      <c r="N24" s="5">
        <f>Intv_Ann_TO!N1420</f>
        <v>0</v>
      </c>
      <c r="O24" s="5">
        <f>Intv_Ann_TO!O1420</f>
        <v>0</v>
      </c>
    </row>
    <row r="25" spans="3:15" s="327" customFormat="1" outlineLevel="1" x14ac:dyDescent="0.2">
      <c r="C25" s="660" t="str">
        <f>Intv_Ann_TO!D1421</f>
        <v>Southern</v>
      </c>
      <c r="J25" s="5">
        <f>Intv_Ann_TO!J1421</f>
        <v>0</v>
      </c>
      <c r="K25" s="5">
        <f>Intv_Ann_TO!K1421</f>
        <v>0</v>
      </c>
      <c r="L25" s="5">
        <f>Intv_Ann_TO!L1421</f>
        <v>0</v>
      </c>
      <c r="M25" s="5">
        <f>Intv_Ann_TO!M1421</f>
        <v>0</v>
      </c>
      <c r="N25" s="5">
        <f>Intv_Ann_TO!N1421</f>
        <v>0</v>
      </c>
      <c r="O25" s="5">
        <f>Intv_Ann_TO!O1421</f>
        <v>0</v>
      </c>
    </row>
    <row r="26" spans="3:15" s="327" customFormat="1" outlineLevel="1" x14ac:dyDescent="0.2">
      <c r="C26" s="660" t="str">
        <f>Intv_Ann_TO!D1422</f>
        <v>Western</v>
      </c>
      <c r="J26" s="5">
        <f>Intv_Ann_TO!J1422</f>
        <v>0</v>
      </c>
      <c r="K26" s="5">
        <f>Intv_Ann_TO!K1422</f>
        <v>0</v>
      </c>
      <c r="L26" s="5">
        <f>Intv_Ann_TO!L1422</f>
        <v>0</v>
      </c>
      <c r="M26" s="5">
        <f>Intv_Ann_TO!M1422</f>
        <v>0</v>
      </c>
      <c r="N26" s="5">
        <f>Intv_Ann_TO!N1422</f>
        <v>1</v>
      </c>
      <c r="O26" s="5">
        <f>Intv_Ann_TO!O1422</f>
        <v>1</v>
      </c>
    </row>
    <row r="27" spans="3:15" s="327" customFormat="1" ht="15.75" thickBot="1" x14ac:dyDescent="0.25">
      <c r="C27" s="646" t="str">
        <f>C16</f>
        <v>Total Active Facilities Offering Chemo</v>
      </c>
      <c r="J27" s="650">
        <f t="shared" ref="J27:O27" si="4">SUM(J17:J26)</f>
        <v>1</v>
      </c>
      <c r="K27" s="650">
        <f t="shared" si="4"/>
        <v>1</v>
      </c>
      <c r="L27" s="650">
        <f t="shared" si="4"/>
        <v>1</v>
      </c>
      <c r="M27" s="650">
        <f t="shared" si="4"/>
        <v>1</v>
      </c>
      <c r="N27" s="650">
        <f t="shared" si="4"/>
        <v>3</v>
      </c>
      <c r="O27" s="650">
        <f t="shared" si="4"/>
        <v>3</v>
      </c>
    </row>
    <row r="28" spans="3:15" s="327" customFormat="1" ht="13.5" thickTop="1" x14ac:dyDescent="0.2"/>
    <row r="29" spans="3:15" s="327" customFormat="1" ht="15.75" x14ac:dyDescent="0.2">
      <c r="C29" s="330" t="s">
        <v>102</v>
      </c>
    </row>
    <row r="30" spans="3:15" s="327" customFormat="1" ht="15.75" x14ac:dyDescent="0.2">
      <c r="C30" s="18" t="str">
        <f>Intv_Ann_TO!D1440</f>
        <v>Maximum Procedures</v>
      </c>
    </row>
    <row r="31" spans="3:15" s="327" customFormat="1" outlineLevel="1" x14ac:dyDescent="0.2">
      <c r="C31" s="660" t="str">
        <f>Intv_Ann_TO!D1441</f>
        <v>Central</v>
      </c>
      <c r="J31" s="5">
        <f>Intv_Ann_TO!J1441</f>
        <v>0</v>
      </c>
      <c r="K31" s="5">
        <f>Intv_Ann_TO!K1441</f>
        <v>0</v>
      </c>
      <c r="L31" s="5">
        <f>Intv_Ann_TO!L1441</f>
        <v>0</v>
      </c>
      <c r="M31" s="5">
        <f>Intv_Ann_TO!M1441</f>
        <v>0</v>
      </c>
      <c r="N31" s="5">
        <f>Intv_Ann_TO!N1441</f>
        <v>0</v>
      </c>
      <c r="O31" s="5">
        <f>Intv_Ann_TO!O1441</f>
        <v>0</v>
      </c>
    </row>
    <row r="32" spans="3:15" s="327" customFormat="1" outlineLevel="1" x14ac:dyDescent="0.2">
      <c r="C32" s="660" t="str">
        <f>Intv_Ann_TO!D1442</f>
        <v>Copperbelt</v>
      </c>
      <c r="J32" s="5">
        <f>Intv_Ann_TO!J1442</f>
        <v>0</v>
      </c>
      <c r="K32" s="5">
        <f>Intv_Ann_TO!K1442</f>
        <v>0</v>
      </c>
      <c r="L32" s="5">
        <f>Intv_Ann_TO!L1442</f>
        <v>0</v>
      </c>
      <c r="M32" s="5">
        <f>Intv_Ann_TO!M1442</f>
        <v>0</v>
      </c>
      <c r="N32" s="5">
        <f>Intv_Ann_TO!N1442</f>
        <v>2640</v>
      </c>
      <c r="O32" s="5">
        <f>Intv_Ann_TO!O1442</f>
        <v>2640</v>
      </c>
    </row>
    <row r="33" spans="1:15" s="327" customFormat="1" outlineLevel="1" x14ac:dyDescent="0.2">
      <c r="C33" s="660" t="str">
        <f>Intv_Ann_TO!D1443</f>
        <v>Eastern</v>
      </c>
      <c r="J33" s="5">
        <f>Intv_Ann_TO!J1443</f>
        <v>0</v>
      </c>
      <c r="K33" s="5">
        <f>Intv_Ann_TO!K1443</f>
        <v>0</v>
      </c>
      <c r="L33" s="5">
        <f>Intv_Ann_TO!L1443</f>
        <v>0</v>
      </c>
      <c r="M33" s="5">
        <f>Intv_Ann_TO!M1443</f>
        <v>0</v>
      </c>
      <c r="N33" s="5">
        <f>Intv_Ann_TO!N1443</f>
        <v>0</v>
      </c>
      <c r="O33" s="5">
        <f>Intv_Ann_TO!O1443</f>
        <v>0</v>
      </c>
    </row>
    <row r="34" spans="1:15" s="327" customFormat="1" outlineLevel="1" x14ac:dyDescent="0.2">
      <c r="C34" s="660" t="str">
        <f>Intv_Ann_TO!D1444</f>
        <v>Luapula</v>
      </c>
      <c r="J34" s="5">
        <f>Intv_Ann_TO!J1444</f>
        <v>0</v>
      </c>
      <c r="K34" s="5">
        <f>Intv_Ann_TO!K1444</f>
        <v>0</v>
      </c>
      <c r="L34" s="5">
        <f>Intv_Ann_TO!L1444</f>
        <v>0</v>
      </c>
      <c r="M34" s="5">
        <f>Intv_Ann_TO!M1444</f>
        <v>0</v>
      </c>
      <c r="N34" s="5">
        <f>Intv_Ann_TO!N1444</f>
        <v>0</v>
      </c>
      <c r="O34" s="5">
        <f>Intv_Ann_TO!O1444</f>
        <v>0</v>
      </c>
    </row>
    <row r="35" spans="1:15" s="327" customFormat="1" outlineLevel="1" x14ac:dyDescent="0.2">
      <c r="C35" s="660" t="str">
        <f>Intv_Ann_TO!D1445</f>
        <v>Lusaka</v>
      </c>
      <c r="J35" s="5">
        <f>Intv_Ann_TO!J1445</f>
        <v>2640</v>
      </c>
      <c r="K35" s="5">
        <f>Intv_Ann_TO!K1445</f>
        <v>2640</v>
      </c>
      <c r="L35" s="5">
        <f>Intv_Ann_TO!L1445</f>
        <v>2640</v>
      </c>
      <c r="M35" s="5">
        <f>Intv_Ann_TO!M1445</f>
        <v>2640</v>
      </c>
      <c r="N35" s="5">
        <f>Intv_Ann_TO!N1445</f>
        <v>2640</v>
      </c>
      <c r="O35" s="5">
        <f>Intv_Ann_TO!O1445</f>
        <v>2640</v>
      </c>
    </row>
    <row r="36" spans="1:15" s="327" customFormat="1" outlineLevel="1" x14ac:dyDescent="0.2">
      <c r="C36" s="660" t="str">
        <f>Intv_Ann_TO!D1446</f>
        <v>Muchinga</v>
      </c>
      <c r="J36" s="5">
        <f>Intv_Ann_TO!J1446</f>
        <v>0</v>
      </c>
      <c r="K36" s="5">
        <f>Intv_Ann_TO!K1446</f>
        <v>0</v>
      </c>
      <c r="L36" s="5">
        <f>Intv_Ann_TO!L1446</f>
        <v>0</v>
      </c>
      <c r="M36" s="5">
        <f>Intv_Ann_TO!M1446</f>
        <v>0</v>
      </c>
      <c r="N36" s="5">
        <f>Intv_Ann_TO!N1446</f>
        <v>0</v>
      </c>
      <c r="O36" s="5">
        <f>Intv_Ann_TO!O1446</f>
        <v>0</v>
      </c>
    </row>
    <row r="37" spans="1:15" s="327" customFormat="1" outlineLevel="1" x14ac:dyDescent="0.2">
      <c r="C37" s="660" t="str">
        <f>Intv_Ann_TO!D1447</f>
        <v>Northern</v>
      </c>
      <c r="J37" s="5">
        <f>Intv_Ann_TO!J1447</f>
        <v>0</v>
      </c>
      <c r="K37" s="5">
        <f>Intv_Ann_TO!K1447</f>
        <v>0</v>
      </c>
      <c r="L37" s="5">
        <f>Intv_Ann_TO!L1447</f>
        <v>0</v>
      </c>
      <c r="M37" s="5">
        <f>Intv_Ann_TO!M1447</f>
        <v>0</v>
      </c>
      <c r="N37" s="5">
        <f>Intv_Ann_TO!N1447</f>
        <v>0</v>
      </c>
      <c r="O37" s="5">
        <f>Intv_Ann_TO!O1447</f>
        <v>0</v>
      </c>
    </row>
    <row r="38" spans="1:15" s="327" customFormat="1" outlineLevel="1" x14ac:dyDescent="0.2">
      <c r="C38" s="660" t="str">
        <f>Intv_Ann_TO!D1448</f>
        <v>North-Western</v>
      </c>
      <c r="J38" s="5">
        <f>Intv_Ann_TO!J1448</f>
        <v>0</v>
      </c>
      <c r="K38" s="5">
        <f>Intv_Ann_TO!K1448</f>
        <v>0</v>
      </c>
      <c r="L38" s="5">
        <f>Intv_Ann_TO!L1448</f>
        <v>0</v>
      </c>
      <c r="M38" s="5">
        <f>Intv_Ann_TO!M1448</f>
        <v>0</v>
      </c>
      <c r="N38" s="5">
        <f>Intv_Ann_TO!N1448</f>
        <v>0</v>
      </c>
      <c r="O38" s="5">
        <f>Intv_Ann_TO!O1448</f>
        <v>0</v>
      </c>
    </row>
    <row r="39" spans="1:15" s="327" customFormat="1" outlineLevel="1" x14ac:dyDescent="0.2">
      <c r="C39" s="660" t="str">
        <f>Intv_Ann_TO!D1449</f>
        <v>Southern</v>
      </c>
      <c r="J39" s="5">
        <f>Intv_Ann_TO!J1449</f>
        <v>0</v>
      </c>
      <c r="K39" s="5">
        <f>Intv_Ann_TO!K1449</f>
        <v>0</v>
      </c>
      <c r="L39" s="5">
        <f>Intv_Ann_TO!L1449</f>
        <v>0</v>
      </c>
      <c r="M39" s="5">
        <f>Intv_Ann_TO!M1449</f>
        <v>0</v>
      </c>
      <c r="N39" s="5">
        <f>Intv_Ann_TO!N1449</f>
        <v>0</v>
      </c>
      <c r="O39" s="5">
        <f>Intv_Ann_TO!O1449</f>
        <v>0</v>
      </c>
    </row>
    <row r="40" spans="1:15" s="327" customFormat="1" outlineLevel="1" x14ac:dyDescent="0.2">
      <c r="C40" s="660" t="str">
        <f>Intv_Ann_TO!D1450</f>
        <v>Western</v>
      </c>
      <c r="J40" s="5">
        <f>Intv_Ann_TO!J1450</f>
        <v>0</v>
      </c>
      <c r="K40" s="5">
        <f>Intv_Ann_TO!K1450</f>
        <v>0</v>
      </c>
      <c r="L40" s="5">
        <f>Intv_Ann_TO!L1450</f>
        <v>0</v>
      </c>
      <c r="M40" s="5">
        <f>Intv_Ann_TO!M1450</f>
        <v>0</v>
      </c>
      <c r="N40" s="5">
        <f>Intv_Ann_TO!N1450</f>
        <v>2640</v>
      </c>
      <c r="O40" s="5">
        <f>Intv_Ann_TO!O1450</f>
        <v>2640</v>
      </c>
    </row>
    <row r="41" spans="1:15" s="327" customFormat="1" ht="15.75" thickBot="1" x14ac:dyDescent="0.25">
      <c r="C41" s="679" t="str">
        <f>"Total "&amp;C30</f>
        <v>Total Maximum Procedures</v>
      </c>
      <c r="J41" s="624">
        <f t="shared" ref="J41:O41" si="5">SUM(J31:J40)</f>
        <v>2640</v>
      </c>
      <c r="K41" s="624">
        <f t="shared" si="5"/>
        <v>2640</v>
      </c>
      <c r="L41" s="624">
        <f t="shared" si="5"/>
        <v>2640</v>
      </c>
      <c r="M41" s="624">
        <f t="shared" si="5"/>
        <v>2640</v>
      </c>
      <c r="N41" s="624">
        <f t="shared" si="5"/>
        <v>7920</v>
      </c>
      <c r="O41" s="624">
        <f t="shared" si="5"/>
        <v>7920</v>
      </c>
    </row>
    <row r="42" spans="1:15" s="327" customFormat="1" ht="13.5" thickTop="1" x14ac:dyDescent="0.2"/>
    <row r="43" spans="1:15" s="327" customFormat="1" ht="15" x14ac:dyDescent="0.2">
      <c r="A43" s="658" t="s">
        <v>1899</v>
      </c>
      <c r="I43" s="649" t="str">
        <f>IF(Intv_Ann_TA!H767,"YES!","NO.")</f>
        <v>YES!</v>
      </c>
    </row>
    <row r="44" spans="1:15" s="327" customFormat="1" x14ac:dyDescent="0.2"/>
    <row r="45" spans="1:15" s="327" customFormat="1" ht="18.75" x14ac:dyDescent="0.2">
      <c r="B45" s="329" t="s">
        <v>1898</v>
      </c>
    </row>
    <row r="46" spans="1:15" s="327" customFormat="1" ht="15.75" x14ac:dyDescent="0.2">
      <c r="C46" s="330" t="s">
        <v>1970</v>
      </c>
    </row>
    <row r="47" spans="1:15" s="327" customFormat="1" outlineLevel="1" x14ac:dyDescent="0.2">
      <c r="C47" s="660" t="str">
        <f>Intv_Ann_TA!D770</f>
        <v>Central</v>
      </c>
      <c r="J47" s="5">
        <f ca="1">Intv_Ann_TA!J770*Intv_BA!$J$1183</f>
        <v>51.802599999999998</v>
      </c>
      <c r="K47" s="5">
        <f ca="1">Intv_Ann_TA!K770*Intv_BA!$J$1183</f>
        <v>51.802599999999998</v>
      </c>
      <c r="L47" s="5">
        <f ca="1">Intv_Ann_TA!L770*Intv_BA!$J$1183</f>
        <v>51.802599999999998</v>
      </c>
      <c r="M47" s="5">
        <f ca="1">Intv_Ann_TA!M770*Intv_BA!$J$1183</f>
        <v>51.802599999999998</v>
      </c>
      <c r="N47" s="5">
        <f ca="1">Intv_Ann_TA!N770*Intv_BA!$J$1183</f>
        <v>51.802599999999998</v>
      </c>
      <c r="O47" s="5">
        <f ca="1">Intv_Ann_TA!O770*Intv_BA!$J$1183</f>
        <v>51.802599999999998</v>
      </c>
    </row>
    <row r="48" spans="1:15" s="327" customFormat="1" outlineLevel="1" x14ac:dyDescent="0.2">
      <c r="C48" s="660" t="str">
        <f>Intv_Ann_TA!D771</f>
        <v>Copperbelt</v>
      </c>
      <c r="J48" s="5">
        <f ca="1">Intv_Ann_TA!J771*Intv_BA!$J$1183</f>
        <v>72.745599999999996</v>
      </c>
      <c r="K48" s="5">
        <f ca="1">Intv_Ann_TA!K771*Intv_BA!$J$1183</f>
        <v>72.745599999999996</v>
      </c>
      <c r="L48" s="5">
        <f ca="1">Intv_Ann_TA!L771*Intv_BA!$J$1183</f>
        <v>72.745599999999996</v>
      </c>
      <c r="M48" s="5">
        <f ca="1">Intv_Ann_TA!M771*Intv_BA!$J$1183</f>
        <v>72.745599999999996</v>
      </c>
      <c r="N48" s="5">
        <f ca="1">Intv_Ann_TA!N771*Intv_BA!$J$1183</f>
        <v>72.745599999999996</v>
      </c>
      <c r="O48" s="5">
        <f ca="1">Intv_Ann_TA!O771*Intv_BA!$J$1183</f>
        <v>72.745599999999996</v>
      </c>
    </row>
    <row r="49" spans="2:15" s="327" customFormat="1" outlineLevel="1" x14ac:dyDescent="0.2">
      <c r="C49" s="660" t="str">
        <f>Intv_Ann_TA!D772</f>
        <v>Eastern</v>
      </c>
      <c r="J49" s="5">
        <f ca="1">Intv_Ann_TA!J772*Intv_BA!$J$1183</f>
        <v>93.688599999999994</v>
      </c>
      <c r="K49" s="5">
        <f ca="1">Intv_Ann_TA!K772*Intv_BA!$J$1183</f>
        <v>93.688599999999994</v>
      </c>
      <c r="L49" s="5">
        <f ca="1">Intv_Ann_TA!L772*Intv_BA!$J$1183</f>
        <v>93.688599999999994</v>
      </c>
      <c r="M49" s="5">
        <f ca="1">Intv_Ann_TA!M772*Intv_BA!$J$1183</f>
        <v>93.688599999999994</v>
      </c>
      <c r="N49" s="5">
        <f ca="1">Intv_Ann_TA!N772*Intv_BA!$J$1183</f>
        <v>93.688599999999994</v>
      </c>
      <c r="O49" s="5">
        <f ca="1">Intv_Ann_TA!O772*Intv_BA!$J$1183</f>
        <v>93.688599999999994</v>
      </c>
    </row>
    <row r="50" spans="2:15" s="327" customFormat="1" outlineLevel="1" x14ac:dyDescent="0.2">
      <c r="C50" s="660" t="str">
        <f>Intv_Ann_TA!D773</f>
        <v>Luapula</v>
      </c>
      <c r="J50" s="5">
        <f ca="1">Intv_Ann_TA!J773*Intv_BA!$J$1183</f>
        <v>72.745599999999996</v>
      </c>
      <c r="K50" s="5">
        <f ca="1">Intv_Ann_TA!K773*Intv_BA!$J$1183</f>
        <v>72.745599999999996</v>
      </c>
      <c r="L50" s="5">
        <f ca="1">Intv_Ann_TA!L773*Intv_BA!$J$1183</f>
        <v>72.745599999999996</v>
      </c>
      <c r="M50" s="5">
        <f ca="1">Intv_Ann_TA!M773*Intv_BA!$J$1183</f>
        <v>72.745599999999996</v>
      </c>
      <c r="N50" s="5">
        <f ca="1">Intv_Ann_TA!N773*Intv_BA!$J$1183</f>
        <v>72.745599999999996</v>
      </c>
      <c r="O50" s="5">
        <f ca="1">Intv_Ann_TA!O773*Intv_BA!$J$1183</f>
        <v>72.745599999999996</v>
      </c>
    </row>
    <row r="51" spans="2:15" s="327" customFormat="1" outlineLevel="1" x14ac:dyDescent="0.2">
      <c r="C51" s="660" t="str">
        <f>Intv_Ann_TA!D774</f>
        <v>Lusaka</v>
      </c>
      <c r="J51" s="5">
        <f ca="1">Intv_Ann_TA!J774*Intv_BA!$J$1183</f>
        <v>261.23259999999999</v>
      </c>
      <c r="K51" s="5">
        <f ca="1">Intv_Ann_TA!K774*Intv_BA!$J$1183</f>
        <v>261.23259999999999</v>
      </c>
      <c r="L51" s="5">
        <f ca="1">Intv_Ann_TA!L774*Intv_BA!$J$1183</f>
        <v>261.23259999999999</v>
      </c>
      <c r="M51" s="5">
        <f ca="1">Intv_Ann_TA!M774*Intv_BA!$J$1183</f>
        <v>261.23259999999999</v>
      </c>
      <c r="N51" s="5">
        <f ca="1">Intv_Ann_TA!N774*Intv_BA!$J$1183</f>
        <v>261.23259999999999</v>
      </c>
      <c r="O51" s="5">
        <f ca="1">Intv_Ann_TA!O774*Intv_BA!$J$1183</f>
        <v>261.23259999999999</v>
      </c>
    </row>
    <row r="52" spans="2:15" s="327" customFormat="1" outlineLevel="1" x14ac:dyDescent="0.2">
      <c r="C52" s="660" t="str">
        <f>Intv_Ann_TA!D775</f>
        <v>Muchinga</v>
      </c>
      <c r="J52" s="5">
        <f ca="1">Intv_Ann_TA!J775*Intv_BA!$J$1183</f>
        <v>4.9582999999999995</v>
      </c>
      <c r="K52" s="5">
        <f ca="1">Intv_Ann_TA!K775*Intv_BA!$J$1183</f>
        <v>4.9582999999999995</v>
      </c>
      <c r="L52" s="5">
        <f ca="1">Intv_Ann_TA!L775*Intv_BA!$J$1183</f>
        <v>4.9582999999999995</v>
      </c>
      <c r="M52" s="5">
        <f ca="1">Intv_Ann_TA!M775*Intv_BA!$J$1183</f>
        <v>4.9582999999999995</v>
      </c>
      <c r="N52" s="5">
        <f ca="1">Intv_Ann_TA!N775*Intv_BA!$J$1183</f>
        <v>4.9582999999999995</v>
      </c>
      <c r="O52" s="5">
        <f ca="1">Intv_Ann_TA!O775*Intv_BA!$J$1183</f>
        <v>4.9582999999999995</v>
      </c>
    </row>
    <row r="53" spans="2:15" s="327" customFormat="1" outlineLevel="1" x14ac:dyDescent="0.2">
      <c r="C53" s="660" t="str">
        <f>Intv_Ann_TA!D776</f>
        <v>Northern</v>
      </c>
      <c r="J53" s="5">
        <f ca="1">Intv_Ann_TA!J776*Intv_BA!$J$1183</f>
        <v>25.901299999999999</v>
      </c>
      <c r="K53" s="5">
        <f ca="1">Intv_Ann_TA!K776*Intv_BA!$J$1183</f>
        <v>25.901299999999999</v>
      </c>
      <c r="L53" s="5">
        <f ca="1">Intv_Ann_TA!L776*Intv_BA!$J$1183</f>
        <v>25.901299999999999</v>
      </c>
      <c r="M53" s="5">
        <f ca="1">Intv_Ann_TA!M776*Intv_BA!$J$1183</f>
        <v>25.901299999999999</v>
      </c>
      <c r="N53" s="5">
        <f ca="1">Intv_Ann_TA!N776*Intv_BA!$J$1183</f>
        <v>25.901299999999999</v>
      </c>
      <c r="O53" s="5">
        <f ca="1">Intv_Ann_TA!O776*Intv_BA!$J$1183</f>
        <v>25.901299999999999</v>
      </c>
    </row>
    <row r="54" spans="2:15" s="327" customFormat="1" outlineLevel="1" x14ac:dyDescent="0.2">
      <c r="C54" s="660" t="str">
        <f>Intv_Ann_TA!D777</f>
        <v>North-Western</v>
      </c>
      <c r="J54" s="5">
        <f ca="1">Intv_Ann_TA!J777*Intv_BA!$J$1183</f>
        <v>30.8596</v>
      </c>
      <c r="K54" s="5">
        <f ca="1">Intv_Ann_TA!K777*Intv_BA!$J$1183</f>
        <v>30.8596</v>
      </c>
      <c r="L54" s="5">
        <f ca="1">Intv_Ann_TA!L777*Intv_BA!$J$1183</f>
        <v>30.8596</v>
      </c>
      <c r="M54" s="5">
        <f ca="1">Intv_Ann_TA!M777*Intv_BA!$J$1183</f>
        <v>30.8596</v>
      </c>
      <c r="N54" s="5">
        <f ca="1">Intv_Ann_TA!N777*Intv_BA!$J$1183</f>
        <v>30.8596</v>
      </c>
      <c r="O54" s="5">
        <f ca="1">Intv_Ann_TA!O777*Intv_BA!$J$1183</f>
        <v>30.8596</v>
      </c>
    </row>
    <row r="55" spans="2:15" s="327" customFormat="1" outlineLevel="1" x14ac:dyDescent="0.2">
      <c r="C55" s="660" t="str">
        <f>Intv_Ann_TA!D778</f>
        <v>Southern</v>
      </c>
      <c r="J55" s="5">
        <f ca="1">Intv_Ann_TA!J778*Intv_BA!$J$1183</f>
        <v>72.745599999999996</v>
      </c>
      <c r="K55" s="5">
        <f ca="1">Intv_Ann_TA!K778*Intv_BA!$J$1183</f>
        <v>72.745599999999996</v>
      </c>
      <c r="L55" s="5">
        <f ca="1">Intv_Ann_TA!L778*Intv_BA!$J$1183</f>
        <v>72.745599999999996</v>
      </c>
      <c r="M55" s="5">
        <f ca="1">Intv_Ann_TA!M778*Intv_BA!$J$1183</f>
        <v>72.745599999999996</v>
      </c>
      <c r="N55" s="5">
        <f ca="1">Intv_Ann_TA!N778*Intv_BA!$J$1183</f>
        <v>72.745599999999996</v>
      </c>
      <c r="O55" s="5">
        <f ca="1">Intv_Ann_TA!O778*Intv_BA!$J$1183</f>
        <v>72.745599999999996</v>
      </c>
    </row>
    <row r="56" spans="2:15" s="327" customFormat="1" outlineLevel="1" x14ac:dyDescent="0.2">
      <c r="C56" s="660" t="str">
        <f>Intv_Ann_TA!D779</f>
        <v>Western</v>
      </c>
      <c r="J56" s="5">
        <f ca="1">Intv_Ann_TA!J779*Intv_BA!$J$1183</f>
        <v>72.745599999999996</v>
      </c>
      <c r="K56" s="5">
        <f ca="1">Intv_Ann_TA!K779*Intv_BA!$J$1183</f>
        <v>72.745599999999996</v>
      </c>
      <c r="L56" s="5">
        <f ca="1">Intv_Ann_TA!L779*Intv_BA!$J$1183</f>
        <v>72.745599999999996</v>
      </c>
      <c r="M56" s="5">
        <f ca="1">Intv_Ann_TA!M779*Intv_BA!$J$1183</f>
        <v>72.745599999999996</v>
      </c>
      <c r="N56" s="5">
        <f ca="1">Intv_Ann_TA!N779*Intv_BA!$J$1183</f>
        <v>72.745599999999996</v>
      </c>
      <c r="O56" s="5">
        <f ca="1">Intv_Ann_TA!O779*Intv_BA!$J$1183</f>
        <v>72.745599999999996</v>
      </c>
    </row>
    <row r="57" spans="2:15" s="327" customFormat="1" ht="15.75" thickBot="1" x14ac:dyDescent="0.25">
      <c r="C57" s="679" t="str">
        <f>"Total "&amp;C46</f>
        <v>Total Screened Patients Referred for Procedure</v>
      </c>
      <c r="J57" s="624">
        <f t="shared" ref="J57:O57" ca="1" si="6">SUM(J47:J56)</f>
        <v>759.42539999999985</v>
      </c>
      <c r="K57" s="624">
        <f t="shared" ca="1" si="6"/>
        <v>759.42539999999985</v>
      </c>
      <c r="L57" s="624">
        <f t="shared" ca="1" si="6"/>
        <v>759.42539999999985</v>
      </c>
      <c r="M57" s="624">
        <f t="shared" ca="1" si="6"/>
        <v>759.42539999999985</v>
      </c>
      <c r="N57" s="624">
        <f t="shared" ca="1" si="6"/>
        <v>759.42539999999985</v>
      </c>
      <c r="O57" s="624">
        <f t="shared" ca="1" si="6"/>
        <v>759.42539999999985</v>
      </c>
    </row>
    <row r="58" spans="2:15" s="327" customFormat="1" ht="13.5" thickTop="1" x14ac:dyDescent="0.2"/>
    <row r="59" spans="2:15" s="327" customFormat="1" ht="18.75" x14ac:dyDescent="0.2">
      <c r="B59" s="329" t="s">
        <v>1895</v>
      </c>
    </row>
    <row r="60" spans="2:15" s="327" customFormat="1" ht="15.75" x14ac:dyDescent="0.2">
      <c r="C60" s="18" t="str">
        <f>Intv_Ann_TO!D1454</f>
        <v>Population Seeking Service (New)</v>
      </c>
    </row>
    <row r="61" spans="2:15" s="327" customFormat="1" outlineLevel="1" x14ac:dyDescent="0.2">
      <c r="C61" s="660" t="str">
        <f>Intv_Ann_TO!D1455</f>
        <v>Central</v>
      </c>
      <c r="J61" s="5">
        <f ca="1">Intv_Ann_TO!J1455</f>
        <v>26</v>
      </c>
      <c r="K61" s="5">
        <f ca="1">Intv_Ann_TO!K1455</f>
        <v>26</v>
      </c>
      <c r="L61" s="5">
        <f ca="1">Intv_Ann_TO!L1455</f>
        <v>26</v>
      </c>
      <c r="M61" s="5">
        <f ca="1">Intv_Ann_TO!M1455</f>
        <v>26</v>
      </c>
      <c r="N61" s="5">
        <f ca="1">Intv_Ann_TO!N1455</f>
        <v>26</v>
      </c>
      <c r="O61" s="5">
        <f ca="1">Intv_Ann_TO!O1455</f>
        <v>26</v>
      </c>
    </row>
    <row r="62" spans="2:15" s="327" customFormat="1" outlineLevel="1" x14ac:dyDescent="0.2">
      <c r="C62" s="660" t="str">
        <f>Intv_Ann_TO!D1456</f>
        <v>Copperbelt</v>
      </c>
      <c r="J62" s="5">
        <f ca="1">Intv_Ann_TO!J1456</f>
        <v>36</v>
      </c>
      <c r="K62" s="5">
        <f ca="1">Intv_Ann_TO!K1456</f>
        <v>36</v>
      </c>
      <c r="L62" s="5">
        <f ca="1">Intv_Ann_TO!L1456</f>
        <v>36</v>
      </c>
      <c r="M62" s="5">
        <f ca="1">Intv_Ann_TO!M1456</f>
        <v>36</v>
      </c>
      <c r="N62" s="5">
        <f ca="1">Intv_Ann_TO!N1456</f>
        <v>36</v>
      </c>
      <c r="O62" s="5">
        <f ca="1">Intv_Ann_TO!O1456</f>
        <v>36</v>
      </c>
    </row>
    <row r="63" spans="2:15" s="327" customFormat="1" outlineLevel="1" x14ac:dyDescent="0.2">
      <c r="C63" s="660" t="str">
        <f>Intv_Ann_TO!D1457</f>
        <v>Eastern</v>
      </c>
      <c r="J63" s="5">
        <f ca="1">Intv_Ann_TO!J1457</f>
        <v>47</v>
      </c>
      <c r="K63" s="5">
        <f ca="1">Intv_Ann_TO!K1457</f>
        <v>47</v>
      </c>
      <c r="L63" s="5">
        <f ca="1">Intv_Ann_TO!L1457</f>
        <v>47</v>
      </c>
      <c r="M63" s="5">
        <f ca="1">Intv_Ann_TO!M1457</f>
        <v>47</v>
      </c>
      <c r="N63" s="5">
        <f ca="1">Intv_Ann_TO!N1457</f>
        <v>47</v>
      </c>
      <c r="O63" s="5">
        <f ca="1">Intv_Ann_TO!O1457</f>
        <v>47</v>
      </c>
    </row>
    <row r="64" spans="2:15" s="327" customFormat="1" outlineLevel="1" x14ac:dyDescent="0.2">
      <c r="C64" s="660" t="str">
        <f>Intv_Ann_TO!D1458</f>
        <v>Luapula</v>
      </c>
      <c r="J64" s="5">
        <f ca="1">Intv_Ann_TO!J1458</f>
        <v>36</v>
      </c>
      <c r="K64" s="5">
        <f ca="1">Intv_Ann_TO!K1458</f>
        <v>36</v>
      </c>
      <c r="L64" s="5">
        <f ca="1">Intv_Ann_TO!L1458</f>
        <v>36</v>
      </c>
      <c r="M64" s="5">
        <f ca="1">Intv_Ann_TO!M1458</f>
        <v>36</v>
      </c>
      <c r="N64" s="5">
        <f ca="1">Intv_Ann_TO!N1458</f>
        <v>36</v>
      </c>
      <c r="O64" s="5">
        <f ca="1">Intv_Ann_TO!O1458</f>
        <v>36</v>
      </c>
    </row>
    <row r="65" spans="2:15" s="327" customFormat="1" outlineLevel="1" x14ac:dyDescent="0.2">
      <c r="C65" s="660" t="str">
        <f>Intv_Ann_TO!D1459</f>
        <v>Lusaka</v>
      </c>
      <c r="J65" s="5">
        <f ca="1">Intv_Ann_TO!J1459</f>
        <v>131</v>
      </c>
      <c r="K65" s="5">
        <f ca="1">Intv_Ann_TO!K1459</f>
        <v>131</v>
      </c>
      <c r="L65" s="5">
        <f ca="1">Intv_Ann_TO!L1459</f>
        <v>131</v>
      </c>
      <c r="M65" s="5">
        <f ca="1">Intv_Ann_TO!M1459</f>
        <v>131</v>
      </c>
      <c r="N65" s="5">
        <f ca="1">Intv_Ann_TO!N1459</f>
        <v>131</v>
      </c>
      <c r="O65" s="5">
        <f ca="1">Intv_Ann_TO!O1459</f>
        <v>131</v>
      </c>
    </row>
    <row r="66" spans="2:15" s="327" customFormat="1" outlineLevel="1" x14ac:dyDescent="0.2">
      <c r="C66" s="660" t="str">
        <f>Intv_Ann_TO!D1460</f>
        <v>Muchinga</v>
      </c>
      <c r="J66" s="5">
        <f ca="1">Intv_Ann_TO!J1460</f>
        <v>2</v>
      </c>
      <c r="K66" s="5">
        <f ca="1">Intv_Ann_TO!K1460</f>
        <v>2</v>
      </c>
      <c r="L66" s="5">
        <f ca="1">Intv_Ann_TO!L1460</f>
        <v>2</v>
      </c>
      <c r="M66" s="5">
        <f ca="1">Intv_Ann_TO!M1460</f>
        <v>2</v>
      </c>
      <c r="N66" s="5">
        <f ca="1">Intv_Ann_TO!N1460</f>
        <v>2</v>
      </c>
      <c r="O66" s="5">
        <f ca="1">Intv_Ann_TO!O1460</f>
        <v>2</v>
      </c>
    </row>
    <row r="67" spans="2:15" s="327" customFormat="1" outlineLevel="1" x14ac:dyDescent="0.2">
      <c r="C67" s="660" t="str">
        <f>Intv_Ann_TO!D1461</f>
        <v>Northern</v>
      </c>
      <c r="J67" s="5">
        <f ca="1">Intv_Ann_TO!J1461</f>
        <v>13</v>
      </c>
      <c r="K67" s="5">
        <f ca="1">Intv_Ann_TO!K1461</f>
        <v>13</v>
      </c>
      <c r="L67" s="5">
        <f ca="1">Intv_Ann_TO!L1461</f>
        <v>13</v>
      </c>
      <c r="M67" s="5">
        <f ca="1">Intv_Ann_TO!M1461</f>
        <v>13</v>
      </c>
      <c r="N67" s="5">
        <f ca="1">Intv_Ann_TO!N1461</f>
        <v>13</v>
      </c>
      <c r="O67" s="5">
        <f ca="1">Intv_Ann_TO!O1461</f>
        <v>13</v>
      </c>
    </row>
    <row r="68" spans="2:15" s="327" customFormat="1" outlineLevel="1" x14ac:dyDescent="0.2">
      <c r="C68" s="660" t="str">
        <f>Intv_Ann_TO!D1462</f>
        <v>North-Western</v>
      </c>
      <c r="J68" s="5">
        <f ca="1">Intv_Ann_TO!J1462</f>
        <v>15</v>
      </c>
      <c r="K68" s="5">
        <f ca="1">Intv_Ann_TO!K1462</f>
        <v>15</v>
      </c>
      <c r="L68" s="5">
        <f ca="1">Intv_Ann_TO!L1462</f>
        <v>15</v>
      </c>
      <c r="M68" s="5">
        <f ca="1">Intv_Ann_TO!M1462</f>
        <v>15</v>
      </c>
      <c r="N68" s="5">
        <f ca="1">Intv_Ann_TO!N1462</f>
        <v>15</v>
      </c>
      <c r="O68" s="5">
        <f ca="1">Intv_Ann_TO!O1462</f>
        <v>15</v>
      </c>
    </row>
    <row r="69" spans="2:15" s="327" customFormat="1" outlineLevel="1" x14ac:dyDescent="0.2">
      <c r="C69" s="660" t="str">
        <f>Intv_Ann_TO!D1463</f>
        <v>Southern</v>
      </c>
      <c r="J69" s="5">
        <f ca="1">Intv_Ann_TO!J1463</f>
        <v>36</v>
      </c>
      <c r="K69" s="5">
        <f ca="1">Intv_Ann_TO!K1463</f>
        <v>36</v>
      </c>
      <c r="L69" s="5">
        <f ca="1">Intv_Ann_TO!L1463</f>
        <v>36</v>
      </c>
      <c r="M69" s="5">
        <f ca="1">Intv_Ann_TO!M1463</f>
        <v>36</v>
      </c>
      <c r="N69" s="5">
        <f ca="1">Intv_Ann_TO!N1463</f>
        <v>36</v>
      </c>
      <c r="O69" s="5">
        <f ca="1">Intv_Ann_TO!O1463</f>
        <v>36</v>
      </c>
    </row>
    <row r="70" spans="2:15" s="327" customFormat="1" outlineLevel="1" x14ac:dyDescent="0.2">
      <c r="C70" s="660" t="str">
        <f>Intv_Ann_TO!D1464</f>
        <v>Western</v>
      </c>
      <c r="J70" s="5">
        <f ca="1">Intv_Ann_TO!J1464</f>
        <v>36</v>
      </c>
      <c r="K70" s="5">
        <f ca="1">Intv_Ann_TO!K1464</f>
        <v>36</v>
      </c>
      <c r="L70" s="5">
        <f ca="1">Intv_Ann_TO!L1464</f>
        <v>36</v>
      </c>
      <c r="M70" s="5">
        <f ca="1">Intv_Ann_TO!M1464</f>
        <v>36</v>
      </c>
      <c r="N70" s="5">
        <f ca="1">Intv_Ann_TO!N1464</f>
        <v>36</v>
      </c>
      <c r="O70" s="5">
        <f ca="1">Intv_Ann_TO!O1464</f>
        <v>36</v>
      </c>
    </row>
    <row r="71" spans="2:15" s="327" customFormat="1" ht="15.75" thickBot="1" x14ac:dyDescent="0.25">
      <c r="C71" s="679" t="str">
        <f>"Total "&amp;C60</f>
        <v>Total Population Seeking Service (New)</v>
      </c>
      <c r="J71" s="624">
        <f t="shared" ref="J71:O71" ca="1" si="7">SUM(J61:J70)</f>
        <v>378</v>
      </c>
      <c r="K71" s="624">
        <f t="shared" ca="1" si="7"/>
        <v>378</v>
      </c>
      <c r="L71" s="624">
        <f t="shared" ca="1" si="7"/>
        <v>378</v>
      </c>
      <c r="M71" s="624">
        <f t="shared" ca="1" si="7"/>
        <v>378</v>
      </c>
      <c r="N71" s="624">
        <f t="shared" ca="1" si="7"/>
        <v>378</v>
      </c>
      <c r="O71" s="624">
        <f t="shared" ca="1" si="7"/>
        <v>378</v>
      </c>
    </row>
    <row r="72" spans="2:15" s="327" customFormat="1" ht="13.5" thickTop="1" x14ac:dyDescent="0.2"/>
    <row r="73" spans="2:15" s="327" customFormat="1" ht="15.75" x14ac:dyDescent="0.2">
      <c r="C73" s="330" t="s">
        <v>1893</v>
      </c>
      <c r="J73" s="5">
        <f t="shared" ref="J73:O73" ca="1" si="8">MAX((J71-J41),0)</f>
        <v>0</v>
      </c>
      <c r="K73" s="5">
        <f t="shared" ca="1" si="8"/>
        <v>0</v>
      </c>
      <c r="L73" s="5">
        <f t="shared" ca="1" si="8"/>
        <v>0</v>
      </c>
      <c r="M73" s="5">
        <f t="shared" ca="1" si="8"/>
        <v>0</v>
      </c>
      <c r="N73" s="5">
        <f t="shared" ca="1" si="8"/>
        <v>0</v>
      </c>
      <c r="O73" s="5">
        <f t="shared" ca="1" si="8"/>
        <v>0</v>
      </c>
    </row>
    <row r="74" spans="2:15" s="327" customFormat="1" x14ac:dyDescent="0.2"/>
    <row r="75" spans="2:15" s="327" customFormat="1" ht="18.75" x14ac:dyDescent="0.2">
      <c r="B75" s="329" t="s">
        <v>8</v>
      </c>
    </row>
    <row r="76" spans="2:15" s="327" customFormat="1" ht="15.75" x14ac:dyDescent="0.2">
      <c r="C76" s="330" t="s">
        <v>1901</v>
      </c>
    </row>
    <row r="77" spans="2:15" s="327" customFormat="1" outlineLevel="1" x14ac:dyDescent="0.2">
      <c r="C77" s="660" t="str">
        <f>Intv_Ann_TO!D1495</f>
        <v>Central</v>
      </c>
      <c r="J77" s="5">
        <f ca="1">Intv_Ann_TO!J1495</f>
        <v>26</v>
      </c>
      <c r="K77" s="5">
        <f ca="1">Intv_Ann_TO!K1495</f>
        <v>26</v>
      </c>
      <c r="L77" s="5">
        <f ca="1">Intv_Ann_TO!L1495</f>
        <v>26</v>
      </c>
      <c r="M77" s="5">
        <f ca="1">Intv_Ann_TO!M1495</f>
        <v>26</v>
      </c>
      <c r="N77" s="5">
        <f ca="1">Intv_Ann_TO!N1495</f>
        <v>26</v>
      </c>
      <c r="O77" s="5">
        <f ca="1">Intv_Ann_TO!O1495</f>
        <v>26</v>
      </c>
    </row>
    <row r="78" spans="2:15" s="327" customFormat="1" outlineLevel="1" x14ac:dyDescent="0.2">
      <c r="C78" s="660" t="str">
        <f>Intv_Ann_TO!D1496</f>
        <v>Copperbelt</v>
      </c>
      <c r="J78" s="5">
        <f ca="1">Intv_Ann_TO!J1496</f>
        <v>36</v>
      </c>
      <c r="K78" s="5">
        <f ca="1">Intv_Ann_TO!K1496</f>
        <v>36</v>
      </c>
      <c r="L78" s="5">
        <f ca="1">Intv_Ann_TO!L1496</f>
        <v>36</v>
      </c>
      <c r="M78" s="5">
        <f ca="1">Intv_Ann_TO!M1496</f>
        <v>36</v>
      </c>
      <c r="N78" s="5">
        <f ca="1">Intv_Ann_TO!N1496</f>
        <v>36</v>
      </c>
      <c r="O78" s="5">
        <f ca="1">Intv_Ann_TO!O1496</f>
        <v>36</v>
      </c>
    </row>
    <row r="79" spans="2:15" s="327" customFormat="1" outlineLevel="1" x14ac:dyDescent="0.2">
      <c r="C79" s="660" t="str">
        <f>Intv_Ann_TO!D1497</f>
        <v>Eastern</v>
      </c>
      <c r="J79" s="5">
        <f ca="1">Intv_Ann_TO!J1497</f>
        <v>47</v>
      </c>
      <c r="K79" s="5">
        <f ca="1">Intv_Ann_TO!K1497</f>
        <v>47</v>
      </c>
      <c r="L79" s="5">
        <f ca="1">Intv_Ann_TO!L1497</f>
        <v>47</v>
      </c>
      <c r="M79" s="5">
        <f ca="1">Intv_Ann_TO!M1497</f>
        <v>47</v>
      </c>
      <c r="N79" s="5">
        <f ca="1">Intv_Ann_TO!N1497</f>
        <v>47</v>
      </c>
      <c r="O79" s="5">
        <f ca="1">Intv_Ann_TO!O1497</f>
        <v>47</v>
      </c>
    </row>
    <row r="80" spans="2:15" s="327" customFormat="1" outlineLevel="1" x14ac:dyDescent="0.2">
      <c r="C80" s="660" t="str">
        <f>Intv_Ann_TO!D1498</f>
        <v>Luapula</v>
      </c>
      <c r="J80" s="5">
        <f ca="1">Intv_Ann_TO!J1498</f>
        <v>36</v>
      </c>
      <c r="K80" s="5">
        <f ca="1">Intv_Ann_TO!K1498</f>
        <v>36</v>
      </c>
      <c r="L80" s="5">
        <f ca="1">Intv_Ann_TO!L1498</f>
        <v>36</v>
      </c>
      <c r="M80" s="5">
        <f ca="1">Intv_Ann_TO!M1498</f>
        <v>36</v>
      </c>
      <c r="N80" s="5">
        <f ca="1">Intv_Ann_TO!N1498</f>
        <v>36</v>
      </c>
      <c r="O80" s="5">
        <f ca="1">Intv_Ann_TO!O1498</f>
        <v>36</v>
      </c>
    </row>
    <row r="81" spans="3:15" s="327" customFormat="1" outlineLevel="1" x14ac:dyDescent="0.2">
      <c r="C81" s="660" t="str">
        <f>Intv_Ann_TO!D1499</f>
        <v>Lusaka</v>
      </c>
      <c r="J81" s="5">
        <f ca="1">Intv_Ann_TO!J1499</f>
        <v>131</v>
      </c>
      <c r="K81" s="5">
        <f ca="1">Intv_Ann_TO!K1499</f>
        <v>131</v>
      </c>
      <c r="L81" s="5">
        <f ca="1">Intv_Ann_TO!L1499</f>
        <v>131</v>
      </c>
      <c r="M81" s="5">
        <f ca="1">Intv_Ann_TO!M1499</f>
        <v>131</v>
      </c>
      <c r="N81" s="5">
        <f ca="1">Intv_Ann_TO!N1499</f>
        <v>131</v>
      </c>
      <c r="O81" s="5">
        <f ca="1">Intv_Ann_TO!O1499</f>
        <v>131</v>
      </c>
    </row>
    <row r="82" spans="3:15" s="327" customFormat="1" outlineLevel="1" x14ac:dyDescent="0.2">
      <c r="C82" s="660" t="str">
        <f>Intv_Ann_TO!D1500</f>
        <v>Muchinga</v>
      </c>
      <c r="J82" s="5">
        <f ca="1">Intv_Ann_TO!J1500</f>
        <v>2</v>
      </c>
      <c r="K82" s="5">
        <f ca="1">Intv_Ann_TO!K1500</f>
        <v>2</v>
      </c>
      <c r="L82" s="5">
        <f ca="1">Intv_Ann_TO!L1500</f>
        <v>2</v>
      </c>
      <c r="M82" s="5">
        <f ca="1">Intv_Ann_TO!M1500</f>
        <v>2</v>
      </c>
      <c r="N82" s="5">
        <f ca="1">Intv_Ann_TO!N1500</f>
        <v>2</v>
      </c>
      <c r="O82" s="5">
        <f ca="1">Intv_Ann_TO!O1500</f>
        <v>2</v>
      </c>
    </row>
    <row r="83" spans="3:15" s="327" customFormat="1" outlineLevel="1" x14ac:dyDescent="0.2">
      <c r="C83" s="660" t="str">
        <f>Intv_Ann_TO!D1501</f>
        <v>Northern</v>
      </c>
      <c r="J83" s="5">
        <f ca="1">Intv_Ann_TO!J1501</f>
        <v>13</v>
      </c>
      <c r="K83" s="5">
        <f ca="1">Intv_Ann_TO!K1501</f>
        <v>13</v>
      </c>
      <c r="L83" s="5">
        <f ca="1">Intv_Ann_TO!L1501</f>
        <v>13</v>
      </c>
      <c r="M83" s="5">
        <f ca="1">Intv_Ann_TO!M1501</f>
        <v>13</v>
      </c>
      <c r="N83" s="5">
        <f ca="1">Intv_Ann_TO!N1501</f>
        <v>13</v>
      </c>
      <c r="O83" s="5">
        <f ca="1">Intv_Ann_TO!O1501</f>
        <v>13</v>
      </c>
    </row>
    <row r="84" spans="3:15" s="327" customFormat="1" outlineLevel="1" x14ac:dyDescent="0.2">
      <c r="C84" s="660" t="str">
        <f>Intv_Ann_TO!D1502</f>
        <v>North-Western</v>
      </c>
      <c r="J84" s="5">
        <f ca="1">Intv_Ann_TO!J1502</f>
        <v>15</v>
      </c>
      <c r="K84" s="5">
        <f ca="1">Intv_Ann_TO!K1502</f>
        <v>15</v>
      </c>
      <c r="L84" s="5">
        <f ca="1">Intv_Ann_TO!L1502</f>
        <v>15</v>
      </c>
      <c r="M84" s="5">
        <f ca="1">Intv_Ann_TO!M1502</f>
        <v>15</v>
      </c>
      <c r="N84" s="5">
        <f ca="1">Intv_Ann_TO!N1502</f>
        <v>15</v>
      </c>
      <c r="O84" s="5">
        <f ca="1">Intv_Ann_TO!O1502</f>
        <v>15</v>
      </c>
    </row>
    <row r="85" spans="3:15" s="327" customFormat="1" outlineLevel="1" x14ac:dyDescent="0.2">
      <c r="C85" s="660" t="str">
        <f>Intv_Ann_TO!D1503</f>
        <v>Southern</v>
      </c>
      <c r="J85" s="5">
        <f ca="1">Intv_Ann_TO!J1503</f>
        <v>36</v>
      </c>
      <c r="K85" s="5">
        <f ca="1">Intv_Ann_TO!K1503</f>
        <v>36</v>
      </c>
      <c r="L85" s="5">
        <f ca="1">Intv_Ann_TO!L1503</f>
        <v>36</v>
      </c>
      <c r="M85" s="5">
        <f ca="1">Intv_Ann_TO!M1503</f>
        <v>36</v>
      </c>
      <c r="N85" s="5">
        <f ca="1">Intv_Ann_TO!N1503</f>
        <v>36</v>
      </c>
      <c r="O85" s="5">
        <f ca="1">Intv_Ann_TO!O1503</f>
        <v>36</v>
      </c>
    </row>
    <row r="86" spans="3:15" s="327" customFormat="1" outlineLevel="1" x14ac:dyDescent="0.2">
      <c r="C86" s="660" t="str">
        <f>Intv_Ann_TO!D1504</f>
        <v>Western</v>
      </c>
      <c r="J86" s="5">
        <f ca="1">Intv_Ann_TO!J1504</f>
        <v>36</v>
      </c>
      <c r="K86" s="5">
        <f ca="1">Intv_Ann_TO!K1504</f>
        <v>36</v>
      </c>
      <c r="L86" s="5">
        <f ca="1">Intv_Ann_TO!L1504</f>
        <v>36</v>
      </c>
      <c r="M86" s="5">
        <f ca="1">Intv_Ann_TO!M1504</f>
        <v>36</v>
      </c>
      <c r="N86" s="5">
        <f ca="1">Intv_Ann_TO!N1504</f>
        <v>36</v>
      </c>
      <c r="O86" s="5">
        <f ca="1">Intv_Ann_TO!O1504</f>
        <v>36</v>
      </c>
    </row>
    <row r="87" spans="3:15" s="327" customFormat="1" ht="15.75" thickBot="1" x14ac:dyDescent="0.25">
      <c r="C87" s="646" t="str">
        <f>C76</f>
        <v>Total Procedures Provided (by Patient's Home Province)</v>
      </c>
      <c r="J87" s="624">
        <f t="shared" ref="J87:O87" ca="1" si="9">SUM(J77:J86)</f>
        <v>378</v>
      </c>
      <c r="K87" s="624">
        <f t="shared" ca="1" si="9"/>
        <v>378</v>
      </c>
      <c r="L87" s="624">
        <f t="shared" ca="1" si="9"/>
        <v>378</v>
      </c>
      <c r="M87" s="624">
        <f t="shared" ca="1" si="9"/>
        <v>378</v>
      </c>
      <c r="N87" s="624">
        <f t="shared" ca="1" si="9"/>
        <v>378</v>
      </c>
      <c r="O87" s="624">
        <f t="shared" ca="1" si="9"/>
        <v>378</v>
      </c>
    </row>
    <row r="88" spans="3:15" s="327" customFormat="1" ht="13.5" thickTop="1" x14ac:dyDescent="0.2"/>
    <row r="89" spans="3:15" s="327" customFormat="1" ht="15.75" x14ac:dyDescent="0.2">
      <c r="C89" s="330" t="s">
        <v>1902</v>
      </c>
    </row>
    <row r="90" spans="3:15" s="327" customFormat="1" outlineLevel="1" x14ac:dyDescent="0.2">
      <c r="C90" s="660" t="str">
        <f>Intv_Ann_TO!D1508</f>
        <v>Central</v>
      </c>
      <c r="J90" s="5">
        <f ca="1">Intv_Ann_TO!J1508</f>
        <v>0</v>
      </c>
      <c r="K90" s="5">
        <f ca="1">Intv_Ann_TO!K1508</f>
        <v>0</v>
      </c>
      <c r="L90" s="5">
        <f ca="1">Intv_Ann_TO!L1508</f>
        <v>0</v>
      </c>
      <c r="M90" s="5">
        <f ca="1">Intv_Ann_TO!M1508</f>
        <v>0</v>
      </c>
      <c r="N90" s="5">
        <f ca="1">Intv_Ann_TO!N1508</f>
        <v>0</v>
      </c>
      <c r="O90" s="5">
        <f ca="1">Intv_Ann_TO!O1508</f>
        <v>0</v>
      </c>
    </row>
    <row r="91" spans="3:15" s="327" customFormat="1" outlineLevel="1" x14ac:dyDescent="0.2">
      <c r="C91" s="660" t="str">
        <f>Intv_Ann_TO!D1509</f>
        <v>Copperbelt</v>
      </c>
      <c r="J91" s="5">
        <f ca="1">Intv_Ann_TO!J1509</f>
        <v>0</v>
      </c>
      <c r="K91" s="5">
        <f ca="1">Intv_Ann_TO!K1509</f>
        <v>0</v>
      </c>
      <c r="L91" s="5">
        <f ca="1">Intv_Ann_TO!L1509</f>
        <v>0</v>
      </c>
      <c r="M91" s="5">
        <f ca="1">Intv_Ann_TO!M1509</f>
        <v>0</v>
      </c>
      <c r="N91" s="5">
        <f ca="1">Intv_Ann_TO!N1509</f>
        <v>95</v>
      </c>
      <c r="O91" s="5">
        <f ca="1">Intv_Ann_TO!O1509</f>
        <v>95</v>
      </c>
    </row>
    <row r="92" spans="3:15" s="327" customFormat="1" outlineLevel="1" x14ac:dyDescent="0.2">
      <c r="C92" s="660" t="str">
        <f>Intv_Ann_TO!D1510</f>
        <v>Eastern</v>
      </c>
      <c r="J92" s="5">
        <f ca="1">Intv_Ann_TO!J1510</f>
        <v>0</v>
      </c>
      <c r="K92" s="5">
        <f ca="1">Intv_Ann_TO!K1510</f>
        <v>0</v>
      </c>
      <c r="L92" s="5">
        <f ca="1">Intv_Ann_TO!L1510</f>
        <v>0</v>
      </c>
      <c r="M92" s="5">
        <f ca="1">Intv_Ann_TO!M1510</f>
        <v>0</v>
      </c>
      <c r="N92" s="5">
        <f ca="1">Intv_Ann_TO!N1510</f>
        <v>0</v>
      </c>
      <c r="O92" s="5">
        <f ca="1">Intv_Ann_TO!O1510</f>
        <v>0</v>
      </c>
    </row>
    <row r="93" spans="3:15" s="327" customFormat="1" outlineLevel="1" x14ac:dyDescent="0.2">
      <c r="C93" s="660" t="str">
        <f>Intv_Ann_TO!D1511</f>
        <v>Luapula</v>
      </c>
      <c r="J93" s="5">
        <f ca="1">Intv_Ann_TO!J1511</f>
        <v>0</v>
      </c>
      <c r="K93" s="5">
        <f ca="1">Intv_Ann_TO!K1511</f>
        <v>0</v>
      </c>
      <c r="L93" s="5">
        <f ca="1">Intv_Ann_TO!L1511</f>
        <v>0</v>
      </c>
      <c r="M93" s="5">
        <f ca="1">Intv_Ann_TO!M1511</f>
        <v>0</v>
      </c>
      <c r="N93" s="5">
        <f ca="1">Intv_Ann_TO!N1511</f>
        <v>0</v>
      </c>
      <c r="O93" s="5">
        <f ca="1">Intv_Ann_TO!O1511</f>
        <v>0</v>
      </c>
    </row>
    <row r="94" spans="3:15" s="327" customFormat="1" outlineLevel="1" x14ac:dyDescent="0.2">
      <c r="C94" s="660" t="str">
        <f>Intv_Ann_TO!D1512</f>
        <v>Lusaka</v>
      </c>
      <c r="J94" s="5">
        <f ca="1">Intv_Ann_TO!J1512</f>
        <v>378</v>
      </c>
      <c r="K94" s="5">
        <f ca="1">Intv_Ann_TO!K1512</f>
        <v>378</v>
      </c>
      <c r="L94" s="5">
        <f ca="1">Intv_Ann_TO!L1512</f>
        <v>378</v>
      </c>
      <c r="M94" s="5">
        <f ca="1">Intv_Ann_TO!M1512</f>
        <v>378</v>
      </c>
      <c r="N94" s="5">
        <f ca="1">Intv_Ann_TO!N1512</f>
        <v>188</v>
      </c>
      <c r="O94" s="5">
        <f ca="1">Intv_Ann_TO!O1512</f>
        <v>188</v>
      </c>
    </row>
    <row r="95" spans="3:15" s="327" customFormat="1" outlineLevel="1" x14ac:dyDescent="0.2">
      <c r="C95" s="660" t="str">
        <f>Intv_Ann_TO!D1513</f>
        <v>Muchinga</v>
      </c>
      <c r="J95" s="5">
        <f ca="1">Intv_Ann_TO!J1513</f>
        <v>0</v>
      </c>
      <c r="K95" s="5">
        <f ca="1">Intv_Ann_TO!K1513</f>
        <v>0</v>
      </c>
      <c r="L95" s="5">
        <f ca="1">Intv_Ann_TO!L1513</f>
        <v>0</v>
      </c>
      <c r="M95" s="5">
        <f ca="1">Intv_Ann_TO!M1513</f>
        <v>0</v>
      </c>
      <c r="N95" s="5">
        <f ca="1">Intv_Ann_TO!N1513</f>
        <v>0</v>
      </c>
      <c r="O95" s="5">
        <f ca="1">Intv_Ann_TO!O1513</f>
        <v>0</v>
      </c>
    </row>
    <row r="96" spans="3:15" s="327" customFormat="1" outlineLevel="1" x14ac:dyDescent="0.2">
      <c r="C96" s="660" t="str">
        <f>Intv_Ann_TO!D1514</f>
        <v>Northern</v>
      </c>
      <c r="J96" s="5">
        <f ca="1">Intv_Ann_TO!J1514</f>
        <v>0</v>
      </c>
      <c r="K96" s="5">
        <f ca="1">Intv_Ann_TO!K1514</f>
        <v>0</v>
      </c>
      <c r="L96" s="5">
        <f ca="1">Intv_Ann_TO!L1514</f>
        <v>0</v>
      </c>
      <c r="M96" s="5">
        <f ca="1">Intv_Ann_TO!M1514</f>
        <v>0</v>
      </c>
      <c r="N96" s="5">
        <f ca="1">Intv_Ann_TO!N1514</f>
        <v>0</v>
      </c>
      <c r="O96" s="5">
        <f ca="1">Intv_Ann_TO!O1514</f>
        <v>0</v>
      </c>
    </row>
    <row r="97" spans="3:15" s="327" customFormat="1" outlineLevel="1" x14ac:dyDescent="0.2">
      <c r="C97" s="660" t="str">
        <f>Intv_Ann_TO!D1515</f>
        <v>North-Western</v>
      </c>
      <c r="J97" s="5">
        <f ca="1">Intv_Ann_TO!J1515</f>
        <v>0</v>
      </c>
      <c r="K97" s="5">
        <f ca="1">Intv_Ann_TO!K1515</f>
        <v>0</v>
      </c>
      <c r="L97" s="5">
        <f ca="1">Intv_Ann_TO!L1515</f>
        <v>0</v>
      </c>
      <c r="M97" s="5">
        <f ca="1">Intv_Ann_TO!M1515</f>
        <v>0</v>
      </c>
      <c r="N97" s="5">
        <f ca="1">Intv_Ann_TO!N1515</f>
        <v>0</v>
      </c>
      <c r="O97" s="5">
        <f ca="1">Intv_Ann_TO!O1515</f>
        <v>0</v>
      </c>
    </row>
    <row r="98" spans="3:15" s="327" customFormat="1" outlineLevel="1" x14ac:dyDescent="0.2">
      <c r="C98" s="660" t="str">
        <f>Intv_Ann_TO!D1516</f>
        <v>Southern</v>
      </c>
      <c r="J98" s="5">
        <f ca="1">Intv_Ann_TO!J1516</f>
        <v>0</v>
      </c>
      <c r="K98" s="5">
        <f ca="1">Intv_Ann_TO!K1516</f>
        <v>0</v>
      </c>
      <c r="L98" s="5">
        <f ca="1">Intv_Ann_TO!L1516</f>
        <v>0</v>
      </c>
      <c r="M98" s="5">
        <f ca="1">Intv_Ann_TO!M1516</f>
        <v>0</v>
      </c>
      <c r="N98" s="5">
        <f ca="1">Intv_Ann_TO!N1516</f>
        <v>0</v>
      </c>
      <c r="O98" s="5">
        <f ca="1">Intv_Ann_TO!O1516</f>
        <v>0</v>
      </c>
    </row>
    <row r="99" spans="3:15" s="327" customFormat="1" outlineLevel="1" x14ac:dyDescent="0.2">
      <c r="C99" s="660" t="str">
        <f>Intv_Ann_TO!D1517</f>
        <v>Western</v>
      </c>
      <c r="J99" s="5">
        <f ca="1">Intv_Ann_TO!J1517</f>
        <v>0</v>
      </c>
      <c r="K99" s="5">
        <f ca="1">Intv_Ann_TO!K1517</f>
        <v>0</v>
      </c>
      <c r="L99" s="5">
        <f ca="1">Intv_Ann_TO!L1517</f>
        <v>0</v>
      </c>
      <c r="M99" s="5">
        <f ca="1">Intv_Ann_TO!M1517</f>
        <v>0</v>
      </c>
      <c r="N99" s="5">
        <f ca="1">Intv_Ann_TO!N1517</f>
        <v>95</v>
      </c>
      <c r="O99" s="5">
        <f ca="1">Intv_Ann_TO!O1517</f>
        <v>95</v>
      </c>
    </row>
    <row r="100" spans="3:15" s="327" customFormat="1" ht="15.75" thickBot="1" x14ac:dyDescent="0.25">
      <c r="C100" s="646" t="str">
        <f>C89</f>
        <v>Total Procedures Supplied (by Province Providing)</v>
      </c>
      <c r="J100" s="624">
        <f t="shared" ref="J100:O100" ca="1" si="10">SUM(J90:J99)</f>
        <v>378</v>
      </c>
      <c r="K100" s="624">
        <f t="shared" ca="1" si="10"/>
        <v>378</v>
      </c>
      <c r="L100" s="624">
        <f t="shared" ca="1" si="10"/>
        <v>378</v>
      </c>
      <c r="M100" s="624">
        <f t="shared" ca="1" si="10"/>
        <v>378</v>
      </c>
      <c r="N100" s="624">
        <f t="shared" ca="1" si="10"/>
        <v>378</v>
      </c>
      <c r="O100" s="624">
        <f t="shared" ca="1" si="10"/>
        <v>378</v>
      </c>
    </row>
    <row r="101" spans="3:15" s="327" customFormat="1" ht="13.5" thickTop="1" x14ac:dyDescent="0.2"/>
    <row r="102" spans="3:15" s="327" customFormat="1" x14ac:dyDescent="0.2"/>
    <row r="103" spans="3:15" s="327" customFormat="1" x14ac:dyDescent="0.2">
      <c r="C103" s="716" t="str">
        <f>"Go to "&amp;HL_Intv_3_Ass</f>
        <v>Go to Chemotherapy</v>
      </c>
      <c r="D103" s="716"/>
      <c r="E103" s="716"/>
      <c r="F103" s="716"/>
      <c r="G103" s="716"/>
      <c r="H103" s="716"/>
      <c r="I103" s="716"/>
    </row>
    <row r="104" spans="3:15" s="327" customFormat="1" x14ac:dyDescent="0.2">
      <c r="C104" s="716" t="str">
        <f>"Go to "&amp;HL_Intv_3_Ann_Ass</f>
        <v>Go to Intervention Services - Annual Assumptions</v>
      </c>
      <c r="D104" s="716"/>
      <c r="E104" s="716"/>
      <c r="F104" s="716"/>
      <c r="G104" s="716"/>
      <c r="H104" s="716"/>
      <c r="I104" s="716"/>
    </row>
    <row r="105" spans="3:15" s="327" customFormat="1" x14ac:dyDescent="0.2">
      <c r="C105" s="716" t="str">
        <f>"Go to "&amp;HL_Intv_3_Out</f>
        <v>Go to Chemotherapy</v>
      </c>
      <c r="D105" s="716"/>
      <c r="E105" s="716"/>
      <c r="F105" s="716"/>
      <c r="G105" s="716"/>
      <c r="H105" s="716"/>
      <c r="I105" s="716"/>
    </row>
    <row r="106" spans="3:15" s="327" customFormat="1" x14ac:dyDescent="0.2">
      <c r="C106" s="716" t="str">
        <f>"Go to "&amp;HL_Intv_3_Out_Sum_A</f>
        <v>Go to Chemotherapy Expected Costs (USD)</v>
      </c>
      <c r="D106" s="716"/>
      <c r="E106" s="716"/>
      <c r="F106" s="716"/>
      <c r="G106" s="716"/>
      <c r="H106" s="716"/>
      <c r="I106" s="716"/>
    </row>
  </sheetData>
  <sheetProtection password="F0F4" sheet="1" scenarios="1"/>
  <mergeCells count="5">
    <mergeCell ref="C105:I105"/>
    <mergeCell ref="C106:I106"/>
    <mergeCell ref="B3:F3"/>
    <mergeCell ref="C103:I103"/>
    <mergeCell ref="C104:I104"/>
  </mergeCells>
  <hyperlinks>
    <hyperlink ref="C103:I103" location="HL_Intv_3_Ass" tooltip="Click to follow hyperlink." display="HL_Intv_3_Ass"/>
    <hyperlink ref="C104:I104" location="HL_Intv_3_Ann_Ass" tooltip="Click to follow hyperlink." display="HL_Intv_3_Ann_Ass"/>
    <hyperlink ref="C105:I105" location="HL_Intv_3_Out" tooltip="Click to follow hyperlink." display="HL_Intv_3_Out"/>
    <hyperlink ref="C106:I106" location="HL_Intv_3_Out_Sum_A" tooltip="Click to follow hyperlink." display="HL_Intv_3_Out_Sum_A"/>
    <hyperlink ref="A4" location="$A$10" tooltip="Go to Top of Sheet" display="$A$10"/>
    <hyperlink ref="B4" location="HL_Sheet_Main_90" tooltip="Go to Previous Sheet" display="HL_Sheet_Main_90"/>
    <hyperlink ref="C4" location="HL_Sheet_Main_88" tooltip="Go to Next Sheet" display="HL_Sheet_Main_88"/>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44"/>
  <sheetViews>
    <sheetView showGridLines="0" zoomScaleNormal="100" workbookViewId="0">
      <pane ySplit="9" topLeftCell="A10" activePane="bottomLeft" state="frozen"/>
      <selection pane="bottomLeft" activeCell="F4" sqref="F4"/>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1959</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648" t="str">
        <f>HL_Intv_3_Out&amp;" Expected Costs ("&amp;INDEX(LU_Intv_3_Denom,DD_TS_Denom)&amp;")"</f>
        <v>Chemotherapy Expected Costs (USD)</v>
      </c>
    </row>
    <row r="13" spans="1:15" s="327" customFormat="1" x14ac:dyDescent="0.2"/>
    <row r="14" spans="1:15" s="327" customFormat="1" ht="15.75" x14ac:dyDescent="0.2">
      <c r="C14" s="330" t="s">
        <v>1931</v>
      </c>
    </row>
    <row r="15" spans="1:15" s="327" customFormat="1" ht="15" x14ac:dyDescent="0.2">
      <c r="D15" s="658" t="s">
        <v>1928</v>
      </c>
    </row>
    <row r="16" spans="1:15" s="327" customFormat="1" hidden="1" outlineLevel="1" x14ac:dyDescent="0.2">
      <c r="D16" s="660" t="str">
        <f>Intv_Ann_TO!D1536</f>
        <v>Central</v>
      </c>
      <c r="J16" s="5">
        <f ca="1">Intv_Ann_TO!J1536+Intv_Ann_TO!J1549</f>
        <v>0</v>
      </c>
      <c r="K16" s="5">
        <f ca="1">Intv_Ann_TO!K1536+Intv_Ann_TO!K1549</f>
        <v>0</v>
      </c>
      <c r="L16" s="5">
        <f ca="1">Intv_Ann_TO!L1536+Intv_Ann_TO!L1549</f>
        <v>0</v>
      </c>
      <c r="M16" s="5">
        <f ca="1">Intv_Ann_TO!M1536+Intv_Ann_TO!M1549</f>
        <v>0</v>
      </c>
      <c r="N16" s="5">
        <f ca="1">Intv_Ann_TO!N1536+Intv_Ann_TO!N1549</f>
        <v>0</v>
      </c>
      <c r="O16" s="5">
        <f ca="1">Intv_Ann_TO!O1536+Intv_Ann_TO!O1549</f>
        <v>0</v>
      </c>
    </row>
    <row r="17" spans="4:15" s="327" customFormat="1" hidden="1" outlineLevel="1" x14ac:dyDescent="0.2">
      <c r="D17" s="660" t="str">
        <f>Intv_Ann_TO!D1537</f>
        <v>Copperbelt</v>
      </c>
      <c r="J17" s="5">
        <f ca="1">Intv_Ann_TO!J1537+Intv_Ann_TO!J1550</f>
        <v>0</v>
      </c>
      <c r="K17" s="5">
        <f ca="1">Intv_Ann_TO!K1537+Intv_Ann_TO!K1550</f>
        <v>0</v>
      </c>
      <c r="L17" s="5">
        <f ca="1">Intv_Ann_TO!L1537+Intv_Ann_TO!L1550</f>
        <v>0</v>
      </c>
      <c r="M17" s="5">
        <f ca="1">Intv_Ann_TO!M1537+Intv_Ann_TO!M1550</f>
        <v>0</v>
      </c>
      <c r="N17" s="5">
        <f ca="1">Intv_Ann_TO!N1537+Intv_Ann_TO!N1550</f>
        <v>4688.9308014668559</v>
      </c>
      <c r="O17" s="5">
        <f ca="1">Intv_Ann_TO!O1537+Intv_Ann_TO!O1550</f>
        <v>4688.9308014668559</v>
      </c>
    </row>
    <row r="18" spans="4:15" s="327" customFormat="1" hidden="1" outlineLevel="1" x14ac:dyDescent="0.2">
      <c r="D18" s="660" t="str">
        <f>Intv_Ann_TO!D1538</f>
        <v>Eastern</v>
      </c>
      <c r="J18" s="5">
        <f ca="1">Intv_Ann_TO!J1538+Intv_Ann_TO!J1551</f>
        <v>0</v>
      </c>
      <c r="K18" s="5">
        <f ca="1">Intv_Ann_TO!K1538+Intv_Ann_TO!K1551</f>
        <v>0</v>
      </c>
      <c r="L18" s="5">
        <f ca="1">Intv_Ann_TO!L1538+Intv_Ann_TO!L1551</f>
        <v>0</v>
      </c>
      <c r="M18" s="5">
        <f ca="1">Intv_Ann_TO!M1538+Intv_Ann_TO!M1551</f>
        <v>0</v>
      </c>
      <c r="N18" s="5">
        <f ca="1">Intv_Ann_TO!N1538+Intv_Ann_TO!N1551</f>
        <v>0</v>
      </c>
      <c r="O18" s="5">
        <f ca="1">Intv_Ann_TO!O1538+Intv_Ann_TO!O1551</f>
        <v>0</v>
      </c>
    </row>
    <row r="19" spans="4:15" s="327" customFormat="1" hidden="1" outlineLevel="1" x14ac:dyDescent="0.2">
      <c r="D19" s="660" t="str">
        <f>Intv_Ann_TO!D1539</f>
        <v>Luapula</v>
      </c>
      <c r="J19" s="5">
        <f ca="1">Intv_Ann_TO!J1539+Intv_Ann_TO!J1552</f>
        <v>0</v>
      </c>
      <c r="K19" s="5">
        <f ca="1">Intv_Ann_TO!K1539+Intv_Ann_TO!K1552</f>
        <v>0</v>
      </c>
      <c r="L19" s="5">
        <f ca="1">Intv_Ann_TO!L1539+Intv_Ann_TO!L1552</f>
        <v>0</v>
      </c>
      <c r="M19" s="5">
        <f ca="1">Intv_Ann_TO!M1539+Intv_Ann_TO!M1552</f>
        <v>0</v>
      </c>
      <c r="N19" s="5">
        <f ca="1">Intv_Ann_TO!N1539+Intv_Ann_TO!N1552</f>
        <v>0</v>
      </c>
      <c r="O19" s="5">
        <f ca="1">Intv_Ann_TO!O1539+Intv_Ann_TO!O1552</f>
        <v>0</v>
      </c>
    </row>
    <row r="20" spans="4:15" s="327" customFormat="1" hidden="1" outlineLevel="1" x14ac:dyDescent="0.2">
      <c r="D20" s="660" t="str">
        <f>Intv_Ann_TO!D1540</f>
        <v>Lusaka</v>
      </c>
      <c r="J20" s="5">
        <f ca="1">Intv_Ann_TO!J1540+Intv_Ann_TO!J1553</f>
        <v>18657.008873204963</v>
      </c>
      <c r="K20" s="5">
        <f ca="1">Intv_Ann_TO!K1540+Intv_Ann_TO!K1553</f>
        <v>18657.008873204963</v>
      </c>
      <c r="L20" s="5">
        <f ca="1">Intv_Ann_TO!L1540+Intv_Ann_TO!L1553</f>
        <v>18657.008873204963</v>
      </c>
      <c r="M20" s="5">
        <f ca="1">Intv_Ann_TO!M1540+Intv_Ann_TO!M1553</f>
        <v>18657.008873204963</v>
      </c>
      <c r="N20" s="5">
        <f ca="1">Intv_Ann_TO!N1540+Intv_Ann_TO!N1553</f>
        <v>9279.1472702712508</v>
      </c>
      <c r="O20" s="5">
        <f ca="1">Intv_Ann_TO!O1540+Intv_Ann_TO!O1553</f>
        <v>9279.1472702712508</v>
      </c>
    </row>
    <row r="21" spans="4:15" s="327" customFormat="1" hidden="1" outlineLevel="1" x14ac:dyDescent="0.2">
      <c r="D21" s="660" t="str">
        <f>Intv_Ann_TO!D1541</f>
        <v>Muchinga</v>
      </c>
      <c r="J21" s="5">
        <f ca="1">Intv_Ann_TO!J1541+Intv_Ann_TO!J1554</f>
        <v>0</v>
      </c>
      <c r="K21" s="5">
        <f ca="1">Intv_Ann_TO!K1541+Intv_Ann_TO!K1554</f>
        <v>0</v>
      </c>
      <c r="L21" s="5">
        <f ca="1">Intv_Ann_TO!L1541+Intv_Ann_TO!L1554</f>
        <v>0</v>
      </c>
      <c r="M21" s="5">
        <f ca="1">Intv_Ann_TO!M1541+Intv_Ann_TO!M1554</f>
        <v>0</v>
      </c>
      <c r="N21" s="5">
        <f ca="1">Intv_Ann_TO!N1541+Intv_Ann_TO!N1554</f>
        <v>0</v>
      </c>
      <c r="O21" s="5">
        <f ca="1">Intv_Ann_TO!O1541+Intv_Ann_TO!O1554</f>
        <v>0</v>
      </c>
    </row>
    <row r="22" spans="4:15" s="327" customFormat="1" hidden="1" outlineLevel="1" x14ac:dyDescent="0.2">
      <c r="D22" s="660" t="str">
        <f>Intv_Ann_TO!D1542</f>
        <v>Northern</v>
      </c>
      <c r="J22" s="5">
        <f ca="1">Intv_Ann_TO!J1542+Intv_Ann_TO!J1555</f>
        <v>0</v>
      </c>
      <c r="K22" s="5">
        <f ca="1">Intv_Ann_TO!K1542+Intv_Ann_TO!K1555</f>
        <v>0</v>
      </c>
      <c r="L22" s="5">
        <f ca="1">Intv_Ann_TO!L1542+Intv_Ann_TO!L1555</f>
        <v>0</v>
      </c>
      <c r="M22" s="5">
        <f ca="1">Intv_Ann_TO!M1542+Intv_Ann_TO!M1555</f>
        <v>0</v>
      </c>
      <c r="N22" s="5">
        <f ca="1">Intv_Ann_TO!N1542+Intv_Ann_TO!N1555</f>
        <v>0</v>
      </c>
      <c r="O22" s="5">
        <f ca="1">Intv_Ann_TO!O1542+Intv_Ann_TO!O1555</f>
        <v>0</v>
      </c>
    </row>
    <row r="23" spans="4:15" s="327" customFormat="1" hidden="1" outlineLevel="1" x14ac:dyDescent="0.2">
      <c r="D23" s="660" t="str">
        <f>Intv_Ann_TO!D1543</f>
        <v>North-Western</v>
      </c>
      <c r="J23" s="5">
        <f ca="1">Intv_Ann_TO!J1543+Intv_Ann_TO!J1556</f>
        <v>0</v>
      </c>
      <c r="K23" s="5">
        <f ca="1">Intv_Ann_TO!K1543+Intv_Ann_TO!K1556</f>
        <v>0</v>
      </c>
      <c r="L23" s="5">
        <f ca="1">Intv_Ann_TO!L1543+Intv_Ann_TO!L1556</f>
        <v>0</v>
      </c>
      <c r="M23" s="5">
        <f ca="1">Intv_Ann_TO!M1543+Intv_Ann_TO!M1556</f>
        <v>0</v>
      </c>
      <c r="N23" s="5">
        <f ca="1">Intv_Ann_TO!N1543+Intv_Ann_TO!N1556</f>
        <v>0</v>
      </c>
      <c r="O23" s="5">
        <f ca="1">Intv_Ann_TO!O1543+Intv_Ann_TO!O1556</f>
        <v>0</v>
      </c>
    </row>
    <row r="24" spans="4:15" s="327" customFormat="1" hidden="1" outlineLevel="1" x14ac:dyDescent="0.2">
      <c r="D24" s="660" t="str">
        <f>Intv_Ann_TO!D1544</f>
        <v>Southern</v>
      </c>
      <c r="J24" s="5">
        <f ca="1">Intv_Ann_TO!J1544+Intv_Ann_TO!J1557</f>
        <v>0</v>
      </c>
      <c r="K24" s="5">
        <f ca="1">Intv_Ann_TO!K1544+Intv_Ann_TO!K1557</f>
        <v>0</v>
      </c>
      <c r="L24" s="5">
        <f ca="1">Intv_Ann_TO!L1544+Intv_Ann_TO!L1557</f>
        <v>0</v>
      </c>
      <c r="M24" s="5">
        <f ca="1">Intv_Ann_TO!M1544+Intv_Ann_TO!M1557</f>
        <v>0</v>
      </c>
      <c r="N24" s="5">
        <f ca="1">Intv_Ann_TO!N1544+Intv_Ann_TO!N1557</f>
        <v>0</v>
      </c>
      <c r="O24" s="5">
        <f ca="1">Intv_Ann_TO!O1544+Intv_Ann_TO!O1557</f>
        <v>0</v>
      </c>
    </row>
    <row r="25" spans="4:15" s="327" customFormat="1" hidden="1" outlineLevel="1" x14ac:dyDescent="0.2">
      <c r="D25" s="660" t="str">
        <f>Intv_Ann_TO!D1545</f>
        <v>Western</v>
      </c>
      <c r="J25" s="5">
        <f ca="1">Intv_Ann_TO!J1545+Intv_Ann_TO!J1558</f>
        <v>0</v>
      </c>
      <c r="K25" s="5">
        <f ca="1">Intv_Ann_TO!K1545+Intv_Ann_TO!K1558</f>
        <v>0</v>
      </c>
      <c r="L25" s="5">
        <f ca="1">Intv_Ann_TO!L1545+Intv_Ann_TO!L1558</f>
        <v>0</v>
      </c>
      <c r="M25" s="5">
        <f ca="1">Intv_Ann_TO!M1545+Intv_Ann_TO!M1558</f>
        <v>0</v>
      </c>
      <c r="N25" s="5">
        <f ca="1">Intv_Ann_TO!N1545+Intv_Ann_TO!N1558</f>
        <v>4688.9308014668559</v>
      </c>
      <c r="O25" s="5">
        <f ca="1">Intv_Ann_TO!O1545+Intv_Ann_TO!O1558</f>
        <v>4688.9308014668559</v>
      </c>
    </row>
    <row r="26" spans="4:15" s="327" customFormat="1" ht="15" collapsed="1" x14ac:dyDescent="0.2">
      <c r="D26" s="679" t="str">
        <f>"Total "&amp;D15</f>
        <v>Total Personnel Costs</v>
      </c>
      <c r="J26" s="562">
        <f t="shared" ref="J26:O26" ca="1" si="4">SUM(J16:J25)</f>
        <v>18657.008873204963</v>
      </c>
      <c r="K26" s="562">
        <f t="shared" ca="1" si="4"/>
        <v>18657.008873204963</v>
      </c>
      <c r="L26" s="562">
        <f t="shared" ca="1" si="4"/>
        <v>18657.008873204963</v>
      </c>
      <c r="M26" s="562">
        <f t="shared" ca="1" si="4"/>
        <v>18657.008873204963</v>
      </c>
      <c r="N26" s="562">
        <f t="shared" ca="1" si="4"/>
        <v>18657.008873204963</v>
      </c>
      <c r="O26" s="562">
        <f t="shared" ca="1" si="4"/>
        <v>18657.008873204963</v>
      </c>
    </row>
    <row r="27" spans="4:15" s="327" customFormat="1" x14ac:dyDescent="0.2"/>
    <row r="28" spans="4:15" s="327" customFormat="1" ht="15" x14ac:dyDescent="0.2">
      <c r="D28" s="658" t="s">
        <v>105</v>
      </c>
    </row>
    <row r="29" spans="4:15" s="327" customFormat="1" hidden="1" outlineLevel="1" x14ac:dyDescent="0.2">
      <c r="D29" s="660" t="str">
        <f>Intv_Ann_TO!D1523</f>
        <v>Central</v>
      </c>
      <c r="J29" s="5">
        <f ca="1">Intv_Ann_TO!J1523</f>
        <v>0</v>
      </c>
      <c r="K29" s="5">
        <f ca="1">Intv_Ann_TO!K1523</f>
        <v>0</v>
      </c>
      <c r="L29" s="5">
        <f ca="1">Intv_Ann_TO!L1523</f>
        <v>0</v>
      </c>
      <c r="M29" s="5">
        <f ca="1">Intv_Ann_TO!M1523</f>
        <v>0</v>
      </c>
      <c r="N29" s="5">
        <f ca="1">Intv_Ann_TO!N1523</f>
        <v>0</v>
      </c>
      <c r="O29" s="5">
        <f ca="1">Intv_Ann_TO!O1523</f>
        <v>0</v>
      </c>
    </row>
    <row r="30" spans="4:15" s="327" customFormat="1" hidden="1" outlineLevel="1" x14ac:dyDescent="0.2">
      <c r="D30" s="660" t="str">
        <f>Intv_Ann_TO!D1524</f>
        <v>Copperbelt</v>
      </c>
      <c r="J30" s="5">
        <f ca="1">Intv_Ann_TO!J1524</f>
        <v>0</v>
      </c>
      <c r="K30" s="5">
        <f ca="1">Intv_Ann_TO!K1524</f>
        <v>0</v>
      </c>
      <c r="L30" s="5">
        <f ca="1">Intv_Ann_TO!L1524</f>
        <v>0</v>
      </c>
      <c r="M30" s="5">
        <f ca="1">Intv_Ann_TO!M1524</f>
        <v>0</v>
      </c>
      <c r="N30" s="5">
        <f ca="1">Intv_Ann_TO!N1524</f>
        <v>6665.4374999999991</v>
      </c>
      <c r="O30" s="5">
        <f ca="1">Intv_Ann_TO!O1524</f>
        <v>6665.4374999999991</v>
      </c>
    </row>
    <row r="31" spans="4:15" s="327" customFormat="1" hidden="1" outlineLevel="1" x14ac:dyDescent="0.2">
      <c r="D31" s="660" t="str">
        <f>Intv_Ann_TO!D1525</f>
        <v>Eastern</v>
      </c>
      <c r="J31" s="5">
        <f ca="1">Intv_Ann_TO!J1525</f>
        <v>0</v>
      </c>
      <c r="K31" s="5">
        <f ca="1">Intv_Ann_TO!K1525</f>
        <v>0</v>
      </c>
      <c r="L31" s="5">
        <f ca="1">Intv_Ann_TO!L1525</f>
        <v>0</v>
      </c>
      <c r="M31" s="5">
        <f ca="1">Intv_Ann_TO!M1525</f>
        <v>0</v>
      </c>
      <c r="N31" s="5">
        <f ca="1">Intv_Ann_TO!N1525</f>
        <v>0</v>
      </c>
      <c r="O31" s="5">
        <f ca="1">Intv_Ann_TO!O1525</f>
        <v>0</v>
      </c>
    </row>
    <row r="32" spans="4:15" s="327" customFormat="1" hidden="1" outlineLevel="1" x14ac:dyDescent="0.2">
      <c r="D32" s="660" t="str">
        <f>Intv_Ann_TO!D1526</f>
        <v>Luapula</v>
      </c>
      <c r="J32" s="5">
        <f ca="1">Intv_Ann_TO!J1526</f>
        <v>0</v>
      </c>
      <c r="K32" s="5">
        <f ca="1">Intv_Ann_TO!K1526</f>
        <v>0</v>
      </c>
      <c r="L32" s="5">
        <f ca="1">Intv_Ann_TO!L1526</f>
        <v>0</v>
      </c>
      <c r="M32" s="5">
        <f ca="1">Intv_Ann_TO!M1526</f>
        <v>0</v>
      </c>
      <c r="N32" s="5">
        <f ca="1">Intv_Ann_TO!N1526</f>
        <v>0</v>
      </c>
      <c r="O32" s="5">
        <f ca="1">Intv_Ann_TO!O1526</f>
        <v>0</v>
      </c>
    </row>
    <row r="33" spans="4:15" s="327" customFormat="1" hidden="1" outlineLevel="1" x14ac:dyDescent="0.2">
      <c r="D33" s="660" t="str">
        <f>Intv_Ann_TO!D1527</f>
        <v>Lusaka</v>
      </c>
      <c r="J33" s="5">
        <f ca="1">Intv_Ann_TO!J1527</f>
        <v>26521.424999999999</v>
      </c>
      <c r="K33" s="5">
        <f ca="1">Intv_Ann_TO!K1527</f>
        <v>26521.424999999999</v>
      </c>
      <c r="L33" s="5">
        <f ca="1">Intv_Ann_TO!L1527</f>
        <v>26521.424999999999</v>
      </c>
      <c r="M33" s="5">
        <f ca="1">Intv_Ann_TO!M1527</f>
        <v>26521.424999999999</v>
      </c>
      <c r="N33" s="5">
        <f ca="1">Intv_Ann_TO!N1527</f>
        <v>13190.55</v>
      </c>
      <c r="O33" s="5">
        <f ca="1">Intv_Ann_TO!O1527</f>
        <v>13190.55</v>
      </c>
    </row>
    <row r="34" spans="4:15" s="327" customFormat="1" hidden="1" outlineLevel="1" x14ac:dyDescent="0.2">
      <c r="D34" s="660" t="str">
        <f>Intv_Ann_TO!D1528</f>
        <v>Muchinga</v>
      </c>
      <c r="J34" s="5">
        <f ca="1">Intv_Ann_TO!J1528</f>
        <v>0</v>
      </c>
      <c r="K34" s="5">
        <f ca="1">Intv_Ann_TO!K1528</f>
        <v>0</v>
      </c>
      <c r="L34" s="5">
        <f ca="1">Intv_Ann_TO!L1528</f>
        <v>0</v>
      </c>
      <c r="M34" s="5">
        <f ca="1">Intv_Ann_TO!M1528</f>
        <v>0</v>
      </c>
      <c r="N34" s="5">
        <f ca="1">Intv_Ann_TO!N1528</f>
        <v>0</v>
      </c>
      <c r="O34" s="5">
        <f ca="1">Intv_Ann_TO!O1528</f>
        <v>0</v>
      </c>
    </row>
    <row r="35" spans="4:15" s="327" customFormat="1" hidden="1" outlineLevel="1" x14ac:dyDescent="0.2">
      <c r="D35" s="660" t="str">
        <f>Intv_Ann_TO!D1529</f>
        <v>Northern</v>
      </c>
      <c r="J35" s="5">
        <f ca="1">Intv_Ann_TO!J1529</f>
        <v>0</v>
      </c>
      <c r="K35" s="5">
        <f ca="1">Intv_Ann_TO!K1529</f>
        <v>0</v>
      </c>
      <c r="L35" s="5">
        <f ca="1">Intv_Ann_TO!L1529</f>
        <v>0</v>
      </c>
      <c r="M35" s="5">
        <f ca="1">Intv_Ann_TO!M1529</f>
        <v>0</v>
      </c>
      <c r="N35" s="5">
        <f ca="1">Intv_Ann_TO!N1529</f>
        <v>0</v>
      </c>
      <c r="O35" s="5">
        <f ca="1">Intv_Ann_TO!O1529</f>
        <v>0</v>
      </c>
    </row>
    <row r="36" spans="4:15" s="327" customFormat="1" hidden="1" outlineLevel="1" x14ac:dyDescent="0.2">
      <c r="D36" s="660" t="str">
        <f>Intv_Ann_TO!D1530</f>
        <v>North-Western</v>
      </c>
      <c r="J36" s="5">
        <f ca="1">Intv_Ann_TO!J1530</f>
        <v>0</v>
      </c>
      <c r="K36" s="5">
        <f ca="1">Intv_Ann_TO!K1530</f>
        <v>0</v>
      </c>
      <c r="L36" s="5">
        <f ca="1">Intv_Ann_TO!L1530</f>
        <v>0</v>
      </c>
      <c r="M36" s="5">
        <f ca="1">Intv_Ann_TO!M1530</f>
        <v>0</v>
      </c>
      <c r="N36" s="5">
        <f ca="1">Intv_Ann_TO!N1530</f>
        <v>0</v>
      </c>
      <c r="O36" s="5">
        <f ca="1">Intv_Ann_TO!O1530</f>
        <v>0</v>
      </c>
    </row>
    <row r="37" spans="4:15" s="327" customFormat="1" hidden="1" outlineLevel="1" x14ac:dyDescent="0.2">
      <c r="D37" s="660" t="str">
        <f>Intv_Ann_TO!D1531</f>
        <v>Southern</v>
      </c>
      <c r="J37" s="5">
        <f ca="1">Intv_Ann_TO!J1531</f>
        <v>0</v>
      </c>
      <c r="K37" s="5">
        <f ca="1">Intv_Ann_TO!K1531</f>
        <v>0</v>
      </c>
      <c r="L37" s="5">
        <f ca="1">Intv_Ann_TO!L1531</f>
        <v>0</v>
      </c>
      <c r="M37" s="5">
        <f ca="1">Intv_Ann_TO!M1531</f>
        <v>0</v>
      </c>
      <c r="N37" s="5">
        <f ca="1">Intv_Ann_TO!N1531</f>
        <v>0</v>
      </c>
      <c r="O37" s="5">
        <f ca="1">Intv_Ann_TO!O1531</f>
        <v>0</v>
      </c>
    </row>
    <row r="38" spans="4:15" s="327" customFormat="1" hidden="1" outlineLevel="1" x14ac:dyDescent="0.2">
      <c r="D38" s="660" t="str">
        <f>Intv_Ann_TO!D1532</f>
        <v>Western</v>
      </c>
      <c r="J38" s="5">
        <f ca="1">Intv_Ann_TO!J1532</f>
        <v>0</v>
      </c>
      <c r="K38" s="5">
        <f ca="1">Intv_Ann_TO!K1532</f>
        <v>0</v>
      </c>
      <c r="L38" s="5">
        <f ca="1">Intv_Ann_TO!L1532</f>
        <v>0</v>
      </c>
      <c r="M38" s="5">
        <f ca="1">Intv_Ann_TO!M1532</f>
        <v>0</v>
      </c>
      <c r="N38" s="5">
        <f ca="1">Intv_Ann_TO!N1532</f>
        <v>6665.4374999999991</v>
      </c>
      <c r="O38" s="5">
        <f ca="1">Intv_Ann_TO!O1532</f>
        <v>6665.4374999999991</v>
      </c>
    </row>
    <row r="39" spans="4:15" s="327" customFormat="1" ht="15" collapsed="1" x14ac:dyDescent="0.2">
      <c r="D39" s="679" t="str">
        <f>"Total "&amp;D28</f>
        <v>Total Supply Costs</v>
      </c>
      <c r="J39" s="562">
        <f t="shared" ref="J39:O39" ca="1" si="5">SUM(J29:J38)</f>
        <v>26521.424999999999</v>
      </c>
      <c r="K39" s="562">
        <f t="shared" ca="1" si="5"/>
        <v>26521.424999999999</v>
      </c>
      <c r="L39" s="562">
        <f t="shared" ca="1" si="5"/>
        <v>26521.424999999999</v>
      </c>
      <c r="M39" s="562">
        <f t="shared" ca="1" si="5"/>
        <v>26521.424999999999</v>
      </c>
      <c r="N39" s="562">
        <f t="shared" ca="1" si="5"/>
        <v>26521.424999999999</v>
      </c>
      <c r="O39" s="562">
        <f t="shared" ca="1" si="5"/>
        <v>26521.424999999999</v>
      </c>
    </row>
    <row r="40" spans="4:15" s="327" customFormat="1" x14ac:dyDescent="0.2"/>
    <row r="41" spans="4:15" s="327" customFormat="1" ht="15" x14ac:dyDescent="0.2">
      <c r="D41" s="658" t="s">
        <v>1969</v>
      </c>
    </row>
    <row r="42" spans="4:15" s="327" customFormat="1" hidden="1" outlineLevel="1" x14ac:dyDescent="0.2">
      <c r="D42" s="660" t="str">
        <f>Intv_Ann_TO!D1562</f>
        <v>Central</v>
      </c>
      <c r="J42" s="5">
        <f ca="1">Intv_Ann_TO!J1562</f>
        <v>0</v>
      </c>
      <c r="K42" s="5">
        <f ca="1">Intv_Ann_TO!K1562</f>
        <v>0</v>
      </c>
      <c r="L42" s="5">
        <f ca="1">Intv_Ann_TO!L1562</f>
        <v>0</v>
      </c>
      <c r="M42" s="5">
        <f ca="1">Intv_Ann_TO!M1562</f>
        <v>0</v>
      </c>
      <c r="N42" s="5">
        <f ca="1">Intv_Ann_TO!N1562</f>
        <v>0</v>
      </c>
      <c r="O42" s="5">
        <f ca="1">Intv_Ann_TO!O1562</f>
        <v>0</v>
      </c>
    </row>
    <row r="43" spans="4:15" s="327" customFormat="1" hidden="1" outlineLevel="1" x14ac:dyDescent="0.2">
      <c r="D43" s="660" t="str">
        <f>Intv_Ann_TO!D1563</f>
        <v>Copperbelt</v>
      </c>
      <c r="J43" s="5">
        <f ca="1">Intv_Ann_TO!J1563</f>
        <v>0</v>
      </c>
      <c r="K43" s="5">
        <f ca="1">Intv_Ann_TO!K1563</f>
        <v>0</v>
      </c>
      <c r="L43" s="5">
        <f ca="1">Intv_Ann_TO!L1563</f>
        <v>0</v>
      </c>
      <c r="M43" s="5">
        <f ca="1">Intv_Ann_TO!M1563</f>
        <v>0</v>
      </c>
      <c r="N43" s="5">
        <f ca="1">Intv_Ann_TO!N1563</f>
        <v>1107.7</v>
      </c>
      <c r="O43" s="5">
        <f ca="1">Intv_Ann_TO!O1563</f>
        <v>1107.7</v>
      </c>
    </row>
    <row r="44" spans="4:15" s="327" customFormat="1" hidden="1" outlineLevel="1" x14ac:dyDescent="0.2">
      <c r="D44" s="660" t="str">
        <f>Intv_Ann_TO!D1564</f>
        <v>Eastern</v>
      </c>
      <c r="J44" s="5">
        <f ca="1">Intv_Ann_TO!J1564</f>
        <v>0</v>
      </c>
      <c r="K44" s="5">
        <f ca="1">Intv_Ann_TO!K1564</f>
        <v>0</v>
      </c>
      <c r="L44" s="5">
        <f ca="1">Intv_Ann_TO!L1564</f>
        <v>0</v>
      </c>
      <c r="M44" s="5">
        <f ca="1">Intv_Ann_TO!M1564</f>
        <v>0</v>
      </c>
      <c r="N44" s="5">
        <f ca="1">Intv_Ann_TO!N1564</f>
        <v>0</v>
      </c>
      <c r="O44" s="5">
        <f ca="1">Intv_Ann_TO!O1564</f>
        <v>0</v>
      </c>
    </row>
    <row r="45" spans="4:15" s="327" customFormat="1" hidden="1" outlineLevel="1" x14ac:dyDescent="0.2">
      <c r="D45" s="660" t="str">
        <f>Intv_Ann_TO!D1565</f>
        <v>Luapula</v>
      </c>
      <c r="J45" s="5">
        <f ca="1">Intv_Ann_TO!J1565</f>
        <v>0</v>
      </c>
      <c r="K45" s="5">
        <f ca="1">Intv_Ann_TO!K1565</f>
        <v>0</v>
      </c>
      <c r="L45" s="5">
        <f ca="1">Intv_Ann_TO!L1565</f>
        <v>0</v>
      </c>
      <c r="M45" s="5">
        <f ca="1">Intv_Ann_TO!M1565</f>
        <v>0</v>
      </c>
      <c r="N45" s="5">
        <f ca="1">Intv_Ann_TO!N1565</f>
        <v>0</v>
      </c>
      <c r="O45" s="5">
        <f ca="1">Intv_Ann_TO!O1565</f>
        <v>0</v>
      </c>
    </row>
    <row r="46" spans="4:15" s="327" customFormat="1" hidden="1" outlineLevel="1" x14ac:dyDescent="0.2">
      <c r="D46" s="660" t="str">
        <f>Intv_Ann_TO!D1566</f>
        <v>Lusaka</v>
      </c>
      <c r="J46" s="5">
        <f ca="1">Intv_Ann_TO!J1566</f>
        <v>4407.4800000000005</v>
      </c>
      <c r="K46" s="5">
        <f ca="1">Intv_Ann_TO!K1566</f>
        <v>4407.4800000000005</v>
      </c>
      <c r="L46" s="5">
        <f ca="1">Intv_Ann_TO!L1566</f>
        <v>4407.4800000000005</v>
      </c>
      <c r="M46" s="5">
        <f ca="1">Intv_Ann_TO!M1566</f>
        <v>4407.4800000000005</v>
      </c>
      <c r="N46" s="5">
        <f ca="1">Intv_Ann_TO!N1566</f>
        <v>2192.08</v>
      </c>
      <c r="O46" s="5">
        <f ca="1">Intv_Ann_TO!O1566</f>
        <v>2192.08</v>
      </c>
    </row>
    <row r="47" spans="4:15" s="327" customFormat="1" hidden="1" outlineLevel="1" x14ac:dyDescent="0.2">
      <c r="D47" s="660" t="str">
        <f>Intv_Ann_TO!D1567</f>
        <v>Muchinga</v>
      </c>
      <c r="J47" s="5">
        <f ca="1">Intv_Ann_TO!J1567</f>
        <v>0</v>
      </c>
      <c r="K47" s="5">
        <f ca="1">Intv_Ann_TO!K1567</f>
        <v>0</v>
      </c>
      <c r="L47" s="5">
        <f ca="1">Intv_Ann_TO!L1567</f>
        <v>0</v>
      </c>
      <c r="M47" s="5">
        <f ca="1">Intv_Ann_TO!M1567</f>
        <v>0</v>
      </c>
      <c r="N47" s="5">
        <f ca="1">Intv_Ann_TO!N1567</f>
        <v>0</v>
      </c>
      <c r="O47" s="5">
        <f ca="1">Intv_Ann_TO!O1567</f>
        <v>0</v>
      </c>
    </row>
    <row r="48" spans="4:15" s="327" customFormat="1" hidden="1" outlineLevel="1" x14ac:dyDescent="0.2">
      <c r="D48" s="660" t="str">
        <f>Intv_Ann_TO!D1568</f>
        <v>Northern</v>
      </c>
      <c r="J48" s="5">
        <f ca="1">Intv_Ann_TO!J1568</f>
        <v>0</v>
      </c>
      <c r="K48" s="5">
        <f ca="1">Intv_Ann_TO!K1568</f>
        <v>0</v>
      </c>
      <c r="L48" s="5">
        <f ca="1">Intv_Ann_TO!L1568</f>
        <v>0</v>
      </c>
      <c r="M48" s="5">
        <f ca="1">Intv_Ann_TO!M1568</f>
        <v>0</v>
      </c>
      <c r="N48" s="5">
        <f ca="1">Intv_Ann_TO!N1568</f>
        <v>0</v>
      </c>
      <c r="O48" s="5">
        <f ca="1">Intv_Ann_TO!O1568</f>
        <v>0</v>
      </c>
    </row>
    <row r="49" spans="4:15" s="327" customFormat="1" hidden="1" outlineLevel="1" x14ac:dyDescent="0.2">
      <c r="D49" s="660" t="str">
        <f>Intv_Ann_TO!D1569</f>
        <v>North-Western</v>
      </c>
      <c r="J49" s="5">
        <f ca="1">Intv_Ann_TO!J1569</f>
        <v>0</v>
      </c>
      <c r="K49" s="5">
        <f ca="1">Intv_Ann_TO!K1569</f>
        <v>0</v>
      </c>
      <c r="L49" s="5">
        <f ca="1">Intv_Ann_TO!L1569</f>
        <v>0</v>
      </c>
      <c r="M49" s="5">
        <f ca="1">Intv_Ann_TO!M1569</f>
        <v>0</v>
      </c>
      <c r="N49" s="5">
        <f ca="1">Intv_Ann_TO!N1569</f>
        <v>0</v>
      </c>
      <c r="O49" s="5">
        <f ca="1">Intv_Ann_TO!O1569</f>
        <v>0</v>
      </c>
    </row>
    <row r="50" spans="4:15" s="327" customFormat="1" hidden="1" outlineLevel="1" x14ac:dyDescent="0.2">
      <c r="D50" s="660" t="str">
        <f>Intv_Ann_TO!D1570</f>
        <v>Southern</v>
      </c>
      <c r="J50" s="5">
        <f ca="1">Intv_Ann_TO!J1570</f>
        <v>0</v>
      </c>
      <c r="K50" s="5">
        <f ca="1">Intv_Ann_TO!K1570</f>
        <v>0</v>
      </c>
      <c r="L50" s="5">
        <f ca="1">Intv_Ann_TO!L1570</f>
        <v>0</v>
      </c>
      <c r="M50" s="5">
        <f ca="1">Intv_Ann_TO!M1570</f>
        <v>0</v>
      </c>
      <c r="N50" s="5">
        <f ca="1">Intv_Ann_TO!N1570</f>
        <v>0</v>
      </c>
      <c r="O50" s="5">
        <f ca="1">Intv_Ann_TO!O1570</f>
        <v>0</v>
      </c>
    </row>
    <row r="51" spans="4:15" s="327" customFormat="1" hidden="1" outlineLevel="1" x14ac:dyDescent="0.2">
      <c r="D51" s="660" t="str">
        <f>Intv_Ann_TO!D1571</f>
        <v>Western</v>
      </c>
      <c r="J51" s="5">
        <f ca="1">Intv_Ann_TO!J1571</f>
        <v>0</v>
      </c>
      <c r="K51" s="5">
        <f ca="1">Intv_Ann_TO!K1571</f>
        <v>0</v>
      </c>
      <c r="L51" s="5">
        <f ca="1">Intv_Ann_TO!L1571</f>
        <v>0</v>
      </c>
      <c r="M51" s="5">
        <f ca="1">Intv_Ann_TO!M1571</f>
        <v>0</v>
      </c>
      <c r="N51" s="5">
        <f ca="1">Intv_Ann_TO!N1571</f>
        <v>1107.7</v>
      </c>
      <c r="O51" s="5">
        <f ca="1">Intv_Ann_TO!O1571</f>
        <v>1107.7</v>
      </c>
    </row>
    <row r="52" spans="4:15" s="327" customFormat="1" ht="15" collapsed="1" x14ac:dyDescent="0.2">
      <c r="D52" s="679" t="str">
        <f>"Total "&amp;D41</f>
        <v>Total Lab Tests and Other Direct Costs (ODC)</v>
      </c>
      <c r="J52" s="562">
        <f t="shared" ref="J52:O52" ca="1" si="6">SUM(J42:J51)</f>
        <v>4407.4800000000005</v>
      </c>
      <c r="K52" s="562">
        <f t="shared" ca="1" si="6"/>
        <v>4407.4800000000005</v>
      </c>
      <c r="L52" s="562">
        <f t="shared" ca="1" si="6"/>
        <v>4407.4800000000005</v>
      </c>
      <c r="M52" s="562">
        <f t="shared" ca="1" si="6"/>
        <v>4407.4800000000005</v>
      </c>
      <c r="N52" s="562">
        <f t="shared" ca="1" si="6"/>
        <v>4407.4799999999996</v>
      </c>
      <c r="O52" s="562">
        <f t="shared" ca="1" si="6"/>
        <v>4407.4799999999996</v>
      </c>
    </row>
    <row r="53" spans="4:15" s="327" customFormat="1" x14ac:dyDescent="0.2"/>
    <row r="54" spans="4:15" s="327" customFormat="1" ht="15" x14ac:dyDescent="0.2">
      <c r="D54" s="658" t="s">
        <v>1939</v>
      </c>
    </row>
    <row r="55" spans="4:15" s="327" customFormat="1" hidden="1" outlineLevel="1" x14ac:dyDescent="0.2">
      <c r="D55" s="660" t="str">
        <f>Intv_Ann_TO!D1523</f>
        <v>Central</v>
      </c>
      <c r="J55" s="5">
        <f t="shared" ref="J55:O64" ca="1" si="7">J29+J42</f>
        <v>0</v>
      </c>
      <c r="K55" s="5">
        <f t="shared" ca="1" si="7"/>
        <v>0</v>
      </c>
      <c r="L55" s="5">
        <f t="shared" ca="1" si="7"/>
        <v>0</v>
      </c>
      <c r="M55" s="5">
        <f t="shared" ca="1" si="7"/>
        <v>0</v>
      </c>
      <c r="N55" s="5">
        <f t="shared" ca="1" si="7"/>
        <v>0</v>
      </c>
      <c r="O55" s="5">
        <f t="shared" ca="1" si="7"/>
        <v>0</v>
      </c>
    </row>
    <row r="56" spans="4:15" s="327" customFormat="1" hidden="1" outlineLevel="1" x14ac:dyDescent="0.2">
      <c r="D56" s="660" t="str">
        <f>Intv_Ann_TO!D1524</f>
        <v>Copperbelt</v>
      </c>
      <c r="J56" s="5">
        <f t="shared" ca="1" si="7"/>
        <v>0</v>
      </c>
      <c r="K56" s="5">
        <f t="shared" ca="1" si="7"/>
        <v>0</v>
      </c>
      <c r="L56" s="5">
        <f t="shared" ca="1" si="7"/>
        <v>0</v>
      </c>
      <c r="M56" s="5">
        <f t="shared" ca="1" si="7"/>
        <v>0</v>
      </c>
      <c r="N56" s="5">
        <f t="shared" ca="1" si="7"/>
        <v>7773.1374999999989</v>
      </c>
      <c r="O56" s="5">
        <f t="shared" ca="1" si="7"/>
        <v>7773.1374999999989</v>
      </c>
    </row>
    <row r="57" spans="4:15" s="327" customFormat="1" hidden="1" outlineLevel="1" x14ac:dyDescent="0.2">
      <c r="D57" s="660" t="str">
        <f>Intv_Ann_TO!D1525</f>
        <v>Eastern</v>
      </c>
      <c r="J57" s="5">
        <f t="shared" ca="1" si="7"/>
        <v>0</v>
      </c>
      <c r="K57" s="5">
        <f t="shared" ca="1" si="7"/>
        <v>0</v>
      </c>
      <c r="L57" s="5">
        <f t="shared" ca="1" si="7"/>
        <v>0</v>
      </c>
      <c r="M57" s="5">
        <f t="shared" ca="1" si="7"/>
        <v>0</v>
      </c>
      <c r="N57" s="5">
        <f t="shared" ca="1" si="7"/>
        <v>0</v>
      </c>
      <c r="O57" s="5">
        <f t="shared" ca="1" si="7"/>
        <v>0</v>
      </c>
    </row>
    <row r="58" spans="4:15" s="327" customFormat="1" hidden="1" outlineLevel="1" x14ac:dyDescent="0.2">
      <c r="D58" s="660" t="str">
        <f>Intv_Ann_TO!D1526</f>
        <v>Luapula</v>
      </c>
      <c r="J58" s="5">
        <f t="shared" ca="1" si="7"/>
        <v>0</v>
      </c>
      <c r="K58" s="5">
        <f t="shared" ca="1" si="7"/>
        <v>0</v>
      </c>
      <c r="L58" s="5">
        <f t="shared" ca="1" si="7"/>
        <v>0</v>
      </c>
      <c r="M58" s="5">
        <f t="shared" ca="1" si="7"/>
        <v>0</v>
      </c>
      <c r="N58" s="5">
        <f t="shared" ca="1" si="7"/>
        <v>0</v>
      </c>
      <c r="O58" s="5">
        <f t="shared" ca="1" si="7"/>
        <v>0</v>
      </c>
    </row>
    <row r="59" spans="4:15" s="327" customFormat="1" hidden="1" outlineLevel="1" x14ac:dyDescent="0.2">
      <c r="D59" s="660" t="str">
        <f>Intv_Ann_TO!D1527</f>
        <v>Lusaka</v>
      </c>
      <c r="J59" s="5">
        <f t="shared" ca="1" si="7"/>
        <v>30928.904999999999</v>
      </c>
      <c r="K59" s="5">
        <f t="shared" ca="1" si="7"/>
        <v>30928.904999999999</v>
      </c>
      <c r="L59" s="5">
        <f t="shared" ca="1" si="7"/>
        <v>30928.904999999999</v>
      </c>
      <c r="M59" s="5">
        <f t="shared" ca="1" si="7"/>
        <v>30928.904999999999</v>
      </c>
      <c r="N59" s="5">
        <f t="shared" ca="1" si="7"/>
        <v>15382.63</v>
      </c>
      <c r="O59" s="5">
        <f t="shared" ca="1" si="7"/>
        <v>15382.63</v>
      </c>
    </row>
    <row r="60" spans="4:15" s="327" customFormat="1" hidden="1" outlineLevel="1" x14ac:dyDescent="0.2">
      <c r="D60" s="660" t="str">
        <f>Intv_Ann_TO!D1528</f>
        <v>Muchinga</v>
      </c>
      <c r="J60" s="5">
        <f t="shared" ca="1" si="7"/>
        <v>0</v>
      </c>
      <c r="K60" s="5">
        <f t="shared" ca="1" si="7"/>
        <v>0</v>
      </c>
      <c r="L60" s="5">
        <f t="shared" ca="1" si="7"/>
        <v>0</v>
      </c>
      <c r="M60" s="5">
        <f t="shared" ca="1" si="7"/>
        <v>0</v>
      </c>
      <c r="N60" s="5">
        <f t="shared" ca="1" si="7"/>
        <v>0</v>
      </c>
      <c r="O60" s="5">
        <f t="shared" ca="1" si="7"/>
        <v>0</v>
      </c>
    </row>
    <row r="61" spans="4:15" s="327" customFormat="1" hidden="1" outlineLevel="1" x14ac:dyDescent="0.2">
      <c r="D61" s="660" t="str">
        <f>Intv_Ann_TO!D1529</f>
        <v>Northern</v>
      </c>
      <c r="J61" s="5">
        <f t="shared" ca="1" si="7"/>
        <v>0</v>
      </c>
      <c r="K61" s="5">
        <f t="shared" ca="1" si="7"/>
        <v>0</v>
      </c>
      <c r="L61" s="5">
        <f t="shared" ca="1" si="7"/>
        <v>0</v>
      </c>
      <c r="M61" s="5">
        <f t="shared" ca="1" si="7"/>
        <v>0</v>
      </c>
      <c r="N61" s="5">
        <f t="shared" ca="1" si="7"/>
        <v>0</v>
      </c>
      <c r="O61" s="5">
        <f t="shared" ca="1" si="7"/>
        <v>0</v>
      </c>
    </row>
    <row r="62" spans="4:15" s="327" customFormat="1" hidden="1" outlineLevel="1" x14ac:dyDescent="0.2">
      <c r="D62" s="660" t="str">
        <f>Intv_Ann_TO!D1530</f>
        <v>North-Western</v>
      </c>
      <c r="J62" s="5">
        <f t="shared" ca="1" si="7"/>
        <v>0</v>
      </c>
      <c r="K62" s="5">
        <f t="shared" ca="1" si="7"/>
        <v>0</v>
      </c>
      <c r="L62" s="5">
        <f t="shared" ca="1" si="7"/>
        <v>0</v>
      </c>
      <c r="M62" s="5">
        <f t="shared" ca="1" si="7"/>
        <v>0</v>
      </c>
      <c r="N62" s="5">
        <f t="shared" ca="1" si="7"/>
        <v>0</v>
      </c>
      <c r="O62" s="5">
        <f t="shared" ca="1" si="7"/>
        <v>0</v>
      </c>
    </row>
    <row r="63" spans="4:15" s="327" customFormat="1" hidden="1" outlineLevel="1" x14ac:dyDescent="0.2">
      <c r="D63" s="660" t="str">
        <f>Intv_Ann_TO!D1531</f>
        <v>Southern</v>
      </c>
      <c r="J63" s="5">
        <f t="shared" ca="1" si="7"/>
        <v>0</v>
      </c>
      <c r="K63" s="5">
        <f t="shared" ca="1" si="7"/>
        <v>0</v>
      </c>
      <c r="L63" s="5">
        <f t="shared" ca="1" si="7"/>
        <v>0</v>
      </c>
      <c r="M63" s="5">
        <f t="shared" ca="1" si="7"/>
        <v>0</v>
      </c>
      <c r="N63" s="5">
        <f t="shared" ca="1" si="7"/>
        <v>0</v>
      </c>
      <c r="O63" s="5">
        <f t="shared" ca="1" si="7"/>
        <v>0</v>
      </c>
    </row>
    <row r="64" spans="4:15" s="327" customFormat="1" hidden="1" outlineLevel="1" x14ac:dyDescent="0.2">
      <c r="D64" s="660" t="str">
        <f>Intv_Ann_TO!D1532</f>
        <v>Western</v>
      </c>
      <c r="J64" s="5">
        <f t="shared" ca="1" si="7"/>
        <v>0</v>
      </c>
      <c r="K64" s="5">
        <f t="shared" ca="1" si="7"/>
        <v>0</v>
      </c>
      <c r="L64" s="5">
        <f t="shared" ca="1" si="7"/>
        <v>0</v>
      </c>
      <c r="M64" s="5">
        <f t="shared" ca="1" si="7"/>
        <v>0</v>
      </c>
      <c r="N64" s="5">
        <f t="shared" ca="1" si="7"/>
        <v>7773.1374999999989</v>
      </c>
      <c r="O64" s="5">
        <f t="shared" ca="1" si="7"/>
        <v>7773.1374999999989</v>
      </c>
    </row>
    <row r="65" spans="4:15" s="327" customFormat="1" ht="15.75" collapsed="1" thickBot="1" x14ac:dyDescent="0.25">
      <c r="D65" s="679" t="str">
        <f>"Total "&amp;D54</f>
        <v>Total Recurrent Financial Costs</v>
      </c>
      <c r="J65" s="624">
        <f t="shared" ref="J65:O65" ca="1" si="8">SUM(J55:J64)</f>
        <v>30928.904999999999</v>
      </c>
      <c r="K65" s="624">
        <f t="shared" ca="1" si="8"/>
        <v>30928.904999999999</v>
      </c>
      <c r="L65" s="624">
        <f t="shared" ca="1" si="8"/>
        <v>30928.904999999999</v>
      </c>
      <c r="M65" s="624">
        <f t="shared" ca="1" si="8"/>
        <v>30928.904999999999</v>
      </c>
      <c r="N65" s="624">
        <f t="shared" ca="1" si="8"/>
        <v>30928.904999999999</v>
      </c>
      <c r="O65" s="624">
        <f t="shared" ca="1" si="8"/>
        <v>30928.904999999999</v>
      </c>
    </row>
    <row r="66" spans="4:15" s="327" customFormat="1" ht="13.5" thickTop="1" x14ac:dyDescent="0.2"/>
    <row r="67" spans="4:15" s="327" customFormat="1" ht="15" x14ac:dyDescent="0.2">
      <c r="D67" s="658" t="s">
        <v>1940</v>
      </c>
    </row>
    <row r="68" spans="4:15" s="327" customFormat="1" hidden="1" outlineLevel="1" x14ac:dyDescent="0.2">
      <c r="D68" s="660" t="str">
        <f>Intv_Ann_TO!D1523</f>
        <v>Central</v>
      </c>
      <c r="J68" s="5">
        <f t="shared" ref="J68:O77" ca="1" si="9">J16+J29+J42</f>
        <v>0</v>
      </c>
      <c r="K68" s="5">
        <f t="shared" ca="1" si="9"/>
        <v>0</v>
      </c>
      <c r="L68" s="5">
        <f t="shared" ca="1" si="9"/>
        <v>0</v>
      </c>
      <c r="M68" s="5">
        <f t="shared" ca="1" si="9"/>
        <v>0</v>
      </c>
      <c r="N68" s="5">
        <f t="shared" ca="1" si="9"/>
        <v>0</v>
      </c>
      <c r="O68" s="5">
        <f t="shared" ca="1" si="9"/>
        <v>0</v>
      </c>
    </row>
    <row r="69" spans="4:15" s="327" customFormat="1" hidden="1" outlineLevel="1" x14ac:dyDescent="0.2">
      <c r="D69" s="660" t="str">
        <f>Intv_Ann_TO!D1524</f>
        <v>Copperbelt</v>
      </c>
      <c r="J69" s="5">
        <f t="shared" ca="1" si="9"/>
        <v>0</v>
      </c>
      <c r="K69" s="5">
        <f t="shared" ca="1" si="9"/>
        <v>0</v>
      </c>
      <c r="L69" s="5">
        <f t="shared" ca="1" si="9"/>
        <v>0</v>
      </c>
      <c r="M69" s="5">
        <f t="shared" ca="1" si="9"/>
        <v>0</v>
      </c>
      <c r="N69" s="5">
        <f t="shared" ca="1" si="9"/>
        <v>12462.068301466856</v>
      </c>
      <c r="O69" s="5">
        <f t="shared" ca="1" si="9"/>
        <v>12462.068301466856</v>
      </c>
    </row>
    <row r="70" spans="4:15" s="327" customFormat="1" hidden="1" outlineLevel="1" x14ac:dyDescent="0.2">
      <c r="D70" s="660" t="str">
        <f>Intv_Ann_TO!D1525</f>
        <v>Eastern</v>
      </c>
      <c r="J70" s="5">
        <f t="shared" ca="1" si="9"/>
        <v>0</v>
      </c>
      <c r="K70" s="5">
        <f t="shared" ca="1" si="9"/>
        <v>0</v>
      </c>
      <c r="L70" s="5">
        <f t="shared" ca="1" si="9"/>
        <v>0</v>
      </c>
      <c r="M70" s="5">
        <f t="shared" ca="1" si="9"/>
        <v>0</v>
      </c>
      <c r="N70" s="5">
        <f t="shared" ca="1" si="9"/>
        <v>0</v>
      </c>
      <c r="O70" s="5">
        <f t="shared" ca="1" si="9"/>
        <v>0</v>
      </c>
    </row>
    <row r="71" spans="4:15" s="327" customFormat="1" hidden="1" outlineLevel="1" x14ac:dyDescent="0.2">
      <c r="D71" s="660" t="str">
        <f>Intv_Ann_TO!D1526</f>
        <v>Luapula</v>
      </c>
      <c r="J71" s="5">
        <f t="shared" ca="1" si="9"/>
        <v>0</v>
      </c>
      <c r="K71" s="5">
        <f t="shared" ca="1" si="9"/>
        <v>0</v>
      </c>
      <c r="L71" s="5">
        <f t="shared" ca="1" si="9"/>
        <v>0</v>
      </c>
      <c r="M71" s="5">
        <f t="shared" ca="1" si="9"/>
        <v>0</v>
      </c>
      <c r="N71" s="5">
        <f t="shared" ca="1" si="9"/>
        <v>0</v>
      </c>
      <c r="O71" s="5">
        <f t="shared" ca="1" si="9"/>
        <v>0</v>
      </c>
    </row>
    <row r="72" spans="4:15" s="327" customFormat="1" hidden="1" outlineLevel="1" x14ac:dyDescent="0.2">
      <c r="D72" s="660" t="str">
        <f>Intv_Ann_TO!D1527</f>
        <v>Lusaka</v>
      </c>
      <c r="J72" s="5">
        <f t="shared" ca="1" si="9"/>
        <v>49585.913873204969</v>
      </c>
      <c r="K72" s="5">
        <f t="shared" ca="1" si="9"/>
        <v>49585.913873204969</v>
      </c>
      <c r="L72" s="5">
        <f t="shared" ca="1" si="9"/>
        <v>49585.913873204969</v>
      </c>
      <c r="M72" s="5">
        <f t="shared" ca="1" si="9"/>
        <v>49585.913873204969</v>
      </c>
      <c r="N72" s="5">
        <f t="shared" ca="1" si="9"/>
        <v>24661.777270271254</v>
      </c>
      <c r="O72" s="5">
        <f t="shared" ca="1" si="9"/>
        <v>24661.777270271254</v>
      </c>
    </row>
    <row r="73" spans="4:15" s="327" customFormat="1" hidden="1" outlineLevel="1" x14ac:dyDescent="0.2">
      <c r="D73" s="660" t="str">
        <f>Intv_Ann_TO!D1528</f>
        <v>Muchinga</v>
      </c>
      <c r="J73" s="5">
        <f t="shared" ca="1" si="9"/>
        <v>0</v>
      </c>
      <c r="K73" s="5">
        <f t="shared" ca="1" si="9"/>
        <v>0</v>
      </c>
      <c r="L73" s="5">
        <f t="shared" ca="1" si="9"/>
        <v>0</v>
      </c>
      <c r="M73" s="5">
        <f t="shared" ca="1" si="9"/>
        <v>0</v>
      </c>
      <c r="N73" s="5">
        <f t="shared" ca="1" si="9"/>
        <v>0</v>
      </c>
      <c r="O73" s="5">
        <f t="shared" ca="1" si="9"/>
        <v>0</v>
      </c>
    </row>
    <row r="74" spans="4:15" s="327" customFormat="1" hidden="1" outlineLevel="1" x14ac:dyDescent="0.2">
      <c r="D74" s="660" t="str">
        <f>Intv_Ann_TO!D1529</f>
        <v>Northern</v>
      </c>
      <c r="J74" s="5">
        <f t="shared" ca="1" si="9"/>
        <v>0</v>
      </c>
      <c r="K74" s="5">
        <f t="shared" ca="1" si="9"/>
        <v>0</v>
      </c>
      <c r="L74" s="5">
        <f t="shared" ca="1" si="9"/>
        <v>0</v>
      </c>
      <c r="M74" s="5">
        <f t="shared" ca="1" si="9"/>
        <v>0</v>
      </c>
      <c r="N74" s="5">
        <f t="shared" ca="1" si="9"/>
        <v>0</v>
      </c>
      <c r="O74" s="5">
        <f t="shared" ca="1" si="9"/>
        <v>0</v>
      </c>
    </row>
    <row r="75" spans="4:15" s="327" customFormat="1" hidden="1" outlineLevel="1" x14ac:dyDescent="0.2">
      <c r="D75" s="660" t="str">
        <f>Intv_Ann_TO!D1530</f>
        <v>North-Western</v>
      </c>
      <c r="J75" s="5">
        <f t="shared" ca="1" si="9"/>
        <v>0</v>
      </c>
      <c r="K75" s="5">
        <f t="shared" ca="1" si="9"/>
        <v>0</v>
      </c>
      <c r="L75" s="5">
        <f t="shared" ca="1" si="9"/>
        <v>0</v>
      </c>
      <c r="M75" s="5">
        <f t="shared" ca="1" si="9"/>
        <v>0</v>
      </c>
      <c r="N75" s="5">
        <f t="shared" ca="1" si="9"/>
        <v>0</v>
      </c>
      <c r="O75" s="5">
        <f t="shared" ca="1" si="9"/>
        <v>0</v>
      </c>
    </row>
    <row r="76" spans="4:15" s="327" customFormat="1" hidden="1" outlineLevel="1" x14ac:dyDescent="0.2">
      <c r="D76" s="660" t="str">
        <f>Intv_Ann_TO!D1531</f>
        <v>Southern</v>
      </c>
      <c r="J76" s="5">
        <f t="shared" ca="1" si="9"/>
        <v>0</v>
      </c>
      <c r="K76" s="5">
        <f t="shared" ca="1" si="9"/>
        <v>0</v>
      </c>
      <c r="L76" s="5">
        <f t="shared" ca="1" si="9"/>
        <v>0</v>
      </c>
      <c r="M76" s="5">
        <f t="shared" ca="1" si="9"/>
        <v>0</v>
      </c>
      <c r="N76" s="5">
        <f t="shared" ca="1" si="9"/>
        <v>0</v>
      </c>
      <c r="O76" s="5">
        <f t="shared" ca="1" si="9"/>
        <v>0</v>
      </c>
    </row>
    <row r="77" spans="4:15" s="327" customFormat="1" hidden="1" outlineLevel="1" x14ac:dyDescent="0.2">
      <c r="D77" s="660" t="str">
        <f>Intv_Ann_TO!D1532</f>
        <v>Western</v>
      </c>
      <c r="J77" s="5">
        <f t="shared" ca="1" si="9"/>
        <v>0</v>
      </c>
      <c r="K77" s="5">
        <f t="shared" ca="1" si="9"/>
        <v>0</v>
      </c>
      <c r="L77" s="5">
        <f t="shared" ca="1" si="9"/>
        <v>0</v>
      </c>
      <c r="M77" s="5">
        <f t="shared" ca="1" si="9"/>
        <v>0</v>
      </c>
      <c r="N77" s="5">
        <f t="shared" ca="1" si="9"/>
        <v>12462.068301466856</v>
      </c>
      <c r="O77" s="5">
        <f t="shared" ca="1" si="9"/>
        <v>12462.068301466856</v>
      </c>
    </row>
    <row r="78" spans="4:15" s="327" customFormat="1" ht="15.75" collapsed="1" thickBot="1" x14ac:dyDescent="0.25">
      <c r="D78" s="679" t="str">
        <f>"Total "&amp;D67</f>
        <v>Total Recurrent Economic Costs</v>
      </c>
      <c r="J78" s="624">
        <f t="shared" ref="J78:O78" ca="1" si="10">SUM(J68:J77)</f>
        <v>49585.913873204969</v>
      </c>
      <c r="K78" s="624">
        <f t="shared" ca="1" si="10"/>
        <v>49585.913873204969</v>
      </c>
      <c r="L78" s="624">
        <f t="shared" ca="1" si="10"/>
        <v>49585.913873204969</v>
      </c>
      <c r="M78" s="624">
        <f t="shared" ca="1" si="10"/>
        <v>49585.913873204969</v>
      </c>
      <c r="N78" s="624">
        <f t="shared" ca="1" si="10"/>
        <v>49585.913873204961</v>
      </c>
      <c r="O78" s="624">
        <f t="shared" ca="1" si="10"/>
        <v>49585.913873204961</v>
      </c>
    </row>
    <row r="79" spans="4:15" s="327" customFormat="1" ht="13.5" thickTop="1" x14ac:dyDescent="0.2"/>
    <row r="80" spans="4:15" s="327" customFormat="1" x14ac:dyDescent="0.2"/>
    <row r="81" spans="3:15" s="327" customFormat="1" ht="15.75" x14ac:dyDescent="0.2">
      <c r="C81" s="330" t="s">
        <v>1932</v>
      </c>
    </row>
    <row r="82" spans="3:15" s="327" customFormat="1" ht="15" x14ac:dyDescent="0.2">
      <c r="D82" s="646" t="str">
        <f>Intv_Ann_TO!D1577</f>
        <v>Financial Capital Expenditures (Capex) (NonAnnualized)</v>
      </c>
    </row>
    <row r="83" spans="3:15" s="327" customFormat="1" hidden="1" outlineLevel="1" x14ac:dyDescent="0.2">
      <c r="D83" s="660" t="str">
        <f>Intv_Ann_TO!D1578</f>
        <v>Central</v>
      </c>
      <c r="J83" s="5">
        <f>Intv_Ann_TO!J1578</f>
        <v>0</v>
      </c>
      <c r="K83" s="5">
        <f>Intv_Ann_TO!K1578</f>
        <v>0</v>
      </c>
      <c r="L83" s="5">
        <f>Intv_Ann_TO!L1578</f>
        <v>0</v>
      </c>
      <c r="M83" s="5">
        <f>Intv_Ann_TO!M1578</f>
        <v>0</v>
      </c>
      <c r="N83" s="5">
        <f>Intv_Ann_TO!N1578</f>
        <v>0</v>
      </c>
      <c r="O83" s="5">
        <f>Intv_Ann_TO!O1578</f>
        <v>0</v>
      </c>
    </row>
    <row r="84" spans="3:15" s="327" customFormat="1" hidden="1" outlineLevel="1" x14ac:dyDescent="0.2">
      <c r="D84" s="660" t="str">
        <f>Intv_Ann_TO!D1579</f>
        <v>Copperbelt</v>
      </c>
      <c r="J84" s="5">
        <f>Intv_Ann_TO!J1579</f>
        <v>0</v>
      </c>
      <c r="K84" s="5">
        <f>Intv_Ann_TO!K1579</f>
        <v>0</v>
      </c>
      <c r="L84" s="5">
        <f>Intv_Ann_TO!L1579</f>
        <v>0</v>
      </c>
      <c r="M84" s="5">
        <f>Intv_Ann_TO!M1579</f>
        <v>0</v>
      </c>
      <c r="N84" s="5">
        <f>Intv_Ann_TO!N1579</f>
        <v>0</v>
      </c>
      <c r="O84" s="5">
        <f>Intv_Ann_TO!O1579</f>
        <v>0</v>
      </c>
    </row>
    <row r="85" spans="3:15" s="327" customFormat="1" hidden="1" outlineLevel="1" x14ac:dyDescent="0.2">
      <c r="D85" s="660" t="str">
        <f>Intv_Ann_TO!D1580</f>
        <v>Eastern</v>
      </c>
      <c r="J85" s="5">
        <f>Intv_Ann_TO!J1580</f>
        <v>0</v>
      </c>
      <c r="K85" s="5">
        <f>Intv_Ann_TO!K1580</f>
        <v>0</v>
      </c>
      <c r="L85" s="5">
        <f>Intv_Ann_TO!L1580</f>
        <v>0</v>
      </c>
      <c r="M85" s="5">
        <f>Intv_Ann_TO!M1580</f>
        <v>0</v>
      </c>
      <c r="N85" s="5">
        <f>Intv_Ann_TO!N1580</f>
        <v>0</v>
      </c>
      <c r="O85" s="5">
        <f>Intv_Ann_TO!O1580</f>
        <v>0</v>
      </c>
    </row>
    <row r="86" spans="3:15" s="327" customFormat="1" hidden="1" outlineLevel="1" x14ac:dyDescent="0.2">
      <c r="D86" s="660" t="str">
        <f>Intv_Ann_TO!D1581</f>
        <v>Luapula</v>
      </c>
      <c r="J86" s="5">
        <f>Intv_Ann_TO!J1581</f>
        <v>0</v>
      </c>
      <c r="K86" s="5">
        <f>Intv_Ann_TO!K1581</f>
        <v>0</v>
      </c>
      <c r="L86" s="5">
        <f>Intv_Ann_TO!L1581</f>
        <v>0</v>
      </c>
      <c r="M86" s="5">
        <f>Intv_Ann_TO!M1581</f>
        <v>0</v>
      </c>
      <c r="N86" s="5">
        <f>Intv_Ann_TO!N1581</f>
        <v>0</v>
      </c>
      <c r="O86" s="5">
        <f>Intv_Ann_TO!O1581</f>
        <v>0</v>
      </c>
    </row>
    <row r="87" spans="3:15" s="327" customFormat="1" hidden="1" outlineLevel="1" x14ac:dyDescent="0.2">
      <c r="D87" s="660" t="str">
        <f>Intv_Ann_TO!D1582</f>
        <v>Lusaka</v>
      </c>
      <c r="J87" s="5">
        <f>Intv_Ann_TO!J1582</f>
        <v>0</v>
      </c>
      <c r="K87" s="5">
        <f>Intv_Ann_TO!K1582</f>
        <v>0</v>
      </c>
      <c r="L87" s="5">
        <f>Intv_Ann_TO!L1582</f>
        <v>0</v>
      </c>
      <c r="M87" s="5">
        <f>Intv_Ann_TO!M1582</f>
        <v>0</v>
      </c>
      <c r="N87" s="5">
        <f>Intv_Ann_TO!N1582</f>
        <v>0</v>
      </c>
      <c r="O87" s="5">
        <f>Intv_Ann_TO!O1582</f>
        <v>0</v>
      </c>
    </row>
    <row r="88" spans="3:15" s="327" customFormat="1" hidden="1" outlineLevel="1" x14ac:dyDescent="0.2">
      <c r="D88" s="660" t="str">
        <f>Intv_Ann_TO!D1583</f>
        <v>Muchinga</v>
      </c>
      <c r="J88" s="5">
        <f>Intv_Ann_TO!J1583</f>
        <v>0</v>
      </c>
      <c r="K88" s="5">
        <f>Intv_Ann_TO!K1583</f>
        <v>0</v>
      </c>
      <c r="L88" s="5">
        <f>Intv_Ann_TO!L1583</f>
        <v>0</v>
      </c>
      <c r="M88" s="5">
        <f>Intv_Ann_TO!M1583</f>
        <v>0</v>
      </c>
      <c r="N88" s="5">
        <f>Intv_Ann_TO!N1583</f>
        <v>0</v>
      </c>
      <c r="O88" s="5">
        <f>Intv_Ann_TO!O1583</f>
        <v>0</v>
      </c>
    </row>
    <row r="89" spans="3:15" s="327" customFormat="1" hidden="1" outlineLevel="1" x14ac:dyDescent="0.2">
      <c r="D89" s="660" t="str">
        <f>Intv_Ann_TO!D1584</f>
        <v>Northern</v>
      </c>
      <c r="J89" s="5">
        <f>Intv_Ann_TO!J1584</f>
        <v>0</v>
      </c>
      <c r="K89" s="5">
        <f>Intv_Ann_TO!K1584</f>
        <v>0</v>
      </c>
      <c r="L89" s="5">
        <f>Intv_Ann_TO!L1584</f>
        <v>0</v>
      </c>
      <c r="M89" s="5">
        <f>Intv_Ann_TO!M1584</f>
        <v>0</v>
      </c>
      <c r="N89" s="5">
        <f>Intv_Ann_TO!N1584</f>
        <v>0</v>
      </c>
      <c r="O89" s="5">
        <f>Intv_Ann_TO!O1584</f>
        <v>0</v>
      </c>
    </row>
    <row r="90" spans="3:15" s="327" customFormat="1" hidden="1" outlineLevel="1" x14ac:dyDescent="0.2">
      <c r="D90" s="660" t="str">
        <f>Intv_Ann_TO!D1585</f>
        <v>North-Western</v>
      </c>
      <c r="J90" s="5">
        <f>Intv_Ann_TO!J1585</f>
        <v>0</v>
      </c>
      <c r="K90" s="5">
        <f>Intv_Ann_TO!K1585</f>
        <v>0</v>
      </c>
      <c r="L90" s="5">
        <f>Intv_Ann_TO!L1585</f>
        <v>0</v>
      </c>
      <c r="M90" s="5">
        <f>Intv_Ann_TO!M1585</f>
        <v>0</v>
      </c>
      <c r="N90" s="5">
        <f>Intv_Ann_TO!N1585</f>
        <v>0</v>
      </c>
      <c r="O90" s="5">
        <f>Intv_Ann_TO!O1585</f>
        <v>0</v>
      </c>
    </row>
    <row r="91" spans="3:15" s="327" customFormat="1" hidden="1" outlineLevel="1" x14ac:dyDescent="0.2">
      <c r="D91" s="660" t="str">
        <f>Intv_Ann_TO!D1586</f>
        <v>Southern</v>
      </c>
      <c r="J91" s="5">
        <f>Intv_Ann_TO!J1586</f>
        <v>0</v>
      </c>
      <c r="K91" s="5">
        <f>Intv_Ann_TO!K1586</f>
        <v>0</v>
      </c>
      <c r="L91" s="5">
        <f>Intv_Ann_TO!L1586</f>
        <v>0</v>
      </c>
      <c r="M91" s="5">
        <f>Intv_Ann_TO!M1586</f>
        <v>0</v>
      </c>
      <c r="N91" s="5">
        <f>Intv_Ann_TO!N1586</f>
        <v>0</v>
      </c>
      <c r="O91" s="5">
        <f>Intv_Ann_TO!O1586</f>
        <v>0</v>
      </c>
    </row>
    <row r="92" spans="3:15" s="327" customFormat="1" hidden="1" outlineLevel="1" x14ac:dyDescent="0.2">
      <c r="D92" s="660" t="str">
        <f>Intv_Ann_TO!D1587</f>
        <v>Western</v>
      </c>
      <c r="J92" s="5">
        <f>Intv_Ann_TO!J1587</f>
        <v>0</v>
      </c>
      <c r="K92" s="5">
        <f>Intv_Ann_TO!K1587</f>
        <v>0</v>
      </c>
      <c r="L92" s="5">
        <f>Intv_Ann_TO!L1587</f>
        <v>0</v>
      </c>
      <c r="M92" s="5">
        <f>Intv_Ann_TO!M1587</f>
        <v>0</v>
      </c>
      <c r="N92" s="5">
        <f>Intv_Ann_TO!N1587</f>
        <v>0</v>
      </c>
      <c r="O92" s="5">
        <f>Intv_Ann_TO!O1587</f>
        <v>0</v>
      </c>
    </row>
    <row r="93" spans="3:15" s="327" customFormat="1" ht="15.75" collapsed="1" thickBot="1" x14ac:dyDescent="0.25">
      <c r="D93" s="679" t="str">
        <f>"Total "&amp;D82</f>
        <v>Total Financial Capital Expenditures (Capex) (NonAnnualized)</v>
      </c>
      <c r="J93" s="624">
        <f t="shared" ref="J93:O93" si="11">SUM(J83:J92)</f>
        <v>0</v>
      </c>
      <c r="K93" s="624">
        <f t="shared" si="11"/>
        <v>0</v>
      </c>
      <c r="L93" s="624">
        <f t="shared" si="11"/>
        <v>0</v>
      </c>
      <c r="M93" s="624">
        <f t="shared" si="11"/>
        <v>0</v>
      </c>
      <c r="N93" s="624">
        <f t="shared" si="11"/>
        <v>0</v>
      </c>
      <c r="O93" s="624">
        <f t="shared" si="11"/>
        <v>0</v>
      </c>
    </row>
    <row r="94" spans="3:15" s="327" customFormat="1" ht="13.5" thickTop="1" x14ac:dyDescent="0.2"/>
    <row r="95" spans="3:15" s="327" customFormat="1" ht="15" x14ac:dyDescent="0.2">
      <c r="D95" s="646" t="str">
        <f>Intv_Ann_TO!D1589</f>
        <v>Financial Capital Expenditures (Capex) (Annualized)</v>
      </c>
    </row>
    <row r="96" spans="3:15" s="327" customFormat="1" hidden="1" outlineLevel="1" x14ac:dyDescent="0.2">
      <c r="D96" s="660" t="str">
        <f>Intv_Ann_TO!D1590</f>
        <v>Central</v>
      </c>
      <c r="J96" s="5">
        <f>Intv_Ann_TO!J1590</f>
        <v>0</v>
      </c>
      <c r="K96" s="5">
        <f>Intv_Ann_TO!K1590</f>
        <v>0</v>
      </c>
      <c r="L96" s="5">
        <f>Intv_Ann_TO!L1590</f>
        <v>0</v>
      </c>
      <c r="M96" s="5">
        <f>Intv_Ann_TO!M1590</f>
        <v>0</v>
      </c>
      <c r="N96" s="5">
        <f>Intv_Ann_TO!N1590</f>
        <v>0</v>
      </c>
      <c r="O96" s="5">
        <f>Intv_Ann_TO!O1590</f>
        <v>0</v>
      </c>
    </row>
    <row r="97" spans="4:15" s="327" customFormat="1" hidden="1" outlineLevel="1" x14ac:dyDescent="0.2">
      <c r="D97" s="660" t="str">
        <f>Intv_Ann_TO!D1591</f>
        <v>Copperbelt</v>
      </c>
      <c r="J97" s="5">
        <f>Intv_Ann_TO!J1591</f>
        <v>0</v>
      </c>
      <c r="K97" s="5">
        <f>Intv_Ann_TO!K1591</f>
        <v>0</v>
      </c>
      <c r="L97" s="5">
        <f>Intv_Ann_TO!L1591</f>
        <v>0</v>
      </c>
      <c r="M97" s="5">
        <f>Intv_Ann_TO!M1591</f>
        <v>0</v>
      </c>
      <c r="N97" s="5">
        <f>Intv_Ann_TO!N1591</f>
        <v>0</v>
      </c>
      <c r="O97" s="5">
        <f>Intv_Ann_TO!O1591</f>
        <v>0</v>
      </c>
    </row>
    <row r="98" spans="4:15" s="327" customFormat="1" hidden="1" outlineLevel="1" x14ac:dyDescent="0.2">
      <c r="D98" s="660" t="str">
        <f>Intv_Ann_TO!D1592</f>
        <v>Eastern</v>
      </c>
      <c r="J98" s="5">
        <f>Intv_Ann_TO!J1592</f>
        <v>0</v>
      </c>
      <c r="K98" s="5">
        <f>Intv_Ann_TO!K1592</f>
        <v>0</v>
      </c>
      <c r="L98" s="5">
        <f>Intv_Ann_TO!L1592</f>
        <v>0</v>
      </c>
      <c r="M98" s="5">
        <f>Intv_Ann_TO!M1592</f>
        <v>0</v>
      </c>
      <c r="N98" s="5">
        <f>Intv_Ann_TO!N1592</f>
        <v>0</v>
      </c>
      <c r="O98" s="5">
        <f>Intv_Ann_TO!O1592</f>
        <v>0</v>
      </c>
    </row>
    <row r="99" spans="4:15" s="327" customFormat="1" hidden="1" outlineLevel="1" x14ac:dyDescent="0.2">
      <c r="D99" s="660" t="str">
        <f>Intv_Ann_TO!D1593</f>
        <v>Luapula</v>
      </c>
      <c r="J99" s="5">
        <f>Intv_Ann_TO!J1593</f>
        <v>0</v>
      </c>
      <c r="K99" s="5">
        <f>Intv_Ann_TO!K1593</f>
        <v>0</v>
      </c>
      <c r="L99" s="5">
        <f>Intv_Ann_TO!L1593</f>
        <v>0</v>
      </c>
      <c r="M99" s="5">
        <f>Intv_Ann_TO!M1593</f>
        <v>0</v>
      </c>
      <c r="N99" s="5">
        <f>Intv_Ann_TO!N1593</f>
        <v>0</v>
      </c>
      <c r="O99" s="5">
        <f>Intv_Ann_TO!O1593</f>
        <v>0</v>
      </c>
    </row>
    <row r="100" spans="4:15" s="327" customFormat="1" hidden="1" outlineLevel="1" x14ac:dyDescent="0.2">
      <c r="D100" s="660" t="str">
        <f>Intv_Ann_TO!D1594</f>
        <v>Lusaka</v>
      </c>
      <c r="J100" s="5">
        <f>Intv_Ann_TO!J1594</f>
        <v>0</v>
      </c>
      <c r="K100" s="5">
        <f>Intv_Ann_TO!K1594</f>
        <v>0</v>
      </c>
      <c r="L100" s="5">
        <f>Intv_Ann_TO!L1594</f>
        <v>0</v>
      </c>
      <c r="M100" s="5">
        <f>Intv_Ann_TO!M1594</f>
        <v>0</v>
      </c>
      <c r="N100" s="5">
        <f>Intv_Ann_TO!N1594</f>
        <v>0</v>
      </c>
      <c r="O100" s="5">
        <f>Intv_Ann_TO!O1594</f>
        <v>0</v>
      </c>
    </row>
    <row r="101" spans="4:15" s="327" customFormat="1" hidden="1" outlineLevel="1" x14ac:dyDescent="0.2">
      <c r="D101" s="660" t="str">
        <f>Intv_Ann_TO!D1595</f>
        <v>Muchinga</v>
      </c>
      <c r="J101" s="5">
        <f>Intv_Ann_TO!J1595</f>
        <v>0</v>
      </c>
      <c r="K101" s="5">
        <f>Intv_Ann_TO!K1595</f>
        <v>0</v>
      </c>
      <c r="L101" s="5">
        <f>Intv_Ann_TO!L1595</f>
        <v>0</v>
      </c>
      <c r="M101" s="5">
        <f>Intv_Ann_TO!M1595</f>
        <v>0</v>
      </c>
      <c r="N101" s="5">
        <f>Intv_Ann_TO!N1595</f>
        <v>0</v>
      </c>
      <c r="O101" s="5">
        <f>Intv_Ann_TO!O1595</f>
        <v>0</v>
      </c>
    </row>
    <row r="102" spans="4:15" s="327" customFormat="1" hidden="1" outlineLevel="1" x14ac:dyDescent="0.2">
      <c r="D102" s="660" t="str">
        <f>Intv_Ann_TO!D1596</f>
        <v>Northern</v>
      </c>
      <c r="J102" s="5">
        <f>Intv_Ann_TO!J1596</f>
        <v>0</v>
      </c>
      <c r="K102" s="5">
        <f>Intv_Ann_TO!K1596</f>
        <v>0</v>
      </c>
      <c r="L102" s="5">
        <f>Intv_Ann_TO!L1596</f>
        <v>0</v>
      </c>
      <c r="M102" s="5">
        <f>Intv_Ann_TO!M1596</f>
        <v>0</v>
      </c>
      <c r="N102" s="5">
        <f>Intv_Ann_TO!N1596</f>
        <v>0</v>
      </c>
      <c r="O102" s="5">
        <f>Intv_Ann_TO!O1596</f>
        <v>0</v>
      </c>
    </row>
    <row r="103" spans="4:15" s="327" customFormat="1" hidden="1" outlineLevel="1" x14ac:dyDescent="0.2">
      <c r="D103" s="660" t="str">
        <f>Intv_Ann_TO!D1597</f>
        <v>North-Western</v>
      </c>
      <c r="J103" s="5">
        <f>Intv_Ann_TO!J1597</f>
        <v>0</v>
      </c>
      <c r="K103" s="5">
        <f>Intv_Ann_TO!K1597</f>
        <v>0</v>
      </c>
      <c r="L103" s="5">
        <f>Intv_Ann_TO!L1597</f>
        <v>0</v>
      </c>
      <c r="M103" s="5">
        <f>Intv_Ann_TO!M1597</f>
        <v>0</v>
      </c>
      <c r="N103" s="5">
        <f>Intv_Ann_TO!N1597</f>
        <v>0</v>
      </c>
      <c r="O103" s="5">
        <f>Intv_Ann_TO!O1597</f>
        <v>0</v>
      </c>
    </row>
    <row r="104" spans="4:15" s="327" customFormat="1" hidden="1" outlineLevel="1" x14ac:dyDescent="0.2">
      <c r="D104" s="660" t="str">
        <f>Intv_Ann_TO!D1598</f>
        <v>Southern</v>
      </c>
      <c r="J104" s="5">
        <f>Intv_Ann_TO!J1598</f>
        <v>0</v>
      </c>
      <c r="K104" s="5">
        <f>Intv_Ann_TO!K1598</f>
        <v>0</v>
      </c>
      <c r="L104" s="5">
        <f>Intv_Ann_TO!L1598</f>
        <v>0</v>
      </c>
      <c r="M104" s="5">
        <f>Intv_Ann_TO!M1598</f>
        <v>0</v>
      </c>
      <c r="N104" s="5">
        <f>Intv_Ann_TO!N1598</f>
        <v>0</v>
      </c>
      <c r="O104" s="5">
        <f>Intv_Ann_TO!O1598</f>
        <v>0</v>
      </c>
    </row>
    <row r="105" spans="4:15" s="327" customFormat="1" hidden="1" outlineLevel="1" x14ac:dyDescent="0.2">
      <c r="D105" s="660" t="str">
        <f>Intv_Ann_TO!D1599</f>
        <v>Western</v>
      </c>
      <c r="J105" s="5">
        <f>Intv_Ann_TO!J1599</f>
        <v>0</v>
      </c>
      <c r="K105" s="5">
        <f>Intv_Ann_TO!K1599</f>
        <v>0</v>
      </c>
      <c r="L105" s="5">
        <f>Intv_Ann_TO!L1599</f>
        <v>0</v>
      </c>
      <c r="M105" s="5">
        <f>Intv_Ann_TO!M1599</f>
        <v>0</v>
      </c>
      <c r="N105" s="5">
        <f>Intv_Ann_TO!N1599</f>
        <v>0</v>
      </c>
      <c r="O105" s="5">
        <f>Intv_Ann_TO!O1599</f>
        <v>0</v>
      </c>
    </row>
    <row r="106" spans="4:15" s="327" customFormat="1" ht="15.75" collapsed="1" thickBot="1" x14ac:dyDescent="0.25">
      <c r="D106" s="679" t="str">
        <f>"Total "&amp;D95</f>
        <v>Total Financial Capital Expenditures (Capex) (Annualized)</v>
      </c>
      <c r="J106" s="624">
        <f t="shared" ref="J106:O106" si="12">SUM(J96:J105)</f>
        <v>0</v>
      </c>
      <c r="K106" s="624">
        <f t="shared" si="12"/>
        <v>0</v>
      </c>
      <c r="L106" s="624">
        <f t="shared" si="12"/>
        <v>0</v>
      </c>
      <c r="M106" s="624">
        <f t="shared" si="12"/>
        <v>0</v>
      </c>
      <c r="N106" s="624">
        <f t="shared" si="12"/>
        <v>0</v>
      </c>
      <c r="O106" s="624">
        <f t="shared" si="12"/>
        <v>0</v>
      </c>
    </row>
    <row r="107" spans="4:15" s="327" customFormat="1" ht="13.5" thickTop="1" x14ac:dyDescent="0.2"/>
    <row r="108" spans="4:15" s="327" customFormat="1" ht="15" x14ac:dyDescent="0.2">
      <c r="D108" s="646" t="str">
        <f>Intv_Ann_TO!D1602</f>
        <v>Economic Capex (NonAnnualized)</v>
      </c>
    </row>
    <row r="109" spans="4:15" s="327" customFormat="1" hidden="1" outlineLevel="1" x14ac:dyDescent="0.2">
      <c r="D109" s="660" t="str">
        <f>Intv_Ann_TO!D1603</f>
        <v>Central</v>
      </c>
      <c r="J109" s="5">
        <f>Intv_Ann_TO!J1603</f>
        <v>0</v>
      </c>
      <c r="K109" s="5">
        <f>Intv_Ann_TO!K1603</f>
        <v>0</v>
      </c>
      <c r="L109" s="5">
        <f>Intv_Ann_TO!L1603</f>
        <v>0</v>
      </c>
      <c r="M109" s="5">
        <f>Intv_Ann_TO!M1603</f>
        <v>0</v>
      </c>
      <c r="N109" s="5">
        <f>Intv_Ann_TO!N1603</f>
        <v>0</v>
      </c>
      <c r="O109" s="5">
        <f>Intv_Ann_TO!O1603</f>
        <v>0</v>
      </c>
    </row>
    <row r="110" spans="4:15" s="327" customFormat="1" hidden="1" outlineLevel="1" x14ac:dyDescent="0.2">
      <c r="D110" s="660" t="str">
        <f>Intv_Ann_TO!D1604</f>
        <v>Copperbelt</v>
      </c>
      <c r="J110" s="5">
        <f>Intv_Ann_TO!J1604</f>
        <v>0</v>
      </c>
      <c r="K110" s="5">
        <f>Intv_Ann_TO!K1604</f>
        <v>0</v>
      </c>
      <c r="L110" s="5">
        <f>Intv_Ann_TO!L1604</f>
        <v>0</v>
      </c>
      <c r="M110" s="5">
        <f>Intv_Ann_TO!M1604</f>
        <v>0</v>
      </c>
      <c r="N110" s="5">
        <f>Intv_Ann_TO!N1604</f>
        <v>0</v>
      </c>
      <c r="O110" s="5">
        <f>Intv_Ann_TO!O1604</f>
        <v>0</v>
      </c>
    </row>
    <row r="111" spans="4:15" s="327" customFormat="1" hidden="1" outlineLevel="1" x14ac:dyDescent="0.2">
      <c r="D111" s="660" t="str">
        <f>Intv_Ann_TO!D1605</f>
        <v>Eastern</v>
      </c>
      <c r="J111" s="5">
        <f>Intv_Ann_TO!J1605</f>
        <v>0</v>
      </c>
      <c r="K111" s="5">
        <f>Intv_Ann_TO!K1605</f>
        <v>0</v>
      </c>
      <c r="L111" s="5">
        <f>Intv_Ann_TO!L1605</f>
        <v>0</v>
      </c>
      <c r="M111" s="5">
        <f>Intv_Ann_TO!M1605</f>
        <v>0</v>
      </c>
      <c r="N111" s="5">
        <f>Intv_Ann_TO!N1605</f>
        <v>0</v>
      </c>
      <c r="O111" s="5">
        <f>Intv_Ann_TO!O1605</f>
        <v>0</v>
      </c>
    </row>
    <row r="112" spans="4:15" s="327" customFormat="1" hidden="1" outlineLevel="1" x14ac:dyDescent="0.2">
      <c r="D112" s="660" t="str">
        <f>Intv_Ann_TO!D1606</f>
        <v>Luapula</v>
      </c>
      <c r="J112" s="5">
        <f>Intv_Ann_TO!J1606</f>
        <v>0</v>
      </c>
      <c r="K112" s="5">
        <f>Intv_Ann_TO!K1606</f>
        <v>0</v>
      </c>
      <c r="L112" s="5">
        <f>Intv_Ann_TO!L1606</f>
        <v>0</v>
      </c>
      <c r="M112" s="5">
        <f>Intv_Ann_TO!M1606</f>
        <v>0</v>
      </c>
      <c r="N112" s="5">
        <f>Intv_Ann_TO!N1606</f>
        <v>0</v>
      </c>
      <c r="O112" s="5">
        <f>Intv_Ann_TO!O1606</f>
        <v>0</v>
      </c>
    </row>
    <row r="113" spans="4:15" s="327" customFormat="1" hidden="1" outlineLevel="1" x14ac:dyDescent="0.2">
      <c r="D113" s="660" t="str">
        <f>Intv_Ann_TO!D1607</f>
        <v>Lusaka</v>
      </c>
      <c r="J113" s="5">
        <f>Intv_Ann_TO!J1607</f>
        <v>0</v>
      </c>
      <c r="K113" s="5">
        <f>Intv_Ann_TO!K1607</f>
        <v>0</v>
      </c>
      <c r="L113" s="5">
        <f>Intv_Ann_TO!L1607</f>
        <v>0</v>
      </c>
      <c r="M113" s="5">
        <f>Intv_Ann_TO!M1607</f>
        <v>0</v>
      </c>
      <c r="N113" s="5">
        <f>Intv_Ann_TO!N1607</f>
        <v>0</v>
      </c>
      <c r="O113" s="5">
        <f>Intv_Ann_TO!O1607</f>
        <v>0</v>
      </c>
    </row>
    <row r="114" spans="4:15" s="327" customFormat="1" hidden="1" outlineLevel="1" x14ac:dyDescent="0.2">
      <c r="D114" s="660" t="str">
        <f>Intv_Ann_TO!D1608</f>
        <v>Muchinga</v>
      </c>
      <c r="J114" s="5">
        <f>Intv_Ann_TO!J1608</f>
        <v>0</v>
      </c>
      <c r="K114" s="5">
        <f>Intv_Ann_TO!K1608</f>
        <v>0</v>
      </c>
      <c r="L114" s="5">
        <f>Intv_Ann_TO!L1608</f>
        <v>0</v>
      </c>
      <c r="M114" s="5">
        <f>Intv_Ann_TO!M1608</f>
        <v>0</v>
      </c>
      <c r="N114" s="5">
        <f>Intv_Ann_TO!N1608</f>
        <v>0</v>
      </c>
      <c r="O114" s="5">
        <f>Intv_Ann_TO!O1608</f>
        <v>0</v>
      </c>
    </row>
    <row r="115" spans="4:15" s="327" customFormat="1" hidden="1" outlineLevel="1" x14ac:dyDescent="0.2">
      <c r="D115" s="660" t="str">
        <f>Intv_Ann_TO!D1609</f>
        <v>Northern</v>
      </c>
      <c r="J115" s="5">
        <f>Intv_Ann_TO!J1609</f>
        <v>0</v>
      </c>
      <c r="K115" s="5">
        <f>Intv_Ann_TO!K1609</f>
        <v>0</v>
      </c>
      <c r="L115" s="5">
        <f>Intv_Ann_TO!L1609</f>
        <v>0</v>
      </c>
      <c r="M115" s="5">
        <f>Intv_Ann_TO!M1609</f>
        <v>0</v>
      </c>
      <c r="N115" s="5">
        <f>Intv_Ann_TO!N1609</f>
        <v>0</v>
      </c>
      <c r="O115" s="5">
        <f>Intv_Ann_TO!O1609</f>
        <v>0</v>
      </c>
    </row>
    <row r="116" spans="4:15" s="327" customFormat="1" hidden="1" outlineLevel="1" x14ac:dyDescent="0.2">
      <c r="D116" s="660" t="str">
        <f>Intv_Ann_TO!D1610</f>
        <v>North-Western</v>
      </c>
      <c r="J116" s="5">
        <f>Intv_Ann_TO!J1610</f>
        <v>0</v>
      </c>
      <c r="K116" s="5">
        <f>Intv_Ann_TO!K1610</f>
        <v>0</v>
      </c>
      <c r="L116" s="5">
        <f>Intv_Ann_TO!L1610</f>
        <v>0</v>
      </c>
      <c r="M116" s="5">
        <f>Intv_Ann_TO!M1610</f>
        <v>0</v>
      </c>
      <c r="N116" s="5">
        <f>Intv_Ann_TO!N1610</f>
        <v>0</v>
      </c>
      <c r="O116" s="5">
        <f>Intv_Ann_TO!O1610</f>
        <v>0</v>
      </c>
    </row>
    <row r="117" spans="4:15" s="327" customFormat="1" hidden="1" outlineLevel="1" x14ac:dyDescent="0.2">
      <c r="D117" s="660" t="str">
        <f>Intv_Ann_TO!D1611</f>
        <v>Southern</v>
      </c>
      <c r="J117" s="5">
        <f>Intv_Ann_TO!J1611</f>
        <v>0</v>
      </c>
      <c r="K117" s="5">
        <f>Intv_Ann_TO!K1611</f>
        <v>0</v>
      </c>
      <c r="L117" s="5">
        <f>Intv_Ann_TO!L1611</f>
        <v>0</v>
      </c>
      <c r="M117" s="5">
        <f>Intv_Ann_TO!M1611</f>
        <v>0</v>
      </c>
      <c r="N117" s="5">
        <f>Intv_Ann_TO!N1611</f>
        <v>0</v>
      </c>
      <c r="O117" s="5">
        <f>Intv_Ann_TO!O1611</f>
        <v>0</v>
      </c>
    </row>
    <row r="118" spans="4:15" s="327" customFormat="1" hidden="1" outlineLevel="1" x14ac:dyDescent="0.2">
      <c r="D118" s="660" t="str">
        <f>Intv_Ann_TO!D1612</f>
        <v>Western</v>
      </c>
      <c r="J118" s="5">
        <f>Intv_Ann_TO!J1612</f>
        <v>0</v>
      </c>
      <c r="K118" s="5">
        <f>Intv_Ann_TO!K1612</f>
        <v>0</v>
      </c>
      <c r="L118" s="5">
        <f>Intv_Ann_TO!L1612</f>
        <v>0</v>
      </c>
      <c r="M118" s="5">
        <f>Intv_Ann_TO!M1612</f>
        <v>0</v>
      </c>
      <c r="N118" s="5">
        <f>Intv_Ann_TO!N1612</f>
        <v>0</v>
      </c>
      <c r="O118" s="5">
        <f>Intv_Ann_TO!O1612</f>
        <v>0</v>
      </c>
    </row>
    <row r="119" spans="4:15" s="327" customFormat="1" ht="15.75" collapsed="1" thickBot="1" x14ac:dyDescent="0.25">
      <c r="D119" s="679" t="str">
        <f>"Total "&amp;D108</f>
        <v>Total Economic Capex (NonAnnualized)</v>
      </c>
      <c r="J119" s="624">
        <f t="shared" ref="J119:O119" si="13">SUM(J109:J118)</f>
        <v>0</v>
      </c>
      <c r="K119" s="624">
        <f t="shared" si="13"/>
        <v>0</v>
      </c>
      <c r="L119" s="624">
        <f t="shared" si="13"/>
        <v>0</v>
      </c>
      <c r="M119" s="624">
        <f t="shared" si="13"/>
        <v>0</v>
      </c>
      <c r="N119" s="624">
        <f t="shared" si="13"/>
        <v>0</v>
      </c>
      <c r="O119" s="624">
        <f t="shared" si="13"/>
        <v>0</v>
      </c>
    </row>
    <row r="120" spans="4:15" s="327" customFormat="1" ht="13.5" thickTop="1" x14ac:dyDescent="0.2"/>
    <row r="121" spans="4:15" s="327" customFormat="1" ht="15" x14ac:dyDescent="0.2">
      <c r="D121" s="646" t="str">
        <f>Intv_Ann_TO!D1614</f>
        <v>Economic Capital Expenditures (Capex) (Annualized)</v>
      </c>
    </row>
    <row r="122" spans="4:15" s="327" customFormat="1" hidden="1" outlineLevel="1" x14ac:dyDescent="0.2">
      <c r="D122" s="660" t="str">
        <f>Intv_Ann_TO!D1615</f>
        <v>Central</v>
      </c>
      <c r="J122" s="5">
        <f>Intv_Ann_TO!J1615</f>
        <v>0</v>
      </c>
      <c r="K122" s="5">
        <f>Intv_Ann_TO!K1615</f>
        <v>0</v>
      </c>
      <c r="L122" s="5">
        <f>Intv_Ann_TO!L1615</f>
        <v>0</v>
      </c>
      <c r="M122" s="5">
        <f>Intv_Ann_TO!M1615</f>
        <v>0</v>
      </c>
      <c r="N122" s="5">
        <f>Intv_Ann_TO!N1615</f>
        <v>0</v>
      </c>
      <c r="O122" s="5">
        <f>Intv_Ann_TO!O1615</f>
        <v>0</v>
      </c>
    </row>
    <row r="123" spans="4:15" s="327" customFormat="1" hidden="1" outlineLevel="1" x14ac:dyDescent="0.2">
      <c r="D123" s="660" t="str">
        <f>Intv_Ann_TO!D1616</f>
        <v>Copperbelt</v>
      </c>
      <c r="J123" s="5">
        <f>Intv_Ann_TO!J1616</f>
        <v>0</v>
      </c>
      <c r="K123" s="5">
        <f>Intv_Ann_TO!K1616</f>
        <v>0</v>
      </c>
      <c r="L123" s="5">
        <f>Intv_Ann_TO!L1616</f>
        <v>0</v>
      </c>
      <c r="M123" s="5">
        <f>Intv_Ann_TO!M1616</f>
        <v>0</v>
      </c>
      <c r="N123" s="5">
        <f>Intv_Ann_TO!N1616</f>
        <v>0</v>
      </c>
      <c r="O123" s="5">
        <f>Intv_Ann_TO!O1616</f>
        <v>0</v>
      </c>
    </row>
    <row r="124" spans="4:15" s="327" customFormat="1" hidden="1" outlineLevel="1" x14ac:dyDescent="0.2">
      <c r="D124" s="660" t="str">
        <f>Intv_Ann_TO!D1617</f>
        <v>Eastern</v>
      </c>
      <c r="J124" s="5">
        <f>Intv_Ann_TO!J1617</f>
        <v>0</v>
      </c>
      <c r="K124" s="5">
        <f>Intv_Ann_TO!K1617</f>
        <v>0</v>
      </c>
      <c r="L124" s="5">
        <f>Intv_Ann_TO!L1617</f>
        <v>0</v>
      </c>
      <c r="M124" s="5">
        <f>Intv_Ann_TO!M1617</f>
        <v>0</v>
      </c>
      <c r="N124" s="5">
        <f>Intv_Ann_TO!N1617</f>
        <v>0</v>
      </c>
      <c r="O124" s="5">
        <f>Intv_Ann_TO!O1617</f>
        <v>0</v>
      </c>
    </row>
    <row r="125" spans="4:15" s="327" customFormat="1" hidden="1" outlineLevel="1" x14ac:dyDescent="0.2">
      <c r="D125" s="660" t="str">
        <f>Intv_Ann_TO!D1618</f>
        <v>Luapula</v>
      </c>
      <c r="J125" s="5">
        <f>Intv_Ann_TO!J1618</f>
        <v>0</v>
      </c>
      <c r="K125" s="5">
        <f>Intv_Ann_TO!K1618</f>
        <v>0</v>
      </c>
      <c r="L125" s="5">
        <f>Intv_Ann_TO!L1618</f>
        <v>0</v>
      </c>
      <c r="M125" s="5">
        <f>Intv_Ann_TO!M1618</f>
        <v>0</v>
      </c>
      <c r="N125" s="5">
        <f>Intv_Ann_TO!N1618</f>
        <v>0</v>
      </c>
      <c r="O125" s="5">
        <f>Intv_Ann_TO!O1618</f>
        <v>0</v>
      </c>
    </row>
    <row r="126" spans="4:15" s="327" customFormat="1" hidden="1" outlineLevel="1" x14ac:dyDescent="0.2">
      <c r="D126" s="660" t="str">
        <f>Intv_Ann_TO!D1619</f>
        <v>Lusaka</v>
      </c>
      <c r="J126" s="5">
        <f>Intv_Ann_TO!J1619</f>
        <v>0</v>
      </c>
      <c r="K126" s="5">
        <f>Intv_Ann_TO!K1619</f>
        <v>0</v>
      </c>
      <c r="L126" s="5">
        <f>Intv_Ann_TO!L1619</f>
        <v>0</v>
      </c>
      <c r="M126" s="5">
        <f>Intv_Ann_TO!M1619</f>
        <v>0</v>
      </c>
      <c r="N126" s="5">
        <f>Intv_Ann_TO!N1619</f>
        <v>0</v>
      </c>
      <c r="O126" s="5">
        <f>Intv_Ann_TO!O1619</f>
        <v>0</v>
      </c>
    </row>
    <row r="127" spans="4:15" s="327" customFormat="1" hidden="1" outlineLevel="1" x14ac:dyDescent="0.2">
      <c r="D127" s="660" t="str">
        <f>Intv_Ann_TO!D1620</f>
        <v>Muchinga</v>
      </c>
      <c r="J127" s="5">
        <f>Intv_Ann_TO!J1620</f>
        <v>0</v>
      </c>
      <c r="K127" s="5">
        <f>Intv_Ann_TO!K1620</f>
        <v>0</v>
      </c>
      <c r="L127" s="5">
        <f>Intv_Ann_TO!L1620</f>
        <v>0</v>
      </c>
      <c r="M127" s="5">
        <f>Intv_Ann_TO!M1620</f>
        <v>0</v>
      </c>
      <c r="N127" s="5">
        <f>Intv_Ann_TO!N1620</f>
        <v>0</v>
      </c>
      <c r="O127" s="5">
        <f>Intv_Ann_TO!O1620</f>
        <v>0</v>
      </c>
    </row>
    <row r="128" spans="4:15" s="327" customFormat="1" hidden="1" outlineLevel="1" x14ac:dyDescent="0.2">
      <c r="D128" s="660" t="str">
        <f>Intv_Ann_TO!D1621</f>
        <v>Northern</v>
      </c>
      <c r="J128" s="5">
        <f>Intv_Ann_TO!J1621</f>
        <v>0</v>
      </c>
      <c r="K128" s="5">
        <f>Intv_Ann_TO!K1621</f>
        <v>0</v>
      </c>
      <c r="L128" s="5">
        <f>Intv_Ann_TO!L1621</f>
        <v>0</v>
      </c>
      <c r="M128" s="5">
        <f>Intv_Ann_TO!M1621</f>
        <v>0</v>
      </c>
      <c r="N128" s="5">
        <f>Intv_Ann_TO!N1621</f>
        <v>0</v>
      </c>
      <c r="O128" s="5">
        <f>Intv_Ann_TO!O1621</f>
        <v>0</v>
      </c>
    </row>
    <row r="129" spans="3:15" s="327" customFormat="1" hidden="1" outlineLevel="1" x14ac:dyDescent="0.2">
      <c r="D129" s="660" t="str">
        <f>Intv_Ann_TO!D1622</f>
        <v>North-Western</v>
      </c>
      <c r="J129" s="5">
        <f>Intv_Ann_TO!J1622</f>
        <v>0</v>
      </c>
      <c r="K129" s="5">
        <f>Intv_Ann_TO!K1622</f>
        <v>0</v>
      </c>
      <c r="L129" s="5">
        <f>Intv_Ann_TO!L1622</f>
        <v>0</v>
      </c>
      <c r="M129" s="5">
        <f>Intv_Ann_TO!M1622</f>
        <v>0</v>
      </c>
      <c r="N129" s="5">
        <f>Intv_Ann_TO!N1622</f>
        <v>0</v>
      </c>
      <c r="O129" s="5">
        <f>Intv_Ann_TO!O1622</f>
        <v>0</v>
      </c>
    </row>
    <row r="130" spans="3:15" s="327" customFormat="1" hidden="1" outlineLevel="1" x14ac:dyDescent="0.2">
      <c r="D130" s="660" t="str">
        <f>Intv_Ann_TO!D1623</f>
        <v>Southern</v>
      </c>
      <c r="J130" s="5">
        <f>Intv_Ann_TO!J1623</f>
        <v>0</v>
      </c>
      <c r="K130" s="5">
        <f>Intv_Ann_TO!K1623</f>
        <v>0</v>
      </c>
      <c r="L130" s="5">
        <f>Intv_Ann_TO!L1623</f>
        <v>0</v>
      </c>
      <c r="M130" s="5">
        <f>Intv_Ann_TO!M1623</f>
        <v>0</v>
      </c>
      <c r="N130" s="5">
        <f>Intv_Ann_TO!N1623</f>
        <v>0</v>
      </c>
      <c r="O130" s="5">
        <f>Intv_Ann_TO!O1623</f>
        <v>0</v>
      </c>
    </row>
    <row r="131" spans="3:15" s="327" customFormat="1" hidden="1" outlineLevel="1" x14ac:dyDescent="0.2">
      <c r="D131" s="660" t="str">
        <f>Intv_Ann_TO!D1624</f>
        <v>Western</v>
      </c>
      <c r="J131" s="5">
        <f>Intv_Ann_TO!J1624</f>
        <v>0</v>
      </c>
      <c r="K131" s="5">
        <f>Intv_Ann_TO!K1624</f>
        <v>0</v>
      </c>
      <c r="L131" s="5">
        <f>Intv_Ann_TO!L1624</f>
        <v>0</v>
      </c>
      <c r="M131" s="5">
        <f>Intv_Ann_TO!M1624</f>
        <v>0</v>
      </c>
      <c r="N131" s="5">
        <f>Intv_Ann_TO!N1624</f>
        <v>0</v>
      </c>
      <c r="O131" s="5">
        <f>Intv_Ann_TO!O1624</f>
        <v>0</v>
      </c>
    </row>
    <row r="132" spans="3:15" s="327" customFormat="1" ht="15.75" collapsed="1" thickBot="1" x14ac:dyDescent="0.25">
      <c r="D132" s="679" t="str">
        <f>"Total "&amp;D121</f>
        <v>Total Economic Capital Expenditures (Capex) (Annualized)</v>
      </c>
      <c r="J132" s="624">
        <f t="shared" ref="J132:O132" si="14">SUM(J122:J131)</f>
        <v>0</v>
      </c>
      <c r="K132" s="624">
        <f t="shared" si="14"/>
        <v>0</v>
      </c>
      <c r="L132" s="624">
        <f t="shared" si="14"/>
        <v>0</v>
      </c>
      <c r="M132" s="624">
        <f t="shared" si="14"/>
        <v>0</v>
      </c>
      <c r="N132" s="624">
        <f t="shared" si="14"/>
        <v>0</v>
      </c>
      <c r="O132" s="624">
        <f t="shared" si="14"/>
        <v>0</v>
      </c>
    </row>
    <row r="133" spans="3:15" s="327" customFormat="1" ht="13.5" thickTop="1" x14ac:dyDescent="0.2"/>
    <row r="134" spans="3:15" s="327" customFormat="1" x14ac:dyDescent="0.2"/>
    <row r="135" spans="3:15" s="327" customFormat="1" ht="15.75" x14ac:dyDescent="0.2">
      <c r="C135" s="330" t="s">
        <v>1937</v>
      </c>
    </row>
    <row r="136" spans="3:15" s="327" customFormat="1" ht="15.75" thickBot="1" x14ac:dyDescent="0.25">
      <c r="D136" s="658" t="s">
        <v>1941</v>
      </c>
      <c r="J136" s="624">
        <f t="shared" ref="J136:O136" ca="1" si="15">J65+J106</f>
        <v>30928.904999999999</v>
      </c>
      <c r="K136" s="624">
        <f t="shared" ca="1" si="15"/>
        <v>30928.904999999999</v>
      </c>
      <c r="L136" s="624">
        <f t="shared" ca="1" si="15"/>
        <v>30928.904999999999</v>
      </c>
      <c r="M136" s="624">
        <f t="shared" ca="1" si="15"/>
        <v>30928.904999999999</v>
      </c>
      <c r="N136" s="624">
        <f t="shared" ca="1" si="15"/>
        <v>30928.904999999999</v>
      </c>
      <c r="O136" s="624">
        <f t="shared" ca="1" si="15"/>
        <v>30928.904999999999</v>
      </c>
    </row>
    <row r="137" spans="3:15" s="327" customFormat="1" ht="13.5" thickTop="1" x14ac:dyDescent="0.2"/>
    <row r="138" spans="3:15" s="327" customFormat="1" ht="15.75" thickBot="1" x14ac:dyDescent="0.25">
      <c r="D138" s="658" t="s">
        <v>1942</v>
      </c>
      <c r="J138" s="624">
        <f t="shared" ref="J138:O138" ca="1" si="16">J78+J132</f>
        <v>49585.913873204969</v>
      </c>
      <c r="K138" s="624">
        <f t="shared" ca="1" si="16"/>
        <v>49585.913873204969</v>
      </c>
      <c r="L138" s="624">
        <f t="shared" ca="1" si="16"/>
        <v>49585.913873204969</v>
      </c>
      <c r="M138" s="624">
        <f t="shared" ca="1" si="16"/>
        <v>49585.913873204969</v>
      </c>
      <c r="N138" s="624">
        <f t="shared" ca="1" si="16"/>
        <v>49585.913873204961</v>
      </c>
      <c r="O138" s="624">
        <f t="shared" ca="1" si="16"/>
        <v>49585.913873204961</v>
      </c>
    </row>
    <row r="139" spans="3:15" s="327" customFormat="1" ht="13.5" thickTop="1" x14ac:dyDescent="0.2"/>
    <row r="140" spans="3:15" s="327" customFormat="1" x14ac:dyDescent="0.2"/>
    <row r="141" spans="3:15" s="327" customFormat="1" x14ac:dyDescent="0.2">
      <c r="C141" s="716" t="str">
        <f>"Go to "&amp;HL_Intv_3_Ass</f>
        <v>Go to Chemotherapy</v>
      </c>
      <c r="D141" s="716"/>
      <c r="E141" s="716"/>
      <c r="F141" s="716"/>
      <c r="G141" s="716"/>
      <c r="H141" s="716"/>
      <c r="I141" s="716"/>
    </row>
    <row r="142" spans="3:15" s="327" customFormat="1" x14ac:dyDescent="0.2">
      <c r="C142" s="716" t="str">
        <f>"Go to "&amp;HL_Intv_3_Ann_Ass</f>
        <v>Go to Intervention Services - Annual Assumptions</v>
      </c>
      <c r="D142" s="716"/>
      <c r="E142" s="716"/>
      <c r="F142" s="716"/>
      <c r="G142" s="716"/>
      <c r="H142" s="716"/>
      <c r="I142" s="716"/>
    </row>
    <row r="143" spans="3:15" s="327" customFormat="1" x14ac:dyDescent="0.2">
      <c r="C143" s="716" t="str">
        <f>"Go to "&amp;HL_Intv_3_Out</f>
        <v>Go to Chemotherapy</v>
      </c>
      <c r="D143" s="716"/>
      <c r="E143" s="716"/>
      <c r="F143" s="716"/>
      <c r="G143" s="716"/>
      <c r="H143" s="716"/>
      <c r="I143" s="716"/>
    </row>
    <row r="144" spans="3:15" s="327" customFormat="1" x14ac:dyDescent="0.2">
      <c r="C144" s="716" t="str">
        <f>"Go to "&amp;HL_Intv_3_Out_Sum</f>
        <v>Go to Chemotherapy - Outputs Summary</v>
      </c>
      <c r="D144" s="716"/>
      <c r="E144" s="716"/>
      <c r="F144" s="716"/>
      <c r="G144" s="716"/>
      <c r="H144" s="716"/>
      <c r="I144" s="716"/>
    </row>
  </sheetData>
  <sheetProtection password="F0F4" sheet="1" scenarios="1"/>
  <mergeCells count="5">
    <mergeCell ref="C143:I143"/>
    <mergeCell ref="C144:I144"/>
    <mergeCell ref="B3:F3"/>
    <mergeCell ref="C141:I141"/>
    <mergeCell ref="C142:I142"/>
  </mergeCells>
  <hyperlinks>
    <hyperlink ref="C141:I141" location="HL_Intv_3_Ass" tooltip="Click to follow hyperlink." display="HL_Intv_3_Ass"/>
    <hyperlink ref="C142:I142" location="HL_Intv_3_Ann_Ass" tooltip="Click to follow hyperlink." display="HL_Intv_3_Ann_Ass"/>
    <hyperlink ref="C143:I143" location="HL_Intv_3_Out" tooltip="Click to follow hyperlink." display="HL_Intv_3_Out"/>
    <hyperlink ref="C144:I144" location="HL_Intv_3_Out_Sum" tooltip="Click to follow hyperlink." display="HL_Intv_3_Out_Sum"/>
    <hyperlink ref="A4" location="$A$10" tooltip="Go to Top of Sheet" display="$A$10"/>
    <hyperlink ref="C4" location="HL_Sheet_Main_83" tooltip="Go to Next Sheet" display="HL_Sheet_Main_83"/>
    <hyperlink ref="B4" location="HL_Sheet_Main_82" tooltip="Go to Previous Sheet" display="HL_Sheet_Main_82"/>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06"/>
  <sheetViews>
    <sheetView showGridLines="0" zoomScaleNormal="100" workbookViewId="0">
      <pane ySplit="9" topLeftCell="A10" activePane="bottomLeft" state="frozen"/>
      <selection pane="bottomLeft" activeCell="R109" sqref="R109"/>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1960</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329" t="s">
        <v>1960</v>
      </c>
    </row>
    <row r="13" spans="1:15" s="327" customFormat="1" x14ac:dyDescent="0.2"/>
    <row r="14" spans="1:15" s="327" customFormat="1" ht="18.75" x14ac:dyDescent="0.2">
      <c r="B14" s="329" t="s">
        <v>1900</v>
      </c>
    </row>
    <row r="15" spans="1:15" s="327" customFormat="1" ht="15.75" x14ac:dyDescent="0.2">
      <c r="C15" s="330" t="s">
        <v>1894</v>
      </c>
    </row>
    <row r="16" spans="1:15" s="327" customFormat="1" ht="15.75" x14ac:dyDescent="0.2">
      <c r="C16" s="18" t="str">
        <f>Intv_Ann_TO!D1819</f>
        <v>Total Active Facilities Offering RADIO</v>
      </c>
    </row>
    <row r="17" spans="3:15" s="327" customFormat="1" hidden="1" outlineLevel="1" x14ac:dyDescent="0.2">
      <c r="C17" s="660" t="str">
        <f>Intv_Ann_TO!D1820</f>
        <v>Central</v>
      </c>
      <c r="J17" s="5">
        <f>Intv_Ann_TO!J1820</f>
        <v>0</v>
      </c>
      <c r="K17" s="5">
        <f>Intv_Ann_TO!K1820</f>
        <v>0</v>
      </c>
      <c r="L17" s="5">
        <f>Intv_Ann_TO!L1820</f>
        <v>0</v>
      </c>
      <c r="M17" s="5">
        <f>Intv_Ann_TO!M1820</f>
        <v>0</v>
      </c>
      <c r="N17" s="5">
        <f>Intv_Ann_TO!N1820</f>
        <v>0</v>
      </c>
      <c r="O17" s="5">
        <f>Intv_Ann_TO!O1820</f>
        <v>0</v>
      </c>
    </row>
    <row r="18" spans="3:15" s="327" customFormat="1" hidden="1" outlineLevel="1" x14ac:dyDescent="0.2">
      <c r="C18" s="660" t="str">
        <f>Intv_Ann_TO!D1821</f>
        <v>Copperbelt</v>
      </c>
      <c r="J18" s="5">
        <f>Intv_Ann_TO!J1821</f>
        <v>0</v>
      </c>
      <c r="K18" s="5">
        <f>Intv_Ann_TO!K1821</f>
        <v>0</v>
      </c>
      <c r="L18" s="5">
        <f>Intv_Ann_TO!L1821</f>
        <v>0</v>
      </c>
      <c r="M18" s="5">
        <f>Intv_Ann_TO!M1821</f>
        <v>0</v>
      </c>
      <c r="N18" s="5">
        <f>Intv_Ann_TO!N1821</f>
        <v>1</v>
      </c>
      <c r="O18" s="5">
        <f>Intv_Ann_TO!O1821</f>
        <v>1</v>
      </c>
    </row>
    <row r="19" spans="3:15" s="327" customFormat="1" hidden="1" outlineLevel="1" x14ac:dyDescent="0.2">
      <c r="C19" s="660" t="str">
        <f>Intv_Ann_TO!D1822</f>
        <v>Eastern</v>
      </c>
      <c r="J19" s="5">
        <f>Intv_Ann_TO!J1822</f>
        <v>0</v>
      </c>
      <c r="K19" s="5">
        <f>Intv_Ann_TO!K1822</f>
        <v>0</v>
      </c>
      <c r="L19" s="5">
        <f>Intv_Ann_TO!L1822</f>
        <v>0</v>
      </c>
      <c r="M19" s="5">
        <f>Intv_Ann_TO!M1822</f>
        <v>0</v>
      </c>
      <c r="N19" s="5">
        <f>Intv_Ann_TO!N1822</f>
        <v>0</v>
      </c>
      <c r="O19" s="5">
        <f>Intv_Ann_TO!O1822</f>
        <v>0</v>
      </c>
    </row>
    <row r="20" spans="3:15" s="327" customFormat="1" hidden="1" outlineLevel="1" x14ac:dyDescent="0.2">
      <c r="C20" s="660" t="str">
        <f>Intv_Ann_TO!D1823</f>
        <v>Luapula</v>
      </c>
      <c r="J20" s="5">
        <f>Intv_Ann_TO!J1823</f>
        <v>0</v>
      </c>
      <c r="K20" s="5">
        <f>Intv_Ann_TO!K1823</f>
        <v>0</v>
      </c>
      <c r="L20" s="5">
        <f>Intv_Ann_TO!L1823</f>
        <v>0</v>
      </c>
      <c r="M20" s="5">
        <f>Intv_Ann_TO!M1823</f>
        <v>0</v>
      </c>
      <c r="N20" s="5">
        <f>Intv_Ann_TO!N1823</f>
        <v>0</v>
      </c>
      <c r="O20" s="5">
        <f>Intv_Ann_TO!O1823</f>
        <v>0</v>
      </c>
    </row>
    <row r="21" spans="3:15" s="327" customFormat="1" hidden="1" outlineLevel="1" x14ac:dyDescent="0.2">
      <c r="C21" s="660" t="str">
        <f>Intv_Ann_TO!D1824</f>
        <v>Lusaka</v>
      </c>
      <c r="J21" s="5">
        <f>Intv_Ann_TO!J1824</f>
        <v>1</v>
      </c>
      <c r="K21" s="5">
        <f>Intv_Ann_TO!K1824</f>
        <v>1</v>
      </c>
      <c r="L21" s="5">
        <f>Intv_Ann_TO!L1824</f>
        <v>1</v>
      </c>
      <c r="M21" s="5">
        <f>Intv_Ann_TO!M1824</f>
        <v>1</v>
      </c>
      <c r="N21" s="5">
        <f>Intv_Ann_TO!N1824</f>
        <v>1</v>
      </c>
      <c r="O21" s="5">
        <f>Intv_Ann_TO!O1824</f>
        <v>1</v>
      </c>
    </row>
    <row r="22" spans="3:15" s="327" customFormat="1" hidden="1" outlineLevel="1" x14ac:dyDescent="0.2">
      <c r="C22" s="660" t="str">
        <f>Intv_Ann_TO!D1825</f>
        <v>Muchinga</v>
      </c>
      <c r="J22" s="5">
        <f>Intv_Ann_TO!J1825</f>
        <v>0</v>
      </c>
      <c r="K22" s="5">
        <f>Intv_Ann_TO!K1825</f>
        <v>0</v>
      </c>
      <c r="L22" s="5">
        <f>Intv_Ann_TO!L1825</f>
        <v>0</v>
      </c>
      <c r="M22" s="5">
        <f>Intv_Ann_TO!M1825</f>
        <v>0</v>
      </c>
      <c r="N22" s="5">
        <f>Intv_Ann_TO!N1825</f>
        <v>0</v>
      </c>
      <c r="O22" s="5">
        <f>Intv_Ann_TO!O1825</f>
        <v>0</v>
      </c>
    </row>
    <row r="23" spans="3:15" s="327" customFormat="1" hidden="1" outlineLevel="1" x14ac:dyDescent="0.2">
      <c r="C23" s="660" t="str">
        <f>Intv_Ann_TO!D1826</f>
        <v>Northern</v>
      </c>
      <c r="J23" s="5">
        <f>Intv_Ann_TO!J1826</f>
        <v>0</v>
      </c>
      <c r="K23" s="5">
        <f>Intv_Ann_TO!K1826</f>
        <v>0</v>
      </c>
      <c r="L23" s="5">
        <f>Intv_Ann_TO!L1826</f>
        <v>0</v>
      </c>
      <c r="M23" s="5">
        <f>Intv_Ann_TO!M1826</f>
        <v>0</v>
      </c>
      <c r="N23" s="5">
        <f>Intv_Ann_TO!N1826</f>
        <v>0</v>
      </c>
      <c r="O23" s="5">
        <f>Intv_Ann_TO!O1826</f>
        <v>0</v>
      </c>
    </row>
    <row r="24" spans="3:15" s="327" customFormat="1" hidden="1" outlineLevel="1" x14ac:dyDescent="0.2">
      <c r="C24" s="660" t="str">
        <f>Intv_Ann_TO!D1827</f>
        <v>North-Western</v>
      </c>
      <c r="J24" s="5">
        <f>Intv_Ann_TO!J1827</f>
        <v>0</v>
      </c>
      <c r="K24" s="5">
        <f>Intv_Ann_TO!K1827</f>
        <v>0</v>
      </c>
      <c r="L24" s="5">
        <f>Intv_Ann_TO!L1827</f>
        <v>0</v>
      </c>
      <c r="M24" s="5">
        <f>Intv_Ann_TO!M1827</f>
        <v>0</v>
      </c>
      <c r="N24" s="5">
        <f>Intv_Ann_TO!N1827</f>
        <v>0</v>
      </c>
      <c r="O24" s="5">
        <f>Intv_Ann_TO!O1827</f>
        <v>0</v>
      </c>
    </row>
    <row r="25" spans="3:15" s="327" customFormat="1" hidden="1" outlineLevel="1" x14ac:dyDescent="0.2">
      <c r="C25" s="660" t="str">
        <f>Intv_Ann_TO!D1828</f>
        <v>Southern</v>
      </c>
      <c r="J25" s="5">
        <f>Intv_Ann_TO!J1828</f>
        <v>0</v>
      </c>
      <c r="K25" s="5">
        <f>Intv_Ann_TO!K1828</f>
        <v>0</v>
      </c>
      <c r="L25" s="5">
        <f>Intv_Ann_TO!L1828</f>
        <v>0</v>
      </c>
      <c r="M25" s="5">
        <f>Intv_Ann_TO!M1828</f>
        <v>0</v>
      </c>
      <c r="N25" s="5">
        <f>Intv_Ann_TO!N1828</f>
        <v>1</v>
      </c>
      <c r="O25" s="5">
        <f>Intv_Ann_TO!O1828</f>
        <v>1</v>
      </c>
    </row>
    <row r="26" spans="3:15" s="327" customFormat="1" hidden="1" outlineLevel="1" x14ac:dyDescent="0.2">
      <c r="C26" s="660" t="str">
        <f>Intv_Ann_TO!D1829</f>
        <v>Western</v>
      </c>
      <c r="J26" s="5">
        <f>Intv_Ann_TO!J1829</f>
        <v>0</v>
      </c>
      <c r="K26" s="5">
        <f>Intv_Ann_TO!K1829</f>
        <v>0</v>
      </c>
      <c r="L26" s="5">
        <f>Intv_Ann_TO!L1829</f>
        <v>0</v>
      </c>
      <c r="M26" s="5">
        <f>Intv_Ann_TO!M1829</f>
        <v>0</v>
      </c>
      <c r="N26" s="5">
        <f>Intv_Ann_TO!N1829</f>
        <v>0</v>
      </c>
      <c r="O26" s="5">
        <f>Intv_Ann_TO!O1829</f>
        <v>0</v>
      </c>
    </row>
    <row r="27" spans="3:15" s="327" customFormat="1" ht="15.75" collapsed="1" thickBot="1" x14ac:dyDescent="0.25">
      <c r="C27" s="646" t="str">
        <f>C16</f>
        <v>Total Active Facilities Offering RADIO</v>
      </c>
      <c r="J27" s="650">
        <f t="shared" ref="J27:O27" si="4">SUM(J17:J26)</f>
        <v>1</v>
      </c>
      <c r="K27" s="650">
        <f t="shared" si="4"/>
        <v>1</v>
      </c>
      <c r="L27" s="650">
        <f t="shared" si="4"/>
        <v>1</v>
      </c>
      <c r="M27" s="650">
        <f t="shared" si="4"/>
        <v>1</v>
      </c>
      <c r="N27" s="650">
        <f t="shared" si="4"/>
        <v>3</v>
      </c>
      <c r="O27" s="650">
        <f t="shared" si="4"/>
        <v>3</v>
      </c>
    </row>
    <row r="28" spans="3:15" s="327" customFormat="1" ht="13.5" thickTop="1" x14ac:dyDescent="0.2"/>
    <row r="29" spans="3:15" s="327" customFormat="1" ht="15.75" x14ac:dyDescent="0.2">
      <c r="C29" s="330" t="s">
        <v>102</v>
      </c>
    </row>
    <row r="30" spans="3:15" s="327" customFormat="1" ht="15.75" x14ac:dyDescent="0.2">
      <c r="C30" s="18" t="str">
        <f>Intv_Ann_TO!D1847</f>
        <v>Maximum Procedures</v>
      </c>
    </row>
    <row r="31" spans="3:15" s="327" customFormat="1" hidden="1" outlineLevel="1" x14ac:dyDescent="0.2">
      <c r="C31" s="660" t="str">
        <f>Intv_Ann_TO!D1848</f>
        <v>Central</v>
      </c>
      <c r="J31" s="5">
        <f>Intv_Ann_TO!J1848</f>
        <v>0</v>
      </c>
      <c r="K31" s="5">
        <f>Intv_Ann_TO!K1848</f>
        <v>0</v>
      </c>
      <c r="L31" s="5">
        <f>Intv_Ann_TO!L1848</f>
        <v>0</v>
      </c>
      <c r="M31" s="5">
        <f>Intv_Ann_TO!M1848</f>
        <v>0</v>
      </c>
      <c r="N31" s="5">
        <f>Intv_Ann_TO!N1848</f>
        <v>0</v>
      </c>
      <c r="O31" s="5">
        <f>Intv_Ann_TO!O1848</f>
        <v>0</v>
      </c>
    </row>
    <row r="32" spans="3:15" s="327" customFormat="1" hidden="1" outlineLevel="1" x14ac:dyDescent="0.2">
      <c r="C32" s="660" t="str">
        <f>Intv_Ann_TO!D1849</f>
        <v>Copperbelt</v>
      </c>
      <c r="J32" s="5">
        <f>Intv_Ann_TO!J1849</f>
        <v>0</v>
      </c>
      <c r="K32" s="5">
        <f>Intv_Ann_TO!K1849</f>
        <v>0</v>
      </c>
      <c r="L32" s="5">
        <f>Intv_Ann_TO!L1849</f>
        <v>0</v>
      </c>
      <c r="M32" s="5">
        <f>Intv_Ann_TO!M1849</f>
        <v>0</v>
      </c>
      <c r="N32" s="5">
        <f>Intv_Ann_TO!N1849</f>
        <v>2420</v>
      </c>
      <c r="O32" s="5">
        <f>Intv_Ann_TO!O1849</f>
        <v>2420</v>
      </c>
    </row>
    <row r="33" spans="1:15" s="327" customFormat="1" hidden="1" outlineLevel="1" x14ac:dyDescent="0.2">
      <c r="C33" s="660" t="str">
        <f>Intv_Ann_TO!D1850</f>
        <v>Eastern</v>
      </c>
      <c r="J33" s="5">
        <f>Intv_Ann_TO!J1850</f>
        <v>0</v>
      </c>
      <c r="K33" s="5">
        <f>Intv_Ann_TO!K1850</f>
        <v>0</v>
      </c>
      <c r="L33" s="5">
        <f>Intv_Ann_TO!L1850</f>
        <v>0</v>
      </c>
      <c r="M33" s="5">
        <f>Intv_Ann_TO!M1850</f>
        <v>0</v>
      </c>
      <c r="N33" s="5">
        <f>Intv_Ann_TO!N1850</f>
        <v>0</v>
      </c>
      <c r="O33" s="5">
        <f>Intv_Ann_TO!O1850</f>
        <v>0</v>
      </c>
    </row>
    <row r="34" spans="1:15" s="327" customFormat="1" hidden="1" outlineLevel="1" x14ac:dyDescent="0.2">
      <c r="C34" s="660" t="str">
        <f>Intv_Ann_TO!D1851</f>
        <v>Luapula</v>
      </c>
      <c r="J34" s="5">
        <f>Intv_Ann_TO!J1851</f>
        <v>0</v>
      </c>
      <c r="K34" s="5">
        <f>Intv_Ann_TO!K1851</f>
        <v>0</v>
      </c>
      <c r="L34" s="5">
        <f>Intv_Ann_TO!L1851</f>
        <v>0</v>
      </c>
      <c r="M34" s="5">
        <f>Intv_Ann_TO!M1851</f>
        <v>0</v>
      </c>
      <c r="N34" s="5">
        <f>Intv_Ann_TO!N1851</f>
        <v>0</v>
      </c>
      <c r="O34" s="5">
        <f>Intv_Ann_TO!O1851</f>
        <v>0</v>
      </c>
    </row>
    <row r="35" spans="1:15" s="327" customFormat="1" hidden="1" outlineLevel="1" x14ac:dyDescent="0.2">
      <c r="C35" s="660" t="str">
        <f>Intv_Ann_TO!D1852</f>
        <v>Lusaka</v>
      </c>
      <c r="J35" s="5">
        <f>Intv_Ann_TO!J1852</f>
        <v>2420</v>
      </c>
      <c r="K35" s="5">
        <f>Intv_Ann_TO!K1852</f>
        <v>2420</v>
      </c>
      <c r="L35" s="5">
        <f>Intv_Ann_TO!L1852</f>
        <v>2420</v>
      </c>
      <c r="M35" s="5">
        <f>Intv_Ann_TO!M1852</f>
        <v>2420</v>
      </c>
      <c r="N35" s="5">
        <f>Intv_Ann_TO!N1852</f>
        <v>2420</v>
      </c>
      <c r="O35" s="5">
        <f>Intv_Ann_TO!O1852</f>
        <v>2420</v>
      </c>
    </row>
    <row r="36" spans="1:15" s="327" customFormat="1" hidden="1" outlineLevel="1" x14ac:dyDescent="0.2">
      <c r="C36" s="660" t="str">
        <f>Intv_Ann_TO!D1853</f>
        <v>Muchinga</v>
      </c>
      <c r="J36" s="5">
        <f>Intv_Ann_TO!J1853</f>
        <v>0</v>
      </c>
      <c r="K36" s="5">
        <f>Intv_Ann_TO!K1853</f>
        <v>0</v>
      </c>
      <c r="L36" s="5">
        <f>Intv_Ann_TO!L1853</f>
        <v>0</v>
      </c>
      <c r="M36" s="5">
        <f>Intv_Ann_TO!M1853</f>
        <v>0</v>
      </c>
      <c r="N36" s="5">
        <f>Intv_Ann_TO!N1853</f>
        <v>0</v>
      </c>
      <c r="O36" s="5">
        <f>Intv_Ann_TO!O1853</f>
        <v>0</v>
      </c>
    </row>
    <row r="37" spans="1:15" s="327" customFormat="1" hidden="1" outlineLevel="1" x14ac:dyDescent="0.2">
      <c r="C37" s="660" t="str">
        <f>Intv_Ann_TO!D1854</f>
        <v>Northern</v>
      </c>
      <c r="J37" s="5">
        <f>Intv_Ann_TO!J1854</f>
        <v>0</v>
      </c>
      <c r="K37" s="5">
        <f>Intv_Ann_TO!K1854</f>
        <v>0</v>
      </c>
      <c r="L37" s="5">
        <f>Intv_Ann_TO!L1854</f>
        <v>0</v>
      </c>
      <c r="M37" s="5">
        <f>Intv_Ann_TO!M1854</f>
        <v>0</v>
      </c>
      <c r="N37" s="5">
        <f>Intv_Ann_TO!N1854</f>
        <v>0</v>
      </c>
      <c r="O37" s="5">
        <f>Intv_Ann_TO!O1854</f>
        <v>0</v>
      </c>
    </row>
    <row r="38" spans="1:15" s="327" customFormat="1" hidden="1" outlineLevel="1" x14ac:dyDescent="0.2">
      <c r="C38" s="660" t="str">
        <f>Intv_Ann_TO!D1855</f>
        <v>North-Western</v>
      </c>
      <c r="J38" s="5">
        <f>Intv_Ann_TO!J1855</f>
        <v>0</v>
      </c>
      <c r="K38" s="5">
        <f>Intv_Ann_TO!K1855</f>
        <v>0</v>
      </c>
      <c r="L38" s="5">
        <f>Intv_Ann_TO!L1855</f>
        <v>0</v>
      </c>
      <c r="M38" s="5">
        <f>Intv_Ann_TO!M1855</f>
        <v>0</v>
      </c>
      <c r="N38" s="5">
        <f>Intv_Ann_TO!N1855</f>
        <v>0</v>
      </c>
      <c r="O38" s="5">
        <f>Intv_Ann_TO!O1855</f>
        <v>0</v>
      </c>
    </row>
    <row r="39" spans="1:15" s="327" customFormat="1" hidden="1" outlineLevel="1" x14ac:dyDescent="0.2">
      <c r="C39" s="660" t="str">
        <f>Intv_Ann_TO!D1856</f>
        <v>Southern</v>
      </c>
      <c r="J39" s="5">
        <f>Intv_Ann_TO!J1856</f>
        <v>0</v>
      </c>
      <c r="K39" s="5">
        <f>Intv_Ann_TO!K1856</f>
        <v>0</v>
      </c>
      <c r="L39" s="5">
        <f>Intv_Ann_TO!L1856</f>
        <v>0</v>
      </c>
      <c r="M39" s="5">
        <f>Intv_Ann_TO!M1856</f>
        <v>0</v>
      </c>
      <c r="N39" s="5">
        <f>Intv_Ann_TO!N1856</f>
        <v>2420</v>
      </c>
      <c r="O39" s="5">
        <f>Intv_Ann_TO!O1856</f>
        <v>2420</v>
      </c>
    </row>
    <row r="40" spans="1:15" s="327" customFormat="1" hidden="1" outlineLevel="1" x14ac:dyDescent="0.2">
      <c r="C40" s="660" t="str">
        <f>Intv_Ann_TO!D1857</f>
        <v>Western</v>
      </c>
      <c r="J40" s="5">
        <f>Intv_Ann_TO!J1857</f>
        <v>0</v>
      </c>
      <c r="K40" s="5">
        <f>Intv_Ann_TO!K1857</f>
        <v>0</v>
      </c>
      <c r="L40" s="5">
        <f>Intv_Ann_TO!L1857</f>
        <v>0</v>
      </c>
      <c r="M40" s="5">
        <f>Intv_Ann_TO!M1857</f>
        <v>0</v>
      </c>
      <c r="N40" s="5">
        <f>Intv_Ann_TO!N1857</f>
        <v>0</v>
      </c>
      <c r="O40" s="5">
        <f>Intv_Ann_TO!O1857</f>
        <v>0</v>
      </c>
    </row>
    <row r="41" spans="1:15" s="327" customFormat="1" ht="15.75" collapsed="1" thickBot="1" x14ac:dyDescent="0.25">
      <c r="C41" s="679" t="str">
        <f>"Total "&amp;C30</f>
        <v>Total Maximum Procedures</v>
      </c>
      <c r="J41" s="624">
        <f t="shared" ref="J41:O41" si="5">SUM(J31:J40)</f>
        <v>2420</v>
      </c>
      <c r="K41" s="624">
        <f t="shared" si="5"/>
        <v>2420</v>
      </c>
      <c r="L41" s="624">
        <f t="shared" si="5"/>
        <v>2420</v>
      </c>
      <c r="M41" s="624">
        <f t="shared" si="5"/>
        <v>2420</v>
      </c>
      <c r="N41" s="624">
        <f t="shared" si="5"/>
        <v>7260</v>
      </c>
      <c r="O41" s="624">
        <f t="shared" si="5"/>
        <v>7260</v>
      </c>
    </row>
    <row r="42" spans="1:15" s="327" customFormat="1" ht="13.5" thickTop="1" x14ac:dyDescent="0.2"/>
    <row r="43" spans="1:15" s="327" customFormat="1" ht="15" x14ac:dyDescent="0.2">
      <c r="A43" s="658" t="s">
        <v>1899</v>
      </c>
      <c r="I43" s="649" t="str">
        <f>IF(Intv_Ann_TA!H962,"YES!","NO.")</f>
        <v>YES!</v>
      </c>
    </row>
    <row r="44" spans="1:15" s="327" customFormat="1" x14ac:dyDescent="0.2"/>
    <row r="45" spans="1:15" s="327" customFormat="1" ht="18.75" x14ac:dyDescent="0.2">
      <c r="B45" s="329" t="s">
        <v>1898</v>
      </c>
    </row>
    <row r="46" spans="1:15" s="327" customFormat="1" ht="15.75" x14ac:dyDescent="0.2">
      <c r="C46" s="330" t="s">
        <v>1970</v>
      </c>
    </row>
    <row r="47" spans="1:15" s="327" customFormat="1" hidden="1" outlineLevel="1" x14ac:dyDescent="0.2">
      <c r="C47" s="660" t="str">
        <f>Intv_Ann_TA!D965</f>
        <v>Central</v>
      </c>
      <c r="J47" s="5">
        <f ca="1">Intv_Ann_TA!J965*Intv_BA!$J$1770</f>
        <v>51.802599999999998</v>
      </c>
      <c r="K47" s="5">
        <f ca="1">Intv_Ann_TA!K965*Intv_BA!$J$1770</f>
        <v>51.802599999999998</v>
      </c>
      <c r="L47" s="5">
        <f ca="1">Intv_Ann_TA!L965*Intv_BA!$J$1770</f>
        <v>51.802599999999998</v>
      </c>
      <c r="M47" s="5">
        <f ca="1">Intv_Ann_TA!M965*Intv_BA!$J$1770</f>
        <v>51.802599999999998</v>
      </c>
      <c r="N47" s="5">
        <f ca="1">Intv_Ann_TA!N965*Intv_BA!$J$1770</f>
        <v>51.802599999999998</v>
      </c>
      <c r="O47" s="5">
        <f ca="1">Intv_Ann_TA!O965*Intv_BA!$J$1770</f>
        <v>51.802599999999998</v>
      </c>
    </row>
    <row r="48" spans="1:15" s="327" customFormat="1" hidden="1" outlineLevel="1" x14ac:dyDescent="0.2">
      <c r="C48" s="660" t="str">
        <f>Intv_Ann_TA!D966</f>
        <v>Copperbelt</v>
      </c>
      <c r="J48" s="5">
        <f ca="1">Intv_Ann_TA!J966*Intv_BA!$J$1770</f>
        <v>72.745599999999996</v>
      </c>
      <c r="K48" s="5">
        <f ca="1">Intv_Ann_TA!K966*Intv_BA!$J$1770</f>
        <v>72.745599999999996</v>
      </c>
      <c r="L48" s="5">
        <f ca="1">Intv_Ann_TA!L966*Intv_BA!$J$1770</f>
        <v>72.745599999999996</v>
      </c>
      <c r="M48" s="5">
        <f ca="1">Intv_Ann_TA!M966*Intv_BA!$J$1770</f>
        <v>72.745599999999996</v>
      </c>
      <c r="N48" s="5">
        <f ca="1">Intv_Ann_TA!N966*Intv_BA!$J$1770</f>
        <v>72.745599999999996</v>
      </c>
      <c r="O48" s="5">
        <f ca="1">Intv_Ann_TA!O966*Intv_BA!$J$1770</f>
        <v>72.745599999999996</v>
      </c>
    </row>
    <row r="49" spans="2:15" s="327" customFormat="1" hidden="1" outlineLevel="1" x14ac:dyDescent="0.2">
      <c r="C49" s="660" t="str">
        <f>Intv_Ann_TA!D967</f>
        <v>Eastern</v>
      </c>
      <c r="J49" s="5">
        <f ca="1">Intv_Ann_TA!J967*Intv_BA!$J$1770</f>
        <v>93.688599999999994</v>
      </c>
      <c r="K49" s="5">
        <f ca="1">Intv_Ann_TA!K967*Intv_BA!$J$1770</f>
        <v>93.688599999999994</v>
      </c>
      <c r="L49" s="5">
        <f ca="1">Intv_Ann_TA!L967*Intv_BA!$J$1770</f>
        <v>93.688599999999994</v>
      </c>
      <c r="M49" s="5">
        <f ca="1">Intv_Ann_TA!M967*Intv_BA!$J$1770</f>
        <v>93.688599999999994</v>
      </c>
      <c r="N49" s="5">
        <f ca="1">Intv_Ann_TA!N967*Intv_BA!$J$1770</f>
        <v>93.688599999999994</v>
      </c>
      <c r="O49" s="5">
        <f ca="1">Intv_Ann_TA!O967*Intv_BA!$J$1770</f>
        <v>93.688599999999994</v>
      </c>
    </row>
    <row r="50" spans="2:15" s="327" customFormat="1" hidden="1" outlineLevel="1" x14ac:dyDescent="0.2">
      <c r="C50" s="660" t="str">
        <f>Intv_Ann_TA!D968</f>
        <v>Luapula</v>
      </c>
      <c r="J50" s="5">
        <f ca="1">Intv_Ann_TA!J968*Intv_BA!$J$1770</f>
        <v>72.745599999999996</v>
      </c>
      <c r="K50" s="5">
        <f ca="1">Intv_Ann_TA!K968*Intv_BA!$J$1770</f>
        <v>72.745599999999996</v>
      </c>
      <c r="L50" s="5">
        <f ca="1">Intv_Ann_TA!L968*Intv_BA!$J$1770</f>
        <v>72.745599999999996</v>
      </c>
      <c r="M50" s="5">
        <f ca="1">Intv_Ann_TA!M968*Intv_BA!$J$1770</f>
        <v>72.745599999999996</v>
      </c>
      <c r="N50" s="5">
        <f ca="1">Intv_Ann_TA!N968*Intv_BA!$J$1770</f>
        <v>72.745599999999996</v>
      </c>
      <c r="O50" s="5">
        <f ca="1">Intv_Ann_TA!O968*Intv_BA!$J$1770</f>
        <v>72.745599999999996</v>
      </c>
    </row>
    <row r="51" spans="2:15" s="327" customFormat="1" hidden="1" outlineLevel="1" x14ac:dyDescent="0.2">
      <c r="C51" s="660" t="str">
        <f>Intv_Ann_TA!D969</f>
        <v>Lusaka</v>
      </c>
      <c r="J51" s="5">
        <f ca="1">Intv_Ann_TA!J969*Intv_BA!$J$1770</f>
        <v>261.23259999999999</v>
      </c>
      <c r="K51" s="5">
        <f ca="1">Intv_Ann_TA!K969*Intv_BA!$J$1770</f>
        <v>261.23259999999999</v>
      </c>
      <c r="L51" s="5">
        <f ca="1">Intv_Ann_TA!L969*Intv_BA!$J$1770</f>
        <v>261.23259999999999</v>
      </c>
      <c r="M51" s="5">
        <f ca="1">Intv_Ann_TA!M969*Intv_BA!$J$1770</f>
        <v>261.23259999999999</v>
      </c>
      <c r="N51" s="5">
        <f ca="1">Intv_Ann_TA!N969*Intv_BA!$J$1770</f>
        <v>261.23259999999999</v>
      </c>
      <c r="O51" s="5">
        <f ca="1">Intv_Ann_TA!O969*Intv_BA!$J$1770</f>
        <v>261.23259999999999</v>
      </c>
    </row>
    <row r="52" spans="2:15" s="327" customFormat="1" hidden="1" outlineLevel="1" x14ac:dyDescent="0.2">
      <c r="C52" s="660" t="str">
        <f>Intv_Ann_TA!D970</f>
        <v>Muchinga</v>
      </c>
      <c r="J52" s="5">
        <f ca="1">Intv_Ann_TA!J970*Intv_BA!$J$1770</f>
        <v>4.9582999999999995</v>
      </c>
      <c r="K52" s="5">
        <f ca="1">Intv_Ann_TA!K970*Intv_BA!$J$1770</f>
        <v>4.9582999999999995</v>
      </c>
      <c r="L52" s="5">
        <f ca="1">Intv_Ann_TA!L970*Intv_BA!$J$1770</f>
        <v>4.9582999999999995</v>
      </c>
      <c r="M52" s="5">
        <f ca="1">Intv_Ann_TA!M970*Intv_BA!$J$1770</f>
        <v>4.9582999999999995</v>
      </c>
      <c r="N52" s="5">
        <f ca="1">Intv_Ann_TA!N970*Intv_BA!$J$1770</f>
        <v>4.9582999999999995</v>
      </c>
      <c r="O52" s="5">
        <f ca="1">Intv_Ann_TA!O970*Intv_BA!$J$1770</f>
        <v>4.9582999999999995</v>
      </c>
    </row>
    <row r="53" spans="2:15" s="327" customFormat="1" hidden="1" outlineLevel="1" x14ac:dyDescent="0.2">
      <c r="C53" s="660" t="str">
        <f>Intv_Ann_TA!D971</f>
        <v>Northern</v>
      </c>
      <c r="J53" s="5">
        <f ca="1">Intv_Ann_TA!J971*Intv_BA!$J$1770</f>
        <v>25.901299999999999</v>
      </c>
      <c r="K53" s="5">
        <f ca="1">Intv_Ann_TA!K971*Intv_BA!$J$1770</f>
        <v>25.901299999999999</v>
      </c>
      <c r="L53" s="5">
        <f ca="1">Intv_Ann_TA!L971*Intv_BA!$J$1770</f>
        <v>25.901299999999999</v>
      </c>
      <c r="M53" s="5">
        <f ca="1">Intv_Ann_TA!M971*Intv_BA!$J$1770</f>
        <v>25.901299999999999</v>
      </c>
      <c r="N53" s="5">
        <f ca="1">Intv_Ann_TA!N971*Intv_BA!$J$1770</f>
        <v>25.901299999999999</v>
      </c>
      <c r="O53" s="5">
        <f ca="1">Intv_Ann_TA!O971*Intv_BA!$J$1770</f>
        <v>25.901299999999999</v>
      </c>
    </row>
    <row r="54" spans="2:15" s="327" customFormat="1" hidden="1" outlineLevel="1" x14ac:dyDescent="0.2">
      <c r="C54" s="660" t="str">
        <f>Intv_Ann_TA!D972</f>
        <v>North-Western</v>
      </c>
      <c r="J54" s="5">
        <f ca="1">Intv_Ann_TA!J972*Intv_BA!$J$1770</f>
        <v>30.8596</v>
      </c>
      <c r="K54" s="5">
        <f ca="1">Intv_Ann_TA!K972*Intv_BA!$J$1770</f>
        <v>30.8596</v>
      </c>
      <c r="L54" s="5">
        <f ca="1">Intv_Ann_TA!L972*Intv_BA!$J$1770</f>
        <v>30.8596</v>
      </c>
      <c r="M54" s="5">
        <f ca="1">Intv_Ann_TA!M972*Intv_BA!$J$1770</f>
        <v>30.8596</v>
      </c>
      <c r="N54" s="5">
        <f ca="1">Intv_Ann_TA!N972*Intv_BA!$J$1770</f>
        <v>30.8596</v>
      </c>
      <c r="O54" s="5">
        <f ca="1">Intv_Ann_TA!O972*Intv_BA!$J$1770</f>
        <v>30.8596</v>
      </c>
    </row>
    <row r="55" spans="2:15" s="327" customFormat="1" hidden="1" outlineLevel="1" x14ac:dyDescent="0.2">
      <c r="C55" s="660" t="str">
        <f>Intv_Ann_TA!D973</f>
        <v>Southern</v>
      </c>
      <c r="J55" s="5">
        <f ca="1">Intv_Ann_TA!J973*Intv_BA!$J$1770</f>
        <v>72.745599999999996</v>
      </c>
      <c r="K55" s="5">
        <f ca="1">Intv_Ann_TA!K973*Intv_BA!$J$1770</f>
        <v>72.745599999999996</v>
      </c>
      <c r="L55" s="5">
        <f ca="1">Intv_Ann_TA!L973*Intv_BA!$J$1770</f>
        <v>72.745599999999996</v>
      </c>
      <c r="M55" s="5">
        <f ca="1">Intv_Ann_TA!M973*Intv_BA!$J$1770</f>
        <v>72.745599999999996</v>
      </c>
      <c r="N55" s="5">
        <f ca="1">Intv_Ann_TA!N973*Intv_BA!$J$1770</f>
        <v>72.745599999999996</v>
      </c>
      <c r="O55" s="5">
        <f ca="1">Intv_Ann_TA!O973*Intv_BA!$J$1770</f>
        <v>72.745599999999996</v>
      </c>
    </row>
    <row r="56" spans="2:15" s="327" customFormat="1" hidden="1" outlineLevel="1" x14ac:dyDescent="0.2">
      <c r="C56" s="660" t="str">
        <f>Intv_Ann_TA!D974</f>
        <v>Western</v>
      </c>
      <c r="J56" s="5">
        <f ca="1">Intv_Ann_TA!J974*Intv_BA!$J$1770</f>
        <v>72.745599999999996</v>
      </c>
      <c r="K56" s="5">
        <f ca="1">Intv_Ann_TA!K974*Intv_BA!$J$1770</f>
        <v>72.745599999999996</v>
      </c>
      <c r="L56" s="5">
        <f ca="1">Intv_Ann_TA!L974*Intv_BA!$J$1770</f>
        <v>72.745599999999996</v>
      </c>
      <c r="M56" s="5">
        <f ca="1">Intv_Ann_TA!M974*Intv_BA!$J$1770</f>
        <v>72.745599999999996</v>
      </c>
      <c r="N56" s="5">
        <f ca="1">Intv_Ann_TA!N974*Intv_BA!$J$1770</f>
        <v>72.745599999999996</v>
      </c>
      <c r="O56" s="5">
        <f ca="1">Intv_Ann_TA!O974*Intv_BA!$J$1770</f>
        <v>72.745599999999996</v>
      </c>
    </row>
    <row r="57" spans="2:15" s="327" customFormat="1" ht="15.75" collapsed="1" thickBot="1" x14ac:dyDescent="0.25">
      <c r="C57" s="679" t="str">
        <f>"Total "&amp;C46</f>
        <v>Total Screened Patients Referred for Procedure</v>
      </c>
      <c r="J57" s="624">
        <f t="shared" ref="J57:O57" ca="1" si="6">SUM(J47:J56)</f>
        <v>759.42539999999985</v>
      </c>
      <c r="K57" s="624">
        <f t="shared" ca="1" si="6"/>
        <v>759.42539999999985</v>
      </c>
      <c r="L57" s="624">
        <f t="shared" ca="1" si="6"/>
        <v>759.42539999999985</v>
      </c>
      <c r="M57" s="624">
        <f t="shared" ca="1" si="6"/>
        <v>759.42539999999985</v>
      </c>
      <c r="N57" s="624">
        <f t="shared" ca="1" si="6"/>
        <v>759.42539999999985</v>
      </c>
      <c r="O57" s="624">
        <f t="shared" ca="1" si="6"/>
        <v>759.42539999999985</v>
      </c>
    </row>
    <row r="58" spans="2:15" s="327" customFormat="1" ht="13.5" thickTop="1" x14ac:dyDescent="0.2"/>
    <row r="59" spans="2:15" s="327" customFormat="1" ht="18.75" x14ac:dyDescent="0.2">
      <c r="B59" s="329" t="s">
        <v>1895</v>
      </c>
    </row>
    <row r="60" spans="2:15" s="327" customFormat="1" ht="15.75" x14ac:dyDescent="0.2">
      <c r="C60" s="18" t="str">
        <f>Intv_Ann_TO!D1861</f>
        <v>Population Seeking Service (New)</v>
      </c>
    </row>
    <row r="61" spans="2:15" s="327" customFormat="1" hidden="1" outlineLevel="1" x14ac:dyDescent="0.2">
      <c r="C61" s="660" t="str">
        <f>Intv_Ann_TO!D1862</f>
        <v>Central</v>
      </c>
      <c r="J61" s="5">
        <f ca="1">Intv_Ann_TO!J1862</f>
        <v>16</v>
      </c>
      <c r="K61" s="5">
        <f ca="1">Intv_Ann_TO!K1862</f>
        <v>16</v>
      </c>
      <c r="L61" s="5">
        <f ca="1">Intv_Ann_TO!L1862</f>
        <v>16</v>
      </c>
      <c r="M61" s="5">
        <f ca="1">Intv_Ann_TO!M1862</f>
        <v>16</v>
      </c>
      <c r="N61" s="5">
        <f ca="1">Intv_Ann_TO!N1862</f>
        <v>16</v>
      </c>
      <c r="O61" s="5">
        <f ca="1">Intv_Ann_TO!O1862</f>
        <v>16</v>
      </c>
    </row>
    <row r="62" spans="2:15" s="327" customFormat="1" hidden="1" outlineLevel="1" x14ac:dyDescent="0.2">
      <c r="C62" s="660" t="str">
        <f>Intv_Ann_TO!D1863</f>
        <v>Copperbelt</v>
      </c>
      <c r="J62" s="5">
        <f ca="1">Intv_Ann_TO!J1863</f>
        <v>22</v>
      </c>
      <c r="K62" s="5">
        <f ca="1">Intv_Ann_TO!K1863</f>
        <v>22</v>
      </c>
      <c r="L62" s="5">
        <f ca="1">Intv_Ann_TO!L1863</f>
        <v>22</v>
      </c>
      <c r="M62" s="5">
        <f ca="1">Intv_Ann_TO!M1863</f>
        <v>22</v>
      </c>
      <c r="N62" s="5">
        <f ca="1">Intv_Ann_TO!N1863</f>
        <v>22</v>
      </c>
      <c r="O62" s="5">
        <f ca="1">Intv_Ann_TO!O1863</f>
        <v>22</v>
      </c>
    </row>
    <row r="63" spans="2:15" s="327" customFormat="1" hidden="1" outlineLevel="1" x14ac:dyDescent="0.2">
      <c r="C63" s="660" t="str">
        <f>Intv_Ann_TO!D1864</f>
        <v>Eastern</v>
      </c>
      <c r="J63" s="5">
        <f ca="1">Intv_Ann_TO!J1864</f>
        <v>28</v>
      </c>
      <c r="K63" s="5">
        <f ca="1">Intv_Ann_TO!K1864</f>
        <v>28</v>
      </c>
      <c r="L63" s="5">
        <f ca="1">Intv_Ann_TO!L1864</f>
        <v>28</v>
      </c>
      <c r="M63" s="5">
        <f ca="1">Intv_Ann_TO!M1864</f>
        <v>28</v>
      </c>
      <c r="N63" s="5">
        <f ca="1">Intv_Ann_TO!N1864</f>
        <v>28</v>
      </c>
      <c r="O63" s="5">
        <f ca="1">Intv_Ann_TO!O1864</f>
        <v>28</v>
      </c>
    </row>
    <row r="64" spans="2:15" s="327" customFormat="1" hidden="1" outlineLevel="1" x14ac:dyDescent="0.2">
      <c r="C64" s="660" t="str">
        <f>Intv_Ann_TO!D1865</f>
        <v>Luapula</v>
      </c>
      <c r="J64" s="5">
        <f ca="1">Intv_Ann_TO!J1865</f>
        <v>22</v>
      </c>
      <c r="K64" s="5">
        <f ca="1">Intv_Ann_TO!K1865</f>
        <v>22</v>
      </c>
      <c r="L64" s="5">
        <f ca="1">Intv_Ann_TO!L1865</f>
        <v>22</v>
      </c>
      <c r="M64" s="5">
        <f ca="1">Intv_Ann_TO!M1865</f>
        <v>22</v>
      </c>
      <c r="N64" s="5">
        <f ca="1">Intv_Ann_TO!N1865</f>
        <v>22</v>
      </c>
      <c r="O64" s="5">
        <f ca="1">Intv_Ann_TO!O1865</f>
        <v>22</v>
      </c>
    </row>
    <row r="65" spans="2:15" s="327" customFormat="1" hidden="1" outlineLevel="1" x14ac:dyDescent="0.2">
      <c r="C65" s="660" t="str">
        <f>Intv_Ann_TO!D1866</f>
        <v>Lusaka</v>
      </c>
      <c r="J65" s="5">
        <f ca="1">Intv_Ann_TO!J1866</f>
        <v>78</v>
      </c>
      <c r="K65" s="5">
        <f ca="1">Intv_Ann_TO!K1866</f>
        <v>78</v>
      </c>
      <c r="L65" s="5">
        <f ca="1">Intv_Ann_TO!L1866</f>
        <v>78</v>
      </c>
      <c r="M65" s="5">
        <f ca="1">Intv_Ann_TO!M1866</f>
        <v>78</v>
      </c>
      <c r="N65" s="5">
        <f ca="1">Intv_Ann_TO!N1866</f>
        <v>78</v>
      </c>
      <c r="O65" s="5">
        <f ca="1">Intv_Ann_TO!O1866</f>
        <v>78</v>
      </c>
    </row>
    <row r="66" spans="2:15" s="327" customFormat="1" hidden="1" outlineLevel="1" x14ac:dyDescent="0.2">
      <c r="C66" s="660" t="str">
        <f>Intv_Ann_TO!D1867</f>
        <v>Muchinga</v>
      </c>
      <c r="J66" s="5">
        <f ca="1">Intv_Ann_TO!J1867</f>
        <v>1</v>
      </c>
      <c r="K66" s="5">
        <f ca="1">Intv_Ann_TO!K1867</f>
        <v>1</v>
      </c>
      <c r="L66" s="5">
        <f ca="1">Intv_Ann_TO!L1867</f>
        <v>1</v>
      </c>
      <c r="M66" s="5">
        <f ca="1">Intv_Ann_TO!M1867</f>
        <v>1</v>
      </c>
      <c r="N66" s="5">
        <f ca="1">Intv_Ann_TO!N1867</f>
        <v>1</v>
      </c>
      <c r="O66" s="5">
        <f ca="1">Intv_Ann_TO!O1867</f>
        <v>1</v>
      </c>
    </row>
    <row r="67" spans="2:15" s="327" customFormat="1" hidden="1" outlineLevel="1" x14ac:dyDescent="0.2">
      <c r="C67" s="660" t="str">
        <f>Intv_Ann_TO!D1868</f>
        <v>Northern</v>
      </c>
      <c r="J67" s="5">
        <f ca="1">Intv_Ann_TO!J1868</f>
        <v>8</v>
      </c>
      <c r="K67" s="5">
        <f ca="1">Intv_Ann_TO!K1868</f>
        <v>8</v>
      </c>
      <c r="L67" s="5">
        <f ca="1">Intv_Ann_TO!L1868</f>
        <v>8</v>
      </c>
      <c r="M67" s="5">
        <f ca="1">Intv_Ann_TO!M1868</f>
        <v>8</v>
      </c>
      <c r="N67" s="5">
        <f ca="1">Intv_Ann_TO!N1868</f>
        <v>8</v>
      </c>
      <c r="O67" s="5">
        <f ca="1">Intv_Ann_TO!O1868</f>
        <v>8</v>
      </c>
    </row>
    <row r="68" spans="2:15" s="327" customFormat="1" hidden="1" outlineLevel="1" x14ac:dyDescent="0.2">
      <c r="C68" s="660" t="str">
        <f>Intv_Ann_TO!D1869</f>
        <v>North-Western</v>
      </c>
      <c r="J68" s="5">
        <f ca="1">Intv_Ann_TO!J1869</f>
        <v>9</v>
      </c>
      <c r="K68" s="5">
        <f ca="1">Intv_Ann_TO!K1869</f>
        <v>9</v>
      </c>
      <c r="L68" s="5">
        <f ca="1">Intv_Ann_TO!L1869</f>
        <v>9</v>
      </c>
      <c r="M68" s="5">
        <f ca="1">Intv_Ann_TO!M1869</f>
        <v>9</v>
      </c>
      <c r="N68" s="5">
        <f ca="1">Intv_Ann_TO!N1869</f>
        <v>9</v>
      </c>
      <c r="O68" s="5">
        <f ca="1">Intv_Ann_TO!O1869</f>
        <v>9</v>
      </c>
    </row>
    <row r="69" spans="2:15" s="327" customFormat="1" hidden="1" outlineLevel="1" x14ac:dyDescent="0.2">
      <c r="C69" s="660" t="str">
        <f>Intv_Ann_TO!D1870</f>
        <v>Southern</v>
      </c>
      <c r="J69" s="5">
        <f ca="1">Intv_Ann_TO!J1870</f>
        <v>22</v>
      </c>
      <c r="K69" s="5">
        <f ca="1">Intv_Ann_TO!K1870</f>
        <v>22</v>
      </c>
      <c r="L69" s="5">
        <f ca="1">Intv_Ann_TO!L1870</f>
        <v>22</v>
      </c>
      <c r="M69" s="5">
        <f ca="1">Intv_Ann_TO!M1870</f>
        <v>22</v>
      </c>
      <c r="N69" s="5">
        <f ca="1">Intv_Ann_TO!N1870</f>
        <v>22</v>
      </c>
      <c r="O69" s="5">
        <f ca="1">Intv_Ann_TO!O1870</f>
        <v>22</v>
      </c>
    </row>
    <row r="70" spans="2:15" s="327" customFormat="1" hidden="1" outlineLevel="1" x14ac:dyDescent="0.2">
      <c r="C70" s="660" t="str">
        <f>Intv_Ann_TO!D1871</f>
        <v>Western</v>
      </c>
      <c r="J70" s="5">
        <f ca="1">Intv_Ann_TO!J1871</f>
        <v>22</v>
      </c>
      <c r="K70" s="5">
        <f ca="1">Intv_Ann_TO!K1871</f>
        <v>22</v>
      </c>
      <c r="L70" s="5">
        <f ca="1">Intv_Ann_TO!L1871</f>
        <v>22</v>
      </c>
      <c r="M70" s="5">
        <f ca="1">Intv_Ann_TO!M1871</f>
        <v>22</v>
      </c>
      <c r="N70" s="5">
        <f ca="1">Intv_Ann_TO!N1871</f>
        <v>22</v>
      </c>
      <c r="O70" s="5">
        <f ca="1">Intv_Ann_TO!O1871</f>
        <v>22</v>
      </c>
    </row>
    <row r="71" spans="2:15" s="327" customFormat="1" ht="15.75" collapsed="1" thickBot="1" x14ac:dyDescent="0.25">
      <c r="C71" s="679" t="str">
        <f>"Total "&amp;C60</f>
        <v>Total Population Seeking Service (New)</v>
      </c>
      <c r="J71" s="624">
        <f t="shared" ref="J71:O71" ca="1" si="7">SUM(J61:J70)</f>
        <v>228</v>
      </c>
      <c r="K71" s="624">
        <f t="shared" ca="1" si="7"/>
        <v>228</v>
      </c>
      <c r="L71" s="624">
        <f t="shared" ca="1" si="7"/>
        <v>228</v>
      </c>
      <c r="M71" s="624">
        <f t="shared" ca="1" si="7"/>
        <v>228</v>
      </c>
      <c r="N71" s="624">
        <f t="shared" ca="1" si="7"/>
        <v>228</v>
      </c>
      <c r="O71" s="624">
        <f t="shared" ca="1" si="7"/>
        <v>228</v>
      </c>
    </row>
    <row r="72" spans="2:15" s="327" customFormat="1" ht="13.5" thickTop="1" x14ac:dyDescent="0.2"/>
    <row r="73" spans="2:15" s="327" customFormat="1" ht="15.75" x14ac:dyDescent="0.2">
      <c r="C73" s="330" t="s">
        <v>1893</v>
      </c>
      <c r="J73" s="5">
        <f t="shared" ref="J73:O73" ca="1" si="8">MAX((J71-J41),0)</f>
        <v>0</v>
      </c>
      <c r="K73" s="5">
        <f t="shared" ca="1" si="8"/>
        <v>0</v>
      </c>
      <c r="L73" s="5">
        <f t="shared" ca="1" si="8"/>
        <v>0</v>
      </c>
      <c r="M73" s="5">
        <f t="shared" ca="1" si="8"/>
        <v>0</v>
      </c>
      <c r="N73" s="5">
        <f t="shared" ca="1" si="8"/>
        <v>0</v>
      </c>
      <c r="O73" s="5">
        <f t="shared" ca="1" si="8"/>
        <v>0</v>
      </c>
    </row>
    <row r="74" spans="2:15" s="327" customFormat="1" x14ac:dyDescent="0.2"/>
    <row r="75" spans="2:15" s="327" customFormat="1" ht="18.75" x14ac:dyDescent="0.2">
      <c r="B75" s="329" t="s">
        <v>8</v>
      </c>
    </row>
    <row r="76" spans="2:15" s="327" customFormat="1" ht="15.75" x14ac:dyDescent="0.2">
      <c r="C76" s="330" t="s">
        <v>1901</v>
      </c>
    </row>
    <row r="77" spans="2:15" s="327" customFormat="1" hidden="1" outlineLevel="1" x14ac:dyDescent="0.2">
      <c r="C77" s="660" t="str">
        <f>Intv_Ann_TO!D1902</f>
        <v>Central</v>
      </c>
      <c r="J77" s="5">
        <f ca="1">Intv_Ann_TO!J1902</f>
        <v>16</v>
      </c>
      <c r="K77" s="5">
        <f ca="1">Intv_Ann_TO!K1902</f>
        <v>16</v>
      </c>
      <c r="L77" s="5">
        <f ca="1">Intv_Ann_TO!L1902</f>
        <v>16</v>
      </c>
      <c r="M77" s="5">
        <f ca="1">Intv_Ann_TO!M1902</f>
        <v>16</v>
      </c>
      <c r="N77" s="5">
        <f ca="1">Intv_Ann_TO!N1902</f>
        <v>16</v>
      </c>
      <c r="O77" s="5">
        <f ca="1">Intv_Ann_TO!O1902</f>
        <v>16</v>
      </c>
    </row>
    <row r="78" spans="2:15" s="327" customFormat="1" hidden="1" outlineLevel="1" x14ac:dyDescent="0.2">
      <c r="C78" s="660" t="str">
        <f>Intv_Ann_TO!D1903</f>
        <v>Copperbelt</v>
      </c>
      <c r="J78" s="5">
        <f ca="1">Intv_Ann_TO!J1903</f>
        <v>22</v>
      </c>
      <c r="K78" s="5">
        <f ca="1">Intv_Ann_TO!K1903</f>
        <v>22</v>
      </c>
      <c r="L78" s="5">
        <f ca="1">Intv_Ann_TO!L1903</f>
        <v>22</v>
      </c>
      <c r="M78" s="5">
        <f ca="1">Intv_Ann_TO!M1903</f>
        <v>22</v>
      </c>
      <c r="N78" s="5">
        <f ca="1">Intv_Ann_TO!N1903</f>
        <v>22</v>
      </c>
      <c r="O78" s="5">
        <f ca="1">Intv_Ann_TO!O1903</f>
        <v>22</v>
      </c>
    </row>
    <row r="79" spans="2:15" s="327" customFormat="1" hidden="1" outlineLevel="1" x14ac:dyDescent="0.2">
      <c r="C79" s="660" t="str">
        <f>Intv_Ann_TO!D1904</f>
        <v>Eastern</v>
      </c>
      <c r="J79" s="5">
        <f ca="1">Intv_Ann_TO!J1904</f>
        <v>28</v>
      </c>
      <c r="K79" s="5">
        <f ca="1">Intv_Ann_TO!K1904</f>
        <v>28</v>
      </c>
      <c r="L79" s="5">
        <f ca="1">Intv_Ann_TO!L1904</f>
        <v>28</v>
      </c>
      <c r="M79" s="5">
        <f ca="1">Intv_Ann_TO!M1904</f>
        <v>28</v>
      </c>
      <c r="N79" s="5">
        <f ca="1">Intv_Ann_TO!N1904</f>
        <v>28</v>
      </c>
      <c r="O79" s="5">
        <f ca="1">Intv_Ann_TO!O1904</f>
        <v>28</v>
      </c>
    </row>
    <row r="80" spans="2:15" s="327" customFormat="1" hidden="1" outlineLevel="1" x14ac:dyDescent="0.2">
      <c r="C80" s="660" t="str">
        <f>Intv_Ann_TO!D1905</f>
        <v>Luapula</v>
      </c>
      <c r="J80" s="5">
        <f ca="1">Intv_Ann_TO!J1905</f>
        <v>22</v>
      </c>
      <c r="K80" s="5">
        <f ca="1">Intv_Ann_TO!K1905</f>
        <v>22</v>
      </c>
      <c r="L80" s="5">
        <f ca="1">Intv_Ann_TO!L1905</f>
        <v>22</v>
      </c>
      <c r="M80" s="5">
        <f ca="1">Intv_Ann_TO!M1905</f>
        <v>22</v>
      </c>
      <c r="N80" s="5">
        <f ca="1">Intv_Ann_TO!N1905</f>
        <v>22</v>
      </c>
      <c r="O80" s="5">
        <f ca="1">Intv_Ann_TO!O1905</f>
        <v>22</v>
      </c>
    </row>
    <row r="81" spans="3:15" s="327" customFormat="1" hidden="1" outlineLevel="1" x14ac:dyDescent="0.2">
      <c r="C81" s="660" t="str">
        <f>Intv_Ann_TO!D1906</f>
        <v>Lusaka</v>
      </c>
      <c r="J81" s="5">
        <f ca="1">Intv_Ann_TO!J1906</f>
        <v>78</v>
      </c>
      <c r="K81" s="5">
        <f ca="1">Intv_Ann_TO!K1906</f>
        <v>78</v>
      </c>
      <c r="L81" s="5">
        <f ca="1">Intv_Ann_TO!L1906</f>
        <v>78</v>
      </c>
      <c r="M81" s="5">
        <f ca="1">Intv_Ann_TO!M1906</f>
        <v>78</v>
      </c>
      <c r="N81" s="5">
        <f ca="1">Intv_Ann_TO!N1906</f>
        <v>78</v>
      </c>
      <c r="O81" s="5">
        <f ca="1">Intv_Ann_TO!O1906</f>
        <v>78</v>
      </c>
    </row>
    <row r="82" spans="3:15" s="327" customFormat="1" hidden="1" outlineLevel="1" x14ac:dyDescent="0.2">
      <c r="C82" s="660" t="str">
        <f>Intv_Ann_TO!D1907</f>
        <v>Muchinga</v>
      </c>
      <c r="J82" s="5">
        <f ca="1">Intv_Ann_TO!J1907</f>
        <v>1</v>
      </c>
      <c r="K82" s="5">
        <f ca="1">Intv_Ann_TO!K1907</f>
        <v>1</v>
      </c>
      <c r="L82" s="5">
        <f ca="1">Intv_Ann_TO!L1907</f>
        <v>1</v>
      </c>
      <c r="M82" s="5">
        <f ca="1">Intv_Ann_TO!M1907</f>
        <v>1</v>
      </c>
      <c r="N82" s="5">
        <f ca="1">Intv_Ann_TO!N1907</f>
        <v>1</v>
      </c>
      <c r="O82" s="5">
        <f ca="1">Intv_Ann_TO!O1907</f>
        <v>1</v>
      </c>
    </row>
    <row r="83" spans="3:15" s="327" customFormat="1" hidden="1" outlineLevel="1" x14ac:dyDescent="0.2">
      <c r="C83" s="660" t="str">
        <f>Intv_Ann_TO!D1908</f>
        <v>Northern</v>
      </c>
      <c r="J83" s="5">
        <f ca="1">Intv_Ann_TO!J1908</f>
        <v>8</v>
      </c>
      <c r="K83" s="5">
        <f ca="1">Intv_Ann_TO!K1908</f>
        <v>8</v>
      </c>
      <c r="L83" s="5">
        <f ca="1">Intv_Ann_TO!L1908</f>
        <v>8</v>
      </c>
      <c r="M83" s="5">
        <f ca="1">Intv_Ann_TO!M1908</f>
        <v>8</v>
      </c>
      <c r="N83" s="5">
        <f ca="1">Intv_Ann_TO!N1908</f>
        <v>8</v>
      </c>
      <c r="O83" s="5">
        <f ca="1">Intv_Ann_TO!O1908</f>
        <v>8</v>
      </c>
    </row>
    <row r="84" spans="3:15" s="327" customFormat="1" hidden="1" outlineLevel="1" x14ac:dyDescent="0.2">
      <c r="C84" s="660" t="str">
        <f>Intv_Ann_TO!D1909</f>
        <v>North-Western</v>
      </c>
      <c r="J84" s="5">
        <f ca="1">Intv_Ann_TO!J1909</f>
        <v>9</v>
      </c>
      <c r="K84" s="5">
        <f ca="1">Intv_Ann_TO!K1909</f>
        <v>9</v>
      </c>
      <c r="L84" s="5">
        <f ca="1">Intv_Ann_TO!L1909</f>
        <v>9</v>
      </c>
      <c r="M84" s="5">
        <f ca="1">Intv_Ann_TO!M1909</f>
        <v>9</v>
      </c>
      <c r="N84" s="5">
        <f ca="1">Intv_Ann_TO!N1909</f>
        <v>9</v>
      </c>
      <c r="O84" s="5">
        <f ca="1">Intv_Ann_TO!O1909</f>
        <v>9</v>
      </c>
    </row>
    <row r="85" spans="3:15" s="327" customFormat="1" hidden="1" outlineLevel="1" x14ac:dyDescent="0.2">
      <c r="C85" s="660" t="str">
        <f>Intv_Ann_TO!D1910</f>
        <v>Southern</v>
      </c>
      <c r="J85" s="5">
        <f ca="1">Intv_Ann_TO!J1910</f>
        <v>22</v>
      </c>
      <c r="K85" s="5">
        <f ca="1">Intv_Ann_TO!K1910</f>
        <v>22</v>
      </c>
      <c r="L85" s="5">
        <f ca="1">Intv_Ann_TO!L1910</f>
        <v>22</v>
      </c>
      <c r="M85" s="5">
        <f ca="1">Intv_Ann_TO!M1910</f>
        <v>22</v>
      </c>
      <c r="N85" s="5">
        <f ca="1">Intv_Ann_TO!N1910</f>
        <v>22</v>
      </c>
      <c r="O85" s="5">
        <f ca="1">Intv_Ann_TO!O1910</f>
        <v>22</v>
      </c>
    </row>
    <row r="86" spans="3:15" s="327" customFormat="1" hidden="1" outlineLevel="1" x14ac:dyDescent="0.2">
      <c r="C86" s="660" t="str">
        <f>Intv_Ann_TO!D1911</f>
        <v>Western</v>
      </c>
      <c r="J86" s="5">
        <f ca="1">Intv_Ann_TO!J1911</f>
        <v>22</v>
      </c>
      <c r="K86" s="5">
        <f ca="1">Intv_Ann_TO!K1911</f>
        <v>22</v>
      </c>
      <c r="L86" s="5">
        <f ca="1">Intv_Ann_TO!L1911</f>
        <v>22</v>
      </c>
      <c r="M86" s="5">
        <f ca="1">Intv_Ann_TO!M1911</f>
        <v>22</v>
      </c>
      <c r="N86" s="5">
        <f ca="1">Intv_Ann_TO!N1911</f>
        <v>22</v>
      </c>
      <c r="O86" s="5">
        <f ca="1">Intv_Ann_TO!O1911</f>
        <v>22</v>
      </c>
    </row>
    <row r="87" spans="3:15" s="327" customFormat="1" ht="15.75" collapsed="1" thickBot="1" x14ac:dyDescent="0.25">
      <c r="C87" s="646" t="str">
        <f>C76</f>
        <v>Total Procedures Provided (by Patient's Home Province)</v>
      </c>
      <c r="J87" s="624">
        <f t="shared" ref="J87:O87" ca="1" si="9">SUM(J77:J86)</f>
        <v>228</v>
      </c>
      <c r="K87" s="624">
        <f t="shared" ca="1" si="9"/>
        <v>228</v>
      </c>
      <c r="L87" s="624">
        <f t="shared" ca="1" si="9"/>
        <v>228</v>
      </c>
      <c r="M87" s="624">
        <f t="shared" ca="1" si="9"/>
        <v>228</v>
      </c>
      <c r="N87" s="624">
        <f t="shared" ca="1" si="9"/>
        <v>228</v>
      </c>
      <c r="O87" s="624">
        <f t="shared" ca="1" si="9"/>
        <v>228</v>
      </c>
    </row>
    <row r="88" spans="3:15" s="327" customFormat="1" ht="13.5" thickTop="1" x14ac:dyDescent="0.2"/>
    <row r="89" spans="3:15" s="327" customFormat="1" ht="15.75" x14ac:dyDescent="0.2">
      <c r="C89" s="330" t="s">
        <v>1902</v>
      </c>
    </row>
    <row r="90" spans="3:15" s="327" customFormat="1" hidden="1" outlineLevel="1" x14ac:dyDescent="0.2">
      <c r="C90" s="660" t="str">
        <f>Intv_Ann_TO!D1915</f>
        <v>Central</v>
      </c>
      <c r="J90" s="5">
        <f ca="1">Intv_Ann_TO!J1915</f>
        <v>0</v>
      </c>
      <c r="K90" s="5">
        <f ca="1">Intv_Ann_TO!K1915</f>
        <v>0</v>
      </c>
      <c r="L90" s="5">
        <f ca="1">Intv_Ann_TO!L1915</f>
        <v>0</v>
      </c>
      <c r="M90" s="5">
        <f ca="1">Intv_Ann_TO!M1915</f>
        <v>0</v>
      </c>
      <c r="N90" s="5">
        <f ca="1">Intv_Ann_TO!N1915</f>
        <v>0</v>
      </c>
      <c r="O90" s="5">
        <f ca="1">Intv_Ann_TO!O1915</f>
        <v>0</v>
      </c>
    </row>
    <row r="91" spans="3:15" s="327" customFormat="1" hidden="1" outlineLevel="1" x14ac:dyDescent="0.2">
      <c r="C91" s="660" t="str">
        <f>Intv_Ann_TO!D1916</f>
        <v>Copperbelt</v>
      </c>
      <c r="J91" s="5">
        <f ca="1">Intv_Ann_TO!J1916</f>
        <v>0</v>
      </c>
      <c r="K91" s="5">
        <f ca="1">Intv_Ann_TO!K1916</f>
        <v>0</v>
      </c>
      <c r="L91" s="5">
        <f ca="1">Intv_Ann_TO!L1916</f>
        <v>0</v>
      </c>
      <c r="M91" s="5">
        <f ca="1">Intv_Ann_TO!M1916</f>
        <v>0</v>
      </c>
      <c r="N91" s="5">
        <f ca="1">Intv_Ann_TO!N1916</f>
        <v>58</v>
      </c>
      <c r="O91" s="5">
        <f ca="1">Intv_Ann_TO!O1916</f>
        <v>58</v>
      </c>
    </row>
    <row r="92" spans="3:15" s="327" customFormat="1" hidden="1" outlineLevel="1" x14ac:dyDescent="0.2">
      <c r="C92" s="660" t="str">
        <f>Intv_Ann_TO!D1917</f>
        <v>Eastern</v>
      </c>
      <c r="J92" s="5">
        <f ca="1">Intv_Ann_TO!J1917</f>
        <v>0</v>
      </c>
      <c r="K92" s="5">
        <f ca="1">Intv_Ann_TO!K1917</f>
        <v>0</v>
      </c>
      <c r="L92" s="5">
        <f ca="1">Intv_Ann_TO!L1917</f>
        <v>0</v>
      </c>
      <c r="M92" s="5">
        <f ca="1">Intv_Ann_TO!M1917</f>
        <v>0</v>
      </c>
      <c r="N92" s="5">
        <f ca="1">Intv_Ann_TO!N1917</f>
        <v>0</v>
      </c>
      <c r="O92" s="5">
        <f ca="1">Intv_Ann_TO!O1917</f>
        <v>0</v>
      </c>
    </row>
    <row r="93" spans="3:15" s="327" customFormat="1" hidden="1" outlineLevel="1" x14ac:dyDescent="0.2">
      <c r="C93" s="660" t="str">
        <f>Intv_Ann_TO!D1918</f>
        <v>Luapula</v>
      </c>
      <c r="J93" s="5">
        <f ca="1">Intv_Ann_TO!J1918</f>
        <v>0</v>
      </c>
      <c r="K93" s="5">
        <f ca="1">Intv_Ann_TO!K1918</f>
        <v>0</v>
      </c>
      <c r="L93" s="5">
        <f ca="1">Intv_Ann_TO!L1918</f>
        <v>0</v>
      </c>
      <c r="M93" s="5">
        <f ca="1">Intv_Ann_TO!M1918</f>
        <v>0</v>
      </c>
      <c r="N93" s="5">
        <f ca="1">Intv_Ann_TO!N1918</f>
        <v>0</v>
      </c>
      <c r="O93" s="5">
        <f ca="1">Intv_Ann_TO!O1918</f>
        <v>0</v>
      </c>
    </row>
    <row r="94" spans="3:15" s="327" customFormat="1" hidden="1" outlineLevel="1" x14ac:dyDescent="0.2">
      <c r="C94" s="660" t="str">
        <f>Intv_Ann_TO!D1919</f>
        <v>Lusaka</v>
      </c>
      <c r="J94" s="5">
        <f ca="1">Intv_Ann_TO!J1919</f>
        <v>228</v>
      </c>
      <c r="K94" s="5">
        <f ca="1">Intv_Ann_TO!K1919</f>
        <v>228</v>
      </c>
      <c r="L94" s="5">
        <f ca="1">Intv_Ann_TO!L1919</f>
        <v>228</v>
      </c>
      <c r="M94" s="5">
        <f ca="1">Intv_Ann_TO!M1919</f>
        <v>228</v>
      </c>
      <c r="N94" s="5">
        <f ca="1">Intv_Ann_TO!N1919</f>
        <v>113</v>
      </c>
      <c r="O94" s="5">
        <f ca="1">Intv_Ann_TO!O1919</f>
        <v>113</v>
      </c>
    </row>
    <row r="95" spans="3:15" s="327" customFormat="1" hidden="1" outlineLevel="1" x14ac:dyDescent="0.2">
      <c r="C95" s="660" t="str">
        <f>Intv_Ann_TO!D1920</f>
        <v>Muchinga</v>
      </c>
      <c r="J95" s="5">
        <f ca="1">Intv_Ann_TO!J1920</f>
        <v>0</v>
      </c>
      <c r="K95" s="5">
        <f ca="1">Intv_Ann_TO!K1920</f>
        <v>0</v>
      </c>
      <c r="L95" s="5">
        <f ca="1">Intv_Ann_TO!L1920</f>
        <v>0</v>
      </c>
      <c r="M95" s="5">
        <f ca="1">Intv_Ann_TO!M1920</f>
        <v>0</v>
      </c>
      <c r="N95" s="5">
        <f ca="1">Intv_Ann_TO!N1920</f>
        <v>0</v>
      </c>
      <c r="O95" s="5">
        <f ca="1">Intv_Ann_TO!O1920</f>
        <v>0</v>
      </c>
    </row>
    <row r="96" spans="3:15" s="327" customFormat="1" hidden="1" outlineLevel="1" x14ac:dyDescent="0.2">
      <c r="C96" s="660" t="str">
        <f>Intv_Ann_TO!D1921</f>
        <v>Northern</v>
      </c>
      <c r="J96" s="5">
        <f ca="1">Intv_Ann_TO!J1921</f>
        <v>0</v>
      </c>
      <c r="K96" s="5">
        <f ca="1">Intv_Ann_TO!K1921</f>
        <v>0</v>
      </c>
      <c r="L96" s="5">
        <f ca="1">Intv_Ann_TO!L1921</f>
        <v>0</v>
      </c>
      <c r="M96" s="5">
        <f ca="1">Intv_Ann_TO!M1921</f>
        <v>0</v>
      </c>
      <c r="N96" s="5">
        <f ca="1">Intv_Ann_TO!N1921</f>
        <v>0</v>
      </c>
      <c r="O96" s="5">
        <f ca="1">Intv_Ann_TO!O1921</f>
        <v>0</v>
      </c>
    </row>
    <row r="97" spans="3:15" s="327" customFormat="1" hidden="1" outlineLevel="1" x14ac:dyDescent="0.2">
      <c r="C97" s="660" t="str">
        <f>Intv_Ann_TO!D1922</f>
        <v>North-Western</v>
      </c>
      <c r="J97" s="5">
        <f ca="1">Intv_Ann_TO!J1922</f>
        <v>0</v>
      </c>
      <c r="K97" s="5">
        <f ca="1">Intv_Ann_TO!K1922</f>
        <v>0</v>
      </c>
      <c r="L97" s="5">
        <f ca="1">Intv_Ann_TO!L1922</f>
        <v>0</v>
      </c>
      <c r="M97" s="5">
        <f ca="1">Intv_Ann_TO!M1922</f>
        <v>0</v>
      </c>
      <c r="N97" s="5">
        <f ca="1">Intv_Ann_TO!N1922</f>
        <v>0</v>
      </c>
      <c r="O97" s="5">
        <f ca="1">Intv_Ann_TO!O1922</f>
        <v>0</v>
      </c>
    </row>
    <row r="98" spans="3:15" s="327" customFormat="1" hidden="1" outlineLevel="1" x14ac:dyDescent="0.2">
      <c r="C98" s="660" t="str">
        <f>Intv_Ann_TO!D1923</f>
        <v>Southern</v>
      </c>
      <c r="J98" s="5">
        <f ca="1">Intv_Ann_TO!J1923</f>
        <v>0</v>
      </c>
      <c r="K98" s="5">
        <f ca="1">Intv_Ann_TO!K1923</f>
        <v>0</v>
      </c>
      <c r="L98" s="5">
        <f ca="1">Intv_Ann_TO!L1923</f>
        <v>0</v>
      </c>
      <c r="M98" s="5">
        <f ca="1">Intv_Ann_TO!M1923</f>
        <v>0</v>
      </c>
      <c r="N98" s="5">
        <f ca="1">Intv_Ann_TO!N1923</f>
        <v>58</v>
      </c>
      <c r="O98" s="5">
        <f ca="1">Intv_Ann_TO!O1923</f>
        <v>58</v>
      </c>
    </row>
    <row r="99" spans="3:15" s="327" customFormat="1" hidden="1" outlineLevel="1" x14ac:dyDescent="0.2">
      <c r="C99" s="660" t="str">
        <f>Intv_Ann_TO!D1924</f>
        <v>Western</v>
      </c>
      <c r="J99" s="5">
        <f ca="1">Intv_Ann_TO!J1924</f>
        <v>0</v>
      </c>
      <c r="K99" s="5">
        <f ca="1">Intv_Ann_TO!K1924</f>
        <v>0</v>
      </c>
      <c r="L99" s="5">
        <f ca="1">Intv_Ann_TO!L1924</f>
        <v>0</v>
      </c>
      <c r="M99" s="5">
        <f ca="1">Intv_Ann_TO!M1924</f>
        <v>0</v>
      </c>
      <c r="N99" s="5">
        <f ca="1">Intv_Ann_TO!N1924</f>
        <v>0</v>
      </c>
      <c r="O99" s="5">
        <f ca="1">Intv_Ann_TO!O1924</f>
        <v>0</v>
      </c>
    </row>
    <row r="100" spans="3:15" s="327" customFormat="1" ht="15.75" collapsed="1" thickBot="1" x14ac:dyDescent="0.25">
      <c r="C100" s="646" t="str">
        <f>C89</f>
        <v>Total Procedures Supplied (by Province Providing)</v>
      </c>
      <c r="J100" s="624">
        <f t="shared" ref="J100:O100" ca="1" si="10">SUM(J90:J99)</f>
        <v>228</v>
      </c>
      <c r="K100" s="624">
        <f t="shared" ca="1" si="10"/>
        <v>228</v>
      </c>
      <c r="L100" s="624">
        <f t="shared" ca="1" si="10"/>
        <v>228</v>
      </c>
      <c r="M100" s="624">
        <f t="shared" ca="1" si="10"/>
        <v>228</v>
      </c>
      <c r="N100" s="624">
        <f t="shared" ca="1" si="10"/>
        <v>229</v>
      </c>
      <c r="O100" s="624">
        <f t="shared" ca="1" si="10"/>
        <v>229</v>
      </c>
    </row>
    <row r="101" spans="3:15" s="327" customFormat="1" ht="13.5" thickTop="1" x14ac:dyDescent="0.2"/>
    <row r="102" spans="3:15" s="327" customFormat="1" x14ac:dyDescent="0.2"/>
    <row r="103" spans="3:15" s="327" customFormat="1" x14ac:dyDescent="0.2">
      <c r="C103" s="716" t="str">
        <f>"Go to "&amp;HL_Intv_4_Ass</f>
        <v>Go to Radiotherapy</v>
      </c>
      <c r="D103" s="716"/>
      <c r="E103" s="716"/>
      <c r="F103" s="716"/>
      <c r="G103" s="716"/>
      <c r="H103" s="716"/>
      <c r="I103" s="716"/>
    </row>
    <row r="104" spans="3:15" s="327" customFormat="1" x14ac:dyDescent="0.2">
      <c r="C104" s="716" t="str">
        <f>"Go to "&amp;HL_Intv_4_Ann_Ass</f>
        <v>Go to Intervention Services - Annual Assumptions</v>
      </c>
      <c r="D104" s="716"/>
      <c r="E104" s="716"/>
      <c r="F104" s="716"/>
      <c r="G104" s="716"/>
      <c r="H104" s="716"/>
      <c r="I104" s="716"/>
    </row>
    <row r="105" spans="3:15" s="327" customFormat="1" x14ac:dyDescent="0.2">
      <c r="C105" s="716" t="str">
        <f>"Go to "&amp;HL_Intv_4_Out</f>
        <v>Go to Radiotherapy</v>
      </c>
      <c r="D105" s="716"/>
      <c r="E105" s="716"/>
      <c r="F105" s="716"/>
      <c r="G105" s="716"/>
      <c r="H105" s="716"/>
      <c r="I105" s="716"/>
    </row>
    <row r="106" spans="3:15" s="327" customFormat="1" x14ac:dyDescent="0.2">
      <c r="C106" s="716" t="str">
        <f>"Go to "&amp;HL_Intv_4_Out_Sum_A</f>
        <v>Go to Radiotherapy Expected Costs (USD)</v>
      </c>
      <c r="D106" s="716"/>
      <c r="E106" s="716"/>
      <c r="F106" s="716"/>
      <c r="G106" s="716"/>
      <c r="H106" s="716"/>
      <c r="I106" s="716"/>
    </row>
  </sheetData>
  <sheetProtection password="F0F4" sheet="1" scenarios="1"/>
  <mergeCells count="5">
    <mergeCell ref="C105:I105"/>
    <mergeCell ref="C106:I106"/>
    <mergeCell ref="B3:F3"/>
    <mergeCell ref="C103:I103"/>
    <mergeCell ref="C104:I104"/>
  </mergeCells>
  <hyperlinks>
    <hyperlink ref="C103:I103" location="HL_Intv_4_Ass" tooltip="Click to follow hyperlink." display="HL_Intv_4_Ass"/>
    <hyperlink ref="C104:I104" location="HL_Intv_4_Ann_Ass" tooltip="Click to follow hyperlink." display="HL_Intv_4_Ann_Ass"/>
    <hyperlink ref="C105:I105" location="HL_Intv_4_Out" tooltip="Click to follow hyperlink." display="HL_Intv_4_Out"/>
    <hyperlink ref="C106:I106" location="HL_Intv_4_Out_Sum_A" tooltip="Click to follow hyperlink." display="HL_Intv_4_Out_Sum_A"/>
    <hyperlink ref="A4" location="$A$10" tooltip="Go to Top of Sheet" display="$A$10"/>
    <hyperlink ref="B4" location="HL_Sheet_Main_88" tooltip="Go to Previous Sheet" display="HL_Sheet_Main_88"/>
    <hyperlink ref="C4" location="HL_Sheet_Main_89" tooltip="Go to Next Sheet" display="HL_Sheet_Main_89"/>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44"/>
  <sheetViews>
    <sheetView showGridLines="0" zoomScaleNormal="100" workbookViewId="0">
      <pane ySplit="9" topLeftCell="A10" activePane="bottomLeft" state="frozen"/>
      <selection pane="bottomLeft" activeCell="F4" sqref="F4"/>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1961</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hidden="1" outlineLevel="2" x14ac:dyDescent="0.2">
      <c r="B6" s="636" t="s">
        <v>70</v>
      </c>
      <c r="C6" s="327"/>
      <c r="D6" s="327"/>
      <c r="E6" s="327"/>
      <c r="F6" s="327"/>
      <c r="G6" s="327"/>
      <c r="H6" s="327"/>
      <c r="I6" s="327"/>
      <c r="J6" s="4">
        <f t="shared" ref="J6:O6" si="1">EDATE(TS_Start_Date,(J8-1)*TS_Mths_In_Yr)</f>
        <v>42005</v>
      </c>
      <c r="K6" s="4">
        <f t="shared" si="1"/>
        <v>42370</v>
      </c>
      <c r="L6" s="4">
        <f t="shared" si="1"/>
        <v>42736</v>
      </c>
      <c r="M6" s="4">
        <f t="shared" si="1"/>
        <v>43101</v>
      </c>
      <c r="N6" s="4">
        <f t="shared" si="1"/>
        <v>43466</v>
      </c>
      <c r="O6" s="4">
        <f t="shared" si="1"/>
        <v>43831</v>
      </c>
    </row>
    <row r="7" spans="1:15" hidden="1" outlineLevel="2" x14ac:dyDescent="0.2">
      <c r="B7" s="636" t="s">
        <v>71</v>
      </c>
      <c r="C7" s="327"/>
      <c r="D7" s="327"/>
      <c r="E7" s="327"/>
      <c r="F7" s="327"/>
      <c r="G7" s="327"/>
      <c r="H7" s="327"/>
      <c r="I7" s="327"/>
      <c r="J7" s="4">
        <f t="shared" ref="J7:O7" si="2">EDATE(J6,TS_Mths_In_Yr)-1</f>
        <v>42369</v>
      </c>
      <c r="K7" s="4">
        <f t="shared" si="2"/>
        <v>42735</v>
      </c>
      <c r="L7" s="4">
        <f t="shared" si="2"/>
        <v>43100</v>
      </c>
      <c r="M7" s="4">
        <f t="shared" si="2"/>
        <v>43465</v>
      </c>
      <c r="N7" s="4">
        <f t="shared" si="2"/>
        <v>43830</v>
      </c>
      <c r="O7" s="4">
        <f t="shared" si="2"/>
        <v>44196</v>
      </c>
    </row>
    <row r="8" spans="1:15" hidden="1" outlineLevel="2" x14ac:dyDescent="0.2">
      <c r="B8" s="636" t="s">
        <v>72</v>
      </c>
      <c r="C8" s="327"/>
      <c r="D8" s="327"/>
      <c r="E8" s="327"/>
      <c r="F8" s="327"/>
      <c r="G8" s="327"/>
      <c r="H8" s="327"/>
      <c r="I8" s="327"/>
      <c r="J8" s="5">
        <f>COLUMNS($J8:J8)</f>
        <v>1</v>
      </c>
      <c r="K8" s="5">
        <f>COLUMNS($J8:K8)</f>
        <v>2</v>
      </c>
      <c r="L8" s="5">
        <f>COLUMNS($J8:L8)</f>
        <v>3</v>
      </c>
      <c r="M8" s="5">
        <f>COLUMNS($J8:M8)</f>
        <v>4</v>
      </c>
      <c r="N8" s="5">
        <f>COLUMNS($J8:N8)</f>
        <v>5</v>
      </c>
      <c r="O8" s="5">
        <f>COLUMNS($J8:O8)</f>
        <v>6</v>
      </c>
    </row>
    <row r="9" spans="1:15"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648" t="str">
        <f>HL_Intv_4_Out&amp;" Expected Costs ("&amp;INDEX(LU_Intv_4_Denom,DD_TS_Denom)&amp;")"</f>
        <v>Radiotherapy Expected Costs (USD)</v>
      </c>
    </row>
    <row r="13" spans="1:15" s="322" customFormat="1" x14ac:dyDescent="0.2"/>
    <row r="14" spans="1:15" s="322" customFormat="1" ht="15.75" x14ac:dyDescent="0.2">
      <c r="C14" s="330" t="s">
        <v>1931</v>
      </c>
    </row>
    <row r="15" spans="1:15" s="322" customFormat="1" ht="15" x14ac:dyDescent="0.2">
      <c r="D15" s="638" t="s">
        <v>1928</v>
      </c>
    </row>
    <row r="16" spans="1:15" s="322" customFormat="1" outlineLevel="1" x14ac:dyDescent="0.2">
      <c r="D16" s="640" t="str">
        <f>Intv_Ann_TO!D1943</f>
        <v>Central</v>
      </c>
      <c r="J16" s="5">
        <f ca="1">Intv_Ann_TO!J1943+Intv_Ann_TO!J1956</f>
        <v>0</v>
      </c>
      <c r="K16" s="5">
        <f ca="1">Intv_Ann_TO!K1943+Intv_Ann_TO!K1956</f>
        <v>0</v>
      </c>
      <c r="L16" s="5">
        <f ca="1">Intv_Ann_TO!L1943+Intv_Ann_TO!L1956</f>
        <v>0</v>
      </c>
      <c r="M16" s="5">
        <f ca="1">Intv_Ann_TO!M1943+Intv_Ann_TO!M1956</f>
        <v>0</v>
      </c>
      <c r="N16" s="5">
        <f ca="1">Intv_Ann_TO!N1943+Intv_Ann_TO!N1956</f>
        <v>0</v>
      </c>
      <c r="O16" s="5">
        <f ca="1">Intv_Ann_TO!O1943+Intv_Ann_TO!O1956</f>
        <v>0</v>
      </c>
    </row>
    <row r="17" spans="4:15" s="322" customFormat="1" outlineLevel="1" x14ac:dyDescent="0.2">
      <c r="D17" s="640" t="str">
        <f>Intv_Ann_TO!D1944</f>
        <v>Copperbelt</v>
      </c>
      <c r="J17" s="5">
        <f ca="1">Intv_Ann_TO!J1944+Intv_Ann_TO!J1957</f>
        <v>0</v>
      </c>
      <c r="K17" s="5">
        <f ca="1">Intv_Ann_TO!K1944+Intv_Ann_TO!K1957</f>
        <v>0</v>
      </c>
      <c r="L17" s="5">
        <f ca="1">Intv_Ann_TO!L1944+Intv_Ann_TO!L1957</f>
        <v>0</v>
      </c>
      <c r="M17" s="5">
        <f ca="1">Intv_Ann_TO!M1944+Intv_Ann_TO!M1957</f>
        <v>0</v>
      </c>
      <c r="N17" s="5">
        <f ca="1">Intv_Ann_TO!N1944+Intv_Ann_TO!N1957</f>
        <v>13343.111734388591</v>
      </c>
      <c r="O17" s="5">
        <f ca="1">Intv_Ann_TO!O1944+Intv_Ann_TO!O1957</f>
        <v>13343.111734388591</v>
      </c>
    </row>
    <row r="18" spans="4:15" s="322" customFormat="1" outlineLevel="1" x14ac:dyDescent="0.2">
      <c r="D18" s="640" t="str">
        <f>Intv_Ann_TO!D1945</f>
        <v>Eastern</v>
      </c>
      <c r="J18" s="5">
        <f ca="1">Intv_Ann_TO!J1945+Intv_Ann_TO!J1958</f>
        <v>0</v>
      </c>
      <c r="K18" s="5">
        <f ca="1">Intv_Ann_TO!K1945+Intv_Ann_TO!K1958</f>
        <v>0</v>
      </c>
      <c r="L18" s="5">
        <f ca="1">Intv_Ann_TO!L1945+Intv_Ann_TO!L1958</f>
        <v>0</v>
      </c>
      <c r="M18" s="5">
        <f ca="1">Intv_Ann_TO!M1945+Intv_Ann_TO!M1958</f>
        <v>0</v>
      </c>
      <c r="N18" s="5">
        <f ca="1">Intv_Ann_TO!N1945+Intv_Ann_TO!N1958</f>
        <v>0</v>
      </c>
      <c r="O18" s="5">
        <f ca="1">Intv_Ann_TO!O1945+Intv_Ann_TO!O1958</f>
        <v>0</v>
      </c>
    </row>
    <row r="19" spans="4:15" s="322" customFormat="1" outlineLevel="1" x14ac:dyDescent="0.2">
      <c r="D19" s="640" t="str">
        <f>Intv_Ann_TO!D1946</f>
        <v>Luapula</v>
      </c>
      <c r="J19" s="5">
        <f ca="1">Intv_Ann_TO!J1946+Intv_Ann_TO!J1959</f>
        <v>0</v>
      </c>
      <c r="K19" s="5">
        <f ca="1">Intv_Ann_TO!K1946+Intv_Ann_TO!K1959</f>
        <v>0</v>
      </c>
      <c r="L19" s="5">
        <f ca="1">Intv_Ann_TO!L1946+Intv_Ann_TO!L1959</f>
        <v>0</v>
      </c>
      <c r="M19" s="5">
        <f ca="1">Intv_Ann_TO!M1946+Intv_Ann_TO!M1959</f>
        <v>0</v>
      </c>
      <c r="N19" s="5">
        <f ca="1">Intv_Ann_TO!N1946+Intv_Ann_TO!N1959</f>
        <v>0</v>
      </c>
      <c r="O19" s="5">
        <f ca="1">Intv_Ann_TO!O1946+Intv_Ann_TO!O1959</f>
        <v>0</v>
      </c>
    </row>
    <row r="20" spans="4:15" s="322" customFormat="1" outlineLevel="1" x14ac:dyDescent="0.2">
      <c r="D20" s="640" t="str">
        <f>Intv_Ann_TO!D1947</f>
        <v>Lusaka</v>
      </c>
      <c r="J20" s="5">
        <f ca="1">Intv_Ann_TO!J1947+Intv_Ann_TO!J1960</f>
        <v>52452.232335182736</v>
      </c>
      <c r="K20" s="5">
        <f ca="1">Intv_Ann_TO!K1947+Intv_Ann_TO!K1960</f>
        <v>52452.232335182736</v>
      </c>
      <c r="L20" s="5">
        <f ca="1">Intv_Ann_TO!L1947+Intv_Ann_TO!L1960</f>
        <v>52452.232335182736</v>
      </c>
      <c r="M20" s="5">
        <f ca="1">Intv_Ann_TO!M1947+Intv_Ann_TO!M1960</f>
        <v>52452.232335182736</v>
      </c>
      <c r="N20" s="5">
        <f ca="1">Intv_Ann_TO!N1947+Intv_Ann_TO!N1960</f>
        <v>25996.06251699846</v>
      </c>
      <c r="O20" s="5">
        <f ca="1">Intv_Ann_TO!O1947+Intv_Ann_TO!O1960</f>
        <v>25996.06251699846</v>
      </c>
    </row>
    <row r="21" spans="4:15" s="322" customFormat="1" outlineLevel="1" x14ac:dyDescent="0.2">
      <c r="D21" s="640" t="str">
        <f>Intv_Ann_TO!D1948</f>
        <v>Muchinga</v>
      </c>
      <c r="J21" s="5">
        <f ca="1">Intv_Ann_TO!J1948+Intv_Ann_TO!J1961</f>
        <v>0</v>
      </c>
      <c r="K21" s="5">
        <f ca="1">Intv_Ann_TO!K1948+Intv_Ann_TO!K1961</f>
        <v>0</v>
      </c>
      <c r="L21" s="5">
        <f ca="1">Intv_Ann_TO!L1948+Intv_Ann_TO!L1961</f>
        <v>0</v>
      </c>
      <c r="M21" s="5">
        <f ca="1">Intv_Ann_TO!M1948+Intv_Ann_TO!M1961</f>
        <v>0</v>
      </c>
      <c r="N21" s="5">
        <f ca="1">Intv_Ann_TO!N1948+Intv_Ann_TO!N1961</f>
        <v>0</v>
      </c>
      <c r="O21" s="5">
        <f ca="1">Intv_Ann_TO!O1948+Intv_Ann_TO!O1961</f>
        <v>0</v>
      </c>
    </row>
    <row r="22" spans="4:15" s="322" customFormat="1" outlineLevel="1" x14ac:dyDescent="0.2">
      <c r="D22" s="640" t="str">
        <f>Intv_Ann_TO!D1949</f>
        <v>Northern</v>
      </c>
      <c r="J22" s="5">
        <f ca="1">Intv_Ann_TO!J1949+Intv_Ann_TO!J1962</f>
        <v>0</v>
      </c>
      <c r="K22" s="5">
        <f ca="1">Intv_Ann_TO!K1949+Intv_Ann_TO!K1962</f>
        <v>0</v>
      </c>
      <c r="L22" s="5">
        <f ca="1">Intv_Ann_TO!L1949+Intv_Ann_TO!L1962</f>
        <v>0</v>
      </c>
      <c r="M22" s="5">
        <f ca="1">Intv_Ann_TO!M1949+Intv_Ann_TO!M1962</f>
        <v>0</v>
      </c>
      <c r="N22" s="5">
        <f ca="1">Intv_Ann_TO!N1949+Intv_Ann_TO!N1962</f>
        <v>0</v>
      </c>
      <c r="O22" s="5">
        <f ca="1">Intv_Ann_TO!O1949+Intv_Ann_TO!O1962</f>
        <v>0</v>
      </c>
    </row>
    <row r="23" spans="4:15" s="322" customFormat="1" outlineLevel="1" x14ac:dyDescent="0.2">
      <c r="D23" s="640" t="str">
        <f>Intv_Ann_TO!D1950</f>
        <v>North-Western</v>
      </c>
      <c r="J23" s="5">
        <f ca="1">Intv_Ann_TO!J1950+Intv_Ann_TO!J1963</f>
        <v>0</v>
      </c>
      <c r="K23" s="5">
        <f ca="1">Intv_Ann_TO!K1950+Intv_Ann_TO!K1963</f>
        <v>0</v>
      </c>
      <c r="L23" s="5">
        <f ca="1">Intv_Ann_TO!L1950+Intv_Ann_TO!L1963</f>
        <v>0</v>
      </c>
      <c r="M23" s="5">
        <f ca="1">Intv_Ann_TO!M1950+Intv_Ann_TO!M1963</f>
        <v>0</v>
      </c>
      <c r="N23" s="5">
        <f ca="1">Intv_Ann_TO!N1950+Intv_Ann_TO!N1963</f>
        <v>0</v>
      </c>
      <c r="O23" s="5">
        <f ca="1">Intv_Ann_TO!O1950+Intv_Ann_TO!O1963</f>
        <v>0</v>
      </c>
    </row>
    <row r="24" spans="4:15" s="322" customFormat="1" outlineLevel="1" x14ac:dyDescent="0.2">
      <c r="D24" s="640" t="str">
        <f>Intv_Ann_TO!D1951</f>
        <v>Southern</v>
      </c>
      <c r="J24" s="5">
        <f ca="1">Intv_Ann_TO!J1951+Intv_Ann_TO!J1964</f>
        <v>0</v>
      </c>
      <c r="K24" s="5">
        <f ca="1">Intv_Ann_TO!K1951+Intv_Ann_TO!K1964</f>
        <v>0</v>
      </c>
      <c r="L24" s="5">
        <f ca="1">Intv_Ann_TO!L1951+Intv_Ann_TO!L1964</f>
        <v>0</v>
      </c>
      <c r="M24" s="5">
        <f ca="1">Intv_Ann_TO!M1951+Intv_Ann_TO!M1964</f>
        <v>0</v>
      </c>
      <c r="N24" s="5">
        <f ca="1">Intv_Ann_TO!N1951+Intv_Ann_TO!N1964</f>
        <v>13343.111734388591</v>
      </c>
      <c r="O24" s="5">
        <f ca="1">Intv_Ann_TO!O1951+Intv_Ann_TO!O1964</f>
        <v>13343.111734388591</v>
      </c>
    </row>
    <row r="25" spans="4:15" s="322" customFormat="1" outlineLevel="1" x14ac:dyDescent="0.2">
      <c r="D25" s="640" t="str">
        <f>Intv_Ann_TO!D1952</f>
        <v>Western</v>
      </c>
      <c r="J25" s="5">
        <f ca="1">Intv_Ann_TO!J1952+Intv_Ann_TO!J1965</f>
        <v>0</v>
      </c>
      <c r="K25" s="5">
        <f ca="1">Intv_Ann_TO!K1952+Intv_Ann_TO!K1965</f>
        <v>0</v>
      </c>
      <c r="L25" s="5">
        <f ca="1">Intv_Ann_TO!L1952+Intv_Ann_TO!L1965</f>
        <v>0</v>
      </c>
      <c r="M25" s="5">
        <f ca="1">Intv_Ann_TO!M1952+Intv_Ann_TO!M1965</f>
        <v>0</v>
      </c>
      <c r="N25" s="5">
        <f ca="1">Intv_Ann_TO!N1952+Intv_Ann_TO!N1965</f>
        <v>0</v>
      </c>
      <c r="O25" s="5">
        <f ca="1">Intv_Ann_TO!O1952+Intv_Ann_TO!O1965</f>
        <v>0</v>
      </c>
    </row>
    <row r="26" spans="4:15" s="322" customFormat="1" ht="15" x14ac:dyDescent="0.2">
      <c r="D26" s="642" t="str">
        <f>"Total "&amp;D15</f>
        <v>Total Personnel Costs</v>
      </c>
      <c r="J26" s="562">
        <f t="shared" ref="J26:O26" ca="1" si="4">SUM(J16:J25)</f>
        <v>52452.232335182736</v>
      </c>
      <c r="K26" s="562">
        <f t="shared" ca="1" si="4"/>
        <v>52452.232335182736</v>
      </c>
      <c r="L26" s="562">
        <f t="shared" ca="1" si="4"/>
        <v>52452.232335182736</v>
      </c>
      <c r="M26" s="562">
        <f t="shared" ca="1" si="4"/>
        <v>52452.232335182736</v>
      </c>
      <c r="N26" s="562">
        <f t="shared" ca="1" si="4"/>
        <v>52682.285985775641</v>
      </c>
      <c r="O26" s="562">
        <f t="shared" ca="1" si="4"/>
        <v>52682.285985775641</v>
      </c>
    </row>
    <row r="27" spans="4:15" s="322" customFormat="1" x14ac:dyDescent="0.2"/>
    <row r="28" spans="4:15" s="322" customFormat="1" ht="15" x14ac:dyDescent="0.2">
      <c r="D28" s="638" t="s">
        <v>105</v>
      </c>
    </row>
    <row r="29" spans="4:15" s="322" customFormat="1" outlineLevel="1" x14ac:dyDescent="0.2">
      <c r="D29" s="640" t="str">
        <f>Intv_Ann_TO!D1930</f>
        <v>Central</v>
      </c>
      <c r="J29" s="5">
        <f ca="1">Intv_Ann_TO!J1930</f>
        <v>0</v>
      </c>
      <c r="K29" s="5">
        <f ca="1">Intv_Ann_TO!K1930</f>
        <v>0</v>
      </c>
      <c r="L29" s="5">
        <f ca="1">Intv_Ann_TO!L1930</f>
        <v>0</v>
      </c>
      <c r="M29" s="5">
        <f ca="1">Intv_Ann_TO!M1930</f>
        <v>0</v>
      </c>
      <c r="N29" s="5">
        <f ca="1">Intv_Ann_TO!N1930</f>
        <v>0</v>
      </c>
      <c r="O29" s="5">
        <f ca="1">Intv_Ann_TO!O1930</f>
        <v>0</v>
      </c>
    </row>
    <row r="30" spans="4:15" s="322" customFormat="1" outlineLevel="1" x14ac:dyDescent="0.2">
      <c r="D30" s="640" t="str">
        <f>Intv_Ann_TO!D1931</f>
        <v>Copperbelt</v>
      </c>
      <c r="J30" s="5">
        <f ca="1">Intv_Ann_TO!J1931</f>
        <v>0</v>
      </c>
      <c r="K30" s="5">
        <f ca="1">Intv_Ann_TO!K1931</f>
        <v>0</v>
      </c>
      <c r="L30" s="5">
        <f ca="1">Intv_Ann_TO!L1931</f>
        <v>0</v>
      </c>
      <c r="M30" s="5">
        <f ca="1">Intv_Ann_TO!M1931</f>
        <v>0</v>
      </c>
      <c r="N30" s="5">
        <f ca="1">Intv_Ann_TO!N1931</f>
        <v>882.7402800000001</v>
      </c>
      <c r="O30" s="5">
        <f ca="1">Intv_Ann_TO!O1931</f>
        <v>882.7402800000001</v>
      </c>
    </row>
    <row r="31" spans="4:15" s="322" customFormat="1" outlineLevel="1" x14ac:dyDescent="0.2">
      <c r="D31" s="640" t="str">
        <f>Intv_Ann_TO!D1932</f>
        <v>Eastern</v>
      </c>
      <c r="J31" s="5">
        <f ca="1">Intv_Ann_TO!J1932</f>
        <v>0</v>
      </c>
      <c r="K31" s="5">
        <f ca="1">Intv_Ann_TO!K1932</f>
        <v>0</v>
      </c>
      <c r="L31" s="5">
        <f ca="1">Intv_Ann_TO!L1932</f>
        <v>0</v>
      </c>
      <c r="M31" s="5">
        <f ca="1">Intv_Ann_TO!M1932</f>
        <v>0</v>
      </c>
      <c r="N31" s="5">
        <f ca="1">Intv_Ann_TO!N1932</f>
        <v>0</v>
      </c>
      <c r="O31" s="5">
        <f ca="1">Intv_Ann_TO!O1932</f>
        <v>0</v>
      </c>
    </row>
    <row r="32" spans="4:15" s="322" customFormat="1" outlineLevel="1" x14ac:dyDescent="0.2">
      <c r="D32" s="640" t="str">
        <f>Intv_Ann_TO!D1933</f>
        <v>Luapula</v>
      </c>
      <c r="J32" s="5">
        <f ca="1">Intv_Ann_TO!J1933</f>
        <v>0</v>
      </c>
      <c r="K32" s="5">
        <f ca="1">Intv_Ann_TO!K1933</f>
        <v>0</v>
      </c>
      <c r="L32" s="5">
        <f ca="1">Intv_Ann_TO!L1933</f>
        <v>0</v>
      </c>
      <c r="M32" s="5">
        <f ca="1">Intv_Ann_TO!M1933</f>
        <v>0</v>
      </c>
      <c r="N32" s="5">
        <f ca="1">Intv_Ann_TO!N1933</f>
        <v>0</v>
      </c>
      <c r="O32" s="5">
        <f ca="1">Intv_Ann_TO!O1933</f>
        <v>0</v>
      </c>
    </row>
    <row r="33" spans="4:15" s="322" customFormat="1" outlineLevel="1" x14ac:dyDescent="0.2">
      <c r="D33" s="640" t="str">
        <f>Intv_Ann_TO!D1934</f>
        <v>Lusaka</v>
      </c>
      <c r="J33" s="5">
        <f ca="1">Intv_Ann_TO!J1934</f>
        <v>3470.08248</v>
      </c>
      <c r="K33" s="5">
        <f ca="1">Intv_Ann_TO!K1934</f>
        <v>3470.08248</v>
      </c>
      <c r="L33" s="5">
        <f ca="1">Intv_Ann_TO!L1934</f>
        <v>3470.08248</v>
      </c>
      <c r="M33" s="5">
        <f ca="1">Intv_Ann_TO!M1934</f>
        <v>3470.08248</v>
      </c>
      <c r="N33" s="5">
        <f ca="1">Intv_Ann_TO!N1934</f>
        <v>1719.82158</v>
      </c>
      <c r="O33" s="5">
        <f ca="1">Intv_Ann_TO!O1934</f>
        <v>1719.82158</v>
      </c>
    </row>
    <row r="34" spans="4:15" s="322" customFormat="1" outlineLevel="1" x14ac:dyDescent="0.2">
      <c r="D34" s="640" t="str">
        <f>Intv_Ann_TO!D1935</f>
        <v>Muchinga</v>
      </c>
      <c r="J34" s="5">
        <f ca="1">Intv_Ann_TO!J1935</f>
        <v>0</v>
      </c>
      <c r="K34" s="5">
        <f ca="1">Intv_Ann_TO!K1935</f>
        <v>0</v>
      </c>
      <c r="L34" s="5">
        <f ca="1">Intv_Ann_TO!L1935</f>
        <v>0</v>
      </c>
      <c r="M34" s="5">
        <f ca="1">Intv_Ann_TO!M1935</f>
        <v>0</v>
      </c>
      <c r="N34" s="5">
        <f ca="1">Intv_Ann_TO!N1935</f>
        <v>0</v>
      </c>
      <c r="O34" s="5">
        <f ca="1">Intv_Ann_TO!O1935</f>
        <v>0</v>
      </c>
    </row>
    <row r="35" spans="4:15" s="322" customFormat="1" outlineLevel="1" x14ac:dyDescent="0.2">
      <c r="D35" s="640" t="str">
        <f>Intv_Ann_TO!D1936</f>
        <v>Northern</v>
      </c>
      <c r="J35" s="5">
        <f ca="1">Intv_Ann_TO!J1936</f>
        <v>0</v>
      </c>
      <c r="K35" s="5">
        <f ca="1">Intv_Ann_TO!K1936</f>
        <v>0</v>
      </c>
      <c r="L35" s="5">
        <f ca="1">Intv_Ann_TO!L1936</f>
        <v>0</v>
      </c>
      <c r="M35" s="5">
        <f ca="1">Intv_Ann_TO!M1936</f>
        <v>0</v>
      </c>
      <c r="N35" s="5">
        <f ca="1">Intv_Ann_TO!N1936</f>
        <v>0</v>
      </c>
      <c r="O35" s="5">
        <f ca="1">Intv_Ann_TO!O1936</f>
        <v>0</v>
      </c>
    </row>
    <row r="36" spans="4:15" s="322" customFormat="1" outlineLevel="1" x14ac:dyDescent="0.2">
      <c r="D36" s="640" t="str">
        <f>Intv_Ann_TO!D1937</f>
        <v>North-Western</v>
      </c>
      <c r="J36" s="5">
        <f ca="1">Intv_Ann_TO!J1937</f>
        <v>0</v>
      </c>
      <c r="K36" s="5">
        <f ca="1">Intv_Ann_TO!K1937</f>
        <v>0</v>
      </c>
      <c r="L36" s="5">
        <f ca="1">Intv_Ann_TO!L1937</f>
        <v>0</v>
      </c>
      <c r="M36" s="5">
        <f ca="1">Intv_Ann_TO!M1937</f>
        <v>0</v>
      </c>
      <c r="N36" s="5">
        <f ca="1">Intv_Ann_TO!N1937</f>
        <v>0</v>
      </c>
      <c r="O36" s="5">
        <f ca="1">Intv_Ann_TO!O1937</f>
        <v>0</v>
      </c>
    </row>
    <row r="37" spans="4:15" s="322" customFormat="1" outlineLevel="1" x14ac:dyDescent="0.2">
      <c r="D37" s="640" t="str">
        <f>Intv_Ann_TO!D1938</f>
        <v>Southern</v>
      </c>
      <c r="J37" s="5">
        <f ca="1">Intv_Ann_TO!J1938</f>
        <v>0</v>
      </c>
      <c r="K37" s="5">
        <f ca="1">Intv_Ann_TO!K1938</f>
        <v>0</v>
      </c>
      <c r="L37" s="5">
        <f ca="1">Intv_Ann_TO!L1938</f>
        <v>0</v>
      </c>
      <c r="M37" s="5">
        <f ca="1">Intv_Ann_TO!M1938</f>
        <v>0</v>
      </c>
      <c r="N37" s="5">
        <f ca="1">Intv_Ann_TO!N1938</f>
        <v>882.7402800000001</v>
      </c>
      <c r="O37" s="5">
        <f ca="1">Intv_Ann_TO!O1938</f>
        <v>882.7402800000001</v>
      </c>
    </row>
    <row r="38" spans="4:15" s="322" customFormat="1" outlineLevel="1" x14ac:dyDescent="0.2">
      <c r="D38" s="640" t="str">
        <f>Intv_Ann_TO!D1939</f>
        <v>Western</v>
      </c>
      <c r="J38" s="5">
        <f ca="1">Intv_Ann_TO!J1939</f>
        <v>0</v>
      </c>
      <c r="K38" s="5">
        <f ca="1">Intv_Ann_TO!K1939</f>
        <v>0</v>
      </c>
      <c r="L38" s="5">
        <f ca="1">Intv_Ann_TO!L1939</f>
        <v>0</v>
      </c>
      <c r="M38" s="5">
        <f ca="1">Intv_Ann_TO!M1939</f>
        <v>0</v>
      </c>
      <c r="N38" s="5">
        <f ca="1">Intv_Ann_TO!N1939</f>
        <v>0</v>
      </c>
      <c r="O38" s="5">
        <f ca="1">Intv_Ann_TO!O1939</f>
        <v>0</v>
      </c>
    </row>
    <row r="39" spans="4:15" s="322" customFormat="1" ht="15" x14ac:dyDescent="0.2">
      <c r="D39" s="642" t="str">
        <f>"Total "&amp;D28</f>
        <v>Total Supply Costs</v>
      </c>
      <c r="J39" s="562">
        <f t="shared" ref="J39:O39" ca="1" si="5">SUM(J29:J38)</f>
        <v>3470.08248</v>
      </c>
      <c r="K39" s="562">
        <f t="shared" ca="1" si="5"/>
        <v>3470.08248</v>
      </c>
      <c r="L39" s="562">
        <f t="shared" ca="1" si="5"/>
        <v>3470.08248</v>
      </c>
      <c r="M39" s="562">
        <f t="shared" ca="1" si="5"/>
        <v>3470.08248</v>
      </c>
      <c r="N39" s="562">
        <f t="shared" ca="1" si="5"/>
        <v>3485.3021400000002</v>
      </c>
      <c r="O39" s="562">
        <f t="shared" ca="1" si="5"/>
        <v>3485.3021400000002</v>
      </c>
    </row>
    <row r="40" spans="4:15" s="322" customFormat="1" x14ac:dyDescent="0.2"/>
    <row r="41" spans="4:15" s="322" customFormat="1" ht="15" x14ac:dyDescent="0.2">
      <c r="D41" s="638" t="s">
        <v>1969</v>
      </c>
    </row>
    <row r="42" spans="4:15" s="322" customFormat="1" outlineLevel="1" x14ac:dyDescent="0.2">
      <c r="D42" s="640" t="str">
        <f>Intv_Ann_TO!D1969</f>
        <v>Central</v>
      </c>
      <c r="J42" s="5">
        <f ca="1">Intv_Ann_TO!J1969</f>
        <v>0</v>
      </c>
      <c r="K42" s="5">
        <f ca="1">Intv_Ann_TO!K1969</f>
        <v>0</v>
      </c>
      <c r="L42" s="5">
        <f ca="1">Intv_Ann_TO!L1969</f>
        <v>0</v>
      </c>
      <c r="M42" s="5">
        <f ca="1">Intv_Ann_TO!M1969</f>
        <v>0</v>
      </c>
      <c r="N42" s="5">
        <f ca="1">Intv_Ann_TO!N1969</f>
        <v>0</v>
      </c>
      <c r="O42" s="5">
        <f ca="1">Intv_Ann_TO!O1969</f>
        <v>0</v>
      </c>
    </row>
    <row r="43" spans="4:15" s="322" customFormat="1" outlineLevel="1" x14ac:dyDescent="0.2">
      <c r="D43" s="640" t="str">
        <f>Intv_Ann_TO!D1970</f>
        <v>Copperbelt</v>
      </c>
      <c r="J43" s="5">
        <f ca="1">Intv_Ann_TO!J1970</f>
        <v>0</v>
      </c>
      <c r="K43" s="5">
        <f ca="1">Intv_Ann_TO!K1970</f>
        <v>0</v>
      </c>
      <c r="L43" s="5">
        <f ca="1">Intv_Ann_TO!L1970</f>
        <v>0</v>
      </c>
      <c r="M43" s="5">
        <f ca="1">Intv_Ann_TO!M1970</f>
        <v>0</v>
      </c>
      <c r="N43" s="5">
        <f ca="1">Intv_Ann_TO!N1970</f>
        <v>314.36</v>
      </c>
      <c r="O43" s="5">
        <f ca="1">Intv_Ann_TO!O1970</f>
        <v>314.36</v>
      </c>
    </row>
    <row r="44" spans="4:15" s="322" customFormat="1" outlineLevel="1" x14ac:dyDescent="0.2">
      <c r="D44" s="640" t="str">
        <f>Intv_Ann_TO!D1971</f>
        <v>Eastern</v>
      </c>
      <c r="J44" s="5">
        <f ca="1">Intv_Ann_TO!J1971</f>
        <v>0</v>
      </c>
      <c r="K44" s="5">
        <f ca="1">Intv_Ann_TO!K1971</f>
        <v>0</v>
      </c>
      <c r="L44" s="5">
        <f ca="1">Intv_Ann_TO!L1971</f>
        <v>0</v>
      </c>
      <c r="M44" s="5">
        <f ca="1">Intv_Ann_TO!M1971</f>
        <v>0</v>
      </c>
      <c r="N44" s="5">
        <f ca="1">Intv_Ann_TO!N1971</f>
        <v>0</v>
      </c>
      <c r="O44" s="5">
        <f ca="1">Intv_Ann_TO!O1971</f>
        <v>0</v>
      </c>
    </row>
    <row r="45" spans="4:15" s="322" customFormat="1" outlineLevel="1" x14ac:dyDescent="0.2">
      <c r="D45" s="640" t="str">
        <f>Intv_Ann_TO!D1972</f>
        <v>Luapula</v>
      </c>
      <c r="J45" s="5">
        <f ca="1">Intv_Ann_TO!J1972</f>
        <v>0</v>
      </c>
      <c r="K45" s="5">
        <f ca="1">Intv_Ann_TO!K1972</f>
        <v>0</v>
      </c>
      <c r="L45" s="5">
        <f ca="1">Intv_Ann_TO!L1972</f>
        <v>0</v>
      </c>
      <c r="M45" s="5">
        <f ca="1">Intv_Ann_TO!M1972</f>
        <v>0</v>
      </c>
      <c r="N45" s="5">
        <f ca="1">Intv_Ann_TO!N1972</f>
        <v>0</v>
      </c>
      <c r="O45" s="5">
        <f ca="1">Intv_Ann_TO!O1972</f>
        <v>0</v>
      </c>
    </row>
    <row r="46" spans="4:15" s="322" customFormat="1" outlineLevel="1" x14ac:dyDescent="0.2">
      <c r="D46" s="640" t="str">
        <f>Intv_Ann_TO!D1973</f>
        <v>Lusaka</v>
      </c>
      <c r="J46" s="5">
        <f ca="1">Intv_Ann_TO!J1973</f>
        <v>1235.76</v>
      </c>
      <c r="K46" s="5">
        <f ca="1">Intv_Ann_TO!K1973</f>
        <v>1235.76</v>
      </c>
      <c r="L46" s="5">
        <f ca="1">Intv_Ann_TO!L1973</f>
        <v>1235.76</v>
      </c>
      <c r="M46" s="5">
        <f ca="1">Intv_Ann_TO!M1973</f>
        <v>1235.76</v>
      </c>
      <c r="N46" s="5">
        <f ca="1">Intv_Ann_TO!N1973</f>
        <v>612.46</v>
      </c>
      <c r="O46" s="5">
        <f ca="1">Intv_Ann_TO!O1973</f>
        <v>612.46</v>
      </c>
    </row>
    <row r="47" spans="4:15" s="322" customFormat="1" outlineLevel="1" x14ac:dyDescent="0.2">
      <c r="D47" s="640" t="str">
        <f>Intv_Ann_TO!D1974</f>
        <v>Muchinga</v>
      </c>
      <c r="J47" s="5">
        <f ca="1">Intv_Ann_TO!J1974</f>
        <v>0</v>
      </c>
      <c r="K47" s="5">
        <f ca="1">Intv_Ann_TO!K1974</f>
        <v>0</v>
      </c>
      <c r="L47" s="5">
        <f ca="1">Intv_Ann_TO!L1974</f>
        <v>0</v>
      </c>
      <c r="M47" s="5">
        <f ca="1">Intv_Ann_TO!M1974</f>
        <v>0</v>
      </c>
      <c r="N47" s="5">
        <f ca="1">Intv_Ann_TO!N1974</f>
        <v>0</v>
      </c>
      <c r="O47" s="5">
        <f ca="1">Intv_Ann_TO!O1974</f>
        <v>0</v>
      </c>
    </row>
    <row r="48" spans="4:15" s="322" customFormat="1" outlineLevel="1" x14ac:dyDescent="0.2">
      <c r="D48" s="640" t="str">
        <f>Intv_Ann_TO!D1975</f>
        <v>Northern</v>
      </c>
      <c r="J48" s="5">
        <f ca="1">Intv_Ann_TO!J1975</f>
        <v>0</v>
      </c>
      <c r="K48" s="5">
        <f ca="1">Intv_Ann_TO!K1975</f>
        <v>0</v>
      </c>
      <c r="L48" s="5">
        <f ca="1">Intv_Ann_TO!L1975</f>
        <v>0</v>
      </c>
      <c r="M48" s="5">
        <f ca="1">Intv_Ann_TO!M1975</f>
        <v>0</v>
      </c>
      <c r="N48" s="5">
        <f ca="1">Intv_Ann_TO!N1975</f>
        <v>0</v>
      </c>
      <c r="O48" s="5">
        <f ca="1">Intv_Ann_TO!O1975</f>
        <v>0</v>
      </c>
    </row>
    <row r="49" spans="4:15" s="322" customFormat="1" outlineLevel="1" x14ac:dyDescent="0.2">
      <c r="D49" s="640" t="str">
        <f>Intv_Ann_TO!D1976</f>
        <v>North-Western</v>
      </c>
      <c r="J49" s="5">
        <f ca="1">Intv_Ann_TO!J1976</f>
        <v>0</v>
      </c>
      <c r="K49" s="5">
        <f ca="1">Intv_Ann_TO!K1976</f>
        <v>0</v>
      </c>
      <c r="L49" s="5">
        <f ca="1">Intv_Ann_TO!L1976</f>
        <v>0</v>
      </c>
      <c r="M49" s="5">
        <f ca="1">Intv_Ann_TO!M1976</f>
        <v>0</v>
      </c>
      <c r="N49" s="5">
        <f ca="1">Intv_Ann_TO!N1976</f>
        <v>0</v>
      </c>
      <c r="O49" s="5">
        <f ca="1">Intv_Ann_TO!O1976</f>
        <v>0</v>
      </c>
    </row>
    <row r="50" spans="4:15" s="322" customFormat="1" outlineLevel="1" x14ac:dyDescent="0.2">
      <c r="D50" s="640" t="str">
        <f>Intv_Ann_TO!D1977</f>
        <v>Southern</v>
      </c>
      <c r="J50" s="5">
        <f ca="1">Intv_Ann_TO!J1977</f>
        <v>0</v>
      </c>
      <c r="K50" s="5">
        <f ca="1">Intv_Ann_TO!K1977</f>
        <v>0</v>
      </c>
      <c r="L50" s="5">
        <f ca="1">Intv_Ann_TO!L1977</f>
        <v>0</v>
      </c>
      <c r="M50" s="5">
        <f ca="1">Intv_Ann_TO!M1977</f>
        <v>0</v>
      </c>
      <c r="N50" s="5">
        <f ca="1">Intv_Ann_TO!N1977</f>
        <v>314.36</v>
      </c>
      <c r="O50" s="5">
        <f ca="1">Intv_Ann_TO!O1977</f>
        <v>314.36</v>
      </c>
    </row>
    <row r="51" spans="4:15" s="322" customFormat="1" outlineLevel="1" x14ac:dyDescent="0.2">
      <c r="D51" s="640" t="str">
        <f>Intv_Ann_TO!D1978</f>
        <v>Western</v>
      </c>
      <c r="J51" s="5">
        <f ca="1">Intv_Ann_TO!J1978</f>
        <v>0</v>
      </c>
      <c r="K51" s="5">
        <f ca="1">Intv_Ann_TO!K1978</f>
        <v>0</v>
      </c>
      <c r="L51" s="5">
        <f ca="1">Intv_Ann_TO!L1978</f>
        <v>0</v>
      </c>
      <c r="M51" s="5">
        <f ca="1">Intv_Ann_TO!M1978</f>
        <v>0</v>
      </c>
      <c r="N51" s="5">
        <f ca="1">Intv_Ann_TO!N1978</f>
        <v>0</v>
      </c>
      <c r="O51" s="5">
        <f ca="1">Intv_Ann_TO!O1978</f>
        <v>0</v>
      </c>
    </row>
    <row r="52" spans="4:15" s="322" customFormat="1" ht="15" x14ac:dyDescent="0.2">
      <c r="D52" s="642" t="str">
        <f>"Total "&amp;D41</f>
        <v>Total Lab Tests and Other Direct Costs (ODC)</v>
      </c>
      <c r="J52" s="562">
        <f t="shared" ref="J52:O52" ca="1" si="6">SUM(J42:J51)</f>
        <v>1235.76</v>
      </c>
      <c r="K52" s="562">
        <f t="shared" ca="1" si="6"/>
        <v>1235.76</v>
      </c>
      <c r="L52" s="562">
        <f t="shared" ca="1" si="6"/>
        <v>1235.76</v>
      </c>
      <c r="M52" s="562">
        <f t="shared" ca="1" si="6"/>
        <v>1235.76</v>
      </c>
      <c r="N52" s="562">
        <f t="shared" ca="1" si="6"/>
        <v>1241.18</v>
      </c>
      <c r="O52" s="562">
        <f t="shared" ca="1" si="6"/>
        <v>1241.18</v>
      </c>
    </row>
    <row r="53" spans="4:15" s="322" customFormat="1" x14ac:dyDescent="0.2"/>
    <row r="54" spans="4:15" s="322" customFormat="1" ht="15" x14ac:dyDescent="0.2">
      <c r="D54" s="638" t="s">
        <v>1939</v>
      </c>
    </row>
    <row r="55" spans="4:15" s="322" customFormat="1" outlineLevel="1" x14ac:dyDescent="0.2">
      <c r="D55" s="640" t="str">
        <f>Intv_Ann_TO!D1930</f>
        <v>Central</v>
      </c>
      <c r="J55" s="5">
        <f t="shared" ref="J55:O64" ca="1" si="7">J29+J42</f>
        <v>0</v>
      </c>
      <c r="K55" s="5">
        <f t="shared" ca="1" si="7"/>
        <v>0</v>
      </c>
      <c r="L55" s="5">
        <f t="shared" ca="1" si="7"/>
        <v>0</v>
      </c>
      <c r="M55" s="5">
        <f t="shared" ca="1" si="7"/>
        <v>0</v>
      </c>
      <c r="N55" s="5">
        <f t="shared" ca="1" si="7"/>
        <v>0</v>
      </c>
      <c r="O55" s="5">
        <f t="shared" ca="1" si="7"/>
        <v>0</v>
      </c>
    </row>
    <row r="56" spans="4:15" s="322" customFormat="1" outlineLevel="1" x14ac:dyDescent="0.2">
      <c r="D56" s="640" t="str">
        <f>Intv_Ann_TO!D1931</f>
        <v>Copperbelt</v>
      </c>
      <c r="J56" s="5">
        <f t="shared" ca="1" si="7"/>
        <v>0</v>
      </c>
      <c r="K56" s="5">
        <f t="shared" ca="1" si="7"/>
        <v>0</v>
      </c>
      <c r="L56" s="5">
        <f t="shared" ca="1" si="7"/>
        <v>0</v>
      </c>
      <c r="M56" s="5">
        <f t="shared" ca="1" si="7"/>
        <v>0</v>
      </c>
      <c r="N56" s="5">
        <f t="shared" ca="1" si="7"/>
        <v>1197.1002800000001</v>
      </c>
      <c r="O56" s="5">
        <f t="shared" ca="1" si="7"/>
        <v>1197.1002800000001</v>
      </c>
    </row>
    <row r="57" spans="4:15" s="322" customFormat="1" outlineLevel="1" x14ac:dyDescent="0.2">
      <c r="D57" s="640" t="str">
        <f>Intv_Ann_TO!D1932</f>
        <v>Eastern</v>
      </c>
      <c r="J57" s="5">
        <f t="shared" ca="1" si="7"/>
        <v>0</v>
      </c>
      <c r="K57" s="5">
        <f t="shared" ca="1" si="7"/>
        <v>0</v>
      </c>
      <c r="L57" s="5">
        <f t="shared" ca="1" si="7"/>
        <v>0</v>
      </c>
      <c r="M57" s="5">
        <f t="shared" ca="1" si="7"/>
        <v>0</v>
      </c>
      <c r="N57" s="5">
        <f t="shared" ca="1" si="7"/>
        <v>0</v>
      </c>
      <c r="O57" s="5">
        <f t="shared" ca="1" si="7"/>
        <v>0</v>
      </c>
    </row>
    <row r="58" spans="4:15" s="322" customFormat="1" outlineLevel="1" x14ac:dyDescent="0.2">
      <c r="D58" s="640" t="str">
        <f>Intv_Ann_TO!D1933</f>
        <v>Luapula</v>
      </c>
      <c r="J58" s="5">
        <f t="shared" ca="1" si="7"/>
        <v>0</v>
      </c>
      <c r="K58" s="5">
        <f t="shared" ca="1" si="7"/>
        <v>0</v>
      </c>
      <c r="L58" s="5">
        <f t="shared" ca="1" si="7"/>
        <v>0</v>
      </c>
      <c r="M58" s="5">
        <f t="shared" ca="1" si="7"/>
        <v>0</v>
      </c>
      <c r="N58" s="5">
        <f t="shared" ca="1" si="7"/>
        <v>0</v>
      </c>
      <c r="O58" s="5">
        <f t="shared" ca="1" si="7"/>
        <v>0</v>
      </c>
    </row>
    <row r="59" spans="4:15" s="322" customFormat="1" outlineLevel="1" x14ac:dyDescent="0.2">
      <c r="D59" s="640" t="str">
        <f>Intv_Ann_TO!D1934</f>
        <v>Lusaka</v>
      </c>
      <c r="J59" s="5">
        <f t="shared" ca="1" si="7"/>
        <v>4705.8424800000003</v>
      </c>
      <c r="K59" s="5">
        <f t="shared" ca="1" si="7"/>
        <v>4705.8424800000003</v>
      </c>
      <c r="L59" s="5">
        <f t="shared" ca="1" si="7"/>
        <v>4705.8424800000003</v>
      </c>
      <c r="M59" s="5">
        <f t="shared" ca="1" si="7"/>
        <v>4705.8424800000003</v>
      </c>
      <c r="N59" s="5">
        <f t="shared" ca="1" si="7"/>
        <v>2332.2815799999998</v>
      </c>
      <c r="O59" s="5">
        <f t="shared" ca="1" si="7"/>
        <v>2332.2815799999998</v>
      </c>
    </row>
    <row r="60" spans="4:15" s="322" customFormat="1" outlineLevel="1" x14ac:dyDescent="0.2">
      <c r="D60" s="640" t="str">
        <f>Intv_Ann_TO!D1935</f>
        <v>Muchinga</v>
      </c>
      <c r="J60" s="5">
        <f t="shared" ca="1" si="7"/>
        <v>0</v>
      </c>
      <c r="K60" s="5">
        <f t="shared" ca="1" si="7"/>
        <v>0</v>
      </c>
      <c r="L60" s="5">
        <f t="shared" ca="1" si="7"/>
        <v>0</v>
      </c>
      <c r="M60" s="5">
        <f t="shared" ca="1" si="7"/>
        <v>0</v>
      </c>
      <c r="N60" s="5">
        <f t="shared" ca="1" si="7"/>
        <v>0</v>
      </c>
      <c r="O60" s="5">
        <f t="shared" ca="1" si="7"/>
        <v>0</v>
      </c>
    </row>
    <row r="61" spans="4:15" s="322" customFormat="1" outlineLevel="1" x14ac:dyDescent="0.2">
      <c r="D61" s="640" t="str">
        <f>Intv_Ann_TO!D1936</f>
        <v>Northern</v>
      </c>
      <c r="J61" s="5">
        <f t="shared" ca="1" si="7"/>
        <v>0</v>
      </c>
      <c r="K61" s="5">
        <f t="shared" ca="1" si="7"/>
        <v>0</v>
      </c>
      <c r="L61" s="5">
        <f t="shared" ca="1" si="7"/>
        <v>0</v>
      </c>
      <c r="M61" s="5">
        <f t="shared" ca="1" si="7"/>
        <v>0</v>
      </c>
      <c r="N61" s="5">
        <f t="shared" ca="1" si="7"/>
        <v>0</v>
      </c>
      <c r="O61" s="5">
        <f t="shared" ca="1" si="7"/>
        <v>0</v>
      </c>
    </row>
    <row r="62" spans="4:15" s="322" customFormat="1" outlineLevel="1" x14ac:dyDescent="0.2">
      <c r="D62" s="640" t="str">
        <f>Intv_Ann_TO!D1937</f>
        <v>North-Western</v>
      </c>
      <c r="J62" s="5">
        <f t="shared" ca="1" si="7"/>
        <v>0</v>
      </c>
      <c r="K62" s="5">
        <f t="shared" ca="1" si="7"/>
        <v>0</v>
      </c>
      <c r="L62" s="5">
        <f t="shared" ca="1" si="7"/>
        <v>0</v>
      </c>
      <c r="M62" s="5">
        <f t="shared" ca="1" si="7"/>
        <v>0</v>
      </c>
      <c r="N62" s="5">
        <f t="shared" ca="1" si="7"/>
        <v>0</v>
      </c>
      <c r="O62" s="5">
        <f t="shared" ca="1" si="7"/>
        <v>0</v>
      </c>
    </row>
    <row r="63" spans="4:15" s="322" customFormat="1" outlineLevel="1" x14ac:dyDescent="0.2">
      <c r="D63" s="640" t="str">
        <f>Intv_Ann_TO!D1938</f>
        <v>Southern</v>
      </c>
      <c r="J63" s="5">
        <f t="shared" ca="1" si="7"/>
        <v>0</v>
      </c>
      <c r="K63" s="5">
        <f t="shared" ca="1" si="7"/>
        <v>0</v>
      </c>
      <c r="L63" s="5">
        <f t="shared" ca="1" si="7"/>
        <v>0</v>
      </c>
      <c r="M63" s="5">
        <f t="shared" ca="1" si="7"/>
        <v>0</v>
      </c>
      <c r="N63" s="5">
        <f t="shared" ca="1" si="7"/>
        <v>1197.1002800000001</v>
      </c>
      <c r="O63" s="5">
        <f t="shared" ca="1" si="7"/>
        <v>1197.1002800000001</v>
      </c>
    </row>
    <row r="64" spans="4:15" s="322" customFormat="1" outlineLevel="1" x14ac:dyDescent="0.2">
      <c r="D64" s="640" t="str">
        <f>Intv_Ann_TO!D1939</f>
        <v>Western</v>
      </c>
      <c r="J64" s="5">
        <f t="shared" ca="1" si="7"/>
        <v>0</v>
      </c>
      <c r="K64" s="5">
        <f t="shared" ca="1" si="7"/>
        <v>0</v>
      </c>
      <c r="L64" s="5">
        <f t="shared" ca="1" si="7"/>
        <v>0</v>
      </c>
      <c r="M64" s="5">
        <f t="shared" ca="1" si="7"/>
        <v>0</v>
      </c>
      <c r="N64" s="5">
        <f t="shared" ca="1" si="7"/>
        <v>0</v>
      </c>
      <c r="O64" s="5">
        <f t="shared" ca="1" si="7"/>
        <v>0</v>
      </c>
    </row>
    <row r="65" spans="4:15" s="322" customFormat="1" ht="15.75" thickBot="1" x14ac:dyDescent="0.25">
      <c r="D65" s="642" t="str">
        <f>"Total "&amp;D54</f>
        <v>Total Recurrent Financial Costs</v>
      </c>
      <c r="J65" s="624">
        <f t="shared" ref="J65:O65" ca="1" si="8">SUM(J55:J64)</f>
        <v>4705.8424800000003</v>
      </c>
      <c r="K65" s="624">
        <f t="shared" ca="1" si="8"/>
        <v>4705.8424800000003</v>
      </c>
      <c r="L65" s="624">
        <f t="shared" ca="1" si="8"/>
        <v>4705.8424800000003</v>
      </c>
      <c r="M65" s="624">
        <f t="shared" ca="1" si="8"/>
        <v>4705.8424800000003</v>
      </c>
      <c r="N65" s="624">
        <f t="shared" ca="1" si="8"/>
        <v>4726.4821400000001</v>
      </c>
      <c r="O65" s="624">
        <f t="shared" ca="1" si="8"/>
        <v>4726.4821400000001</v>
      </c>
    </row>
    <row r="66" spans="4:15" s="322" customFormat="1" ht="13.5" thickTop="1" x14ac:dyDescent="0.2"/>
    <row r="67" spans="4:15" s="322" customFormat="1" ht="15" x14ac:dyDescent="0.2">
      <c r="D67" s="638" t="s">
        <v>1940</v>
      </c>
    </row>
    <row r="68" spans="4:15" s="322" customFormat="1" outlineLevel="1" x14ac:dyDescent="0.2">
      <c r="D68" s="640" t="str">
        <f>Intv_Ann_TO!D1930</f>
        <v>Central</v>
      </c>
      <c r="J68" s="5">
        <f t="shared" ref="J68:O77" ca="1" si="9">J16+J29+J42</f>
        <v>0</v>
      </c>
      <c r="K68" s="5">
        <f t="shared" ca="1" si="9"/>
        <v>0</v>
      </c>
      <c r="L68" s="5">
        <f t="shared" ca="1" si="9"/>
        <v>0</v>
      </c>
      <c r="M68" s="5">
        <f t="shared" ca="1" si="9"/>
        <v>0</v>
      </c>
      <c r="N68" s="5">
        <f t="shared" ca="1" si="9"/>
        <v>0</v>
      </c>
      <c r="O68" s="5">
        <f t="shared" ca="1" si="9"/>
        <v>0</v>
      </c>
    </row>
    <row r="69" spans="4:15" s="322" customFormat="1" outlineLevel="1" x14ac:dyDescent="0.2">
      <c r="D69" s="640" t="str">
        <f>Intv_Ann_TO!D1931</f>
        <v>Copperbelt</v>
      </c>
      <c r="J69" s="5">
        <f t="shared" ca="1" si="9"/>
        <v>0</v>
      </c>
      <c r="K69" s="5">
        <f t="shared" ca="1" si="9"/>
        <v>0</v>
      </c>
      <c r="L69" s="5">
        <f t="shared" ca="1" si="9"/>
        <v>0</v>
      </c>
      <c r="M69" s="5">
        <f t="shared" ca="1" si="9"/>
        <v>0</v>
      </c>
      <c r="N69" s="5">
        <f t="shared" ca="1" si="9"/>
        <v>14540.212014388591</v>
      </c>
      <c r="O69" s="5">
        <f t="shared" ca="1" si="9"/>
        <v>14540.212014388591</v>
      </c>
    </row>
    <row r="70" spans="4:15" s="322" customFormat="1" outlineLevel="1" x14ac:dyDescent="0.2">
      <c r="D70" s="640" t="str">
        <f>Intv_Ann_TO!D1932</f>
        <v>Eastern</v>
      </c>
      <c r="J70" s="5">
        <f t="shared" ca="1" si="9"/>
        <v>0</v>
      </c>
      <c r="K70" s="5">
        <f t="shared" ca="1" si="9"/>
        <v>0</v>
      </c>
      <c r="L70" s="5">
        <f t="shared" ca="1" si="9"/>
        <v>0</v>
      </c>
      <c r="M70" s="5">
        <f t="shared" ca="1" si="9"/>
        <v>0</v>
      </c>
      <c r="N70" s="5">
        <f t="shared" ca="1" si="9"/>
        <v>0</v>
      </c>
      <c r="O70" s="5">
        <f t="shared" ca="1" si="9"/>
        <v>0</v>
      </c>
    </row>
    <row r="71" spans="4:15" s="322" customFormat="1" outlineLevel="1" x14ac:dyDescent="0.2">
      <c r="D71" s="640" t="str">
        <f>Intv_Ann_TO!D1933</f>
        <v>Luapula</v>
      </c>
      <c r="J71" s="5">
        <f t="shared" ca="1" si="9"/>
        <v>0</v>
      </c>
      <c r="K71" s="5">
        <f t="shared" ca="1" si="9"/>
        <v>0</v>
      </c>
      <c r="L71" s="5">
        <f t="shared" ca="1" si="9"/>
        <v>0</v>
      </c>
      <c r="M71" s="5">
        <f t="shared" ca="1" si="9"/>
        <v>0</v>
      </c>
      <c r="N71" s="5">
        <f t="shared" ca="1" si="9"/>
        <v>0</v>
      </c>
      <c r="O71" s="5">
        <f t="shared" ca="1" si="9"/>
        <v>0</v>
      </c>
    </row>
    <row r="72" spans="4:15" s="322" customFormat="1" outlineLevel="1" x14ac:dyDescent="0.2">
      <c r="D72" s="640" t="str">
        <f>Intv_Ann_TO!D1934</f>
        <v>Lusaka</v>
      </c>
      <c r="J72" s="5">
        <f t="shared" ca="1" si="9"/>
        <v>57158.074815182736</v>
      </c>
      <c r="K72" s="5">
        <f t="shared" ca="1" si="9"/>
        <v>57158.074815182736</v>
      </c>
      <c r="L72" s="5">
        <f t="shared" ca="1" si="9"/>
        <v>57158.074815182736</v>
      </c>
      <c r="M72" s="5">
        <f t="shared" ca="1" si="9"/>
        <v>57158.074815182736</v>
      </c>
      <c r="N72" s="5">
        <f t="shared" ca="1" si="9"/>
        <v>28328.344096998459</v>
      </c>
      <c r="O72" s="5">
        <f t="shared" ca="1" si="9"/>
        <v>28328.344096998459</v>
      </c>
    </row>
    <row r="73" spans="4:15" s="322" customFormat="1" outlineLevel="1" x14ac:dyDescent="0.2">
      <c r="D73" s="640" t="str">
        <f>Intv_Ann_TO!D1935</f>
        <v>Muchinga</v>
      </c>
      <c r="J73" s="5">
        <f t="shared" ca="1" si="9"/>
        <v>0</v>
      </c>
      <c r="K73" s="5">
        <f t="shared" ca="1" si="9"/>
        <v>0</v>
      </c>
      <c r="L73" s="5">
        <f t="shared" ca="1" si="9"/>
        <v>0</v>
      </c>
      <c r="M73" s="5">
        <f t="shared" ca="1" si="9"/>
        <v>0</v>
      </c>
      <c r="N73" s="5">
        <f t="shared" ca="1" si="9"/>
        <v>0</v>
      </c>
      <c r="O73" s="5">
        <f t="shared" ca="1" si="9"/>
        <v>0</v>
      </c>
    </row>
    <row r="74" spans="4:15" s="322" customFormat="1" outlineLevel="1" x14ac:dyDescent="0.2">
      <c r="D74" s="640" t="str">
        <f>Intv_Ann_TO!D1936</f>
        <v>Northern</v>
      </c>
      <c r="J74" s="5">
        <f t="shared" ca="1" si="9"/>
        <v>0</v>
      </c>
      <c r="K74" s="5">
        <f t="shared" ca="1" si="9"/>
        <v>0</v>
      </c>
      <c r="L74" s="5">
        <f t="shared" ca="1" si="9"/>
        <v>0</v>
      </c>
      <c r="M74" s="5">
        <f t="shared" ca="1" si="9"/>
        <v>0</v>
      </c>
      <c r="N74" s="5">
        <f t="shared" ca="1" si="9"/>
        <v>0</v>
      </c>
      <c r="O74" s="5">
        <f t="shared" ca="1" si="9"/>
        <v>0</v>
      </c>
    </row>
    <row r="75" spans="4:15" s="322" customFormat="1" outlineLevel="1" x14ac:dyDescent="0.2">
      <c r="D75" s="640" t="str">
        <f>Intv_Ann_TO!D1937</f>
        <v>North-Western</v>
      </c>
      <c r="J75" s="5">
        <f t="shared" ca="1" si="9"/>
        <v>0</v>
      </c>
      <c r="K75" s="5">
        <f t="shared" ca="1" si="9"/>
        <v>0</v>
      </c>
      <c r="L75" s="5">
        <f t="shared" ca="1" si="9"/>
        <v>0</v>
      </c>
      <c r="M75" s="5">
        <f t="shared" ca="1" si="9"/>
        <v>0</v>
      </c>
      <c r="N75" s="5">
        <f t="shared" ca="1" si="9"/>
        <v>0</v>
      </c>
      <c r="O75" s="5">
        <f t="shared" ca="1" si="9"/>
        <v>0</v>
      </c>
    </row>
    <row r="76" spans="4:15" s="322" customFormat="1" outlineLevel="1" x14ac:dyDescent="0.2">
      <c r="D76" s="640" t="str">
        <f>Intv_Ann_TO!D1938</f>
        <v>Southern</v>
      </c>
      <c r="J76" s="5">
        <f t="shared" ca="1" si="9"/>
        <v>0</v>
      </c>
      <c r="K76" s="5">
        <f t="shared" ca="1" si="9"/>
        <v>0</v>
      </c>
      <c r="L76" s="5">
        <f t="shared" ca="1" si="9"/>
        <v>0</v>
      </c>
      <c r="M76" s="5">
        <f t="shared" ca="1" si="9"/>
        <v>0</v>
      </c>
      <c r="N76" s="5">
        <f t="shared" ca="1" si="9"/>
        <v>14540.212014388591</v>
      </c>
      <c r="O76" s="5">
        <f t="shared" ca="1" si="9"/>
        <v>14540.212014388591</v>
      </c>
    </row>
    <row r="77" spans="4:15" s="322" customFormat="1" outlineLevel="1" x14ac:dyDescent="0.2">
      <c r="D77" s="640" t="str">
        <f>Intv_Ann_TO!D1939</f>
        <v>Western</v>
      </c>
      <c r="J77" s="5">
        <f t="shared" ca="1" si="9"/>
        <v>0</v>
      </c>
      <c r="K77" s="5">
        <f t="shared" ca="1" si="9"/>
        <v>0</v>
      </c>
      <c r="L77" s="5">
        <f t="shared" ca="1" si="9"/>
        <v>0</v>
      </c>
      <c r="M77" s="5">
        <f t="shared" ca="1" si="9"/>
        <v>0</v>
      </c>
      <c r="N77" s="5">
        <f t="shared" ca="1" si="9"/>
        <v>0</v>
      </c>
      <c r="O77" s="5">
        <f t="shared" ca="1" si="9"/>
        <v>0</v>
      </c>
    </row>
    <row r="78" spans="4:15" s="322" customFormat="1" ht="15.75" thickBot="1" x14ac:dyDescent="0.25">
      <c r="D78" s="642" t="str">
        <f>"Total "&amp;D67</f>
        <v>Total Recurrent Economic Costs</v>
      </c>
      <c r="J78" s="624">
        <f t="shared" ref="J78:O78" ca="1" si="10">SUM(J68:J77)</f>
        <v>57158.074815182736</v>
      </c>
      <c r="K78" s="624">
        <f t="shared" ca="1" si="10"/>
        <v>57158.074815182736</v>
      </c>
      <c r="L78" s="624">
        <f t="shared" ca="1" si="10"/>
        <v>57158.074815182736</v>
      </c>
      <c r="M78" s="624">
        <f t="shared" ca="1" si="10"/>
        <v>57158.074815182736</v>
      </c>
      <c r="N78" s="624">
        <f t="shared" ca="1" si="10"/>
        <v>57408.768125775641</v>
      </c>
      <c r="O78" s="624">
        <f t="shared" ca="1" si="10"/>
        <v>57408.768125775641</v>
      </c>
    </row>
    <row r="79" spans="4:15" s="322" customFormat="1" ht="13.5" thickTop="1" x14ac:dyDescent="0.2"/>
    <row r="80" spans="4:15" s="322" customFormat="1" x14ac:dyDescent="0.2"/>
    <row r="81" spans="3:15" s="322" customFormat="1" ht="15.75" x14ac:dyDescent="0.2">
      <c r="C81" s="330" t="s">
        <v>1932</v>
      </c>
    </row>
    <row r="82" spans="3:15" s="322" customFormat="1" ht="15" x14ac:dyDescent="0.2">
      <c r="D82" s="641" t="str">
        <f>Intv_Ann_TO!D1984</f>
        <v>Financial Capital Expenditures (Capex) (NonAnnualized)</v>
      </c>
    </row>
    <row r="83" spans="3:15" s="322" customFormat="1" outlineLevel="1" x14ac:dyDescent="0.2">
      <c r="D83" s="640" t="str">
        <f>Intv_Ann_TO!D1985</f>
        <v>Central</v>
      </c>
      <c r="J83" s="5">
        <f>Intv_Ann_TO!J1985</f>
        <v>0</v>
      </c>
      <c r="K83" s="5">
        <f>Intv_Ann_TO!K1985</f>
        <v>0</v>
      </c>
      <c r="L83" s="5">
        <f>Intv_Ann_TO!L1985</f>
        <v>0</v>
      </c>
      <c r="M83" s="5">
        <f>Intv_Ann_TO!M1985</f>
        <v>0</v>
      </c>
      <c r="N83" s="5">
        <f>Intv_Ann_TO!N1985</f>
        <v>0</v>
      </c>
      <c r="O83" s="5">
        <f>Intv_Ann_TO!O1985</f>
        <v>0</v>
      </c>
    </row>
    <row r="84" spans="3:15" s="322" customFormat="1" outlineLevel="1" x14ac:dyDescent="0.2">
      <c r="D84" s="640" t="str">
        <f>Intv_Ann_TO!D1986</f>
        <v>Copperbelt</v>
      </c>
      <c r="J84" s="5">
        <f>Intv_Ann_TO!J1986</f>
        <v>0</v>
      </c>
      <c r="K84" s="5">
        <f>Intv_Ann_TO!K1986</f>
        <v>0</v>
      </c>
      <c r="L84" s="5">
        <f>Intv_Ann_TO!L1986</f>
        <v>0</v>
      </c>
      <c r="M84" s="5">
        <f>Intv_Ann_TO!M1986</f>
        <v>0</v>
      </c>
      <c r="N84" s="5">
        <f>Intv_Ann_TO!N1986</f>
        <v>750000</v>
      </c>
      <c r="O84" s="5">
        <f>Intv_Ann_TO!O1986</f>
        <v>0</v>
      </c>
    </row>
    <row r="85" spans="3:15" s="322" customFormat="1" outlineLevel="1" x14ac:dyDescent="0.2">
      <c r="D85" s="640" t="str">
        <f>Intv_Ann_TO!D1987</f>
        <v>Eastern</v>
      </c>
      <c r="J85" s="5">
        <f>Intv_Ann_TO!J1987</f>
        <v>0</v>
      </c>
      <c r="K85" s="5">
        <f>Intv_Ann_TO!K1987</f>
        <v>0</v>
      </c>
      <c r="L85" s="5">
        <f>Intv_Ann_TO!L1987</f>
        <v>0</v>
      </c>
      <c r="M85" s="5">
        <f>Intv_Ann_TO!M1987</f>
        <v>0</v>
      </c>
      <c r="N85" s="5">
        <f>Intv_Ann_TO!N1987</f>
        <v>0</v>
      </c>
      <c r="O85" s="5">
        <f>Intv_Ann_TO!O1987</f>
        <v>0</v>
      </c>
    </row>
    <row r="86" spans="3:15" s="322" customFormat="1" outlineLevel="1" x14ac:dyDescent="0.2">
      <c r="D86" s="640" t="str">
        <f>Intv_Ann_TO!D1988</f>
        <v>Luapula</v>
      </c>
      <c r="J86" s="5">
        <f>Intv_Ann_TO!J1988</f>
        <v>0</v>
      </c>
      <c r="K86" s="5">
        <f>Intv_Ann_TO!K1988</f>
        <v>0</v>
      </c>
      <c r="L86" s="5">
        <f>Intv_Ann_TO!L1988</f>
        <v>0</v>
      </c>
      <c r="M86" s="5">
        <f>Intv_Ann_TO!M1988</f>
        <v>0</v>
      </c>
      <c r="N86" s="5">
        <f>Intv_Ann_TO!N1988</f>
        <v>0</v>
      </c>
      <c r="O86" s="5">
        <f>Intv_Ann_TO!O1988</f>
        <v>0</v>
      </c>
    </row>
    <row r="87" spans="3:15" s="322" customFormat="1" outlineLevel="1" x14ac:dyDescent="0.2">
      <c r="D87" s="640" t="str">
        <f>Intv_Ann_TO!D1989</f>
        <v>Lusaka</v>
      </c>
      <c r="J87" s="5">
        <f>Intv_Ann_TO!J1989</f>
        <v>750000</v>
      </c>
      <c r="K87" s="5">
        <f>Intv_Ann_TO!K1989</f>
        <v>0</v>
      </c>
      <c r="L87" s="5">
        <f>Intv_Ann_TO!L1989</f>
        <v>0</v>
      </c>
      <c r="M87" s="5">
        <f>Intv_Ann_TO!M1989</f>
        <v>0</v>
      </c>
      <c r="N87" s="5">
        <f>Intv_Ann_TO!N1989</f>
        <v>0</v>
      </c>
      <c r="O87" s="5">
        <f>Intv_Ann_TO!O1989</f>
        <v>0</v>
      </c>
    </row>
    <row r="88" spans="3:15" s="322" customFormat="1" outlineLevel="1" x14ac:dyDescent="0.2">
      <c r="D88" s="640" t="str">
        <f>Intv_Ann_TO!D1990</f>
        <v>Muchinga</v>
      </c>
      <c r="J88" s="5">
        <f>Intv_Ann_TO!J1990</f>
        <v>0</v>
      </c>
      <c r="K88" s="5">
        <f>Intv_Ann_TO!K1990</f>
        <v>0</v>
      </c>
      <c r="L88" s="5">
        <f>Intv_Ann_TO!L1990</f>
        <v>0</v>
      </c>
      <c r="M88" s="5">
        <f>Intv_Ann_TO!M1990</f>
        <v>0</v>
      </c>
      <c r="N88" s="5">
        <f>Intv_Ann_TO!N1990</f>
        <v>0</v>
      </c>
      <c r="O88" s="5">
        <f>Intv_Ann_TO!O1990</f>
        <v>0</v>
      </c>
    </row>
    <row r="89" spans="3:15" s="322" customFormat="1" outlineLevel="1" x14ac:dyDescent="0.2">
      <c r="D89" s="640" t="str">
        <f>Intv_Ann_TO!D1991</f>
        <v>Northern</v>
      </c>
      <c r="J89" s="5">
        <f>Intv_Ann_TO!J1991</f>
        <v>0</v>
      </c>
      <c r="K89" s="5">
        <f>Intv_Ann_TO!K1991</f>
        <v>0</v>
      </c>
      <c r="L89" s="5">
        <f>Intv_Ann_TO!L1991</f>
        <v>0</v>
      </c>
      <c r="M89" s="5">
        <f>Intv_Ann_TO!M1991</f>
        <v>0</v>
      </c>
      <c r="N89" s="5">
        <f>Intv_Ann_TO!N1991</f>
        <v>0</v>
      </c>
      <c r="O89" s="5">
        <f>Intv_Ann_TO!O1991</f>
        <v>0</v>
      </c>
    </row>
    <row r="90" spans="3:15" s="322" customFormat="1" outlineLevel="1" x14ac:dyDescent="0.2">
      <c r="D90" s="640" t="str">
        <f>Intv_Ann_TO!D1992</f>
        <v>North-Western</v>
      </c>
      <c r="J90" s="5">
        <f>Intv_Ann_TO!J1992</f>
        <v>0</v>
      </c>
      <c r="K90" s="5">
        <f>Intv_Ann_TO!K1992</f>
        <v>0</v>
      </c>
      <c r="L90" s="5">
        <f>Intv_Ann_TO!L1992</f>
        <v>0</v>
      </c>
      <c r="M90" s="5">
        <f>Intv_Ann_TO!M1992</f>
        <v>0</v>
      </c>
      <c r="N90" s="5">
        <f>Intv_Ann_TO!N1992</f>
        <v>0</v>
      </c>
      <c r="O90" s="5">
        <f>Intv_Ann_TO!O1992</f>
        <v>0</v>
      </c>
    </row>
    <row r="91" spans="3:15" s="322" customFormat="1" outlineLevel="1" x14ac:dyDescent="0.2">
      <c r="D91" s="640" t="str">
        <f>Intv_Ann_TO!D1993</f>
        <v>Southern</v>
      </c>
      <c r="J91" s="5">
        <f>Intv_Ann_TO!J1993</f>
        <v>0</v>
      </c>
      <c r="K91" s="5">
        <f>Intv_Ann_TO!K1993</f>
        <v>0</v>
      </c>
      <c r="L91" s="5">
        <f>Intv_Ann_TO!L1993</f>
        <v>0</v>
      </c>
      <c r="M91" s="5">
        <f>Intv_Ann_TO!M1993</f>
        <v>0</v>
      </c>
      <c r="N91" s="5">
        <f>Intv_Ann_TO!N1993</f>
        <v>750000</v>
      </c>
      <c r="O91" s="5">
        <f>Intv_Ann_TO!O1993</f>
        <v>0</v>
      </c>
    </row>
    <row r="92" spans="3:15" s="322" customFormat="1" outlineLevel="1" x14ac:dyDescent="0.2">
      <c r="D92" s="640" t="str">
        <f>Intv_Ann_TO!D1994</f>
        <v>Western</v>
      </c>
      <c r="J92" s="5">
        <f>Intv_Ann_TO!J1994</f>
        <v>0</v>
      </c>
      <c r="K92" s="5">
        <f>Intv_Ann_TO!K1994</f>
        <v>0</v>
      </c>
      <c r="L92" s="5">
        <f>Intv_Ann_TO!L1994</f>
        <v>0</v>
      </c>
      <c r="M92" s="5">
        <f>Intv_Ann_TO!M1994</f>
        <v>0</v>
      </c>
      <c r="N92" s="5">
        <f>Intv_Ann_TO!N1994</f>
        <v>0</v>
      </c>
      <c r="O92" s="5">
        <f>Intv_Ann_TO!O1994</f>
        <v>0</v>
      </c>
    </row>
    <row r="93" spans="3:15" s="322" customFormat="1" ht="15.75" thickBot="1" x14ac:dyDescent="0.25">
      <c r="D93" s="642" t="str">
        <f>"Total "&amp;D82</f>
        <v>Total Financial Capital Expenditures (Capex) (NonAnnualized)</v>
      </c>
      <c r="J93" s="624">
        <f t="shared" ref="J93:O93" si="11">SUM(J83:J92)</f>
        <v>750000</v>
      </c>
      <c r="K93" s="624">
        <f t="shared" si="11"/>
        <v>0</v>
      </c>
      <c r="L93" s="624">
        <f t="shared" si="11"/>
        <v>0</v>
      </c>
      <c r="M93" s="624">
        <f t="shared" si="11"/>
        <v>0</v>
      </c>
      <c r="N93" s="624">
        <f t="shared" si="11"/>
        <v>1500000</v>
      </c>
      <c r="O93" s="624">
        <f t="shared" si="11"/>
        <v>0</v>
      </c>
    </row>
    <row r="94" spans="3:15" s="322" customFormat="1" ht="13.5" thickTop="1" x14ac:dyDescent="0.2"/>
    <row r="95" spans="3:15" s="322" customFormat="1" ht="15" x14ac:dyDescent="0.2">
      <c r="D95" s="641" t="str">
        <f>Intv_Ann_TO!D1996</f>
        <v>Financial Capital Expenditures (Capex) (Annualized)</v>
      </c>
    </row>
    <row r="96" spans="3:15" s="322" customFormat="1" outlineLevel="1" x14ac:dyDescent="0.2">
      <c r="D96" s="640" t="str">
        <f>Intv_Ann_TO!D1997</f>
        <v>Central</v>
      </c>
      <c r="J96" s="5">
        <f>Intv_Ann_TO!J1997</f>
        <v>0</v>
      </c>
      <c r="K96" s="5">
        <f>Intv_Ann_TO!K1997</f>
        <v>0</v>
      </c>
      <c r="L96" s="5">
        <f>Intv_Ann_TO!L1997</f>
        <v>0</v>
      </c>
      <c r="M96" s="5">
        <f>Intv_Ann_TO!M1997</f>
        <v>0</v>
      </c>
      <c r="N96" s="5">
        <f>Intv_Ann_TO!N1997</f>
        <v>0</v>
      </c>
      <c r="O96" s="5">
        <f>Intv_Ann_TO!O1997</f>
        <v>0</v>
      </c>
    </row>
    <row r="97" spans="4:15" s="322" customFormat="1" outlineLevel="1" x14ac:dyDescent="0.2">
      <c r="D97" s="640" t="str">
        <f>Intv_Ann_TO!D1998</f>
        <v>Copperbelt</v>
      </c>
      <c r="J97" s="5">
        <f>Intv_Ann_TO!J1998</f>
        <v>0</v>
      </c>
      <c r="K97" s="5">
        <f>Intv_Ann_TO!K1998</f>
        <v>0</v>
      </c>
      <c r="L97" s="5">
        <f>Intv_Ann_TO!L1998</f>
        <v>0</v>
      </c>
      <c r="M97" s="5">
        <f>Intv_Ann_TO!M1998</f>
        <v>0</v>
      </c>
      <c r="N97" s="5">
        <f>Intv_Ann_TO!N1998</f>
        <v>125781.25</v>
      </c>
      <c r="O97" s="5">
        <f>Intv_Ann_TO!O1998</f>
        <v>125781.25</v>
      </c>
    </row>
    <row r="98" spans="4:15" s="322" customFormat="1" outlineLevel="1" x14ac:dyDescent="0.2">
      <c r="D98" s="640" t="str">
        <f>Intv_Ann_TO!D1999</f>
        <v>Eastern</v>
      </c>
      <c r="J98" s="5">
        <f>Intv_Ann_TO!J1999</f>
        <v>0</v>
      </c>
      <c r="K98" s="5">
        <f>Intv_Ann_TO!K1999</f>
        <v>0</v>
      </c>
      <c r="L98" s="5">
        <f>Intv_Ann_TO!L1999</f>
        <v>0</v>
      </c>
      <c r="M98" s="5">
        <f>Intv_Ann_TO!M1999</f>
        <v>0</v>
      </c>
      <c r="N98" s="5">
        <f>Intv_Ann_TO!N1999</f>
        <v>0</v>
      </c>
      <c r="O98" s="5">
        <f>Intv_Ann_TO!O1999</f>
        <v>0</v>
      </c>
    </row>
    <row r="99" spans="4:15" s="322" customFormat="1" outlineLevel="1" x14ac:dyDescent="0.2">
      <c r="D99" s="640" t="str">
        <f>Intv_Ann_TO!D2000</f>
        <v>Luapula</v>
      </c>
      <c r="J99" s="5">
        <f>Intv_Ann_TO!J2000</f>
        <v>0</v>
      </c>
      <c r="K99" s="5">
        <f>Intv_Ann_TO!K2000</f>
        <v>0</v>
      </c>
      <c r="L99" s="5">
        <f>Intv_Ann_TO!L2000</f>
        <v>0</v>
      </c>
      <c r="M99" s="5">
        <f>Intv_Ann_TO!M2000</f>
        <v>0</v>
      </c>
      <c r="N99" s="5">
        <f>Intv_Ann_TO!N2000</f>
        <v>0</v>
      </c>
      <c r="O99" s="5">
        <f>Intv_Ann_TO!O2000</f>
        <v>0</v>
      </c>
    </row>
    <row r="100" spans="4:15" s="322" customFormat="1" outlineLevel="1" x14ac:dyDescent="0.2">
      <c r="D100" s="640" t="str">
        <f>Intv_Ann_TO!D2001</f>
        <v>Lusaka</v>
      </c>
      <c r="J100" s="5">
        <f>Intv_Ann_TO!J2001</f>
        <v>125781.25</v>
      </c>
      <c r="K100" s="5">
        <f>Intv_Ann_TO!K2001</f>
        <v>125781.25</v>
      </c>
      <c r="L100" s="5">
        <f>Intv_Ann_TO!L2001</f>
        <v>125781.25</v>
      </c>
      <c r="M100" s="5">
        <f>Intv_Ann_TO!M2001</f>
        <v>125781.25</v>
      </c>
      <c r="N100" s="5">
        <f>Intv_Ann_TO!N2001</f>
        <v>125781.25</v>
      </c>
      <c r="O100" s="5">
        <f>Intv_Ann_TO!O2001</f>
        <v>125781.25</v>
      </c>
    </row>
    <row r="101" spans="4:15" s="322" customFormat="1" outlineLevel="1" x14ac:dyDescent="0.2">
      <c r="D101" s="640" t="str">
        <f>Intv_Ann_TO!D2002</f>
        <v>Muchinga</v>
      </c>
      <c r="J101" s="5">
        <f>Intv_Ann_TO!J2002</f>
        <v>0</v>
      </c>
      <c r="K101" s="5">
        <f>Intv_Ann_TO!K2002</f>
        <v>0</v>
      </c>
      <c r="L101" s="5">
        <f>Intv_Ann_TO!L2002</f>
        <v>0</v>
      </c>
      <c r="M101" s="5">
        <f>Intv_Ann_TO!M2002</f>
        <v>0</v>
      </c>
      <c r="N101" s="5">
        <f>Intv_Ann_TO!N2002</f>
        <v>0</v>
      </c>
      <c r="O101" s="5">
        <f>Intv_Ann_TO!O2002</f>
        <v>0</v>
      </c>
    </row>
    <row r="102" spans="4:15" s="322" customFormat="1" outlineLevel="1" x14ac:dyDescent="0.2">
      <c r="D102" s="640" t="str">
        <f>Intv_Ann_TO!D2003</f>
        <v>Northern</v>
      </c>
      <c r="J102" s="5">
        <f>Intv_Ann_TO!J2003</f>
        <v>0</v>
      </c>
      <c r="K102" s="5">
        <f>Intv_Ann_TO!K2003</f>
        <v>0</v>
      </c>
      <c r="L102" s="5">
        <f>Intv_Ann_TO!L2003</f>
        <v>0</v>
      </c>
      <c r="M102" s="5">
        <f>Intv_Ann_TO!M2003</f>
        <v>0</v>
      </c>
      <c r="N102" s="5">
        <f>Intv_Ann_TO!N2003</f>
        <v>0</v>
      </c>
      <c r="O102" s="5">
        <f>Intv_Ann_TO!O2003</f>
        <v>0</v>
      </c>
    </row>
    <row r="103" spans="4:15" s="322" customFormat="1" outlineLevel="1" x14ac:dyDescent="0.2">
      <c r="D103" s="640" t="str">
        <f>Intv_Ann_TO!D2004</f>
        <v>North-Western</v>
      </c>
      <c r="J103" s="5">
        <f>Intv_Ann_TO!J2004</f>
        <v>0</v>
      </c>
      <c r="K103" s="5">
        <f>Intv_Ann_TO!K2004</f>
        <v>0</v>
      </c>
      <c r="L103" s="5">
        <f>Intv_Ann_TO!L2004</f>
        <v>0</v>
      </c>
      <c r="M103" s="5">
        <f>Intv_Ann_TO!M2004</f>
        <v>0</v>
      </c>
      <c r="N103" s="5">
        <f>Intv_Ann_TO!N2004</f>
        <v>0</v>
      </c>
      <c r="O103" s="5">
        <f>Intv_Ann_TO!O2004</f>
        <v>0</v>
      </c>
    </row>
    <row r="104" spans="4:15" s="322" customFormat="1" outlineLevel="1" x14ac:dyDescent="0.2">
      <c r="D104" s="640" t="str">
        <f>Intv_Ann_TO!D2005</f>
        <v>Southern</v>
      </c>
      <c r="J104" s="5">
        <f>Intv_Ann_TO!J2005</f>
        <v>0</v>
      </c>
      <c r="K104" s="5">
        <f>Intv_Ann_TO!K2005</f>
        <v>0</v>
      </c>
      <c r="L104" s="5">
        <f>Intv_Ann_TO!L2005</f>
        <v>0</v>
      </c>
      <c r="M104" s="5">
        <f>Intv_Ann_TO!M2005</f>
        <v>0</v>
      </c>
      <c r="N104" s="5">
        <f>Intv_Ann_TO!N2005</f>
        <v>125781.25</v>
      </c>
      <c r="O104" s="5">
        <f>Intv_Ann_TO!O2005</f>
        <v>125781.25</v>
      </c>
    </row>
    <row r="105" spans="4:15" s="322" customFormat="1" outlineLevel="1" x14ac:dyDescent="0.2">
      <c r="D105" s="640" t="str">
        <f>Intv_Ann_TO!D2006</f>
        <v>Western</v>
      </c>
      <c r="J105" s="5">
        <f>Intv_Ann_TO!J2006</f>
        <v>0</v>
      </c>
      <c r="K105" s="5">
        <f>Intv_Ann_TO!K2006</f>
        <v>0</v>
      </c>
      <c r="L105" s="5">
        <f>Intv_Ann_TO!L2006</f>
        <v>0</v>
      </c>
      <c r="M105" s="5">
        <f>Intv_Ann_TO!M2006</f>
        <v>0</v>
      </c>
      <c r="N105" s="5">
        <f>Intv_Ann_TO!N2006</f>
        <v>0</v>
      </c>
      <c r="O105" s="5">
        <f>Intv_Ann_TO!O2006</f>
        <v>0</v>
      </c>
    </row>
    <row r="106" spans="4:15" s="322" customFormat="1" ht="15.75" thickBot="1" x14ac:dyDescent="0.25">
      <c r="D106" s="642" t="str">
        <f>"Total "&amp;D95</f>
        <v>Total Financial Capital Expenditures (Capex) (Annualized)</v>
      </c>
      <c r="J106" s="624">
        <f t="shared" ref="J106:O106" si="12">SUM(J96:J105)</f>
        <v>125781.25</v>
      </c>
      <c r="K106" s="624">
        <f t="shared" si="12"/>
        <v>125781.25</v>
      </c>
      <c r="L106" s="624">
        <f t="shared" si="12"/>
        <v>125781.25</v>
      </c>
      <c r="M106" s="624">
        <f t="shared" si="12"/>
        <v>125781.25</v>
      </c>
      <c r="N106" s="624">
        <f t="shared" si="12"/>
        <v>377343.75</v>
      </c>
      <c r="O106" s="624">
        <f t="shared" si="12"/>
        <v>377343.75</v>
      </c>
    </row>
    <row r="107" spans="4:15" s="322" customFormat="1" ht="13.5" thickTop="1" x14ac:dyDescent="0.2"/>
    <row r="108" spans="4:15" s="322" customFormat="1" ht="15" x14ac:dyDescent="0.2">
      <c r="D108" s="641" t="str">
        <f>Intv_Ann_TO!D2009</f>
        <v>Economic Capex (NonAnnualized)</v>
      </c>
    </row>
    <row r="109" spans="4:15" s="322" customFormat="1" outlineLevel="1" x14ac:dyDescent="0.2">
      <c r="D109" s="640" t="str">
        <f>Intv_Ann_TO!D2010</f>
        <v>Central</v>
      </c>
      <c r="J109" s="5">
        <f>Intv_Ann_TO!J2010</f>
        <v>0</v>
      </c>
      <c r="K109" s="5">
        <f>Intv_Ann_TO!K2010</f>
        <v>0</v>
      </c>
      <c r="L109" s="5">
        <f>Intv_Ann_TO!L2010</f>
        <v>0</v>
      </c>
      <c r="M109" s="5">
        <f>Intv_Ann_TO!M2010</f>
        <v>0</v>
      </c>
      <c r="N109" s="5">
        <f>Intv_Ann_TO!N2010</f>
        <v>0</v>
      </c>
      <c r="O109" s="5">
        <f>Intv_Ann_TO!O2010</f>
        <v>0</v>
      </c>
    </row>
    <row r="110" spans="4:15" s="322" customFormat="1" outlineLevel="1" x14ac:dyDescent="0.2">
      <c r="D110" s="640" t="str">
        <f>Intv_Ann_TO!D2011</f>
        <v>Copperbelt</v>
      </c>
      <c r="J110" s="5">
        <f>Intv_Ann_TO!J2011</f>
        <v>0</v>
      </c>
      <c r="K110" s="5">
        <f>Intv_Ann_TO!K2011</f>
        <v>0</v>
      </c>
      <c r="L110" s="5">
        <f>Intv_Ann_TO!L2011</f>
        <v>0</v>
      </c>
      <c r="M110" s="5">
        <f>Intv_Ann_TO!M2011</f>
        <v>0</v>
      </c>
      <c r="N110" s="5">
        <f>Intv_Ann_TO!N2011</f>
        <v>750000</v>
      </c>
      <c r="O110" s="5">
        <f>Intv_Ann_TO!O2011</f>
        <v>0</v>
      </c>
    </row>
    <row r="111" spans="4:15" s="322" customFormat="1" outlineLevel="1" x14ac:dyDescent="0.2">
      <c r="D111" s="640" t="str">
        <f>Intv_Ann_TO!D2012</f>
        <v>Eastern</v>
      </c>
      <c r="J111" s="5">
        <f>Intv_Ann_TO!J2012</f>
        <v>0</v>
      </c>
      <c r="K111" s="5">
        <f>Intv_Ann_TO!K2012</f>
        <v>0</v>
      </c>
      <c r="L111" s="5">
        <f>Intv_Ann_TO!L2012</f>
        <v>0</v>
      </c>
      <c r="M111" s="5">
        <f>Intv_Ann_TO!M2012</f>
        <v>0</v>
      </c>
      <c r="N111" s="5">
        <f>Intv_Ann_TO!N2012</f>
        <v>0</v>
      </c>
      <c r="O111" s="5">
        <f>Intv_Ann_TO!O2012</f>
        <v>0</v>
      </c>
    </row>
    <row r="112" spans="4:15" s="322" customFormat="1" outlineLevel="1" x14ac:dyDescent="0.2">
      <c r="D112" s="640" t="str">
        <f>Intv_Ann_TO!D2013</f>
        <v>Luapula</v>
      </c>
      <c r="J112" s="5">
        <f>Intv_Ann_TO!J2013</f>
        <v>0</v>
      </c>
      <c r="K112" s="5">
        <f>Intv_Ann_TO!K2013</f>
        <v>0</v>
      </c>
      <c r="L112" s="5">
        <f>Intv_Ann_TO!L2013</f>
        <v>0</v>
      </c>
      <c r="M112" s="5">
        <f>Intv_Ann_TO!M2013</f>
        <v>0</v>
      </c>
      <c r="N112" s="5">
        <f>Intv_Ann_TO!N2013</f>
        <v>0</v>
      </c>
      <c r="O112" s="5">
        <f>Intv_Ann_TO!O2013</f>
        <v>0</v>
      </c>
    </row>
    <row r="113" spans="4:15" s="322" customFormat="1" outlineLevel="1" x14ac:dyDescent="0.2">
      <c r="D113" s="640" t="str">
        <f>Intv_Ann_TO!D2014</f>
        <v>Lusaka</v>
      </c>
      <c r="J113" s="5">
        <f>Intv_Ann_TO!J2014</f>
        <v>750000</v>
      </c>
      <c r="K113" s="5">
        <f>Intv_Ann_TO!K2014</f>
        <v>0</v>
      </c>
      <c r="L113" s="5">
        <f>Intv_Ann_TO!L2014</f>
        <v>0</v>
      </c>
      <c r="M113" s="5">
        <f>Intv_Ann_TO!M2014</f>
        <v>0</v>
      </c>
      <c r="N113" s="5">
        <f>Intv_Ann_TO!N2014</f>
        <v>0</v>
      </c>
      <c r="O113" s="5">
        <f>Intv_Ann_TO!O2014</f>
        <v>0</v>
      </c>
    </row>
    <row r="114" spans="4:15" s="322" customFormat="1" outlineLevel="1" x14ac:dyDescent="0.2">
      <c r="D114" s="640" t="str">
        <f>Intv_Ann_TO!D2015</f>
        <v>Muchinga</v>
      </c>
      <c r="J114" s="5">
        <f>Intv_Ann_TO!J2015</f>
        <v>0</v>
      </c>
      <c r="K114" s="5">
        <f>Intv_Ann_TO!K2015</f>
        <v>0</v>
      </c>
      <c r="L114" s="5">
        <f>Intv_Ann_TO!L2015</f>
        <v>0</v>
      </c>
      <c r="M114" s="5">
        <f>Intv_Ann_TO!M2015</f>
        <v>0</v>
      </c>
      <c r="N114" s="5">
        <f>Intv_Ann_TO!N2015</f>
        <v>0</v>
      </c>
      <c r="O114" s="5">
        <f>Intv_Ann_TO!O2015</f>
        <v>0</v>
      </c>
    </row>
    <row r="115" spans="4:15" s="322" customFormat="1" outlineLevel="1" x14ac:dyDescent="0.2">
      <c r="D115" s="640" t="str">
        <f>Intv_Ann_TO!D2016</f>
        <v>Northern</v>
      </c>
      <c r="J115" s="5">
        <f>Intv_Ann_TO!J2016</f>
        <v>0</v>
      </c>
      <c r="K115" s="5">
        <f>Intv_Ann_TO!K2016</f>
        <v>0</v>
      </c>
      <c r="L115" s="5">
        <f>Intv_Ann_TO!L2016</f>
        <v>0</v>
      </c>
      <c r="M115" s="5">
        <f>Intv_Ann_TO!M2016</f>
        <v>0</v>
      </c>
      <c r="N115" s="5">
        <f>Intv_Ann_TO!N2016</f>
        <v>0</v>
      </c>
      <c r="O115" s="5">
        <f>Intv_Ann_TO!O2016</f>
        <v>0</v>
      </c>
    </row>
    <row r="116" spans="4:15" s="322" customFormat="1" outlineLevel="1" x14ac:dyDescent="0.2">
      <c r="D116" s="640" t="str">
        <f>Intv_Ann_TO!D2017</f>
        <v>North-Western</v>
      </c>
      <c r="J116" s="5">
        <f>Intv_Ann_TO!J2017</f>
        <v>0</v>
      </c>
      <c r="K116" s="5">
        <f>Intv_Ann_TO!K2017</f>
        <v>0</v>
      </c>
      <c r="L116" s="5">
        <f>Intv_Ann_TO!L2017</f>
        <v>0</v>
      </c>
      <c r="M116" s="5">
        <f>Intv_Ann_TO!M2017</f>
        <v>0</v>
      </c>
      <c r="N116" s="5">
        <f>Intv_Ann_TO!N2017</f>
        <v>0</v>
      </c>
      <c r="O116" s="5">
        <f>Intv_Ann_TO!O2017</f>
        <v>0</v>
      </c>
    </row>
    <row r="117" spans="4:15" s="322" customFormat="1" outlineLevel="1" x14ac:dyDescent="0.2">
      <c r="D117" s="640" t="str">
        <f>Intv_Ann_TO!D2018</f>
        <v>Southern</v>
      </c>
      <c r="J117" s="5">
        <f>Intv_Ann_TO!J2018</f>
        <v>0</v>
      </c>
      <c r="K117" s="5">
        <f>Intv_Ann_TO!K2018</f>
        <v>0</v>
      </c>
      <c r="L117" s="5">
        <f>Intv_Ann_TO!L2018</f>
        <v>0</v>
      </c>
      <c r="M117" s="5">
        <f>Intv_Ann_TO!M2018</f>
        <v>0</v>
      </c>
      <c r="N117" s="5">
        <f>Intv_Ann_TO!N2018</f>
        <v>750000</v>
      </c>
      <c r="O117" s="5">
        <f>Intv_Ann_TO!O2018</f>
        <v>0</v>
      </c>
    </row>
    <row r="118" spans="4:15" s="322" customFormat="1" outlineLevel="1" x14ac:dyDescent="0.2">
      <c r="D118" s="640" t="str">
        <f>Intv_Ann_TO!D2019</f>
        <v>Western</v>
      </c>
      <c r="J118" s="5">
        <f>Intv_Ann_TO!J2019</f>
        <v>0</v>
      </c>
      <c r="K118" s="5">
        <f>Intv_Ann_TO!K2019</f>
        <v>0</v>
      </c>
      <c r="L118" s="5">
        <f>Intv_Ann_TO!L2019</f>
        <v>0</v>
      </c>
      <c r="M118" s="5">
        <f>Intv_Ann_TO!M2019</f>
        <v>0</v>
      </c>
      <c r="N118" s="5">
        <f>Intv_Ann_TO!N2019</f>
        <v>0</v>
      </c>
      <c r="O118" s="5">
        <f>Intv_Ann_TO!O2019</f>
        <v>0</v>
      </c>
    </row>
    <row r="119" spans="4:15" s="322" customFormat="1" ht="15.75" thickBot="1" x14ac:dyDescent="0.25">
      <c r="D119" s="642" t="str">
        <f>"Total "&amp;D108</f>
        <v>Total Economic Capex (NonAnnualized)</v>
      </c>
      <c r="J119" s="624">
        <f t="shared" ref="J119:O119" si="13">SUM(J109:J118)</f>
        <v>750000</v>
      </c>
      <c r="K119" s="624">
        <f t="shared" si="13"/>
        <v>0</v>
      </c>
      <c r="L119" s="624">
        <f t="shared" si="13"/>
        <v>0</v>
      </c>
      <c r="M119" s="624">
        <f t="shared" si="13"/>
        <v>0</v>
      </c>
      <c r="N119" s="624">
        <f t="shared" si="13"/>
        <v>1500000</v>
      </c>
      <c r="O119" s="624">
        <f t="shared" si="13"/>
        <v>0</v>
      </c>
    </row>
    <row r="120" spans="4:15" s="322" customFormat="1" ht="13.5" thickTop="1" x14ac:dyDescent="0.2"/>
    <row r="121" spans="4:15" s="322" customFormat="1" ht="15" x14ac:dyDescent="0.2">
      <c r="D121" s="641" t="str">
        <f>Intv_Ann_TO!D2021</f>
        <v>Economic Capital Expenditures (Capex) (Annualized)</v>
      </c>
    </row>
    <row r="122" spans="4:15" s="322" customFormat="1" outlineLevel="1" x14ac:dyDescent="0.2">
      <c r="D122" s="640" t="str">
        <f>Intv_Ann_TO!D2022</f>
        <v>Central</v>
      </c>
      <c r="J122" s="5">
        <f>Intv_Ann_TO!J2022</f>
        <v>0</v>
      </c>
      <c r="K122" s="5">
        <f>Intv_Ann_TO!K2022</f>
        <v>0</v>
      </c>
      <c r="L122" s="5">
        <f>Intv_Ann_TO!L2022</f>
        <v>0</v>
      </c>
      <c r="M122" s="5">
        <f>Intv_Ann_TO!M2022</f>
        <v>0</v>
      </c>
      <c r="N122" s="5">
        <f>Intv_Ann_TO!N2022</f>
        <v>0</v>
      </c>
      <c r="O122" s="5">
        <f>Intv_Ann_TO!O2022</f>
        <v>0</v>
      </c>
    </row>
    <row r="123" spans="4:15" s="322" customFormat="1" outlineLevel="1" x14ac:dyDescent="0.2">
      <c r="D123" s="640" t="str">
        <f>Intv_Ann_TO!D2023</f>
        <v>Copperbelt</v>
      </c>
      <c r="J123" s="5">
        <f>Intv_Ann_TO!J2023</f>
        <v>0</v>
      </c>
      <c r="K123" s="5">
        <f>Intv_Ann_TO!K2023</f>
        <v>0</v>
      </c>
      <c r="L123" s="5">
        <f>Intv_Ann_TO!L2023</f>
        <v>0</v>
      </c>
      <c r="M123" s="5">
        <f>Intv_Ann_TO!M2023</f>
        <v>0</v>
      </c>
      <c r="N123" s="5">
        <f>Intv_Ann_TO!N2023</f>
        <v>141063.16721608385</v>
      </c>
      <c r="O123" s="5">
        <f>Intv_Ann_TO!O2023</f>
        <v>141063.16721608385</v>
      </c>
    </row>
    <row r="124" spans="4:15" s="322" customFormat="1" outlineLevel="1" x14ac:dyDescent="0.2">
      <c r="D124" s="640" t="str">
        <f>Intv_Ann_TO!D2024</f>
        <v>Eastern</v>
      </c>
      <c r="J124" s="5">
        <f>Intv_Ann_TO!J2024</f>
        <v>0</v>
      </c>
      <c r="K124" s="5">
        <f>Intv_Ann_TO!K2024</f>
        <v>0</v>
      </c>
      <c r="L124" s="5">
        <f>Intv_Ann_TO!L2024</f>
        <v>0</v>
      </c>
      <c r="M124" s="5">
        <f>Intv_Ann_TO!M2024</f>
        <v>0</v>
      </c>
      <c r="N124" s="5">
        <f>Intv_Ann_TO!N2024</f>
        <v>0</v>
      </c>
      <c r="O124" s="5">
        <f>Intv_Ann_TO!O2024</f>
        <v>0</v>
      </c>
    </row>
    <row r="125" spans="4:15" s="322" customFormat="1" outlineLevel="1" x14ac:dyDescent="0.2">
      <c r="D125" s="640" t="str">
        <f>Intv_Ann_TO!D2025</f>
        <v>Luapula</v>
      </c>
      <c r="J125" s="5">
        <f>Intv_Ann_TO!J2025</f>
        <v>0</v>
      </c>
      <c r="K125" s="5">
        <f>Intv_Ann_TO!K2025</f>
        <v>0</v>
      </c>
      <c r="L125" s="5">
        <f>Intv_Ann_TO!L2025</f>
        <v>0</v>
      </c>
      <c r="M125" s="5">
        <f>Intv_Ann_TO!M2025</f>
        <v>0</v>
      </c>
      <c r="N125" s="5">
        <f>Intv_Ann_TO!N2025</f>
        <v>0</v>
      </c>
      <c r="O125" s="5">
        <f>Intv_Ann_TO!O2025</f>
        <v>0</v>
      </c>
    </row>
    <row r="126" spans="4:15" s="322" customFormat="1" outlineLevel="1" x14ac:dyDescent="0.2">
      <c r="D126" s="640" t="str">
        <f>Intv_Ann_TO!D2026</f>
        <v>Lusaka</v>
      </c>
      <c r="J126" s="5">
        <f>Intv_Ann_TO!J2026</f>
        <v>141063.16721608385</v>
      </c>
      <c r="K126" s="5">
        <f>Intv_Ann_TO!K2026</f>
        <v>141063.16721608385</v>
      </c>
      <c r="L126" s="5">
        <f>Intv_Ann_TO!L2026</f>
        <v>141063.16721608385</v>
      </c>
      <c r="M126" s="5">
        <f>Intv_Ann_TO!M2026</f>
        <v>141063.16721608385</v>
      </c>
      <c r="N126" s="5">
        <f>Intv_Ann_TO!N2026</f>
        <v>141063.16721608385</v>
      </c>
      <c r="O126" s="5">
        <f>Intv_Ann_TO!O2026</f>
        <v>141063.16721608385</v>
      </c>
    </row>
    <row r="127" spans="4:15" s="322" customFormat="1" outlineLevel="1" x14ac:dyDescent="0.2">
      <c r="D127" s="640" t="str">
        <f>Intv_Ann_TO!D2027</f>
        <v>Muchinga</v>
      </c>
      <c r="J127" s="5">
        <f>Intv_Ann_TO!J2027</f>
        <v>0</v>
      </c>
      <c r="K127" s="5">
        <f>Intv_Ann_TO!K2027</f>
        <v>0</v>
      </c>
      <c r="L127" s="5">
        <f>Intv_Ann_TO!L2027</f>
        <v>0</v>
      </c>
      <c r="M127" s="5">
        <f>Intv_Ann_TO!M2027</f>
        <v>0</v>
      </c>
      <c r="N127" s="5">
        <f>Intv_Ann_TO!N2027</f>
        <v>0</v>
      </c>
      <c r="O127" s="5">
        <f>Intv_Ann_TO!O2027</f>
        <v>0</v>
      </c>
    </row>
    <row r="128" spans="4:15" s="322" customFormat="1" outlineLevel="1" x14ac:dyDescent="0.2">
      <c r="D128" s="640" t="str">
        <f>Intv_Ann_TO!D2028</f>
        <v>Northern</v>
      </c>
      <c r="J128" s="5">
        <f>Intv_Ann_TO!J2028</f>
        <v>0</v>
      </c>
      <c r="K128" s="5">
        <f>Intv_Ann_TO!K2028</f>
        <v>0</v>
      </c>
      <c r="L128" s="5">
        <f>Intv_Ann_TO!L2028</f>
        <v>0</v>
      </c>
      <c r="M128" s="5">
        <f>Intv_Ann_TO!M2028</f>
        <v>0</v>
      </c>
      <c r="N128" s="5">
        <f>Intv_Ann_TO!N2028</f>
        <v>0</v>
      </c>
      <c r="O128" s="5">
        <f>Intv_Ann_TO!O2028</f>
        <v>0</v>
      </c>
    </row>
    <row r="129" spans="3:15" s="322" customFormat="1" outlineLevel="1" x14ac:dyDescent="0.2">
      <c r="D129" s="640" t="str">
        <f>Intv_Ann_TO!D2029</f>
        <v>North-Western</v>
      </c>
      <c r="J129" s="5">
        <f>Intv_Ann_TO!J2029</f>
        <v>0</v>
      </c>
      <c r="K129" s="5">
        <f>Intv_Ann_TO!K2029</f>
        <v>0</v>
      </c>
      <c r="L129" s="5">
        <f>Intv_Ann_TO!L2029</f>
        <v>0</v>
      </c>
      <c r="M129" s="5">
        <f>Intv_Ann_TO!M2029</f>
        <v>0</v>
      </c>
      <c r="N129" s="5">
        <f>Intv_Ann_TO!N2029</f>
        <v>0</v>
      </c>
      <c r="O129" s="5">
        <f>Intv_Ann_TO!O2029</f>
        <v>0</v>
      </c>
    </row>
    <row r="130" spans="3:15" s="322" customFormat="1" outlineLevel="1" x14ac:dyDescent="0.2">
      <c r="D130" s="640" t="str">
        <f>Intv_Ann_TO!D2030</f>
        <v>Southern</v>
      </c>
      <c r="J130" s="5">
        <f>Intv_Ann_TO!J2030</f>
        <v>0</v>
      </c>
      <c r="K130" s="5">
        <f>Intv_Ann_TO!K2030</f>
        <v>0</v>
      </c>
      <c r="L130" s="5">
        <f>Intv_Ann_TO!L2030</f>
        <v>0</v>
      </c>
      <c r="M130" s="5">
        <f>Intv_Ann_TO!M2030</f>
        <v>0</v>
      </c>
      <c r="N130" s="5">
        <f>Intv_Ann_TO!N2030</f>
        <v>141063.16721608385</v>
      </c>
      <c r="O130" s="5">
        <f>Intv_Ann_TO!O2030</f>
        <v>141063.16721608385</v>
      </c>
    </row>
    <row r="131" spans="3:15" s="322" customFormat="1" outlineLevel="1" x14ac:dyDescent="0.2">
      <c r="D131" s="640" t="str">
        <f>Intv_Ann_TO!D2031</f>
        <v>Western</v>
      </c>
      <c r="J131" s="5">
        <f>Intv_Ann_TO!J2031</f>
        <v>0</v>
      </c>
      <c r="K131" s="5">
        <f>Intv_Ann_TO!K2031</f>
        <v>0</v>
      </c>
      <c r="L131" s="5">
        <f>Intv_Ann_TO!L2031</f>
        <v>0</v>
      </c>
      <c r="M131" s="5">
        <f>Intv_Ann_TO!M2031</f>
        <v>0</v>
      </c>
      <c r="N131" s="5">
        <f>Intv_Ann_TO!N2031</f>
        <v>0</v>
      </c>
      <c r="O131" s="5">
        <f>Intv_Ann_TO!O2031</f>
        <v>0</v>
      </c>
    </row>
    <row r="132" spans="3:15" s="322" customFormat="1" ht="15.75" thickBot="1" x14ac:dyDescent="0.25">
      <c r="D132" s="642" t="str">
        <f>"Total "&amp;D121</f>
        <v>Total Economic Capital Expenditures (Capex) (Annualized)</v>
      </c>
      <c r="J132" s="624">
        <f t="shared" ref="J132:O132" si="14">SUM(J122:J131)</f>
        <v>141063.16721608385</v>
      </c>
      <c r="K132" s="624">
        <f t="shared" si="14"/>
        <v>141063.16721608385</v>
      </c>
      <c r="L132" s="624">
        <f t="shared" si="14"/>
        <v>141063.16721608385</v>
      </c>
      <c r="M132" s="624">
        <f t="shared" si="14"/>
        <v>141063.16721608385</v>
      </c>
      <c r="N132" s="624">
        <f t="shared" si="14"/>
        <v>423189.50164825155</v>
      </c>
      <c r="O132" s="624">
        <f t="shared" si="14"/>
        <v>423189.50164825155</v>
      </c>
    </row>
    <row r="133" spans="3:15" s="322" customFormat="1" ht="13.5" thickTop="1" x14ac:dyDescent="0.2"/>
    <row r="134" spans="3:15" s="322" customFormat="1" x14ac:dyDescent="0.2"/>
    <row r="135" spans="3:15" s="322" customFormat="1" ht="15.75" x14ac:dyDescent="0.2">
      <c r="C135" s="330" t="s">
        <v>1937</v>
      </c>
    </row>
    <row r="136" spans="3:15" s="322" customFormat="1" ht="15.75" thickBot="1" x14ac:dyDescent="0.25">
      <c r="D136" s="638" t="s">
        <v>1941</v>
      </c>
      <c r="J136" s="624">
        <f t="shared" ref="J136:O136" ca="1" si="15">J65+J106</f>
        <v>130487.09248000001</v>
      </c>
      <c r="K136" s="624">
        <f t="shared" ca="1" si="15"/>
        <v>130487.09248000001</v>
      </c>
      <c r="L136" s="624">
        <f t="shared" ca="1" si="15"/>
        <v>130487.09248000001</v>
      </c>
      <c r="M136" s="624">
        <f t="shared" ca="1" si="15"/>
        <v>130487.09248000001</v>
      </c>
      <c r="N136" s="624">
        <f t="shared" ca="1" si="15"/>
        <v>382070.23213999998</v>
      </c>
      <c r="O136" s="624">
        <f t="shared" ca="1" si="15"/>
        <v>382070.23213999998</v>
      </c>
    </row>
    <row r="137" spans="3:15" s="322" customFormat="1" ht="13.5" thickTop="1" x14ac:dyDescent="0.2"/>
    <row r="138" spans="3:15" s="322" customFormat="1" ht="15.75" thickBot="1" x14ac:dyDescent="0.25">
      <c r="D138" s="638" t="s">
        <v>1942</v>
      </c>
      <c r="J138" s="624">
        <f t="shared" ref="J138:O138" ca="1" si="16">J78+J132</f>
        <v>198221.24203126659</v>
      </c>
      <c r="K138" s="624">
        <f t="shared" ca="1" si="16"/>
        <v>198221.24203126659</v>
      </c>
      <c r="L138" s="624">
        <f t="shared" ca="1" si="16"/>
        <v>198221.24203126659</v>
      </c>
      <c r="M138" s="624">
        <f t="shared" ca="1" si="16"/>
        <v>198221.24203126659</v>
      </c>
      <c r="N138" s="624">
        <f t="shared" ca="1" si="16"/>
        <v>480598.26977402717</v>
      </c>
      <c r="O138" s="624">
        <f t="shared" ca="1" si="16"/>
        <v>480598.26977402717</v>
      </c>
    </row>
    <row r="139" spans="3:15" s="322" customFormat="1" ht="13.5" thickTop="1" x14ac:dyDescent="0.2"/>
    <row r="140" spans="3:15" s="327" customFormat="1" x14ac:dyDescent="0.2"/>
    <row r="141" spans="3:15" s="327" customFormat="1" x14ac:dyDescent="0.2">
      <c r="C141" s="716" t="str">
        <f>"Go to "&amp;HL_Intv_4_Ass</f>
        <v>Go to Radiotherapy</v>
      </c>
      <c r="D141" s="716"/>
      <c r="E141" s="716"/>
      <c r="F141" s="716"/>
      <c r="G141" s="716"/>
      <c r="H141" s="716"/>
      <c r="I141" s="716"/>
    </row>
    <row r="142" spans="3:15" s="327" customFormat="1" x14ac:dyDescent="0.2">
      <c r="C142" s="716" t="str">
        <f>"Go to "&amp;HL_Intv_4_Ann_Ass</f>
        <v>Go to Intervention Services - Annual Assumptions</v>
      </c>
      <c r="D142" s="716"/>
      <c r="E142" s="716"/>
      <c r="F142" s="716"/>
      <c r="G142" s="716"/>
      <c r="H142" s="716"/>
      <c r="I142" s="716"/>
    </row>
    <row r="143" spans="3:15" s="327" customFormat="1" x14ac:dyDescent="0.2">
      <c r="C143" s="716" t="str">
        <f>"Go to "&amp;HL_Intv_4_Out</f>
        <v>Go to Radiotherapy</v>
      </c>
      <c r="D143" s="716"/>
      <c r="E143" s="716"/>
      <c r="F143" s="716"/>
      <c r="G143" s="716"/>
      <c r="H143" s="716"/>
      <c r="I143" s="716"/>
    </row>
    <row r="144" spans="3:15" s="327" customFormat="1" x14ac:dyDescent="0.2">
      <c r="C144" s="716" t="str">
        <f>"Go to "&amp;HL_Intv_4_Out_Sum</f>
        <v>Go to Radiotherapy - Outputs Summary</v>
      </c>
      <c r="D144" s="716"/>
      <c r="E144" s="716"/>
      <c r="F144" s="716"/>
      <c r="G144" s="716"/>
      <c r="H144" s="716"/>
      <c r="I144" s="716"/>
    </row>
  </sheetData>
  <sheetProtection password="F0F4" sheet="1" scenarios="1"/>
  <mergeCells count="5">
    <mergeCell ref="C143:I143"/>
    <mergeCell ref="C144:I144"/>
    <mergeCell ref="B3:F3"/>
    <mergeCell ref="C141:I141"/>
    <mergeCell ref="C142:I142"/>
  </mergeCells>
  <hyperlinks>
    <hyperlink ref="C141:I141" location="HL_Intv_4_Ass" tooltip="Click to follow hyperlink." display="HL_Intv_4_Ass"/>
    <hyperlink ref="C142:I142" location="HL_Intv_4_Ann_Ass" tooltip="Click to follow hyperlink." display="HL_Intv_4_Ann_Ass"/>
    <hyperlink ref="C143:I143" location="HL_Intv_4_Out" tooltip="Click to follow hyperlink." display="HL_Intv_4_Out"/>
    <hyperlink ref="C144:I144" location="HL_Intv_4_Out_Sum" tooltip="Click to follow hyperlink." display="HL_Intv_4_Out_Sum"/>
    <hyperlink ref="A4" location="$A$10" tooltip="Go to Top of Sheet" display="$A$10"/>
    <hyperlink ref="B4" location="HL_Sheet_Main_83" tooltip="Go to Previous Sheet" display="HL_Sheet_Main_83"/>
    <hyperlink ref="C4" location="HL_Sheet_Main_85" tooltip="Go to Next Sheet" display="HL_Sheet_Main_85"/>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06"/>
  <sheetViews>
    <sheetView showGridLines="0" zoomScaleNormal="100" workbookViewId="0">
      <pane ySplit="9" topLeftCell="A40" activePane="bottomLeft" state="frozen"/>
      <selection pane="bottomLeft" activeCell="F4" sqref="F4"/>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1962</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hidden="1" outlineLevel="2" x14ac:dyDescent="0.2">
      <c r="B6" s="636" t="s">
        <v>70</v>
      </c>
      <c r="C6" s="327"/>
      <c r="D6" s="327"/>
      <c r="E6" s="327"/>
      <c r="F6" s="327"/>
      <c r="G6" s="327"/>
      <c r="H6" s="327"/>
      <c r="I6" s="327"/>
      <c r="J6" s="4">
        <f t="shared" ref="J6:O6" si="1">EDATE(TS_Start_Date,(J8-1)*TS_Mths_In_Yr)</f>
        <v>42005</v>
      </c>
      <c r="K6" s="4">
        <f t="shared" si="1"/>
        <v>42370</v>
      </c>
      <c r="L6" s="4">
        <f t="shared" si="1"/>
        <v>42736</v>
      </c>
      <c r="M6" s="4">
        <f t="shared" si="1"/>
        <v>43101</v>
      </c>
      <c r="N6" s="4">
        <f t="shared" si="1"/>
        <v>43466</v>
      </c>
      <c r="O6" s="4">
        <f t="shared" si="1"/>
        <v>43831</v>
      </c>
    </row>
    <row r="7" spans="1:15" hidden="1" outlineLevel="2" x14ac:dyDescent="0.2">
      <c r="B7" s="636" t="s">
        <v>71</v>
      </c>
      <c r="C7" s="327"/>
      <c r="D7" s="327"/>
      <c r="E7" s="327"/>
      <c r="F7" s="327"/>
      <c r="G7" s="327"/>
      <c r="H7" s="327"/>
      <c r="I7" s="327"/>
      <c r="J7" s="4">
        <f t="shared" ref="J7:O7" si="2">EDATE(J6,TS_Mths_In_Yr)-1</f>
        <v>42369</v>
      </c>
      <c r="K7" s="4">
        <f t="shared" si="2"/>
        <v>42735</v>
      </c>
      <c r="L7" s="4">
        <f t="shared" si="2"/>
        <v>43100</v>
      </c>
      <c r="M7" s="4">
        <f t="shared" si="2"/>
        <v>43465</v>
      </c>
      <c r="N7" s="4">
        <f t="shared" si="2"/>
        <v>43830</v>
      </c>
      <c r="O7" s="4">
        <f t="shared" si="2"/>
        <v>44196</v>
      </c>
    </row>
    <row r="8" spans="1:15" hidden="1" outlineLevel="2" x14ac:dyDescent="0.2">
      <c r="B8" s="636" t="s">
        <v>72</v>
      </c>
      <c r="C8" s="327"/>
      <c r="D8" s="327"/>
      <c r="E8" s="327"/>
      <c r="F8" s="327"/>
      <c r="G8" s="327"/>
      <c r="H8" s="327"/>
      <c r="I8" s="327"/>
      <c r="J8" s="5">
        <f>COLUMNS($J8:J8)</f>
        <v>1</v>
      </c>
      <c r="K8" s="5">
        <f>COLUMNS($J8:K8)</f>
        <v>2</v>
      </c>
      <c r="L8" s="5">
        <f>COLUMNS($J8:L8)</f>
        <v>3</v>
      </c>
      <c r="M8" s="5">
        <f>COLUMNS($J8:M8)</f>
        <v>4</v>
      </c>
      <c r="N8" s="5">
        <f>COLUMNS($J8:N8)</f>
        <v>5</v>
      </c>
      <c r="O8" s="5">
        <f>COLUMNS($J8:O8)</f>
        <v>6</v>
      </c>
    </row>
    <row r="9" spans="1:15"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329" t="s">
        <v>1962</v>
      </c>
    </row>
    <row r="13" spans="1:15" s="327" customFormat="1" x14ac:dyDescent="0.2"/>
    <row r="14" spans="1:15" s="327" customFormat="1" ht="18.75" x14ac:dyDescent="0.2">
      <c r="B14" s="329" t="s">
        <v>1900</v>
      </c>
    </row>
    <row r="15" spans="1:15" s="327" customFormat="1" ht="15.75" x14ac:dyDescent="0.2">
      <c r="C15" s="330" t="s">
        <v>1894</v>
      </c>
    </row>
    <row r="16" spans="1:15" s="327" customFormat="1" ht="15.75" x14ac:dyDescent="0.2">
      <c r="C16" s="18" t="str">
        <f>Intv_Ann_TO!D2226</f>
        <v>Total Active Facilities Offering PALL</v>
      </c>
    </row>
    <row r="17" spans="3:15" s="327" customFormat="1" outlineLevel="1" x14ac:dyDescent="0.2">
      <c r="C17" s="640" t="str">
        <f>Intv_Ann_TO!D2227</f>
        <v>Central</v>
      </c>
      <c r="J17" s="5">
        <f>Intv_Ann_TO!J2227</f>
        <v>0</v>
      </c>
      <c r="K17" s="5">
        <f>Intv_Ann_TO!K2227</f>
        <v>1</v>
      </c>
      <c r="L17" s="5">
        <f>Intv_Ann_TO!L2227</f>
        <v>2</v>
      </c>
      <c r="M17" s="5">
        <f>Intv_Ann_TO!M2227</f>
        <v>3</v>
      </c>
      <c r="N17" s="5">
        <f>Intv_Ann_TO!N2227</f>
        <v>4</v>
      </c>
      <c r="O17" s="5">
        <f>Intv_Ann_TO!O2227</f>
        <v>5</v>
      </c>
    </row>
    <row r="18" spans="3:15" s="327" customFormat="1" outlineLevel="1" x14ac:dyDescent="0.2">
      <c r="C18" s="640" t="str">
        <f>Intv_Ann_TO!D2228</f>
        <v>Copperbelt</v>
      </c>
      <c r="J18" s="5">
        <f>Intv_Ann_TO!J2228</f>
        <v>1</v>
      </c>
      <c r="K18" s="5">
        <f>Intv_Ann_TO!K2228</f>
        <v>2</v>
      </c>
      <c r="L18" s="5">
        <f>Intv_Ann_TO!L2228</f>
        <v>2</v>
      </c>
      <c r="M18" s="5">
        <f>Intv_Ann_TO!M2228</f>
        <v>2</v>
      </c>
      <c r="N18" s="5">
        <f>Intv_Ann_TO!N2228</f>
        <v>2</v>
      </c>
      <c r="O18" s="5">
        <f>Intv_Ann_TO!O2228</f>
        <v>2</v>
      </c>
    </row>
    <row r="19" spans="3:15" s="327" customFormat="1" outlineLevel="1" x14ac:dyDescent="0.2">
      <c r="C19" s="640" t="str">
        <f>Intv_Ann_TO!D2229</f>
        <v>Eastern</v>
      </c>
      <c r="J19" s="5">
        <f>Intv_Ann_TO!J2229</f>
        <v>0</v>
      </c>
      <c r="K19" s="5">
        <f>Intv_Ann_TO!K2229</f>
        <v>1</v>
      </c>
      <c r="L19" s="5">
        <f>Intv_Ann_TO!L2229</f>
        <v>2</v>
      </c>
      <c r="M19" s="5">
        <f>Intv_Ann_TO!M2229</f>
        <v>3</v>
      </c>
      <c r="N19" s="5">
        <f>Intv_Ann_TO!N2229</f>
        <v>4</v>
      </c>
      <c r="O19" s="5">
        <f>Intv_Ann_TO!O2229</f>
        <v>5</v>
      </c>
    </row>
    <row r="20" spans="3:15" s="327" customFormat="1" outlineLevel="1" x14ac:dyDescent="0.2">
      <c r="C20" s="640" t="str">
        <f>Intv_Ann_TO!D2230</f>
        <v>Luapula</v>
      </c>
      <c r="J20" s="5">
        <f>Intv_Ann_TO!J2230</f>
        <v>0</v>
      </c>
      <c r="K20" s="5">
        <f>Intv_Ann_TO!K2230</f>
        <v>1</v>
      </c>
      <c r="L20" s="5">
        <f>Intv_Ann_TO!L2230</f>
        <v>2</v>
      </c>
      <c r="M20" s="5">
        <f>Intv_Ann_TO!M2230</f>
        <v>3</v>
      </c>
      <c r="N20" s="5">
        <f>Intv_Ann_TO!N2230</f>
        <v>4</v>
      </c>
      <c r="O20" s="5">
        <f>Intv_Ann_TO!O2230</f>
        <v>5</v>
      </c>
    </row>
    <row r="21" spans="3:15" s="327" customFormat="1" outlineLevel="1" x14ac:dyDescent="0.2">
      <c r="C21" s="640" t="str">
        <f>Intv_Ann_TO!D2231</f>
        <v>Lusaka</v>
      </c>
      <c r="J21" s="5">
        <f>Intv_Ann_TO!J2231</f>
        <v>2</v>
      </c>
      <c r="K21" s="5">
        <f>Intv_Ann_TO!K2231</f>
        <v>3</v>
      </c>
      <c r="L21" s="5">
        <f>Intv_Ann_TO!L2231</f>
        <v>4</v>
      </c>
      <c r="M21" s="5">
        <f>Intv_Ann_TO!M2231</f>
        <v>5</v>
      </c>
      <c r="N21" s="5">
        <f>Intv_Ann_TO!N2231</f>
        <v>6</v>
      </c>
      <c r="O21" s="5">
        <f>Intv_Ann_TO!O2231</f>
        <v>7</v>
      </c>
    </row>
    <row r="22" spans="3:15" s="327" customFormat="1" outlineLevel="1" x14ac:dyDescent="0.2">
      <c r="C22" s="640" t="str">
        <f>Intv_Ann_TO!D2232</f>
        <v>Muchinga</v>
      </c>
      <c r="J22" s="5">
        <f>Intv_Ann_TO!J2232</f>
        <v>0</v>
      </c>
      <c r="K22" s="5">
        <f>Intv_Ann_TO!K2232</f>
        <v>1</v>
      </c>
      <c r="L22" s="5">
        <f>Intv_Ann_TO!L2232</f>
        <v>2</v>
      </c>
      <c r="M22" s="5">
        <f>Intv_Ann_TO!M2232</f>
        <v>3</v>
      </c>
      <c r="N22" s="5">
        <f>Intv_Ann_TO!N2232</f>
        <v>4</v>
      </c>
      <c r="O22" s="5">
        <f>Intv_Ann_TO!O2232</f>
        <v>5</v>
      </c>
    </row>
    <row r="23" spans="3:15" s="327" customFormat="1" outlineLevel="1" x14ac:dyDescent="0.2">
      <c r="C23" s="640" t="str">
        <f>Intv_Ann_TO!D2233</f>
        <v>Northern</v>
      </c>
      <c r="J23" s="5">
        <f>Intv_Ann_TO!J2233</f>
        <v>0</v>
      </c>
      <c r="K23" s="5">
        <f>Intv_Ann_TO!K2233</f>
        <v>1</v>
      </c>
      <c r="L23" s="5">
        <f>Intv_Ann_TO!L2233</f>
        <v>2</v>
      </c>
      <c r="M23" s="5">
        <f>Intv_Ann_TO!M2233</f>
        <v>3</v>
      </c>
      <c r="N23" s="5">
        <f>Intv_Ann_TO!N2233</f>
        <v>4</v>
      </c>
      <c r="O23" s="5">
        <f>Intv_Ann_TO!O2233</f>
        <v>5</v>
      </c>
    </row>
    <row r="24" spans="3:15" s="327" customFormat="1" outlineLevel="1" x14ac:dyDescent="0.2">
      <c r="C24" s="640" t="str">
        <f>Intv_Ann_TO!D2234</f>
        <v>North-Western</v>
      </c>
      <c r="J24" s="5">
        <f>Intv_Ann_TO!J2234</f>
        <v>0</v>
      </c>
      <c r="K24" s="5">
        <f>Intv_Ann_TO!K2234</f>
        <v>1</v>
      </c>
      <c r="L24" s="5">
        <f>Intv_Ann_TO!L2234</f>
        <v>2</v>
      </c>
      <c r="M24" s="5">
        <f>Intv_Ann_TO!M2234</f>
        <v>3</v>
      </c>
      <c r="N24" s="5">
        <f>Intv_Ann_TO!N2234</f>
        <v>4</v>
      </c>
      <c r="O24" s="5">
        <f>Intv_Ann_TO!O2234</f>
        <v>5</v>
      </c>
    </row>
    <row r="25" spans="3:15" s="327" customFormat="1" outlineLevel="1" x14ac:dyDescent="0.2">
      <c r="C25" s="640" t="str">
        <f>Intv_Ann_TO!D2235</f>
        <v>Southern</v>
      </c>
      <c r="J25" s="5">
        <f>Intv_Ann_TO!J2235</f>
        <v>2</v>
      </c>
      <c r="K25" s="5">
        <f>Intv_Ann_TO!K2235</f>
        <v>3</v>
      </c>
      <c r="L25" s="5">
        <f>Intv_Ann_TO!L2235</f>
        <v>4</v>
      </c>
      <c r="M25" s="5">
        <f>Intv_Ann_TO!M2235</f>
        <v>5</v>
      </c>
      <c r="N25" s="5">
        <f>Intv_Ann_TO!N2235</f>
        <v>6</v>
      </c>
      <c r="O25" s="5">
        <f>Intv_Ann_TO!O2235</f>
        <v>7</v>
      </c>
    </row>
    <row r="26" spans="3:15" s="327" customFormat="1" outlineLevel="1" x14ac:dyDescent="0.2">
      <c r="C26" s="640" t="str">
        <f>Intv_Ann_TO!D2236</f>
        <v>Western</v>
      </c>
      <c r="J26" s="5">
        <f>Intv_Ann_TO!J2236</f>
        <v>0</v>
      </c>
      <c r="K26" s="5">
        <f>Intv_Ann_TO!K2236</f>
        <v>1</v>
      </c>
      <c r="L26" s="5">
        <f>Intv_Ann_TO!L2236</f>
        <v>2</v>
      </c>
      <c r="M26" s="5">
        <f>Intv_Ann_TO!M2236</f>
        <v>3</v>
      </c>
      <c r="N26" s="5">
        <f>Intv_Ann_TO!N2236</f>
        <v>4</v>
      </c>
      <c r="O26" s="5">
        <f>Intv_Ann_TO!O2236</f>
        <v>5</v>
      </c>
    </row>
    <row r="27" spans="3:15" s="327" customFormat="1" ht="15.75" thickBot="1" x14ac:dyDescent="0.25">
      <c r="C27" s="641" t="str">
        <f>C16</f>
        <v>Total Active Facilities Offering PALL</v>
      </c>
      <c r="J27" s="650">
        <f t="shared" ref="J27:O27" si="4">SUM(J17:J26)</f>
        <v>5</v>
      </c>
      <c r="K27" s="650">
        <f t="shared" si="4"/>
        <v>15</v>
      </c>
      <c r="L27" s="650">
        <f t="shared" si="4"/>
        <v>24</v>
      </c>
      <c r="M27" s="650">
        <f t="shared" si="4"/>
        <v>33</v>
      </c>
      <c r="N27" s="650">
        <f t="shared" si="4"/>
        <v>42</v>
      </c>
      <c r="O27" s="650">
        <f t="shared" si="4"/>
        <v>51</v>
      </c>
    </row>
    <row r="28" spans="3:15" s="327" customFormat="1" ht="13.5" thickTop="1" x14ac:dyDescent="0.2"/>
    <row r="29" spans="3:15" s="327" customFormat="1" ht="15.75" x14ac:dyDescent="0.2">
      <c r="C29" s="330" t="s">
        <v>102</v>
      </c>
    </row>
    <row r="30" spans="3:15" s="327" customFormat="1" ht="15.75" x14ac:dyDescent="0.2">
      <c r="C30" s="18" t="str">
        <f>Intv_Ann_TO!D2254</f>
        <v>Maximum Procedures</v>
      </c>
    </row>
    <row r="31" spans="3:15" s="327" customFormat="1" outlineLevel="1" x14ac:dyDescent="0.2">
      <c r="C31" s="640" t="str">
        <f>Intv_Ann_TO!D2255</f>
        <v>Central</v>
      </c>
      <c r="J31" s="5">
        <f>Intv_Ann_TO!J2255</f>
        <v>0</v>
      </c>
      <c r="K31" s="5">
        <f>Intv_Ann_TO!K2255</f>
        <v>0</v>
      </c>
      <c r="L31" s="5">
        <f>Intv_Ann_TO!L2255</f>
        <v>0</v>
      </c>
      <c r="M31" s="5">
        <f>Intv_Ann_TO!M2255</f>
        <v>0</v>
      </c>
      <c r="N31" s="5">
        <f>Intv_Ann_TO!N2255</f>
        <v>0</v>
      </c>
      <c r="O31" s="5">
        <f>Intv_Ann_TO!O2255</f>
        <v>0</v>
      </c>
    </row>
    <row r="32" spans="3:15" s="327" customFormat="1" outlineLevel="1" x14ac:dyDescent="0.2">
      <c r="C32" s="640" t="str">
        <f>Intv_Ann_TO!D2256</f>
        <v>Copperbelt</v>
      </c>
      <c r="J32" s="5">
        <f>Intv_Ann_TO!J2256</f>
        <v>704</v>
      </c>
      <c r="K32" s="5">
        <f>Intv_Ann_TO!K2256</f>
        <v>704</v>
      </c>
      <c r="L32" s="5">
        <f>Intv_Ann_TO!L2256</f>
        <v>704</v>
      </c>
      <c r="M32" s="5">
        <f>Intv_Ann_TO!M2256</f>
        <v>704</v>
      </c>
      <c r="N32" s="5">
        <f>Intv_Ann_TO!N2256</f>
        <v>704</v>
      </c>
      <c r="O32" s="5">
        <f>Intv_Ann_TO!O2256</f>
        <v>704</v>
      </c>
    </row>
    <row r="33" spans="1:15" s="327" customFormat="1" outlineLevel="1" x14ac:dyDescent="0.2">
      <c r="C33" s="640" t="str">
        <f>Intv_Ann_TO!D2257</f>
        <v>Eastern</v>
      </c>
      <c r="J33" s="5">
        <f>Intv_Ann_TO!J2257</f>
        <v>0</v>
      </c>
      <c r="K33" s="5">
        <f>Intv_Ann_TO!K2257</f>
        <v>0</v>
      </c>
      <c r="L33" s="5">
        <f>Intv_Ann_TO!L2257</f>
        <v>0</v>
      </c>
      <c r="M33" s="5">
        <f>Intv_Ann_TO!M2257</f>
        <v>0</v>
      </c>
      <c r="N33" s="5">
        <f>Intv_Ann_TO!N2257</f>
        <v>0</v>
      </c>
      <c r="O33" s="5">
        <f>Intv_Ann_TO!O2257</f>
        <v>0</v>
      </c>
    </row>
    <row r="34" spans="1:15" s="327" customFormat="1" outlineLevel="1" x14ac:dyDescent="0.2">
      <c r="C34" s="640" t="str">
        <f>Intv_Ann_TO!D2258</f>
        <v>Luapula</v>
      </c>
      <c r="J34" s="5">
        <f>Intv_Ann_TO!J2258</f>
        <v>0</v>
      </c>
      <c r="K34" s="5">
        <f>Intv_Ann_TO!K2258</f>
        <v>0</v>
      </c>
      <c r="L34" s="5">
        <f>Intv_Ann_TO!L2258</f>
        <v>0</v>
      </c>
      <c r="M34" s="5">
        <f>Intv_Ann_TO!M2258</f>
        <v>0</v>
      </c>
      <c r="N34" s="5">
        <f>Intv_Ann_TO!N2258</f>
        <v>0</v>
      </c>
      <c r="O34" s="5">
        <f>Intv_Ann_TO!O2258</f>
        <v>0</v>
      </c>
    </row>
    <row r="35" spans="1:15" s="327" customFormat="1" outlineLevel="1" x14ac:dyDescent="0.2">
      <c r="C35" s="640" t="str">
        <f>Intv_Ann_TO!D2259</f>
        <v>Lusaka</v>
      </c>
      <c r="J35" s="5">
        <f>Intv_Ann_TO!J2259</f>
        <v>1408</v>
      </c>
      <c r="K35" s="5">
        <f>Intv_Ann_TO!K2259</f>
        <v>1408</v>
      </c>
      <c r="L35" s="5">
        <f>Intv_Ann_TO!L2259</f>
        <v>1408</v>
      </c>
      <c r="M35" s="5">
        <f>Intv_Ann_TO!M2259</f>
        <v>1408</v>
      </c>
      <c r="N35" s="5">
        <f>Intv_Ann_TO!N2259</f>
        <v>1408</v>
      </c>
      <c r="O35" s="5">
        <f>Intv_Ann_TO!O2259</f>
        <v>1408</v>
      </c>
    </row>
    <row r="36" spans="1:15" s="327" customFormat="1" outlineLevel="1" x14ac:dyDescent="0.2">
      <c r="C36" s="640" t="str">
        <f>Intv_Ann_TO!D2260</f>
        <v>Muchinga</v>
      </c>
      <c r="J36" s="5">
        <f>Intv_Ann_TO!J2260</f>
        <v>0</v>
      </c>
      <c r="K36" s="5">
        <f>Intv_Ann_TO!K2260</f>
        <v>0</v>
      </c>
      <c r="L36" s="5">
        <f>Intv_Ann_TO!L2260</f>
        <v>0</v>
      </c>
      <c r="M36" s="5">
        <f>Intv_Ann_TO!M2260</f>
        <v>0</v>
      </c>
      <c r="N36" s="5">
        <f>Intv_Ann_TO!N2260</f>
        <v>0</v>
      </c>
      <c r="O36" s="5">
        <f>Intv_Ann_TO!O2260</f>
        <v>0</v>
      </c>
    </row>
    <row r="37" spans="1:15" s="327" customFormat="1" outlineLevel="1" x14ac:dyDescent="0.2">
      <c r="C37" s="640" t="str">
        <f>Intv_Ann_TO!D2261</f>
        <v>Northern</v>
      </c>
      <c r="J37" s="5">
        <f>Intv_Ann_TO!J2261</f>
        <v>0</v>
      </c>
      <c r="K37" s="5">
        <f>Intv_Ann_TO!K2261</f>
        <v>0</v>
      </c>
      <c r="L37" s="5">
        <f>Intv_Ann_TO!L2261</f>
        <v>0</v>
      </c>
      <c r="M37" s="5">
        <f>Intv_Ann_TO!M2261</f>
        <v>0</v>
      </c>
      <c r="N37" s="5">
        <f>Intv_Ann_TO!N2261</f>
        <v>0</v>
      </c>
      <c r="O37" s="5">
        <f>Intv_Ann_TO!O2261</f>
        <v>0</v>
      </c>
    </row>
    <row r="38" spans="1:15" s="327" customFormat="1" outlineLevel="1" x14ac:dyDescent="0.2">
      <c r="C38" s="640" t="str">
        <f>Intv_Ann_TO!D2262</f>
        <v>North-Western</v>
      </c>
      <c r="J38" s="5">
        <f>Intv_Ann_TO!J2262</f>
        <v>0</v>
      </c>
      <c r="K38" s="5">
        <f>Intv_Ann_TO!K2262</f>
        <v>0</v>
      </c>
      <c r="L38" s="5">
        <f>Intv_Ann_TO!L2262</f>
        <v>0</v>
      </c>
      <c r="M38" s="5">
        <f>Intv_Ann_TO!M2262</f>
        <v>0</v>
      </c>
      <c r="N38" s="5">
        <f>Intv_Ann_TO!N2262</f>
        <v>0</v>
      </c>
      <c r="O38" s="5">
        <f>Intv_Ann_TO!O2262</f>
        <v>0</v>
      </c>
    </row>
    <row r="39" spans="1:15" s="327" customFormat="1" outlineLevel="1" x14ac:dyDescent="0.2">
      <c r="C39" s="640" t="str">
        <f>Intv_Ann_TO!D2263</f>
        <v>Southern</v>
      </c>
      <c r="J39" s="5">
        <f>Intv_Ann_TO!J2263</f>
        <v>704</v>
      </c>
      <c r="K39" s="5">
        <f>Intv_Ann_TO!K2263</f>
        <v>704</v>
      </c>
      <c r="L39" s="5">
        <f>Intv_Ann_TO!L2263</f>
        <v>704</v>
      </c>
      <c r="M39" s="5">
        <f>Intv_Ann_TO!M2263</f>
        <v>704</v>
      </c>
      <c r="N39" s="5">
        <f>Intv_Ann_TO!N2263</f>
        <v>704</v>
      </c>
      <c r="O39" s="5">
        <f>Intv_Ann_TO!O2263</f>
        <v>704</v>
      </c>
    </row>
    <row r="40" spans="1:15" s="327" customFormat="1" outlineLevel="1" x14ac:dyDescent="0.2">
      <c r="C40" s="640" t="str">
        <f>Intv_Ann_TO!D2264</f>
        <v>Western</v>
      </c>
      <c r="J40" s="5">
        <f>Intv_Ann_TO!J2264</f>
        <v>0</v>
      </c>
      <c r="K40" s="5">
        <f>Intv_Ann_TO!K2264</f>
        <v>0</v>
      </c>
      <c r="L40" s="5">
        <f>Intv_Ann_TO!L2264</f>
        <v>0</v>
      </c>
      <c r="M40" s="5">
        <f>Intv_Ann_TO!M2264</f>
        <v>0</v>
      </c>
      <c r="N40" s="5">
        <f>Intv_Ann_TO!N2264</f>
        <v>0</v>
      </c>
      <c r="O40" s="5">
        <f>Intv_Ann_TO!O2264</f>
        <v>0</v>
      </c>
    </row>
    <row r="41" spans="1:15" s="327" customFormat="1" ht="15.75" thickBot="1" x14ac:dyDescent="0.25">
      <c r="C41" s="642" t="str">
        <f>"Total "&amp;C30</f>
        <v>Total Maximum Procedures</v>
      </c>
      <c r="J41" s="624">
        <f t="shared" ref="J41:O41" si="5">SUM(J31:J40)</f>
        <v>2816</v>
      </c>
      <c r="K41" s="624">
        <f t="shared" si="5"/>
        <v>2816</v>
      </c>
      <c r="L41" s="624">
        <f t="shared" si="5"/>
        <v>2816</v>
      </c>
      <c r="M41" s="624">
        <f t="shared" si="5"/>
        <v>2816</v>
      </c>
      <c r="N41" s="624">
        <f t="shared" si="5"/>
        <v>2816</v>
      </c>
      <c r="O41" s="624">
        <f t="shared" si="5"/>
        <v>2816</v>
      </c>
    </row>
    <row r="42" spans="1:15" s="327" customFormat="1" ht="13.5" thickTop="1" x14ac:dyDescent="0.2"/>
    <row r="43" spans="1:15" s="327" customFormat="1" ht="15" x14ac:dyDescent="0.2">
      <c r="A43" s="638" t="s">
        <v>1899</v>
      </c>
      <c r="I43" s="649" t="str">
        <f>IF(Intv_Ann_TA!H1157,"YES!","NO.")</f>
        <v>YES!</v>
      </c>
    </row>
    <row r="44" spans="1:15" s="327" customFormat="1" x14ac:dyDescent="0.2"/>
    <row r="45" spans="1:15" s="327" customFormat="1" ht="18.75" x14ac:dyDescent="0.2">
      <c r="B45" s="329" t="s">
        <v>1898</v>
      </c>
    </row>
    <row r="46" spans="1:15" s="327" customFormat="1" ht="15.75" x14ac:dyDescent="0.2">
      <c r="C46" s="330" t="s">
        <v>1970</v>
      </c>
    </row>
    <row r="47" spans="1:15" s="327" customFormat="1" outlineLevel="1" x14ac:dyDescent="0.2">
      <c r="C47" s="640" t="str">
        <f>Intv_Ann_TA!D1160</f>
        <v>Central</v>
      </c>
      <c r="J47" s="5">
        <f ca="1">Intv_Ann_TA!J1160*Intv_BA!$J$2954</f>
        <v>31.08156</v>
      </c>
      <c r="K47" s="5">
        <f ca="1">Intv_Ann_TA!K1160*Intv_BA!$J$2954</f>
        <v>31.08156</v>
      </c>
      <c r="L47" s="5">
        <f ca="1">Intv_Ann_TA!L1160*Intv_BA!$J$2954</f>
        <v>31.08156</v>
      </c>
      <c r="M47" s="5">
        <f ca="1">Intv_Ann_TA!M1160*Intv_BA!$J$2954</f>
        <v>31.08156</v>
      </c>
      <c r="N47" s="5">
        <f ca="1">Intv_Ann_TA!N1160*Intv_BA!$J$2954</f>
        <v>31.08156</v>
      </c>
      <c r="O47" s="5">
        <f ca="1">Intv_Ann_TA!O1160*Intv_BA!$J$2954</f>
        <v>31.08156</v>
      </c>
    </row>
    <row r="48" spans="1:15" s="327" customFormat="1" outlineLevel="1" x14ac:dyDescent="0.2">
      <c r="C48" s="640" t="str">
        <f>Intv_Ann_TA!D1161</f>
        <v>Copperbelt</v>
      </c>
      <c r="J48" s="5">
        <f ca="1">Intv_Ann_TA!J1161*Intv_BA!$J$2954</f>
        <v>43.647359999999999</v>
      </c>
      <c r="K48" s="5">
        <f ca="1">Intv_Ann_TA!K1161*Intv_BA!$J$2954</f>
        <v>43.647359999999999</v>
      </c>
      <c r="L48" s="5">
        <f ca="1">Intv_Ann_TA!L1161*Intv_BA!$J$2954</f>
        <v>43.647359999999999</v>
      </c>
      <c r="M48" s="5">
        <f ca="1">Intv_Ann_TA!M1161*Intv_BA!$J$2954</f>
        <v>43.647359999999999</v>
      </c>
      <c r="N48" s="5">
        <f ca="1">Intv_Ann_TA!N1161*Intv_BA!$J$2954</f>
        <v>43.647359999999999</v>
      </c>
      <c r="O48" s="5">
        <f ca="1">Intv_Ann_TA!O1161*Intv_BA!$J$2954</f>
        <v>43.647359999999999</v>
      </c>
    </row>
    <row r="49" spans="2:15" s="327" customFormat="1" outlineLevel="1" x14ac:dyDescent="0.2">
      <c r="C49" s="640" t="str">
        <f>Intv_Ann_TA!D1162</f>
        <v>Eastern</v>
      </c>
      <c r="J49" s="5">
        <f ca="1">Intv_Ann_TA!J1162*Intv_BA!$J$2954</f>
        <v>56.213159999999995</v>
      </c>
      <c r="K49" s="5">
        <f ca="1">Intv_Ann_TA!K1162*Intv_BA!$J$2954</f>
        <v>56.213159999999995</v>
      </c>
      <c r="L49" s="5">
        <f ca="1">Intv_Ann_TA!L1162*Intv_BA!$J$2954</f>
        <v>56.213159999999995</v>
      </c>
      <c r="M49" s="5">
        <f ca="1">Intv_Ann_TA!M1162*Intv_BA!$J$2954</f>
        <v>56.213159999999995</v>
      </c>
      <c r="N49" s="5">
        <f ca="1">Intv_Ann_TA!N1162*Intv_BA!$J$2954</f>
        <v>56.213159999999995</v>
      </c>
      <c r="O49" s="5">
        <f ca="1">Intv_Ann_TA!O1162*Intv_BA!$J$2954</f>
        <v>56.213159999999995</v>
      </c>
    </row>
    <row r="50" spans="2:15" s="327" customFormat="1" outlineLevel="1" x14ac:dyDescent="0.2">
      <c r="C50" s="640" t="str">
        <f>Intv_Ann_TA!D1163</f>
        <v>Luapula</v>
      </c>
      <c r="J50" s="5">
        <f ca="1">Intv_Ann_TA!J1163*Intv_BA!$J$2954</f>
        <v>43.647359999999999</v>
      </c>
      <c r="K50" s="5">
        <f ca="1">Intv_Ann_TA!K1163*Intv_BA!$J$2954</f>
        <v>43.647359999999999</v>
      </c>
      <c r="L50" s="5">
        <f ca="1">Intv_Ann_TA!L1163*Intv_BA!$J$2954</f>
        <v>43.647359999999999</v>
      </c>
      <c r="M50" s="5">
        <f ca="1">Intv_Ann_TA!M1163*Intv_BA!$J$2954</f>
        <v>43.647359999999999</v>
      </c>
      <c r="N50" s="5">
        <f ca="1">Intv_Ann_TA!N1163*Intv_BA!$J$2954</f>
        <v>43.647359999999999</v>
      </c>
      <c r="O50" s="5">
        <f ca="1">Intv_Ann_TA!O1163*Intv_BA!$J$2954</f>
        <v>43.647359999999999</v>
      </c>
    </row>
    <row r="51" spans="2:15" s="327" customFormat="1" outlineLevel="1" x14ac:dyDescent="0.2">
      <c r="C51" s="640" t="str">
        <f>Intv_Ann_TA!D1164</f>
        <v>Lusaka</v>
      </c>
      <c r="J51" s="5">
        <f ca="1">Intv_Ann_TA!J1164*Intv_BA!$J$2954</f>
        <v>156.73955999999998</v>
      </c>
      <c r="K51" s="5">
        <f ca="1">Intv_Ann_TA!K1164*Intv_BA!$J$2954</f>
        <v>156.73955999999998</v>
      </c>
      <c r="L51" s="5">
        <f ca="1">Intv_Ann_TA!L1164*Intv_BA!$J$2954</f>
        <v>156.73955999999998</v>
      </c>
      <c r="M51" s="5">
        <f ca="1">Intv_Ann_TA!M1164*Intv_BA!$J$2954</f>
        <v>156.73955999999998</v>
      </c>
      <c r="N51" s="5">
        <f ca="1">Intv_Ann_TA!N1164*Intv_BA!$J$2954</f>
        <v>156.73955999999998</v>
      </c>
      <c r="O51" s="5">
        <f ca="1">Intv_Ann_TA!O1164*Intv_BA!$J$2954</f>
        <v>156.73955999999998</v>
      </c>
    </row>
    <row r="52" spans="2:15" s="327" customFormat="1" outlineLevel="1" x14ac:dyDescent="0.2">
      <c r="C52" s="640" t="str">
        <f>Intv_Ann_TA!D1165</f>
        <v>Muchinga</v>
      </c>
      <c r="J52" s="5">
        <f ca="1">Intv_Ann_TA!J1165*Intv_BA!$J$2954</f>
        <v>2.97498</v>
      </c>
      <c r="K52" s="5">
        <f ca="1">Intv_Ann_TA!K1165*Intv_BA!$J$2954</f>
        <v>2.97498</v>
      </c>
      <c r="L52" s="5">
        <f ca="1">Intv_Ann_TA!L1165*Intv_BA!$J$2954</f>
        <v>2.97498</v>
      </c>
      <c r="M52" s="5">
        <f ca="1">Intv_Ann_TA!M1165*Intv_BA!$J$2954</f>
        <v>2.97498</v>
      </c>
      <c r="N52" s="5">
        <f ca="1">Intv_Ann_TA!N1165*Intv_BA!$J$2954</f>
        <v>2.97498</v>
      </c>
      <c r="O52" s="5">
        <f ca="1">Intv_Ann_TA!O1165*Intv_BA!$J$2954</f>
        <v>2.97498</v>
      </c>
    </row>
    <row r="53" spans="2:15" s="327" customFormat="1" outlineLevel="1" x14ac:dyDescent="0.2">
      <c r="C53" s="640" t="str">
        <f>Intv_Ann_TA!D1166</f>
        <v>Northern</v>
      </c>
      <c r="J53" s="5">
        <f ca="1">Intv_Ann_TA!J1166*Intv_BA!$J$2954</f>
        <v>15.54078</v>
      </c>
      <c r="K53" s="5">
        <f ca="1">Intv_Ann_TA!K1166*Intv_BA!$J$2954</f>
        <v>15.54078</v>
      </c>
      <c r="L53" s="5">
        <f ca="1">Intv_Ann_TA!L1166*Intv_BA!$J$2954</f>
        <v>15.54078</v>
      </c>
      <c r="M53" s="5">
        <f ca="1">Intv_Ann_TA!M1166*Intv_BA!$J$2954</f>
        <v>15.54078</v>
      </c>
      <c r="N53" s="5">
        <f ca="1">Intv_Ann_TA!N1166*Intv_BA!$J$2954</f>
        <v>15.54078</v>
      </c>
      <c r="O53" s="5">
        <f ca="1">Intv_Ann_TA!O1166*Intv_BA!$J$2954</f>
        <v>15.54078</v>
      </c>
    </row>
    <row r="54" spans="2:15" s="327" customFormat="1" outlineLevel="1" x14ac:dyDescent="0.2">
      <c r="C54" s="640" t="str">
        <f>Intv_Ann_TA!D1167</f>
        <v>North-Western</v>
      </c>
      <c r="J54" s="5">
        <f ca="1">Intv_Ann_TA!J1167*Intv_BA!$J$2954</f>
        <v>18.51576</v>
      </c>
      <c r="K54" s="5">
        <f ca="1">Intv_Ann_TA!K1167*Intv_BA!$J$2954</f>
        <v>18.51576</v>
      </c>
      <c r="L54" s="5">
        <f ca="1">Intv_Ann_TA!L1167*Intv_BA!$J$2954</f>
        <v>18.51576</v>
      </c>
      <c r="M54" s="5">
        <f ca="1">Intv_Ann_TA!M1167*Intv_BA!$J$2954</f>
        <v>18.51576</v>
      </c>
      <c r="N54" s="5">
        <f ca="1">Intv_Ann_TA!N1167*Intv_BA!$J$2954</f>
        <v>18.51576</v>
      </c>
      <c r="O54" s="5">
        <f ca="1">Intv_Ann_TA!O1167*Intv_BA!$J$2954</f>
        <v>18.51576</v>
      </c>
    </row>
    <row r="55" spans="2:15" s="327" customFormat="1" outlineLevel="1" x14ac:dyDescent="0.2">
      <c r="C55" s="640" t="str">
        <f>Intv_Ann_TA!D1168</f>
        <v>Southern</v>
      </c>
      <c r="J55" s="5">
        <f ca="1">Intv_Ann_TA!J1168*Intv_BA!$J$2954</f>
        <v>43.647359999999999</v>
      </c>
      <c r="K55" s="5">
        <f ca="1">Intv_Ann_TA!K1168*Intv_BA!$J$2954</f>
        <v>43.647359999999999</v>
      </c>
      <c r="L55" s="5">
        <f ca="1">Intv_Ann_TA!L1168*Intv_BA!$J$2954</f>
        <v>43.647359999999999</v>
      </c>
      <c r="M55" s="5">
        <f ca="1">Intv_Ann_TA!M1168*Intv_BA!$J$2954</f>
        <v>43.647359999999999</v>
      </c>
      <c r="N55" s="5">
        <f ca="1">Intv_Ann_TA!N1168*Intv_BA!$J$2954</f>
        <v>43.647359999999999</v>
      </c>
      <c r="O55" s="5">
        <f ca="1">Intv_Ann_TA!O1168*Intv_BA!$J$2954</f>
        <v>43.647359999999999</v>
      </c>
    </row>
    <row r="56" spans="2:15" s="327" customFormat="1" outlineLevel="1" x14ac:dyDescent="0.2">
      <c r="C56" s="640" t="str">
        <f>Intv_Ann_TA!D1169</f>
        <v>Western</v>
      </c>
      <c r="J56" s="5">
        <f ca="1">Intv_Ann_TA!J1169*Intv_BA!$J$2954</f>
        <v>43.647359999999999</v>
      </c>
      <c r="K56" s="5">
        <f ca="1">Intv_Ann_TA!K1169*Intv_BA!$J$2954</f>
        <v>43.647359999999999</v>
      </c>
      <c r="L56" s="5">
        <f ca="1">Intv_Ann_TA!L1169*Intv_BA!$J$2954</f>
        <v>43.647359999999999</v>
      </c>
      <c r="M56" s="5">
        <f ca="1">Intv_Ann_TA!M1169*Intv_BA!$J$2954</f>
        <v>43.647359999999999</v>
      </c>
      <c r="N56" s="5">
        <f ca="1">Intv_Ann_TA!N1169*Intv_BA!$J$2954</f>
        <v>43.647359999999999</v>
      </c>
      <c r="O56" s="5">
        <f ca="1">Intv_Ann_TA!O1169*Intv_BA!$J$2954</f>
        <v>43.647359999999999</v>
      </c>
    </row>
    <row r="57" spans="2:15" s="327" customFormat="1" ht="15.75" thickBot="1" x14ac:dyDescent="0.25">
      <c r="C57" s="642" t="str">
        <f>"Total "&amp;C46</f>
        <v>Total Screened Patients Referred for Procedure</v>
      </c>
      <c r="J57" s="624">
        <f t="shared" ref="J57:O57" ca="1" si="6">SUM(J47:J56)</f>
        <v>455.65523999999994</v>
      </c>
      <c r="K57" s="624">
        <f t="shared" ca="1" si="6"/>
        <v>455.65523999999994</v>
      </c>
      <c r="L57" s="624">
        <f t="shared" ca="1" si="6"/>
        <v>455.65523999999994</v>
      </c>
      <c r="M57" s="624">
        <f t="shared" ca="1" si="6"/>
        <v>455.65523999999994</v>
      </c>
      <c r="N57" s="624">
        <f t="shared" ca="1" si="6"/>
        <v>455.65523999999994</v>
      </c>
      <c r="O57" s="624">
        <f t="shared" ca="1" si="6"/>
        <v>455.65523999999994</v>
      </c>
    </row>
    <row r="58" spans="2:15" s="327" customFormat="1" ht="13.5" thickTop="1" x14ac:dyDescent="0.2"/>
    <row r="59" spans="2:15" s="327" customFormat="1" ht="18.75" x14ac:dyDescent="0.2">
      <c r="B59" s="329" t="s">
        <v>1895</v>
      </c>
    </row>
    <row r="60" spans="2:15" s="327" customFormat="1" ht="15.75" x14ac:dyDescent="0.2">
      <c r="C60" s="18" t="str">
        <f>Intv_Ann_TO!D2268</f>
        <v>Population Seeking Service (New)</v>
      </c>
    </row>
    <row r="61" spans="2:15" s="327" customFormat="1" outlineLevel="1" x14ac:dyDescent="0.2">
      <c r="C61" s="640" t="str">
        <f>Intv_Ann_TO!D2269</f>
        <v>Central</v>
      </c>
      <c r="J61" s="5">
        <f ca="1">Intv_Ann_TO!J2269</f>
        <v>16</v>
      </c>
      <c r="K61" s="5">
        <f ca="1">Intv_Ann_TO!K2269</f>
        <v>16</v>
      </c>
      <c r="L61" s="5">
        <f ca="1">Intv_Ann_TO!L2269</f>
        <v>16</v>
      </c>
      <c r="M61" s="5">
        <f ca="1">Intv_Ann_TO!M2269</f>
        <v>16</v>
      </c>
      <c r="N61" s="5">
        <f ca="1">Intv_Ann_TO!N2269</f>
        <v>16</v>
      </c>
      <c r="O61" s="5">
        <f ca="1">Intv_Ann_TO!O2269</f>
        <v>16</v>
      </c>
    </row>
    <row r="62" spans="2:15" s="327" customFormat="1" outlineLevel="1" x14ac:dyDescent="0.2">
      <c r="C62" s="640" t="str">
        <f>Intv_Ann_TO!D2270</f>
        <v>Copperbelt</v>
      </c>
      <c r="J62" s="5">
        <f ca="1">Intv_Ann_TO!J2270</f>
        <v>22</v>
      </c>
      <c r="K62" s="5">
        <f ca="1">Intv_Ann_TO!K2270</f>
        <v>22</v>
      </c>
      <c r="L62" s="5">
        <f ca="1">Intv_Ann_TO!L2270</f>
        <v>22</v>
      </c>
      <c r="M62" s="5">
        <f ca="1">Intv_Ann_TO!M2270</f>
        <v>22</v>
      </c>
      <c r="N62" s="5">
        <f ca="1">Intv_Ann_TO!N2270</f>
        <v>22</v>
      </c>
      <c r="O62" s="5">
        <f ca="1">Intv_Ann_TO!O2270</f>
        <v>22</v>
      </c>
    </row>
    <row r="63" spans="2:15" s="327" customFormat="1" outlineLevel="1" x14ac:dyDescent="0.2">
      <c r="C63" s="640" t="str">
        <f>Intv_Ann_TO!D2271</f>
        <v>Eastern</v>
      </c>
      <c r="J63" s="5">
        <f ca="1">Intv_Ann_TO!J2271</f>
        <v>28</v>
      </c>
      <c r="K63" s="5">
        <f ca="1">Intv_Ann_TO!K2271</f>
        <v>28</v>
      </c>
      <c r="L63" s="5">
        <f ca="1">Intv_Ann_TO!L2271</f>
        <v>28</v>
      </c>
      <c r="M63" s="5">
        <f ca="1">Intv_Ann_TO!M2271</f>
        <v>28</v>
      </c>
      <c r="N63" s="5">
        <f ca="1">Intv_Ann_TO!N2271</f>
        <v>28</v>
      </c>
      <c r="O63" s="5">
        <f ca="1">Intv_Ann_TO!O2271</f>
        <v>28</v>
      </c>
    </row>
    <row r="64" spans="2:15" s="327" customFormat="1" outlineLevel="1" x14ac:dyDescent="0.2">
      <c r="C64" s="640" t="str">
        <f>Intv_Ann_TO!D2272</f>
        <v>Luapula</v>
      </c>
      <c r="J64" s="5">
        <f ca="1">Intv_Ann_TO!J2272</f>
        <v>22</v>
      </c>
      <c r="K64" s="5">
        <f ca="1">Intv_Ann_TO!K2272</f>
        <v>22</v>
      </c>
      <c r="L64" s="5">
        <f ca="1">Intv_Ann_TO!L2272</f>
        <v>22</v>
      </c>
      <c r="M64" s="5">
        <f ca="1">Intv_Ann_TO!M2272</f>
        <v>22</v>
      </c>
      <c r="N64" s="5">
        <f ca="1">Intv_Ann_TO!N2272</f>
        <v>22</v>
      </c>
      <c r="O64" s="5">
        <f ca="1">Intv_Ann_TO!O2272</f>
        <v>22</v>
      </c>
    </row>
    <row r="65" spans="2:15" s="327" customFormat="1" outlineLevel="1" x14ac:dyDescent="0.2">
      <c r="C65" s="640" t="str">
        <f>Intv_Ann_TO!D2273</f>
        <v>Lusaka</v>
      </c>
      <c r="J65" s="5">
        <f ca="1">Intv_Ann_TO!J2273</f>
        <v>78</v>
      </c>
      <c r="K65" s="5">
        <f ca="1">Intv_Ann_TO!K2273</f>
        <v>78</v>
      </c>
      <c r="L65" s="5">
        <f ca="1">Intv_Ann_TO!L2273</f>
        <v>78</v>
      </c>
      <c r="M65" s="5">
        <f ca="1">Intv_Ann_TO!M2273</f>
        <v>78</v>
      </c>
      <c r="N65" s="5">
        <f ca="1">Intv_Ann_TO!N2273</f>
        <v>78</v>
      </c>
      <c r="O65" s="5">
        <f ca="1">Intv_Ann_TO!O2273</f>
        <v>78</v>
      </c>
    </row>
    <row r="66" spans="2:15" s="327" customFormat="1" outlineLevel="1" x14ac:dyDescent="0.2">
      <c r="C66" s="640" t="str">
        <f>Intv_Ann_TO!D2274</f>
        <v>Muchinga</v>
      </c>
      <c r="J66" s="5">
        <f ca="1">Intv_Ann_TO!J2274</f>
        <v>1</v>
      </c>
      <c r="K66" s="5">
        <f ca="1">Intv_Ann_TO!K2274</f>
        <v>1</v>
      </c>
      <c r="L66" s="5">
        <f ca="1">Intv_Ann_TO!L2274</f>
        <v>1</v>
      </c>
      <c r="M66" s="5">
        <f ca="1">Intv_Ann_TO!M2274</f>
        <v>1</v>
      </c>
      <c r="N66" s="5">
        <f ca="1">Intv_Ann_TO!N2274</f>
        <v>1</v>
      </c>
      <c r="O66" s="5">
        <f ca="1">Intv_Ann_TO!O2274</f>
        <v>1</v>
      </c>
    </row>
    <row r="67" spans="2:15" s="327" customFormat="1" outlineLevel="1" x14ac:dyDescent="0.2">
      <c r="C67" s="640" t="str">
        <f>Intv_Ann_TO!D2275</f>
        <v>Northern</v>
      </c>
      <c r="J67" s="5">
        <f ca="1">Intv_Ann_TO!J2275</f>
        <v>8</v>
      </c>
      <c r="K67" s="5">
        <f ca="1">Intv_Ann_TO!K2275</f>
        <v>8</v>
      </c>
      <c r="L67" s="5">
        <f ca="1">Intv_Ann_TO!L2275</f>
        <v>8</v>
      </c>
      <c r="M67" s="5">
        <f ca="1">Intv_Ann_TO!M2275</f>
        <v>8</v>
      </c>
      <c r="N67" s="5">
        <f ca="1">Intv_Ann_TO!N2275</f>
        <v>8</v>
      </c>
      <c r="O67" s="5">
        <f ca="1">Intv_Ann_TO!O2275</f>
        <v>8</v>
      </c>
    </row>
    <row r="68" spans="2:15" s="327" customFormat="1" outlineLevel="1" x14ac:dyDescent="0.2">
      <c r="C68" s="640" t="str">
        <f>Intv_Ann_TO!D2276</f>
        <v>North-Western</v>
      </c>
      <c r="J68" s="5">
        <f ca="1">Intv_Ann_TO!J2276</f>
        <v>9</v>
      </c>
      <c r="K68" s="5">
        <f ca="1">Intv_Ann_TO!K2276</f>
        <v>9</v>
      </c>
      <c r="L68" s="5">
        <f ca="1">Intv_Ann_TO!L2276</f>
        <v>9</v>
      </c>
      <c r="M68" s="5">
        <f ca="1">Intv_Ann_TO!M2276</f>
        <v>9</v>
      </c>
      <c r="N68" s="5">
        <f ca="1">Intv_Ann_TO!N2276</f>
        <v>9</v>
      </c>
      <c r="O68" s="5">
        <f ca="1">Intv_Ann_TO!O2276</f>
        <v>9</v>
      </c>
    </row>
    <row r="69" spans="2:15" s="327" customFormat="1" outlineLevel="1" x14ac:dyDescent="0.2">
      <c r="C69" s="640" t="str">
        <f>Intv_Ann_TO!D2277</f>
        <v>Southern</v>
      </c>
      <c r="J69" s="5">
        <f ca="1">Intv_Ann_TO!J2277</f>
        <v>22</v>
      </c>
      <c r="K69" s="5">
        <f ca="1">Intv_Ann_TO!K2277</f>
        <v>22</v>
      </c>
      <c r="L69" s="5">
        <f ca="1">Intv_Ann_TO!L2277</f>
        <v>22</v>
      </c>
      <c r="M69" s="5">
        <f ca="1">Intv_Ann_TO!M2277</f>
        <v>22</v>
      </c>
      <c r="N69" s="5">
        <f ca="1">Intv_Ann_TO!N2277</f>
        <v>22</v>
      </c>
      <c r="O69" s="5">
        <f ca="1">Intv_Ann_TO!O2277</f>
        <v>22</v>
      </c>
    </row>
    <row r="70" spans="2:15" s="327" customFormat="1" outlineLevel="1" x14ac:dyDescent="0.2">
      <c r="C70" s="640" t="str">
        <f>Intv_Ann_TO!D2278</f>
        <v>Western</v>
      </c>
      <c r="J70" s="5">
        <f ca="1">Intv_Ann_TO!J2278</f>
        <v>22</v>
      </c>
      <c r="K70" s="5">
        <f ca="1">Intv_Ann_TO!K2278</f>
        <v>22</v>
      </c>
      <c r="L70" s="5">
        <f ca="1">Intv_Ann_TO!L2278</f>
        <v>22</v>
      </c>
      <c r="M70" s="5">
        <f ca="1">Intv_Ann_TO!M2278</f>
        <v>22</v>
      </c>
      <c r="N70" s="5">
        <f ca="1">Intv_Ann_TO!N2278</f>
        <v>22</v>
      </c>
      <c r="O70" s="5">
        <f ca="1">Intv_Ann_TO!O2278</f>
        <v>22</v>
      </c>
    </row>
    <row r="71" spans="2:15" s="327" customFormat="1" ht="15.75" thickBot="1" x14ac:dyDescent="0.25">
      <c r="C71" s="642" t="str">
        <f>"Total "&amp;C60</f>
        <v>Total Population Seeking Service (New)</v>
      </c>
      <c r="J71" s="624">
        <f t="shared" ref="J71:O71" ca="1" si="7">SUM(J61:J70)</f>
        <v>228</v>
      </c>
      <c r="K71" s="624">
        <f t="shared" ca="1" si="7"/>
        <v>228</v>
      </c>
      <c r="L71" s="624">
        <f t="shared" ca="1" si="7"/>
        <v>228</v>
      </c>
      <c r="M71" s="624">
        <f t="shared" ca="1" si="7"/>
        <v>228</v>
      </c>
      <c r="N71" s="624">
        <f t="shared" ca="1" si="7"/>
        <v>228</v>
      </c>
      <c r="O71" s="624">
        <f t="shared" ca="1" si="7"/>
        <v>228</v>
      </c>
    </row>
    <row r="72" spans="2:15" s="327" customFormat="1" ht="13.5" thickTop="1" x14ac:dyDescent="0.2"/>
    <row r="73" spans="2:15" s="327" customFormat="1" ht="15.75" x14ac:dyDescent="0.2">
      <c r="C73" s="330" t="s">
        <v>1893</v>
      </c>
      <c r="J73" s="5">
        <f t="shared" ref="J73:O73" ca="1" si="8">MAX((J71-J41),0)</f>
        <v>0</v>
      </c>
      <c r="K73" s="5">
        <f t="shared" ca="1" si="8"/>
        <v>0</v>
      </c>
      <c r="L73" s="5">
        <f t="shared" ca="1" si="8"/>
        <v>0</v>
      </c>
      <c r="M73" s="5">
        <f t="shared" ca="1" si="8"/>
        <v>0</v>
      </c>
      <c r="N73" s="5">
        <f t="shared" ca="1" si="8"/>
        <v>0</v>
      </c>
      <c r="O73" s="5">
        <f t="shared" ca="1" si="8"/>
        <v>0</v>
      </c>
    </row>
    <row r="74" spans="2:15" s="327" customFormat="1" x14ac:dyDescent="0.2"/>
    <row r="75" spans="2:15" s="327" customFormat="1" ht="18.75" x14ac:dyDescent="0.2">
      <c r="B75" s="329" t="s">
        <v>8</v>
      </c>
    </row>
    <row r="76" spans="2:15" s="327" customFormat="1" ht="15.75" x14ac:dyDescent="0.2">
      <c r="C76" s="330" t="s">
        <v>1901</v>
      </c>
    </row>
    <row r="77" spans="2:15" s="327" customFormat="1" outlineLevel="1" x14ac:dyDescent="0.2">
      <c r="C77" s="640" t="str">
        <f>Intv_Ann_TO!D2309</f>
        <v>Central</v>
      </c>
      <c r="J77" s="5">
        <f ca="1">Intv_Ann_TO!J2309</f>
        <v>16</v>
      </c>
      <c r="K77" s="5">
        <f ca="1">Intv_Ann_TO!K2309</f>
        <v>16</v>
      </c>
      <c r="L77" s="5">
        <f ca="1">Intv_Ann_TO!L2309</f>
        <v>16</v>
      </c>
      <c r="M77" s="5">
        <f ca="1">Intv_Ann_TO!M2309</f>
        <v>16</v>
      </c>
      <c r="N77" s="5">
        <f ca="1">Intv_Ann_TO!N2309</f>
        <v>16</v>
      </c>
      <c r="O77" s="5">
        <f ca="1">Intv_Ann_TO!O2309</f>
        <v>16</v>
      </c>
    </row>
    <row r="78" spans="2:15" s="327" customFormat="1" outlineLevel="1" x14ac:dyDescent="0.2">
      <c r="C78" s="640" t="str">
        <f>Intv_Ann_TO!D2310</f>
        <v>Copperbelt</v>
      </c>
      <c r="J78" s="5">
        <f ca="1">Intv_Ann_TO!J2310</f>
        <v>22</v>
      </c>
      <c r="K78" s="5">
        <f ca="1">Intv_Ann_TO!K2310</f>
        <v>22</v>
      </c>
      <c r="L78" s="5">
        <f ca="1">Intv_Ann_TO!L2310</f>
        <v>22</v>
      </c>
      <c r="M78" s="5">
        <f ca="1">Intv_Ann_TO!M2310</f>
        <v>22</v>
      </c>
      <c r="N78" s="5">
        <f ca="1">Intv_Ann_TO!N2310</f>
        <v>22</v>
      </c>
      <c r="O78" s="5">
        <f ca="1">Intv_Ann_TO!O2310</f>
        <v>22</v>
      </c>
    </row>
    <row r="79" spans="2:15" s="327" customFormat="1" outlineLevel="1" x14ac:dyDescent="0.2">
      <c r="C79" s="640" t="str">
        <f>Intv_Ann_TO!D2311</f>
        <v>Eastern</v>
      </c>
      <c r="J79" s="5">
        <f ca="1">Intv_Ann_TO!J2311</f>
        <v>28</v>
      </c>
      <c r="K79" s="5">
        <f ca="1">Intv_Ann_TO!K2311</f>
        <v>28</v>
      </c>
      <c r="L79" s="5">
        <f ca="1">Intv_Ann_TO!L2311</f>
        <v>28</v>
      </c>
      <c r="M79" s="5">
        <f ca="1">Intv_Ann_TO!M2311</f>
        <v>28</v>
      </c>
      <c r="N79" s="5">
        <f ca="1">Intv_Ann_TO!N2311</f>
        <v>28</v>
      </c>
      <c r="O79" s="5">
        <f ca="1">Intv_Ann_TO!O2311</f>
        <v>28</v>
      </c>
    </row>
    <row r="80" spans="2:15" s="327" customFormat="1" outlineLevel="1" x14ac:dyDescent="0.2">
      <c r="C80" s="640" t="str">
        <f>Intv_Ann_TO!D2312</f>
        <v>Luapula</v>
      </c>
      <c r="J80" s="5">
        <f ca="1">Intv_Ann_TO!J2312</f>
        <v>22</v>
      </c>
      <c r="K80" s="5">
        <f ca="1">Intv_Ann_TO!K2312</f>
        <v>22</v>
      </c>
      <c r="L80" s="5">
        <f ca="1">Intv_Ann_TO!L2312</f>
        <v>22</v>
      </c>
      <c r="M80" s="5">
        <f ca="1">Intv_Ann_TO!M2312</f>
        <v>22</v>
      </c>
      <c r="N80" s="5">
        <f ca="1">Intv_Ann_TO!N2312</f>
        <v>22</v>
      </c>
      <c r="O80" s="5">
        <f ca="1">Intv_Ann_TO!O2312</f>
        <v>22</v>
      </c>
    </row>
    <row r="81" spans="3:15" s="327" customFormat="1" outlineLevel="1" x14ac:dyDescent="0.2">
      <c r="C81" s="640" t="str">
        <f>Intv_Ann_TO!D2313</f>
        <v>Lusaka</v>
      </c>
      <c r="J81" s="5">
        <f ca="1">Intv_Ann_TO!J2313</f>
        <v>78</v>
      </c>
      <c r="K81" s="5">
        <f ca="1">Intv_Ann_TO!K2313</f>
        <v>78</v>
      </c>
      <c r="L81" s="5">
        <f ca="1">Intv_Ann_TO!L2313</f>
        <v>78</v>
      </c>
      <c r="M81" s="5">
        <f ca="1">Intv_Ann_TO!M2313</f>
        <v>78</v>
      </c>
      <c r="N81" s="5">
        <f ca="1">Intv_Ann_TO!N2313</f>
        <v>78</v>
      </c>
      <c r="O81" s="5">
        <f ca="1">Intv_Ann_TO!O2313</f>
        <v>78</v>
      </c>
    </row>
    <row r="82" spans="3:15" s="327" customFormat="1" outlineLevel="1" x14ac:dyDescent="0.2">
      <c r="C82" s="640" t="str">
        <f>Intv_Ann_TO!D2314</f>
        <v>Muchinga</v>
      </c>
      <c r="J82" s="5">
        <f ca="1">Intv_Ann_TO!J2314</f>
        <v>1</v>
      </c>
      <c r="K82" s="5">
        <f ca="1">Intv_Ann_TO!K2314</f>
        <v>1</v>
      </c>
      <c r="L82" s="5">
        <f ca="1">Intv_Ann_TO!L2314</f>
        <v>1</v>
      </c>
      <c r="M82" s="5">
        <f ca="1">Intv_Ann_TO!M2314</f>
        <v>1</v>
      </c>
      <c r="N82" s="5">
        <f ca="1">Intv_Ann_TO!N2314</f>
        <v>1</v>
      </c>
      <c r="O82" s="5">
        <f ca="1">Intv_Ann_TO!O2314</f>
        <v>1</v>
      </c>
    </row>
    <row r="83" spans="3:15" s="327" customFormat="1" outlineLevel="1" x14ac:dyDescent="0.2">
      <c r="C83" s="640" t="str">
        <f>Intv_Ann_TO!D2315</f>
        <v>Northern</v>
      </c>
      <c r="J83" s="5">
        <f ca="1">Intv_Ann_TO!J2315</f>
        <v>8</v>
      </c>
      <c r="K83" s="5">
        <f ca="1">Intv_Ann_TO!K2315</f>
        <v>8</v>
      </c>
      <c r="L83" s="5">
        <f ca="1">Intv_Ann_TO!L2315</f>
        <v>8</v>
      </c>
      <c r="M83" s="5">
        <f ca="1">Intv_Ann_TO!M2315</f>
        <v>8</v>
      </c>
      <c r="N83" s="5">
        <f ca="1">Intv_Ann_TO!N2315</f>
        <v>8</v>
      </c>
      <c r="O83" s="5">
        <f ca="1">Intv_Ann_TO!O2315</f>
        <v>8</v>
      </c>
    </row>
    <row r="84" spans="3:15" s="327" customFormat="1" outlineLevel="1" x14ac:dyDescent="0.2">
      <c r="C84" s="640" t="str">
        <f>Intv_Ann_TO!D2316</f>
        <v>North-Western</v>
      </c>
      <c r="J84" s="5">
        <f ca="1">Intv_Ann_TO!J2316</f>
        <v>9</v>
      </c>
      <c r="K84" s="5">
        <f ca="1">Intv_Ann_TO!K2316</f>
        <v>9</v>
      </c>
      <c r="L84" s="5">
        <f ca="1">Intv_Ann_TO!L2316</f>
        <v>9</v>
      </c>
      <c r="M84" s="5">
        <f ca="1">Intv_Ann_TO!M2316</f>
        <v>9</v>
      </c>
      <c r="N84" s="5">
        <f ca="1">Intv_Ann_TO!N2316</f>
        <v>9</v>
      </c>
      <c r="O84" s="5">
        <f ca="1">Intv_Ann_TO!O2316</f>
        <v>9</v>
      </c>
    </row>
    <row r="85" spans="3:15" s="327" customFormat="1" outlineLevel="1" x14ac:dyDescent="0.2">
      <c r="C85" s="640" t="str">
        <f>Intv_Ann_TO!D2317</f>
        <v>Southern</v>
      </c>
      <c r="J85" s="5">
        <f ca="1">Intv_Ann_TO!J2317</f>
        <v>22</v>
      </c>
      <c r="K85" s="5">
        <f ca="1">Intv_Ann_TO!K2317</f>
        <v>22</v>
      </c>
      <c r="L85" s="5">
        <f ca="1">Intv_Ann_TO!L2317</f>
        <v>22</v>
      </c>
      <c r="M85" s="5">
        <f ca="1">Intv_Ann_TO!M2317</f>
        <v>22</v>
      </c>
      <c r="N85" s="5">
        <f ca="1">Intv_Ann_TO!N2317</f>
        <v>22</v>
      </c>
      <c r="O85" s="5">
        <f ca="1">Intv_Ann_TO!O2317</f>
        <v>22</v>
      </c>
    </row>
    <row r="86" spans="3:15" s="327" customFormat="1" outlineLevel="1" x14ac:dyDescent="0.2">
      <c r="C86" s="640" t="str">
        <f>Intv_Ann_TO!D2318</f>
        <v>Western</v>
      </c>
      <c r="J86" s="5">
        <f ca="1">Intv_Ann_TO!J2318</f>
        <v>22</v>
      </c>
      <c r="K86" s="5">
        <f ca="1">Intv_Ann_TO!K2318</f>
        <v>22</v>
      </c>
      <c r="L86" s="5">
        <f ca="1">Intv_Ann_TO!L2318</f>
        <v>22</v>
      </c>
      <c r="M86" s="5">
        <f ca="1">Intv_Ann_TO!M2318</f>
        <v>22</v>
      </c>
      <c r="N86" s="5">
        <f ca="1">Intv_Ann_TO!N2318</f>
        <v>22</v>
      </c>
      <c r="O86" s="5">
        <f ca="1">Intv_Ann_TO!O2318</f>
        <v>22</v>
      </c>
    </row>
    <row r="87" spans="3:15" s="327" customFormat="1" ht="15.75" thickBot="1" x14ac:dyDescent="0.25">
      <c r="C87" s="641" t="str">
        <f>C76</f>
        <v>Total Procedures Provided (by Patient's Home Province)</v>
      </c>
      <c r="J87" s="624">
        <f t="shared" ref="J87:O87" ca="1" si="9">SUM(J77:J86)</f>
        <v>228</v>
      </c>
      <c r="K87" s="624">
        <f t="shared" ca="1" si="9"/>
        <v>228</v>
      </c>
      <c r="L87" s="624">
        <f t="shared" ca="1" si="9"/>
        <v>228</v>
      </c>
      <c r="M87" s="624">
        <f t="shared" ca="1" si="9"/>
        <v>228</v>
      </c>
      <c r="N87" s="624">
        <f t="shared" ca="1" si="9"/>
        <v>228</v>
      </c>
      <c r="O87" s="624">
        <f t="shared" ca="1" si="9"/>
        <v>228</v>
      </c>
    </row>
    <row r="88" spans="3:15" s="327" customFormat="1" ht="13.5" thickTop="1" x14ac:dyDescent="0.2"/>
    <row r="89" spans="3:15" s="327" customFormat="1" ht="15.75" x14ac:dyDescent="0.2">
      <c r="C89" s="330" t="s">
        <v>1902</v>
      </c>
    </row>
    <row r="90" spans="3:15" s="327" customFormat="1" outlineLevel="1" x14ac:dyDescent="0.2">
      <c r="C90" s="640" t="str">
        <f>Intv_Ann_TO!D2322</f>
        <v>Central</v>
      </c>
      <c r="J90" s="5">
        <f ca="1">Intv_Ann_TO!J2322</f>
        <v>0</v>
      </c>
      <c r="K90" s="5">
        <f ca="1">Intv_Ann_TO!K2322</f>
        <v>0</v>
      </c>
      <c r="L90" s="5">
        <f ca="1">Intv_Ann_TO!L2322</f>
        <v>0</v>
      </c>
      <c r="M90" s="5">
        <f ca="1">Intv_Ann_TO!M2322</f>
        <v>0</v>
      </c>
      <c r="N90" s="5">
        <f ca="1">Intv_Ann_TO!N2322</f>
        <v>0</v>
      </c>
      <c r="O90" s="5">
        <f ca="1">Intv_Ann_TO!O2322</f>
        <v>0</v>
      </c>
    </row>
    <row r="91" spans="3:15" s="327" customFormat="1" outlineLevel="1" x14ac:dyDescent="0.2">
      <c r="C91" s="640" t="str">
        <f>Intv_Ann_TO!D2323</f>
        <v>Copperbelt</v>
      </c>
      <c r="J91" s="5">
        <f ca="1">Intv_Ann_TO!J2323</f>
        <v>49</v>
      </c>
      <c r="K91" s="5">
        <f ca="1">Intv_Ann_TO!K2323</f>
        <v>49</v>
      </c>
      <c r="L91" s="5">
        <f ca="1">Intv_Ann_TO!L2323</f>
        <v>49</v>
      </c>
      <c r="M91" s="5">
        <f ca="1">Intv_Ann_TO!M2323</f>
        <v>49</v>
      </c>
      <c r="N91" s="5">
        <f ca="1">Intv_Ann_TO!N2323</f>
        <v>49</v>
      </c>
      <c r="O91" s="5">
        <f ca="1">Intv_Ann_TO!O2323</f>
        <v>49</v>
      </c>
    </row>
    <row r="92" spans="3:15" s="327" customFormat="1" outlineLevel="1" x14ac:dyDescent="0.2">
      <c r="C92" s="640" t="str">
        <f>Intv_Ann_TO!D2324</f>
        <v>Eastern</v>
      </c>
      <c r="J92" s="5">
        <f ca="1">Intv_Ann_TO!J2324</f>
        <v>0</v>
      </c>
      <c r="K92" s="5">
        <f ca="1">Intv_Ann_TO!K2324</f>
        <v>0</v>
      </c>
      <c r="L92" s="5">
        <f ca="1">Intv_Ann_TO!L2324</f>
        <v>0</v>
      </c>
      <c r="M92" s="5">
        <f ca="1">Intv_Ann_TO!M2324</f>
        <v>0</v>
      </c>
      <c r="N92" s="5">
        <f ca="1">Intv_Ann_TO!N2324</f>
        <v>0</v>
      </c>
      <c r="O92" s="5">
        <f ca="1">Intv_Ann_TO!O2324</f>
        <v>0</v>
      </c>
    </row>
    <row r="93" spans="3:15" s="327" customFormat="1" outlineLevel="1" x14ac:dyDescent="0.2">
      <c r="C93" s="640" t="str">
        <f>Intv_Ann_TO!D2325</f>
        <v>Luapula</v>
      </c>
      <c r="J93" s="5">
        <f ca="1">Intv_Ann_TO!J2325</f>
        <v>0</v>
      </c>
      <c r="K93" s="5">
        <f ca="1">Intv_Ann_TO!K2325</f>
        <v>0</v>
      </c>
      <c r="L93" s="5">
        <f ca="1">Intv_Ann_TO!L2325</f>
        <v>0</v>
      </c>
      <c r="M93" s="5">
        <f ca="1">Intv_Ann_TO!M2325</f>
        <v>0</v>
      </c>
      <c r="N93" s="5">
        <f ca="1">Intv_Ann_TO!N2325</f>
        <v>0</v>
      </c>
      <c r="O93" s="5">
        <f ca="1">Intv_Ann_TO!O2325</f>
        <v>0</v>
      </c>
    </row>
    <row r="94" spans="3:15" s="327" customFormat="1" outlineLevel="1" x14ac:dyDescent="0.2">
      <c r="C94" s="640" t="str">
        <f>Intv_Ann_TO!D2326</f>
        <v>Lusaka</v>
      </c>
      <c r="J94" s="5">
        <f ca="1">Intv_Ann_TO!J2326</f>
        <v>130</v>
      </c>
      <c r="K94" s="5">
        <f ca="1">Intv_Ann_TO!K2326</f>
        <v>130</v>
      </c>
      <c r="L94" s="5">
        <f ca="1">Intv_Ann_TO!L2326</f>
        <v>130</v>
      </c>
      <c r="M94" s="5">
        <f ca="1">Intv_Ann_TO!M2326</f>
        <v>130</v>
      </c>
      <c r="N94" s="5">
        <f ca="1">Intv_Ann_TO!N2326</f>
        <v>130</v>
      </c>
      <c r="O94" s="5">
        <f ca="1">Intv_Ann_TO!O2326</f>
        <v>130</v>
      </c>
    </row>
    <row r="95" spans="3:15" s="327" customFormat="1" outlineLevel="1" x14ac:dyDescent="0.2">
      <c r="C95" s="640" t="str">
        <f>Intv_Ann_TO!D2327</f>
        <v>Muchinga</v>
      </c>
      <c r="J95" s="5">
        <f ca="1">Intv_Ann_TO!J2327</f>
        <v>0</v>
      </c>
      <c r="K95" s="5">
        <f ca="1">Intv_Ann_TO!K2327</f>
        <v>0</v>
      </c>
      <c r="L95" s="5">
        <f ca="1">Intv_Ann_TO!L2327</f>
        <v>0</v>
      </c>
      <c r="M95" s="5">
        <f ca="1">Intv_Ann_TO!M2327</f>
        <v>0</v>
      </c>
      <c r="N95" s="5">
        <f ca="1">Intv_Ann_TO!N2327</f>
        <v>0</v>
      </c>
      <c r="O95" s="5">
        <f ca="1">Intv_Ann_TO!O2327</f>
        <v>0</v>
      </c>
    </row>
    <row r="96" spans="3:15" s="327" customFormat="1" outlineLevel="1" x14ac:dyDescent="0.2">
      <c r="C96" s="640" t="str">
        <f>Intv_Ann_TO!D2328</f>
        <v>Northern</v>
      </c>
      <c r="J96" s="5">
        <f ca="1">Intv_Ann_TO!J2328</f>
        <v>0</v>
      </c>
      <c r="K96" s="5">
        <f ca="1">Intv_Ann_TO!K2328</f>
        <v>0</v>
      </c>
      <c r="L96" s="5">
        <f ca="1">Intv_Ann_TO!L2328</f>
        <v>0</v>
      </c>
      <c r="M96" s="5">
        <f ca="1">Intv_Ann_TO!M2328</f>
        <v>0</v>
      </c>
      <c r="N96" s="5">
        <f ca="1">Intv_Ann_TO!N2328</f>
        <v>0</v>
      </c>
      <c r="O96" s="5">
        <f ca="1">Intv_Ann_TO!O2328</f>
        <v>0</v>
      </c>
    </row>
    <row r="97" spans="3:15" s="327" customFormat="1" outlineLevel="1" x14ac:dyDescent="0.2">
      <c r="C97" s="640" t="str">
        <f>Intv_Ann_TO!D2329</f>
        <v>North-Western</v>
      </c>
      <c r="J97" s="5">
        <f ca="1">Intv_Ann_TO!J2329</f>
        <v>0</v>
      </c>
      <c r="K97" s="5">
        <f ca="1">Intv_Ann_TO!K2329</f>
        <v>0</v>
      </c>
      <c r="L97" s="5">
        <f ca="1">Intv_Ann_TO!L2329</f>
        <v>0</v>
      </c>
      <c r="M97" s="5">
        <f ca="1">Intv_Ann_TO!M2329</f>
        <v>0</v>
      </c>
      <c r="N97" s="5">
        <f ca="1">Intv_Ann_TO!N2329</f>
        <v>0</v>
      </c>
      <c r="O97" s="5">
        <f ca="1">Intv_Ann_TO!O2329</f>
        <v>0</v>
      </c>
    </row>
    <row r="98" spans="3:15" s="327" customFormat="1" outlineLevel="1" x14ac:dyDescent="0.2">
      <c r="C98" s="640" t="str">
        <f>Intv_Ann_TO!D2330</f>
        <v>Southern</v>
      </c>
      <c r="J98" s="5">
        <f ca="1">Intv_Ann_TO!J2330</f>
        <v>49</v>
      </c>
      <c r="K98" s="5">
        <f ca="1">Intv_Ann_TO!K2330</f>
        <v>49</v>
      </c>
      <c r="L98" s="5">
        <f ca="1">Intv_Ann_TO!L2330</f>
        <v>49</v>
      </c>
      <c r="M98" s="5">
        <f ca="1">Intv_Ann_TO!M2330</f>
        <v>49</v>
      </c>
      <c r="N98" s="5">
        <f ca="1">Intv_Ann_TO!N2330</f>
        <v>49</v>
      </c>
      <c r="O98" s="5">
        <f ca="1">Intv_Ann_TO!O2330</f>
        <v>49</v>
      </c>
    </row>
    <row r="99" spans="3:15" s="327" customFormat="1" outlineLevel="1" x14ac:dyDescent="0.2">
      <c r="C99" s="640" t="str">
        <f>Intv_Ann_TO!D2331</f>
        <v>Western</v>
      </c>
      <c r="J99" s="5">
        <f ca="1">Intv_Ann_TO!J2331</f>
        <v>0</v>
      </c>
      <c r="K99" s="5">
        <f ca="1">Intv_Ann_TO!K2331</f>
        <v>0</v>
      </c>
      <c r="L99" s="5">
        <f ca="1">Intv_Ann_TO!L2331</f>
        <v>0</v>
      </c>
      <c r="M99" s="5">
        <f ca="1">Intv_Ann_TO!M2331</f>
        <v>0</v>
      </c>
      <c r="N99" s="5">
        <f ca="1">Intv_Ann_TO!N2331</f>
        <v>0</v>
      </c>
      <c r="O99" s="5">
        <f ca="1">Intv_Ann_TO!O2331</f>
        <v>0</v>
      </c>
    </row>
    <row r="100" spans="3:15" s="327" customFormat="1" ht="15.75" thickBot="1" x14ac:dyDescent="0.25">
      <c r="C100" s="641" t="str">
        <f>C89</f>
        <v>Total Procedures Supplied (by Province Providing)</v>
      </c>
      <c r="J100" s="624">
        <f t="shared" ref="J100:O100" ca="1" si="10">SUM(J90:J99)</f>
        <v>228</v>
      </c>
      <c r="K100" s="624">
        <f t="shared" ca="1" si="10"/>
        <v>228</v>
      </c>
      <c r="L100" s="624">
        <f t="shared" ca="1" si="10"/>
        <v>228</v>
      </c>
      <c r="M100" s="624">
        <f t="shared" ca="1" si="10"/>
        <v>228</v>
      </c>
      <c r="N100" s="624">
        <f t="shared" ca="1" si="10"/>
        <v>228</v>
      </c>
      <c r="O100" s="624">
        <f t="shared" ca="1" si="10"/>
        <v>228</v>
      </c>
    </row>
    <row r="101" spans="3:15" s="327" customFormat="1" ht="13.5" thickTop="1" x14ac:dyDescent="0.2"/>
    <row r="102" spans="3:15" s="327" customFormat="1" x14ac:dyDescent="0.2"/>
    <row r="103" spans="3:15" s="327" customFormat="1" x14ac:dyDescent="0.2">
      <c r="C103" s="716" t="str">
        <f>"Go to "&amp;HL_Intv_6_Ass</f>
        <v>Go to Palliative Care</v>
      </c>
      <c r="D103" s="716"/>
      <c r="E103" s="716"/>
      <c r="F103" s="716"/>
      <c r="G103" s="716"/>
      <c r="H103" s="716"/>
      <c r="I103" s="716"/>
    </row>
    <row r="104" spans="3:15" s="327" customFormat="1" x14ac:dyDescent="0.2">
      <c r="C104" s="716" t="str">
        <f>"Go to "&amp;HL_Intv_6_Ann_Ass</f>
        <v>Go to Intervention Services - Annual Assumptions</v>
      </c>
      <c r="D104" s="716"/>
      <c r="E104" s="716"/>
      <c r="F104" s="716"/>
      <c r="G104" s="716"/>
      <c r="H104" s="716"/>
      <c r="I104" s="716"/>
    </row>
    <row r="105" spans="3:15" s="327" customFormat="1" x14ac:dyDescent="0.2">
      <c r="C105" s="716" t="str">
        <f>"Go to "&amp;HL_Intv_6_Out</f>
        <v>Go to Palliative Care</v>
      </c>
      <c r="D105" s="716"/>
      <c r="E105" s="716"/>
      <c r="F105" s="716"/>
      <c r="G105" s="716"/>
      <c r="H105" s="716"/>
      <c r="I105" s="716"/>
    </row>
    <row r="106" spans="3:15" s="327" customFormat="1" x14ac:dyDescent="0.2">
      <c r="C106" s="716" t="str">
        <f>"Go to "&amp;HL_Intv_6_Out_Sum_A</f>
        <v>Go to Palliative Care Expected Costs (USD)</v>
      </c>
      <c r="D106" s="716"/>
      <c r="E106" s="716"/>
      <c r="F106" s="716"/>
      <c r="G106" s="716"/>
      <c r="H106" s="716"/>
      <c r="I106" s="716"/>
    </row>
  </sheetData>
  <sheetProtection password="F0F4" sheet="1" scenarios="1"/>
  <mergeCells count="5">
    <mergeCell ref="C105:I105"/>
    <mergeCell ref="C106:I106"/>
    <mergeCell ref="B3:F3"/>
    <mergeCell ref="C103:I103"/>
    <mergeCell ref="C104:I104"/>
  </mergeCells>
  <hyperlinks>
    <hyperlink ref="C103:I103" location="HL_Intv_6_Ass" tooltip="Click to follow hyperlink." display="HL_Intv_6_Ass"/>
    <hyperlink ref="C104:I104" location="HL_Intv_6_Ann_Ass" tooltip="Click to follow hyperlink." display="HL_Intv_6_Ann_Ass"/>
    <hyperlink ref="C105:I105" location="HL_Intv_6_Out" tooltip="Click to follow hyperlink." display="HL_Intv_6_Out"/>
    <hyperlink ref="C106:I106" location="HL_Intv_6_Out_Sum_A" tooltip="Click to follow hyperlink." display="HL_Intv_6_Out_Sum_A"/>
    <hyperlink ref="A4" location="$A$10" tooltip="Go to Top of Sheet" display="$A$10"/>
    <hyperlink ref="B4" location="HL_Sheet_Main_89" tooltip="Go to Previous Sheet" display="HL_Sheet_Main_89"/>
    <hyperlink ref="C4" location="HL_Sheet_Main_91" tooltip="Go to Next Sheet" display="HL_Sheet_Main_91"/>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O144"/>
  <sheetViews>
    <sheetView showGridLines="0" zoomScaleNormal="100" workbookViewId="0">
      <pane ySplit="9" topLeftCell="A10" activePane="bottomLeft" state="frozen"/>
      <selection pane="bottomLeft" activeCell="F4" sqref="F4"/>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B1" s="333" t="s">
        <v>1963</v>
      </c>
    </row>
    <row r="2" spans="1:15" ht="18.75" x14ac:dyDescent="0.2">
      <c r="B2" s="334" t="str">
        <f>Model_Name</f>
        <v>Zambia C4P* - Screening &amp; Treatment Tool</v>
      </c>
    </row>
    <row r="3" spans="1:15" x14ac:dyDescent="0.2">
      <c r="B3" s="702" t="s">
        <v>2</v>
      </c>
      <c r="C3" s="702"/>
      <c r="D3" s="702"/>
      <c r="E3" s="702"/>
      <c r="F3" s="702"/>
    </row>
    <row r="4" spans="1:15" x14ac:dyDescent="0.2">
      <c r="A4" s="323" t="s">
        <v>4</v>
      </c>
      <c r="B4" s="337" t="s">
        <v>6</v>
      </c>
      <c r="C4" s="324" t="s">
        <v>7</v>
      </c>
      <c r="D4" s="655" t="s">
        <v>27</v>
      </c>
      <c r="E4" s="656" t="s">
        <v>28</v>
      </c>
      <c r="F4" s="654" t="s">
        <v>29</v>
      </c>
    </row>
    <row r="5" spans="1:15" x14ac:dyDescent="0.2">
      <c r="B5" s="199" t="str">
        <f>"Year Ending "&amp;INDEX(LU_TS_Mth_Names,DD_TS_Fin_Yr_End_Mth)</f>
        <v>Year Ending December</v>
      </c>
      <c r="C5" s="6"/>
      <c r="D5" s="6"/>
      <c r="E5" s="6"/>
      <c r="F5" s="6"/>
      <c r="G5" s="6"/>
      <c r="H5" s="6"/>
      <c r="I5" s="6"/>
      <c r="J5" s="196">
        <f t="shared" ref="J5:O5" si="0">J9</f>
        <v>2015</v>
      </c>
      <c r="K5" s="196">
        <f t="shared" si="0"/>
        <v>2016</v>
      </c>
      <c r="L5" s="196">
        <f t="shared" si="0"/>
        <v>2017</v>
      </c>
      <c r="M5" s="196">
        <f t="shared" si="0"/>
        <v>2018</v>
      </c>
      <c r="N5" s="196">
        <f t="shared" si="0"/>
        <v>2019</v>
      </c>
      <c r="O5" s="196">
        <f t="shared" si="0"/>
        <v>2020</v>
      </c>
    </row>
    <row r="6" spans="1:15" hidden="1" outlineLevel="2" x14ac:dyDescent="0.2">
      <c r="B6" s="636" t="s">
        <v>70</v>
      </c>
      <c r="C6" s="327"/>
      <c r="D6" s="327"/>
      <c r="E6" s="327"/>
      <c r="F6" s="327"/>
      <c r="G6" s="327"/>
      <c r="H6" s="327"/>
      <c r="I6" s="327"/>
      <c r="J6" s="4">
        <f t="shared" ref="J6:O6" si="1">EDATE(TS_Start_Date,(J8-1)*TS_Mths_In_Yr)</f>
        <v>42005</v>
      </c>
      <c r="K6" s="4">
        <f t="shared" si="1"/>
        <v>42370</v>
      </c>
      <c r="L6" s="4">
        <f t="shared" si="1"/>
        <v>42736</v>
      </c>
      <c r="M6" s="4">
        <f t="shared" si="1"/>
        <v>43101</v>
      </c>
      <c r="N6" s="4">
        <f t="shared" si="1"/>
        <v>43466</v>
      </c>
      <c r="O6" s="4">
        <f t="shared" si="1"/>
        <v>43831</v>
      </c>
    </row>
    <row r="7" spans="1:15" hidden="1" outlineLevel="2" x14ac:dyDescent="0.2">
      <c r="B7" s="636" t="s">
        <v>71</v>
      </c>
      <c r="C7" s="327"/>
      <c r="D7" s="327"/>
      <c r="E7" s="327"/>
      <c r="F7" s="327"/>
      <c r="G7" s="327"/>
      <c r="H7" s="327"/>
      <c r="I7" s="327"/>
      <c r="J7" s="4">
        <f t="shared" ref="J7:O7" si="2">EDATE(J6,TS_Mths_In_Yr)-1</f>
        <v>42369</v>
      </c>
      <c r="K7" s="4">
        <f t="shared" si="2"/>
        <v>42735</v>
      </c>
      <c r="L7" s="4">
        <f t="shared" si="2"/>
        <v>43100</v>
      </c>
      <c r="M7" s="4">
        <f t="shared" si="2"/>
        <v>43465</v>
      </c>
      <c r="N7" s="4">
        <f t="shared" si="2"/>
        <v>43830</v>
      </c>
      <c r="O7" s="4">
        <f t="shared" si="2"/>
        <v>44196</v>
      </c>
    </row>
    <row r="8" spans="1:15" hidden="1" outlineLevel="2" x14ac:dyDescent="0.2">
      <c r="B8" s="636" t="s">
        <v>72</v>
      </c>
      <c r="C8" s="327"/>
      <c r="D8" s="327"/>
      <c r="E8" s="327"/>
      <c r="F8" s="327"/>
      <c r="G8" s="327"/>
      <c r="H8" s="327"/>
      <c r="I8" s="327"/>
      <c r="J8" s="5">
        <f>COLUMNS($J8:J8)</f>
        <v>1</v>
      </c>
      <c r="K8" s="5">
        <f>COLUMNS($J8:K8)</f>
        <v>2</v>
      </c>
      <c r="L8" s="5">
        <f>COLUMNS($J8:L8)</f>
        <v>3</v>
      </c>
      <c r="M8" s="5">
        <f>COLUMNS($J8:M8)</f>
        <v>4</v>
      </c>
      <c r="N8" s="5">
        <f>COLUMNS($J8:N8)</f>
        <v>5</v>
      </c>
      <c r="O8" s="5">
        <f>COLUMNS($J8:O8)</f>
        <v>6</v>
      </c>
    </row>
    <row r="9" spans="1:15"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collapsed="1" x14ac:dyDescent="0.2"/>
    <row r="12" spans="1:15" ht="18.75" x14ac:dyDescent="0.2">
      <c r="B12" s="651" t="str">
        <f>HL_Intv_6_Out&amp;" Expected Costs ("&amp;INDEX(LU_Intv_6_Denom,DD_TS_Denom)&amp;")"</f>
        <v>Palliative Care Expected Costs (USD)</v>
      </c>
    </row>
    <row r="13" spans="1:15" s="322" customFormat="1" x14ac:dyDescent="0.2"/>
    <row r="14" spans="1:15" s="322" customFormat="1" ht="15.75" x14ac:dyDescent="0.2">
      <c r="C14" s="330" t="s">
        <v>1931</v>
      </c>
    </row>
    <row r="15" spans="1:15" s="322" customFormat="1" ht="15" x14ac:dyDescent="0.2">
      <c r="D15" s="638" t="s">
        <v>1928</v>
      </c>
    </row>
    <row r="16" spans="1:15" s="322" customFormat="1" outlineLevel="1" x14ac:dyDescent="0.2">
      <c r="D16" s="640" t="str">
        <f>Intv_Ann_TO!D2350</f>
        <v>Central</v>
      </c>
      <c r="J16" s="5">
        <f ca="1">Intv_Ann_TO!J2350+Intv_Ann_TO!J2363</f>
        <v>0</v>
      </c>
      <c r="K16" s="5">
        <f ca="1">Intv_Ann_TO!K2350+Intv_Ann_TO!K2363</f>
        <v>0</v>
      </c>
      <c r="L16" s="5">
        <f ca="1">Intv_Ann_TO!L2350+Intv_Ann_TO!L2363</f>
        <v>0</v>
      </c>
      <c r="M16" s="5">
        <f ca="1">Intv_Ann_TO!M2350+Intv_Ann_TO!M2363</f>
        <v>0</v>
      </c>
      <c r="N16" s="5">
        <f ca="1">Intv_Ann_TO!N2350+Intv_Ann_TO!N2363</f>
        <v>0</v>
      </c>
      <c r="O16" s="5">
        <f ca="1">Intv_Ann_TO!O2350+Intv_Ann_TO!O2363</f>
        <v>0</v>
      </c>
    </row>
    <row r="17" spans="4:15" s="322" customFormat="1" outlineLevel="1" x14ac:dyDescent="0.2">
      <c r="D17" s="640" t="str">
        <f>Intv_Ann_TO!D2351</f>
        <v>Copperbelt</v>
      </c>
      <c r="J17" s="5">
        <f ca="1">Intv_Ann_TO!J2351+Intv_Ann_TO!J2364</f>
        <v>6483.8919939440057</v>
      </c>
      <c r="K17" s="5">
        <f ca="1">Intv_Ann_TO!K2351+Intv_Ann_TO!K2364</f>
        <v>6483.8919939440057</v>
      </c>
      <c r="L17" s="5">
        <f ca="1">Intv_Ann_TO!L2351+Intv_Ann_TO!L2364</f>
        <v>6483.8919939440057</v>
      </c>
      <c r="M17" s="5">
        <f ca="1">Intv_Ann_TO!M2351+Intv_Ann_TO!M2364</f>
        <v>6483.8919939440057</v>
      </c>
      <c r="N17" s="5">
        <f ca="1">Intv_Ann_TO!N2351+Intv_Ann_TO!N2364</f>
        <v>6483.8919939440057</v>
      </c>
      <c r="O17" s="5">
        <f ca="1">Intv_Ann_TO!O2351+Intv_Ann_TO!O2364</f>
        <v>6483.8919939440057</v>
      </c>
    </row>
    <row r="18" spans="4:15" s="322" customFormat="1" outlineLevel="1" x14ac:dyDescent="0.2">
      <c r="D18" s="640" t="str">
        <f>Intv_Ann_TO!D2352</f>
        <v>Eastern</v>
      </c>
      <c r="J18" s="5">
        <f ca="1">Intv_Ann_TO!J2352+Intv_Ann_TO!J2365</f>
        <v>0</v>
      </c>
      <c r="K18" s="5">
        <f ca="1">Intv_Ann_TO!K2352+Intv_Ann_TO!K2365</f>
        <v>0</v>
      </c>
      <c r="L18" s="5">
        <f ca="1">Intv_Ann_TO!L2352+Intv_Ann_TO!L2365</f>
        <v>0</v>
      </c>
      <c r="M18" s="5">
        <f ca="1">Intv_Ann_TO!M2352+Intv_Ann_TO!M2365</f>
        <v>0</v>
      </c>
      <c r="N18" s="5">
        <f ca="1">Intv_Ann_TO!N2352+Intv_Ann_TO!N2365</f>
        <v>0</v>
      </c>
      <c r="O18" s="5">
        <f ca="1">Intv_Ann_TO!O2352+Intv_Ann_TO!O2365</f>
        <v>0</v>
      </c>
    </row>
    <row r="19" spans="4:15" s="322" customFormat="1" outlineLevel="1" x14ac:dyDescent="0.2">
      <c r="D19" s="640" t="str">
        <f>Intv_Ann_TO!D2353</f>
        <v>Luapula</v>
      </c>
      <c r="J19" s="5">
        <f ca="1">Intv_Ann_TO!J2353+Intv_Ann_TO!J2366</f>
        <v>0</v>
      </c>
      <c r="K19" s="5">
        <f ca="1">Intv_Ann_TO!K2353+Intv_Ann_TO!K2366</f>
        <v>0</v>
      </c>
      <c r="L19" s="5">
        <f ca="1">Intv_Ann_TO!L2353+Intv_Ann_TO!L2366</f>
        <v>0</v>
      </c>
      <c r="M19" s="5">
        <f ca="1">Intv_Ann_TO!M2353+Intv_Ann_TO!M2366</f>
        <v>0</v>
      </c>
      <c r="N19" s="5">
        <f ca="1">Intv_Ann_TO!N2353+Intv_Ann_TO!N2366</f>
        <v>0</v>
      </c>
      <c r="O19" s="5">
        <f ca="1">Intv_Ann_TO!O2353+Intv_Ann_TO!O2366</f>
        <v>0</v>
      </c>
    </row>
    <row r="20" spans="4:15" s="322" customFormat="1" outlineLevel="1" x14ac:dyDescent="0.2">
      <c r="D20" s="640" t="str">
        <f>Intv_Ann_TO!D2354</f>
        <v>Lusaka</v>
      </c>
      <c r="J20" s="5">
        <f ca="1">Intv_Ann_TO!J2354+Intv_Ann_TO!J2367</f>
        <v>17202.162432912668</v>
      </c>
      <c r="K20" s="5">
        <f ca="1">Intv_Ann_TO!K2354+Intv_Ann_TO!K2367</f>
        <v>17202.162432912668</v>
      </c>
      <c r="L20" s="5">
        <f ca="1">Intv_Ann_TO!L2354+Intv_Ann_TO!L2367</f>
        <v>17202.162432912668</v>
      </c>
      <c r="M20" s="5">
        <f ca="1">Intv_Ann_TO!M2354+Intv_Ann_TO!M2367</f>
        <v>17202.162432912668</v>
      </c>
      <c r="N20" s="5">
        <f ca="1">Intv_Ann_TO!N2354+Intv_Ann_TO!N2367</f>
        <v>17202.162432912668</v>
      </c>
      <c r="O20" s="5">
        <f ca="1">Intv_Ann_TO!O2354+Intv_Ann_TO!O2367</f>
        <v>17202.162432912668</v>
      </c>
    </row>
    <row r="21" spans="4:15" s="322" customFormat="1" outlineLevel="1" x14ac:dyDescent="0.2">
      <c r="D21" s="640" t="str">
        <f>Intv_Ann_TO!D2355</f>
        <v>Muchinga</v>
      </c>
      <c r="J21" s="5">
        <f ca="1">Intv_Ann_TO!J2355+Intv_Ann_TO!J2368</f>
        <v>0</v>
      </c>
      <c r="K21" s="5">
        <f ca="1">Intv_Ann_TO!K2355+Intv_Ann_TO!K2368</f>
        <v>0</v>
      </c>
      <c r="L21" s="5">
        <f ca="1">Intv_Ann_TO!L2355+Intv_Ann_TO!L2368</f>
        <v>0</v>
      </c>
      <c r="M21" s="5">
        <f ca="1">Intv_Ann_TO!M2355+Intv_Ann_TO!M2368</f>
        <v>0</v>
      </c>
      <c r="N21" s="5">
        <f ca="1">Intv_Ann_TO!N2355+Intv_Ann_TO!N2368</f>
        <v>0</v>
      </c>
      <c r="O21" s="5">
        <f ca="1">Intv_Ann_TO!O2355+Intv_Ann_TO!O2368</f>
        <v>0</v>
      </c>
    </row>
    <row r="22" spans="4:15" s="322" customFormat="1" outlineLevel="1" x14ac:dyDescent="0.2">
      <c r="D22" s="640" t="str">
        <f>Intv_Ann_TO!D2356</f>
        <v>Northern</v>
      </c>
      <c r="J22" s="5">
        <f ca="1">Intv_Ann_TO!J2356+Intv_Ann_TO!J2369</f>
        <v>0</v>
      </c>
      <c r="K22" s="5">
        <f ca="1">Intv_Ann_TO!K2356+Intv_Ann_TO!K2369</f>
        <v>0</v>
      </c>
      <c r="L22" s="5">
        <f ca="1">Intv_Ann_TO!L2356+Intv_Ann_TO!L2369</f>
        <v>0</v>
      </c>
      <c r="M22" s="5">
        <f ca="1">Intv_Ann_TO!M2356+Intv_Ann_TO!M2369</f>
        <v>0</v>
      </c>
      <c r="N22" s="5">
        <f ca="1">Intv_Ann_TO!N2356+Intv_Ann_TO!N2369</f>
        <v>0</v>
      </c>
      <c r="O22" s="5">
        <f ca="1">Intv_Ann_TO!O2356+Intv_Ann_TO!O2369</f>
        <v>0</v>
      </c>
    </row>
    <row r="23" spans="4:15" s="322" customFormat="1" outlineLevel="1" x14ac:dyDescent="0.2">
      <c r="D23" s="640" t="str">
        <f>Intv_Ann_TO!D2357</f>
        <v>North-Western</v>
      </c>
      <c r="J23" s="5">
        <f ca="1">Intv_Ann_TO!J2357+Intv_Ann_TO!J2370</f>
        <v>0</v>
      </c>
      <c r="K23" s="5">
        <f ca="1">Intv_Ann_TO!K2357+Intv_Ann_TO!K2370</f>
        <v>0</v>
      </c>
      <c r="L23" s="5">
        <f ca="1">Intv_Ann_TO!L2357+Intv_Ann_TO!L2370</f>
        <v>0</v>
      </c>
      <c r="M23" s="5">
        <f ca="1">Intv_Ann_TO!M2357+Intv_Ann_TO!M2370</f>
        <v>0</v>
      </c>
      <c r="N23" s="5">
        <f ca="1">Intv_Ann_TO!N2357+Intv_Ann_TO!N2370</f>
        <v>0</v>
      </c>
      <c r="O23" s="5">
        <f ca="1">Intv_Ann_TO!O2357+Intv_Ann_TO!O2370</f>
        <v>0</v>
      </c>
    </row>
    <row r="24" spans="4:15" s="322" customFormat="1" outlineLevel="1" x14ac:dyDescent="0.2">
      <c r="D24" s="640" t="str">
        <f>Intv_Ann_TO!D2358</f>
        <v>Southern</v>
      </c>
      <c r="J24" s="5">
        <f ca="1">Intv_Ann_TO!J2358+Intv_Ann_TO!J2371</f>
        <v>6483.8919939440057</v>
      </c>
      <c r="K24" s="5">
        <f ca="1">Intv_Ann_TO!K2358+Intv_Ann_TO!K2371</f>
        <v>6483.8919939440057</v>
      </c>
      <c r="L24" s="5">
        <f ca="1">Intv_Ann_TO!L2358+Intv_Ann_TO!L2371</f>
        <v>6483.8919939440057</v>
      </c>
      <c r="M24" s="5">
        <f ca="1">Intv_Ann_TO!M2358+Intv_Ann_TO!M2371</f>
        <v>6483.8919939440057</v>
      </c>
      <c r="N24" s="5">
        <f ca="1">Intv_Ann_TO!N2358+Intv_Ann_TO!N2371</f>
        <v>6483.8919939440057</v>
      </c>
      <c r="O24" s="5">
        <f ca="1">Intv_Ann_TO!O2358+Intv_Ann_TO!O2371</f>
        <v>6483.8919939440057</v>
      </c>
    </row>
    <row r="25" spans="4:15" s="322" customFormat="1" outlineLevel="1" x14ac:dyDescent="0.2">
      <c r="D25" s="640" t="str">
        <f>Intv_Ann_TO!D2359</f>
        <v>Western</v>
      </c>
      <c r="J25" s="5">
        <f ca="1">Intv_Ann_TO!J2359+Intv_Ann_TO!J2372</f>
        <v>0</v>
      </c>
      <c r="K25" s="5">
        <f ca="1">Intv_Ann_TO!K2359+Intv_Ann_TO!K2372</f>
        <v>0</v>
      </c>
      <c r="L25" s="5">
        <f ca="1">Intv_Ann_TO!L2359+Intv_Ann_TO!L2372</f>
        <v>0</v>
      </c>
      <c r="M25" s="5">
        <f ca="1">Intv_Ann_TO!M2359+Intv_Ann_TO!M2372</f>
        <v>0</v>
      </c>
      <c r="N25" s="5">
        <f ca="1">Intv_Ann_TO!N2359+Intv_Ann_TO!N2372</f>
        <v>0</v>
      </c>
      <c r="O25" s="5">
        <f ca="1">Intv_Ann_TO!O2359+Intv_Ann_TO!O2372</f>
        <v>0</v>
      </c>
    </row>
    <row r="26" spans="4:15" s="322" customFormat="1" ht="15" x14ac:dyDescent="0.2">
      <c r="D26" s="642" t="str">
        <f>"Total "&amp;D15</f>
        <v>Total Personnel Costs</v>
      </c>
      <c r="J26" s="562">
        <f t="shared" ref="J26:O26" ca="1" si="4">SUM(J16:J25)</f>
        <v>30169.946420800679</v>
      </c>
      <c r="K26" s="562">
        <f t="shared" ca="1" si="4"/>
        <v>30169.946420800679</v>
      </c>
      <c r="L26" s="562">
        <f t="shared" ca="1" si="4"/>
        <v>30169.946420800679</v>
      </c>
      <c r="M26" s="562">
        <f t="shared" ca="1" si="4"/>
        <v>30169.946420800679</v>
      </c>
      <c r="N26" s="562">
        <f t="shared" ca="1" si="4"/>
        <v>30169.946420800679</v>
      </c>
      <c r="O26" s="562">
        <f t="shared" ca="1" si="4"/>
        <v>30169.946420800679</v>
      </c>
    </row>
    <row r="27" spans="4:15" s="322" customFormat="1" x14ac:dyDescent="0.2"/>
    <row r="28" spans="4:15" s="322" customFormat="1" ht="15" x14ac:dyDescent="0.2">
      <c r="D28" s="638" t="s">
        <v>105</v>
      </c>
    </row>
    <row r="29" spans="4:15" s="322" customFormat="1" outlineLevel="1" x14ac:dyDescent="0.2">
      <c r="D29" s="640" t="str">
        <f>Intv_Ann_TO!D2337</f>
        <v>Central</v>
      </c>
      <c r="J29" s="5">
        <f ca="1">Intv_Ann_TO!J2337</f>
        <v>0</v>
      </c>
      <c r="K29" s="5">
        <f ca="1">Intv_Ann_TO!K2337</f>
        <v>0</v>
      </c>
      <c r="L29" s="5">
        <f ca="1">Intv_Ann_TO!L2337</f>
        <v>0</v>
      </c>
      <c r="M29" s="5">
        <f ca="1">Intv_Ann_TO!M2337</f>
        <v>0</v>
      </c>
      <c r="N29" s="5">
        <f ca="1">Intv_Ann_TO!N2337</f>
        <v>0</v>
      </c>
      <c r="O29" s="5">
        <f ca="1">Intv_Ann_TO!O2337</f>
        <v>0</v>
      </c>
    </row>
    <row r="30" spans="4:15" s="322" customFormat="1" outlineLevel="1" x14ac:dyDescent="0.2">
      <c r="D30" s="640" t="str">
        <f>Intv_Ann_TO!D2338</f>
        <v>Copperbelt</v>
      </c>
      <c r="J30" s="5">
        <f ca="1">Intv_Ann_TO!J2338</f>
        <v>12105.739296</v>
      </c>
      <c r="K30" s="5">
        <f ca="1">Intv_Ann_TO!K2338</f>
        <v>12105.739296</v>
      </c>
      <c r="L30" s="5">
        <f ca="1">Intv_Ann_TO!L2338</f>
        <v>12105.739296</v>
      </c>
      <c r="M30" s="5">
        <f ca="1">Intv_Ann_TO!M2338</f>
        <v>12105.739296</v>
      </c>
      <c r="N30" s="5">
        <f ca="1">Intv_Ann_TO!N2338</f>
        <v>12105.739296</v>
      </c>
      <c r="O30" s="5">
        <f ca="1">Intv_Ann_TO!O2338</f>
        <v>12105.739296</v>
      </c>
    </row>
    <row r="31" spans="4:15" s="322" customFormat="1" outlineLevel="1" x14ac:dyDescent="0.2">
      <c r="D31" s="640" t="str">
        <f>Intv_Ann_TO!D2339</f>
        <v>Eastern</v>
      </c>
      <c r="J31" s="5">
        <f ca="1">Intv_Ann_TO!J2339</f>
        <v>0</v>
      </c>
      <c r="K31" s="5">
        <f ca="1">Intv_Ann_TO!K2339</f>
        <v>0</v>
      </c>
      <c r="L31" s="5">
        <f ca="1">Intv_Ann_TO!L2339</f>
        <v>0</v>
      </c>
      <c r="M31" s="5">
        <f ca="1">Intv_Ann_TO!M2339</f>
        <v>0</v>
      </c>
      <c r="N31" s="5">
        <f ca="1">Intv_Ann_TO!N2339</f>
        <v>0</v>
      </c>
      <c r="O31" s="5">
        <f ca="1">Intv_Ann_TO!O2339</f>
        <v>0</v>
      </c>
    </row>
    <row r="32" spans="4:15" s="322" customFormat="1" outlineLevel="1" x14ac:dyDescent="0.2">
      <c r="D32" s="640" t="str">
        <f>Intv_Ann_TO!D2340</f>
        <v>Luapula</v>
      </c>
      <c r="J32" s="5">
        <f ca="1">Intv_Ann_TO!J2340</f>
        <v>0</v>
      </c>
      <c r="K32" s="5">
        <f ca="1">Intv_Ann_TO!K2340</f>
        <v>0</v>
      </c>
      <c r="L32" s="5">
        <f ca="1">Intv_Ann_TO!L2340</f>
        <v>0</v>
      </c>
      <c r="M32" s="5">
        <f ca="1">Intv_Ann_TO!M2340</f>
        <v>0</v>
      </c>
      <c r="N32" s="5">
        <f ca="1">Intv_Ann_TO!N2340</f>
        <v>0</v>
      </c>
      <c r="O32" s="5">
        <f ca="1">Intv_Ann_TO!O2340</f>
        <v>0</v>
      </c>
    </row>
    <row r="33" spans="4:15" s="322" customFormat="1" outlineLevel="1" x14ac:dyDescent="0.2">
      <c r="D33" s="640" t="str">
        <f>Intv_Ann_TO!D2341</f>
        <v>Lusaka</v>
      </c>
      <c r="J33" s="5">
        <f ca="1">Intv_Ann_TO!J2341</f>
        <v>32117.267520000001</v>
      </c>
      <c r="K33" s="5">
        <f ca="1">Intv_Ann_TO!K2341</f>
        <v>32117.267520000001</v>
      </c>
      <c r="L33" s="5">
        <f ca="1">Intv_Ann_TO!L2341</f>
        <v>32117.267520000001</v>
      </c>
      <c r="M33" s="5">
        <f ca="1">Intv_Ann_TO!M2341</f>
        <v>32117.267520000001</v>
      </c>
      <c r="N33" s="5">
        <f ca="1">Intv_Ann_TO!N2341</f>
        <v>32117.267520000001</v>
      </c>
      <c r="O33" s="5">
        <f ca="1">Intv_Ann_TO!O2341</f>
        <v>32117.267520000001</v>
      </c>
    </row>
    <row r="34" spans="4:15" s="322" customFormat="1" outlineLevel="1" x14ac:dyDescent="0.2">
      <c r="D34" s="640" t="str">
        <f>Intv_Ann_TO!D2342</f>
        <v>Muchinga</v>
      </c>
      <c r="J34" s="5">
        <f ca="1">Intv_Ann_TO!J2342</f>
        <v>0</v>
      </c>
      <c r="K34" s="5">
        <f ca="1">Intv_Ann_TO!K2342</f>
        <v>0</v>
      </c>
      <c r="L34" s="5">
        <f ca="1">Intv_Ann_TO!L2342</f>
        <v>0</v>
      </c>
      <c r="M34" s="5">
        <f ca="1">Intv_Ann_TO!M2342</f>
        <v>0</v>
      </c>
      <c r="N34" s="5">
        <f ca="1">Intv_Ann_TO!N2342</f>
        <v>0</v>
      </c>
      <c r="O34" s="5">
        <f ca="1">Intv_Ann_TO!O2342</f>
        <v>0</v>
      </c>
    </row>
    <row r="35" spans="4:15" s="322" customFormat="1" outlineLevel="1" x14ac:dyDescent="0.2">
      <c r="D35" s="640" t="str">
        <f>Intv_Ann_TO!D2343</f>
        <v>Northern</v>
      </c>
      <c r="J35" s="5">
        <f ca="1">Intv_Ann_TO!J2343</f>
        <v>0</v>
      </c>
      <c r="K35" s="5">
        <f ca="1">Intv_Ann_TO!K2343</f>
        <v>0</v>
      </c>
      <c r="L35" s="5">
        <f ca="1">Intv_Ann_TO!L2343</f>
        <v>0</v>
      </c>
      <c r="M35" s="5">
        <f ca="1">Intv_Ann_TO!M2343</f>
        <v>0</v>
      </c>
      <c r="N35" s="5">
        <f ca="1">Intv_Ann_TO!N2343</f>
        <v>0</v>
      </c>
      <c r="O35" s="5">
        <f ca="1">Intv_Ann_TO!O2343</f>
        <v>0</v>
      </c>
    </row>
    <row r="36" spans="4:15" s="322" customFormat="1" outlineLevel="1" x14ac:dyDescent="0.2">
      <c r="D36" s="640" t="str">
        <f>Intv_Ann_TO!D2344</f>
        <v>North-Western</v>
      </c>
      <c r="J36" s="5">
        <f ca="1">Intv_Ann_TO!J2344</f>
        <v>0</v>
      </c>
      <c r="K36" s="5">
        <f ca="1">Intv_Ann_TO!K2344</f>
        <v>0</v>
      </c>
      <c r="L36" s="5">
        <f ca="1">Intv_Ann_TO!L2344</f>
        <v>0</v>
      </c>
      <c r="M36" s="5">
        <f ca="1">Intv_Ann_TO!M2344</f>
        <v>0</v>
      </c>
      <c r="N36" s="5">
        <f ca="1">Intv_Ann_TO!N2344</f>
        <v>0</v>
      </c>
      <c r="O36" s="5">
        <f ca="1">Intv_Ann_TO!O2344</f>
        <v>0</v>
      </c>
    </row>
    <row r="37" spans="4:15" s="322" customFormat="1" outlineLevel="1" x14ac:dyDescent="0.2">
      <c r="D37" s="640" t="str">
        <f>Intv_Ann_TO!D2345</f>
        <v>Southern</v>
      </c>
      <c r="J37" s="5">
        <f ca="1">Intv_Ann_TO!J2345</f>
        <v>12105.739296</v>
      </c>
      <c r="K37" s="5">
        <f ca="1">Intv_Ann_TO!K2345</f>
        <v>12105.739296</v>
      </c>
      <c r="L37" s="5">
        <f ca="1">Intv_Ann_TO!L2345</f>
        <v>12105.739296</v>
      </c>
      <c r="M37" s="5">
        <f ca="1">Intv_Ann_TO!M2345</f>
        <v>12105.739296</v>
      </c>
      <c r="N37" s="5">
        <f ca="1">Intv_Ann_TO!N2345</f>
        <v>12105.739296</v>
      </c>
      <c r="O37" s="5">
        <f ca="1">Intv_Ann_TO!O2345</f>
        <v>12105.739296</v>
      </c>
    </row>
    <row r="38" spans="4:15" s="322" customFormat="1" outlineLevel="1" x14ac:dyDescent="0.2">
      <c r="D38" s="640" t="str">
        <f>Intv_Ann_TO!D2346</f>
        <v>Western</v>
      </c>
      <c r="J38" s="5">
        <f ca="1">Intv_Ann_TO!J2346</f>
        <v>0</v>
      </c>
      <c r="K38" s="5">
        <f ca="1">Intv_Ann_TO!K2346</f>
        <v>0</v>
      </c>
      <c r="L38" s="5">
        <f ca="1">Intv_Ann_TO!L2346</f>
        <v>0</v>
      </c>
      <c r="M38" s="5">
        <f ca="1">Intv_Ann_TO!M2346</f>
        <v>0</v>
      </c>
      <c r="N38" s="5">
        <f ca="1">Intv_Ann_TO!N2346</f>
        <v>0</v>
      </c>
      <c r="O38" s="5">
        <f ca="1">Intv_Ann_TO!O2346</f>
        <v>0</v>
      </c>
    </row>
    <row r="39" spans="4:15" s="322" customFormat="1" ht="15" x14ac:dyDescent="0.2">
      <c r="D39" s="642" t="str">
        <f>"Total "&amp;D28</f>
        <v>Total Supply Costs</v>
      </c>
      <c r="J39" s="562">
        <f t="shared" ref="J39:O39" ca="1" si="5">SUM(J29:J38)</f>
        <v>56328.746112000001</v>
      </c>
      <c r="K39" s="562">
        <f t="shared" ca="1" si="5"/>
        <v>56328.746112000001</v>
      </c>
      <c r="L39" s="562">
        <f t="shared" ca="1" si="5"/>
        <v>56328.746112000001</v>
      </c>
      <c r="M39" s="562">
        <f t="shared" ca="1" si="5"/>
        <v>56328.746112000001</v>
      </c>
      <c r="N39" s="562">
        <f t="shared" ca="1" si="5"/>
        <v>56328.746112000001</v>
      </c>
      <c r="O39" s="562">
        <f t="shared" ca="1" si="5"/>
        <v>56328.746112000001</v>
      </c>
    </row>
    <row r="40" spans="4:15" s="322" customFormat="1" x14ac:dyDescent="0.2"/>
    <row r="41" spans="4:15" s="322" customFormat="1" ht="15" x14ac:dyDescent="0.2">
      <c r="D41" s="638" t="s">
        <v>1969</v>
      </c>
    </row>
    <row r="42" spans="4:15" s="322" customFormat="1" outlineLevel="1" x14ac:dyDescent="0.2">
      <c r="D42" s="640" t="str">
        <f>Intv_Ann_TO!D2376</f>
        <v>Central</v>
      </c>
      <c r="J42" s="5">
        <f ca="1">Intv_Ann_TO!J2376</f>
        <v>0</v>
      </c>
      <c r="K42" s="5">
        <f ca="1">Intv_Ann_TO!K2376</f>
        <v>0</v>
      </c>
      <c r="L42" s="5">
        <f ca="1">Intv_Ann_TO!L2376</f>
        <v>0</v>
      </c>
      <c r="M42" s="5">
        <f ca="1">Intv_Ann_TO!M2376</f>
        <v>0</v>
      </c>
      <c r="N42" s="5">
        <f ca="1">Intv_Ann_TO!N2376</f>
        <v>0</v>
      </c>
      <c r="O42" s="5">
        <f ca="1">Intv_Ann_TO!O2376</f>
        <v>0</v>
      </c>
    </row>
    <row r="43" spans="4:15" s="322" customFormat="1" outlineLevel="1" x14ac:dyDescent="0.2">
      <c r="D43" s="640" t="str">
        <f>Intv_Ann_TO!D2377</f>
        <v>Copperbelt</v>
      </c>
      <c r="J43" s="5">
        <f ca="1">Intv_Ann_TO!J2377</f>
        <v>0</v>
      </c>
      <c r="K43" s="5">
        <f ca="1">Intv_Ann_TO!K2377</f>
        <v>0</v>
      </c>
      <c r="L43" s="5">
        <f ca="1">Intv_Ann_TO!L2377</f>
        <v>0</v>
      </c>
      <c r="M43" s="5">
        <f ca="1">Intv_Ann_TO!M2377</f>
        <v>0</v>
      </c>
      <c r="N43" s="5">
        <f ca="1">Intv_Ann_TO!N2377</f>
        <v>0</v>
      </c>
      <c r="O43" s="5">
        <f ca="1">Intv_Ann_TO!O2377</f>
        <v>0</v>
      </c>
    </row>
    <row r="44" spans="4:15" s="322" customFormat="1" outlineLevel="1" x14ac:dyDescent="0.2">
      <c r="D44" s="640" t="str">
        <f>Intv_Ann_TO!D2378</f>
        <v>Eastern</v>
      </c>
      <c r="J44" s="5">
        <f ca="1">Intv_Ann_TO!J2378</f>
        <v>0</v>
      </c>
      <c r="K44" s="5">
        <f ca="1">Intv_Ann_TO!K2378</f>
        <v>0</v>
      </c>
      <c r="L44" s="5">
        <f ca="1">Intv_Ann_TO!L2378</f>
        <v>0</v>
      </c>
      <c r="M44" s="5">
        <f ca="1">Intv_Ann_TO!M2378</f>
        <v>0</v>
      </c>
      <c r="N44" s="5">
        <f ca="1">Intv_Ann_TO!N2378</f>
        <v>0</v>
      </c>
      <c r="O44" s="5">
        <f ca="1">Intv_Ann_TO!O2378</f>
        <v>0</v>
      </c>
    </row>
    <row r="45" spans="4:15" s="322" customFormat="1" outlineLevel="1" x14ac:dyDescent="0.2">
      <c r="D45" s="640" t="str">
        <f>Intv_Ann_TO!D2379</f>
        <v>Luapula</v>
      </c>
      <c r="J45" s="5">
        <f ca="1">Intv_Ann_TO!J2379</f>
        <v>0</v>
      </c>
      <c r="K45" s="5">
        <f ca="1">Intv_Ann_TO!K2379</f>
        <v>0</v>
      </c>
      <c r="L45" s="5">
        <f ca="1">Intv_Ann_TO!L2379</f>
        <v>0</v>
      </c>
      <c r="M45" s="5">
        <f ca="1">Intv_Ann_TO!M2379</f>
        <v>0</v>
      </c>
      <c r="N45" s="5">
        <f ca="1">Intv_Ann_TO!N2379</f>
        <v>0</v>
      </c>
      <c r="O45" s="5">
        <f ca="1">Intv_Ann_TO!O2379</f>
        <v>0</v>
      </c>
    </row>
    <row r="46" spans="4:15" s="322" customFormat="1" outlineLevel="1" x14ac:dyDescent="0.2">
      <c r="D46" s="640" t="str">
        <f>Intv_Ann_TO!D2380</f>
        <v>Lusaka</v>
      </c>
      <c r="J46" s="5">
        <f ca="1">Intv_Ann_TO!J2380</f>
        <v>0</v>
      </c>
      <c r="K46" s="5">
        <f ca="1">Intv_Ann_TO!K2380</f>
        <v>0</v>
      </c>
      <c r="L46" s="5">
        <f ca="1">Intv_Ann_TO!L2380</f>
        <v>0</v>
      </c>
      <c r="M46" s="5">
        <f ca="1">Intv_Ann_TO!M2380</f>
        <v>0</v>
      </c>
      <c r="N46" s="5">
        <f ca="1">Intv_Ann_TO!N2380</f>
        <v>0</v>
      </c>
      <c r="O46" s="5">
        <f ca="1">Intv_Ann_TO!O2380</f>
        <v>0</v>
      </c>
    </row>
    <row r="47" spans="4:15" s="322" customFormat="1" outlineLevel="1" x14ac:dyDescent="0.2">
      <c r="D47" s="640" t="str">
        <f>Intv_Ann_TO!D2381</f>
        <v>Muchinga</v>
      </c>
      <c r="J47" s="5">
        <f ca="1">Intv_Ann_TO!J2381</f>
        <v>0</v>
      </c>
      <c r="K47" s="5">
        <f ca="1">Intv_Ann_TO!K2381</f>
        <v>0</v>
      </c>
      <c r="L47" s="5">
        <f ca="1">Intv_Ann_TO!L2381</f>
        <v>0</v>
      </c>
      <c r="M47" s="5">
        <f ca="1">Intv_Ann_TO!M2381</f>
        <v>0</v>
      </c>
      <c r="N47" s="5">
        <f ca="1">Intv_Ann_TO!N2381</f>
        <v>0</v>
      </c>
      <c r="O47" s="5">
        <f ca="1">Intv_Ann_TO!O2381</f>
        <v>0</v>
      </c>
    </row>
    <row r="48" spans="4:15" s="322" customFormat="1" outlineLevel="1" x14ac:dyDescent="0.2">
      <c r="D48" s="640" t="str">
        <f>Intv_Ann_TO!D2382</f>
        <v>Northern</v>
      </c>
      <c r="J48" s="5">
        <f ca="1">Intv_Ann_TO!J2382</f>
        <v>0</v>
      </c>
      <c r="K48" s="5">
        <f ca="1">Intv_Ann_TO!K2382</f>
        <v>0</v>
      </c>
      <c r="L48" s="5">
        <f ca="1">Intv_Ann_TO!L2382</f>
        <v>0</v>
      </c>
      <c r="M48" s="5">
        <f ca="1">Intv_Ann_TO!M2382</f>
        <v>0</v>
      </c>
      <c r="N48" s="5">
        <f ca="1">Intv_Ann_TO!N2382</f>
        <v>0</v>
      </c>
      <c r="O48" s="5">
        <f ca="1">Intv_Ann_TO!O2382</f>
        <v>0</v>
      </c>
    </row>
    <row r="49" spans="4:15" s="322" customFormat="1" outlineLevel="1" x14ac:dyDescent="0.2">
      <c r="D49" s="640" t="str">
        <f>Intv_Ann_TO!D2383</f>
        <v>North-Western</v>
      </c>
      <c r="J49" s="5">
        <f ca="1">Intv_Ann_TO!J2383</f>
        <v>0</v>
      </c>
      <c r="K49" s="5">
        <f ca="1">Intv_Ann_TO!K2383</f>
        <v>0</v>
      </c>
      <c r="L49" s="5">
        <f ca="1">Intv_Ann_TO!L2383</f>
        <v>0</v>
      </c>
      <c r="M49" s="5">
        <f ca="1">Intv_Ann_TO!M2383</f>
        <v>0</v>
      </c>
      <c r="N49" s="5">
        <f ca="1">Intv_Ann_TO!N2383</f>
        <v>0</v>
      </c>
      <c r="O49" s="5">
        <f ca="1">Intv_Ann_TO!O2383</f>
        <v>0</v>
      </c>
    </row>
    <row r="50" spans="4:15" s="322" customFormat="1" outlineLevel="1" x14ac:dyDescent="0.2">
      <c r="D50" s="640" t="str">
        <f>Intv_Ann_TO!D2384</f>
        <v>Southern</v>
      </c>
      <c r="J50" s="5">
        <f ca="1">Intv_Ann_TO!J2384</f>
        <v>0</v>
      </c>
      <c r="K50" s="5">
        <f ca="1">Intv_Ann_TO!K2384</f>
        <v>0</v>
      </c>
      <c r="L50" s="5">
        <f ca="1">Intv_Ann_TO!L2384</f>
        <v>0</v>
      </c>
      <c r="M50" s="5">
        <f ca="1">Intv_Ann_TO!M2384</f>
        <v>0</v>
      </c>
      <c r="N50" s="5">
        <f ca="1">Intv_Ann_TO!N2384</f>
        <v>0</v>
      </c>
      <c r="O50" s="5">
        <f ca="1">Intv_Ann_TO!O2384</f>
        <v>0</v>
      </c>
    </row>
    <row r="51" spans="4:15" s="322" customFormat="1" outlineLevel="1" x14ac:dyDescent="0.2">
      <c r="D51" s="640" t="str">
        <f>Intv_Ann_TO!D2385</f>
        <v>Western</v>
      </c>
      <c r="J51" s="5">
        <f ca="1">Intv_Ann_TO!J2385</f>
        <v>0</v>
      </c>
      <c r="K51" s="5">
        <f ca="1">Intv_Ann_TO!K2385</f>
        <v>0</v>
      </c>
      <c r="L51" s="5">
        <f ca="1">Intv_Ann_TO!L2385</f>
        <v>0</v>
      </c>
      <c r="M51" s="5">
        <f ca="1">Intv_Ann_TO!M2385</f>
        <v>0</v>
      </c>
      <c r="N51" s="5">
        <f ca="1">Intv_Ann_TO!N2385</f>
        <v>0</v>
      </c>
      <c r="O51" s="5">
        <f ca="1">Intv_Ann_TO!O2385</f>
        <v>0</v>
      </c>
    </row>
    <row r="52" spans="4:15" s="322" customFormat="1" ht="15" x14ac:dyDescent="0.2">
      <c r="D52" s="642" t="str">
        <f>"Total "&amp;D41</f>
        <v>Total Lab Tests and Other Direct Costs (ODC)</v>
      </c>
      <c r="J52" s="562">
        <f t="shared" ref="J52:O52" ca="1" si="6">SUM(J42:J51)</f>
        <v>0</v>
      </c>
      <c r="K52" s="562">
        <f t="shared" ca="1" si="6"/>
        <v>0</v>
      </c>
      <c r="L52" s="562">
        <f t="shared" ca="1" si="6"/>
        <v>0</v>
      </c>
      <c r="M52" s="562">
        <f t="shared" ca="1" si="6"/>
        <v>0</v>
      </c>
      <c r="N52" s="562">
        <f t="shared" ca="1" si="6"/>
        <v>0</v>
      </c>
      <c r="O52" s="562">
        <f t="shared" ca="1" si="6"/>
        <v>0</v>
      </c>
    </row>
    <row r="53" spans="4:15" s="322" customFormat="1" x14ac:dyDescent="0.2"/>
    <row r="54" spans="4:15" s="322" customFormat="1" ht="15" x14ac:dyDescent="0.2">
      <c r="D54" s="638" t="s">
        <v>1939</v>
      </c>
    </row>
    <row r="55" spans="4:15" s="322" customFormat="1" outlineLevel="1" x14ac:dyDescent="0.2">
      <c r="D55" s="640" t="str">
        <f>Intv_Ann_TO!D2337</f>
        <v>Central</v>
      </c>
      <c r="J55" s="5">
        <f t="shared" ref="J55:O64" ca="1" si="7">J29+J42</f>
        <v>0</v>
      </c>
      <c r="K55" s="5">
        <f t="shared" ca="1" si="7"/>
        <v>0</v>
      </c>
      <c r="L55" s="5">
        <f t="shared" ca="1" si="7"/>
        <v>0</v>
      </c>
      <c r="M55" s="5">
        <f t="shared" ca="1" si="7"/>
        <v>0</v>
      </c>
      <c r="N55" s="5">
        <f t="shared" ca="1" si="7"/>
        <v>0</v>
      </c>
      <c r="O55" s="5">
        <f t="shared" ca="1" si="7"/>
        <v>0</v>
      </c>
    </row>
    <row r="56" spans="4:15" s="322" customFormat="1" outlineLevel="1" x14ac:dyDescent="0.2">
      <c r="D56" s="640" t="str">
        <f>Intv_Ann_TO!D2338</f>
        <v>Copperbelt</v>
      </c>
      <c r="J56" s="5">
        <f t="shared" ca="1" si="7"/>
        <v>12105.739296</v>
      </c>
      <c r="K56" s="5">
        <f t="shared" ca="1" si="7"/>
        <v>12105.739296</v>
      </c>
      <c r="L56" s="5">
        <f t="shared" ca="1" si="7"/>
        <v>12105.739296</v>
      </c>
      <c r="M56" s="5">
        <f t="shared" ca="1" si="7"/>
        <v>12105.739296</v>
      </c>
      <c r="N56" s="5">
        <f t="shared" ca="1" si="7"/>
        <v>12105.739296</v>
      </c>
      <c r="O56" s="5">
        <f t="shared" ca="1" si="7"/>
        <v>12105.739296</v>
      </c>
    </row>
    <row r="57" spans="4:15" s="322" customFormat="1" outlineLevel="1" x14ac:dyDescent="0.2">
      <c r="D57" s="640" t="str">
        <f>Intv_Ann_TO!D2339</f>
        <v>Eastern</v>
      </c>
      <c r="J57" s="5">
        <f t="shared" ca="1" si="7"/>
        <v>0</v>
      </c>
      <c r="K57" s="5">
        <f t="shared" ca="1" si="7"/>
        <v>0</v>
      </c>
      <c r="L57" s="5">
        <f t="shared" ca="1" si="7"/>
        <v>0</v>
      </c>
      <c r="M57" s="5">
        <f t="shared" ca="1" si="7"/>
        <v>0</v>
      </c>
      <c r="N57" s="5">
        <f t="shared" ca="1" si="7"/>
        <v>0</v>
      </c>
      <c r="O57" s="5">
        <f t="shared" ca="1" si="7"/>
        <v>0</v>
      </c>
    </row>
    <row r="58" spans="4:15" s="322" customFormat="1" outlineLevel="1" x14ac:dyDescent="0.2">
      <c r="D58" s="640" t="str">
        <f>Intv_Ann_TO!D2340</f>
        <v>Luapula</v>
      </c>
      <c r="J58" s="5">
        <f t="shared" ca="1" si="7"/>
        <v>0</v>
      </c>
      <c r="K58" s="5">
        <f t="shared" ca="1" si="7"/>
        <v>0</v>
      </c>
      <c r="L58" s="5">
        <f t="shared" ca="1" si="7"/>
        <v>0</v>
      </c>
      <c r="M58" s="5">
        <f t="shared" ca="1" si="7"/>
        <v>0</v>
      </c>
      <c r="N58" s="5">
        <f t="shared" ca="1" si="7"/>
        <v>0</v>
      </c>
      <c r="O58" s="5">
        <f t="shared" ca="1" si="7"/>
        <v>0</v>
      </c>
    </row>
    <row r="59" spans="4:15" s="322" customFormat="1" outlineLevel="1" x14ac:dyDescent="0.2">
      <c r="D59" s="640" t="str">
        <f>Intv_Ann_TO!D2341</f>
        <v>Lusaka</v>
      </c>
      <c r="J59" s="5">
        <f t="shared" ca="1" si="7"/>
        <v>32117.267520000001</v>
      </c>
      <c r="K59" s="5">
        <f t="shared" ca="1" si="7"/>
        <v>32117.267520000001</v>
      </c>
      <c r="L59" s="5">
        <f t="shared" ca="1" si="7"/>
        <v>32117.267520000001</v>
      </c>
      <c r="M59" s="5">
        <f t="shared" ca="1" si="7"/>
        <v>32117.267520000001</v>
      </c>
      <c r="N59" s="5">
        <f t="shared" ca="1" si="7"/>
        <v>32117.267520000001</v>
      </c>
      <c r="O59" s="5">
        <f t="shared" ca="1" si="7"/>
        <v>32117.267520000001</v>
      </c>
    </row>
    <row r="60" spans="4:15" s="322" customFormat="1" outlineLevel="1" x14ac:dyDescent="0.2">
      <c r="D60" s="640" t="str">
        <f>Intv_Ann_TO!D2342</f>
        <v>Muchinga</v>
      </c>
      <c r="J60" s="5">
        <f t="shared" ca="1" si="7"/>
        <v>0</v>
      </c>
      <c r="K60" s="5">
        <f t="shared" ca="1" si="7"/>
        <v>0</v>
      </c>
      <c r="L60" s="5">
        <f t="shared" ca="1" si="7"/>
        <v>0</v>
      </c>
      <c r="M60" s="5">
        <f t="shared" ca="1" si="7"/>
        <v>0</v>
      </c>
      <c r="N60" s="5">
        <f t="shared" ca="1" si="7"/>
        <v>0</v>
      </c>
      <c r="O60" s="5">
        <f t="shared" ca="1" si="7"/>
        <v>0</v>
      </c>
    </row>
    <row r="61" spans="4:15" s="322" customFormat="1" outlineLevel="1" x14ac:dyDescent="0.2">
      <c r="D61" s="640" t="str">
        <f>Intv_Ann_TO!D2343</f>
        <v>Northern</v>
      </c>
      <c r="J61" s="5">
        <f t="shared" ca="1" si="7"/>
        <v>0</v>
      </c>
      <c r="K61" s="5">
        <f t="shared" ca="1" si="7"/>
        <v>0</v>
      </c>
      <c r="L61" s="5">
        <f t="shared" ca="1" si="7"/>
        <v>0</v>
      </c>
      <c r="M61" s="5">
        <f t="shared" ca="1" si="7"/>
        <v>0</v>
      </c>
      <c r="N61" s="5">
        <f t="shared" ca="1" si="7"/>
        <v>0</v>
      </c>
      <c r="O61" s="5">
        <f t="shared" ca="1" si="7"/>
        <v>0</v>
      </c>
    </row>
    <row r="62" spans="4:15" s="322" customFormat="1" outlineLevel="1" x14ac:dyDescent="0.2">
      <c r="D62" s="640" t="str">
        <f>Intv_Ann_TO!D2344</f>
        <v>North-Western</v>
      </c>
      <c r="J62" s="5">
        <f t="shared" ca="1" si="7"/>
        <v>0</v>
      </c>
      <c r="K62" s="5">
        <f t="shared" ca="1" si="7"/>
        <v>0</v>
      </c>
      <c r="L62" s="5">
        <f t="shared" ca="1" si="7"/>
        <v>0</v>
      </c>
      <c r="M62" s="5">
        <f t="shared" ca="1" si="7"/>
        <v>0</v>
      </c>
      <c r="N62" s="5">
        <f t="shared" ca="1" si="7"/>
        <v>0</v>
      </c>
      <c r="O62" s="5">
        <f t="shared" ca="1" si="7"/>
        <v>0</v>
      </c>
    </row>
    <row r="63" spans="4:15" s="322" customFormat="1" outlineLevel="1" x14ac:dyDescent="0.2">
      <c r="D63" s="640" t="str">
        <f>Intv_Ann_TO!D2345</f>
        <v>Southern</v>
      </c>
      <c r="J63" s="5">
        <f t="shared" ca="1" si="7"/>
        <v>12105.739296</v>
      </c>
      <c r="K63" s="5">
        <f t="shared" ca="1" si="7"/>
        <v>12105.739296</v>
      </c>
      <c r="L63" s="5">
        <f t="shared" ca="1" si="7"/>
        <v>12105.739296</v>
      </c>
      <c r="M63" s="5">
        <f t="shared" ca="1" si="7"/>
        <v>12105.739296</v>
      </c>
      <c r="N63" s="5">
        <f t="shared" ca="1" si="7"/>
        <v>12105.739296</v>
      </c>
      <c r="O63" s="5">
        <f t="shared" ca="1" si="7"/>
        <v>12105.739296</v>
      </c>
    </row>
    <row r="64" spans="4:15" s="322" customFormat="1" outlineLevel="1" x14ac:dyDescent="0.2">
      <c r="D64" s="640" t="str">
        <f>Intv_Ann_TO!D2346</f>
        <v>Western</v>
      </c>
      <c r="J64" s="5">
        <f t="shared" ca="1" si="7"/>
        <v>0</v>
      </c>
      <c r="K64" s="5">
        <f t="shared" ca="1" si="7"/>
        <v>0</v>
      </c>
      <c r="L64" s="5">
        <f t="shared" ca="1" si="7"/>
        <v>0</v>
      </c>
      <c r="M64" s="5">
        <f t="shared" ca="1" si="7"/>
        <v>0</v>
      </c>
      <c r="N64" s="5">
        <f t="shared" ca="1" si="7"/>
        <v>0</v>
      </c>
      <c r="O64" s="5">
        <f t="shared" ca="1" si="7"/>
        <v>0</v>
      </c>
    </row>
    <row r="65" spans="4:15" s="322" customFormat="1" ht="15.75" thickBot="1" x14ac:dyDescent="0.25">
      <c r="D65" s="642" t="str">
        <f>"Total "&amp;D54</f>
        <v>Total Recurrent Financial Costs</v>
      </c>
      <c r="J65" s="624">
        <f t="shared" ref="J65:O65" ca="1" si="8">SUM(J55:J64)</f>
        <v>56328.746112000001</v>
      </c>
      <c r="K65" s="624">
        <f t="shared" ca="1" si="8"/>
        <v>56328.746112000001</v>
      </c>
      <c r="L65" s="624">
        <f t="shared" ca="1" si="8"/>
        <v>56328.746112000001</v>
      </c>
      <c r="M65" s="624">
        <f t="shared" ca="1" si="8"/>
        <v>56328.746112000001</v>
      </c>
      <c r="N65" s="624">
        <f t="shared" ca="1" si="8"/>
        <v>56328.746112000001</v>
      </c>
      <c r="O65" s="624">
        <f t="shared" ca="1" si="8"/>
        <v>56328.746112000001</v>
      </c>
    </row>
    <row r="66" spans="4:15" s="322" customFormat="1" ht="13.5" thickTop="1" x14ac:dyDescent="0.2"/>
    <row r="67" spans="4:15" s="322" customFormat="1" ht="15" x14ac:dyDescent="0.2">
      <c r="D67" s="638" t="s">
        <v>1940</v>
      </c>
    </row>
    <row r="68" spans="4:15" s="322" customFormat="1" outlineLevel="1" x14ac:dyDescent="0.2">
      <c r="D68" s="640" t="str">
        <f>Intv_Ann_TO!D2337</f>
        <v>Central</v>
      </c>
      <c r="J68" s="5">
        <f t="shared" ref="J68:O77" ca="1" si="9">J16+J29+J42</f>
        <v>0</v>
      </c>
      <c r="K68" s="5">
        <f t="shared" ca="1" si="9"/>
        <v>0</v>
      </c>
      <c r="L68" s="5">
        <f t="shared" ca="1" si="9"/>
        <v>0</v>
      </c>
      <c r="M68" s="5">
        <f t="shared" ca="1" si="9"/>
        <v>0</v>
      </c>
      <c r="N68" s="5">
        <f t="shared" ca="1" si="9"/>
        <v>0</v>
      </c>
      <c r="O68" s="5">
        <f t="shared" ca="1" si="9"/>
        <v>0</v>
      </c>
    </row>
    <row r="69" spans="4:15" s="322" customFormat="1" outlineLevel="1" x14ac:dyDescent="0.2">
      <c r="D69" s="640" t="str">
        <f>Intv_Ann_TO!D2338</f>
        <v>Copperbelt</v>
      </c>
      <c r="J69" s="5">
        <f t="shared" ca="1" si="9"/>
        <v>18589.631289944005</v>
      </c>
      <c r="K69" s="5">
        <f t="shared" ca="1" si="9"/>
        <v>18589.631289944005</v>
      </c>
      <c r="L69" s="5">
        <f t="shared" ca="1" si="9"/>
        <v>18589.631289944005</v>
      </c>
      <c r="M69" s="5">
        <f t="shared" ca="1" si="9"/>
        <v>18589.631289944005</v>
      </c>
      <c r="N69" s="5">
        <f t="shared" ca="1" si="9"/>
        <v>18589.631289944005</v>
      </c>
      <c r="O69" s="5">
        <f t="shared" ca="1" si="9"/>
        <v>18589.631289944005</v>
      </c>
    </row>
    <row r="70" spans="4:15" s="322" customFormat="1" outlineLevel="1" x14ac:dyDescent="0.2">
      <c r="D70" s="640" t="str">
        <f>Intv_Ann_TO!D2339</f>
        <v>Eastern</v>
      </c>
      <c r="J70" s="5">
        <f t="shared" ca="1" si="9"/>
        <v>0</v>
      </c>
      <c r="K70" s="5">
        <f t="shared" ca="1" si="9"/>
        <v>0</v>
      </c>
      <c r="L70" s="5">
        <f t="shared" ca="1" si="9"/>
        <v>0</v>
      </c>
      <c r="M70" s="5">
        <f t="shared" ca="1" si="9"/>
        <v>0</v>
      </c>
      <c r="N70" s="5">
        <f t="shared" ca="1" si="9"/>
        <v>0</v>
      </c>
      <c r="O70" s="5">
        <f t="shared" ca="1" si="9"/>
        <v>0</v>
      </c>
    </row>
    <row r="71" spans="4:15" s="322" customFormat="1" outlineLevel="1" x14ac:dyDescent="0.2">
      <c r="D71" s="640" t="str">
        <f>Intv_Ann_TO!D2340</f>
        <v>Luapula</v>
      </c>
      <c r="J71" s="5">
        <f t="shared" ca="1" si="9"/>
        <v>0</v>
      </c>
      <c r="K71" s="5">
        <f t="shared" ca="1" si="9"/>
        <v>0</v>
      </c>
      <c r="L71" s="5">
        <f t="shared" ca="1" si="9"/>
        <v>0</v>
      </c>
      <c r="M71" s="5">
        <f t="shared" ca="1" si="9"/>
        <v>0</v>
      </c>
      <c r="N71" s="5">
        <f t="shared" ca="1" si="9"/>
        <v>0</v>
      </c>
      <c r="O71" s="5">
        <f t="shared" ca="1" si="9"/>
        <v>0</v>
      </c>
    </row>
    <row r="72" spans="4:15" s="322" customFormat="1" outlineLevel="1" x14ac:dyDescent="0.2">
      <c r="D72" s="640" t="str">
        <f>Intv_Ann_TO!D2341</f>
        <v>Lusaka</v>
      </c>
      <c r="J72" s="5">
        <f t="shared" ca="1" si="9"/>
        <v>49319.429952912673</v>
      </c>
      <c r="K72" s="5">
        <f t="shared" ca="1" si="9"/>
        <v>49319.429952912673</v>
      </c>
      <c r="L72" s="5">
        <f t="shared" ca="1" si="9"/>
        <v>49319.429952912673</v>
      </c>
      <c r="M72" s="5">
        <f t="shared" ca="1" si="9"/>
        <v>49319.429952912673</v>
      </c>
      <c r="N72" s="5">
        <f t="shared" ca="1" si="9"/>
        <v>49319.429952912673</v>
      </c>
      <c r="O72" s="5">
        <f t="shared" ca="1" si="9"/>
        <v>49319.429952912673</v>
      </c>
    </row>
    <row r="73" spans="4:15" s="322" customFormat="1" outlineLevel="1" x14ac:dyDescent="0.2">
      <c r="D73" s="640" t="str">
        <f>Intv_Ann_TO!D2342</f>
        <v>Muchinga</v>
      </c>
      <c r="J73" s="5">
        <f t="shared" ca="1" si="9"/>
        <v>0</v>
      </c>
      <c r="K73" s="5">
        <f t="shared" ca="1" si="9"/>
        <v>0</v>
      </c>
      <c r="L73" s="5">
        <f t="shared" ca="1" si="9"/>
        <v>0</v>
      </c>
      <c r="M73" s="5">
        <f t="shared" ca="1" si="9"/>
        <v>0</v>
      </c>
      <c r="N73" s="5">
        <f t="shared" ca="1" si="9"/>
        <v>0</v>
      </c>
      <c r="O73" s="5">
        <f t="shared" ca="1" si="9"/>
        <v>0</v>
      </c>
    </row>
    <row r="74" spans="4:15" s="322" customFormat="1" outlineLevel="1" x14ac:dyDescent="0.2">
      <c r="D74" s="640" t="str">
        <f>Intv_Ann_TO!D2343</f>
        <v>Northern</v>
      </c>
      <c r="J74" s="5">
        <f t="shared" ca="1" si="9"/>
        <v>0</v>
      </c>
      <c r="K74" s="5">
        <f t="shared" ca="1" si="9"/>
        <v>0</v>
      </c>
      <c r="L74" s="5">
        <f t="shared" ca="1" si="9"/>
        <v>0</v>
      </c>
      <c r="M74" s="5">
        <f t="shared" ca="1" si="9"/>
        <v>0</v>
      </c>
      <c r="N74" s="5">
        <f t="shared" ca="1" si="9"/>
        <v>0</v>
      </c>
      <c r="O74" s="5">
        <f t="shared" ca="1" si="9"/>
        <v>0</v>
      </c>
    </row>
    <row r="75" spans="4:15" s="322" customFormat="1" outlineLevel="1" x14ac:dyDescent="0.2">
      <c r="D75" s="640" t="str">
        <f>Intv_Ann_TO!D2344</f>
        <v>North-Western</v>
      </c>
      <c r="J75" s="5">
        <f t="shared" ca="1" si="9"/>
        <v>0</v>
      </c>
      <c r="K75" s="5">
        <f t="shared" ca="1" si="9"/>
        <v>0</v>
      </c>
      <c r="L75" s="5">
        <f t="shared" ca="1" si="9"/>
        <v>0</v>
      </c>
      <c r="M75" s="5">
        <f t="shared" ca="1" si="9"/>
        <v>0</v>
      </c>
      <c r="N75" s="5">
        <f t="shared" ca="1" si="9"/>
        <v>0</v>
      </c>
      <c r="O75" s="5">
        <f t="shared" ca="1" si="9"/>
        <v>0</v>
      </c>
    </row>
    <row r="76" spans="4:15" s="322" customFormat="1" outlineLevel="1" x14ac:dyDescent="0.2">
      <c r="D76" s="640" t="str">
        <f>Intv_Ann_TO!D2345</f>
        <v>Southern</v>
      </c>
      <c r="J76" s="5">
        <f t="shared" ca="1" si="9"/>
        <v>18589.631289944005</v>
      </c>
      <c r="K76" s="5">
        <f t="shared" ca="1" si="9"/>
        <v>18589.631289944005</v>
      </c>
      <c r="L76" s="5">
        <f t="shared" ca="1" si="9"/>
        <v>18589.631289944005</v>
      </c>
      <c r="M76" s="5">
        <f t="shared" ca="1" si="9"/>
        <v>18589.631289944005</v>
      </c>
      <c r="N76" s="5">
        <f t="shared" ca="1" si="9"/>
        <v>18589.631289944005</v>
      </c>
      <c r="O76" s="5">
        <f t="shared" ca="1" si="9"/>
        <v>18589.631289944005</v>
      </c>
    </row>
    <row r="77" spans="4:15" s="322" customFormat="1" outlineLevel="1" x14ac:dyDescent="0.2">
      <c r="D77" s="640" t="str">
        <f>Intv_Ann_TO!D2346</f>
        <v>Western</v>
      </c>
      <c r="J77" s="5">
        <f t="shared" ca="1" si="9"/>
        <v>0</v>
      </c>
      <c r="K77" s="5">
        <f t="shared" ca="1" si="9"/>
        <v>0</v>
      </c>
      <c r="L77" s="5">
        <f t="shared" ca="1" si="9"/>
        <v>0</v>
      </c>
      <c r="M77" s="5">
        <f t="shared" ca="1" si="9"/>
        <v>0</v>
      </c>
      <c r="N77" s="5">
        <f t="shared" ca="1" si="9"/>
        <v>0</v>
      </c>
      <c r="O77" s="5">
        <f t="shared" ca="1" si="9"/>
        <v>0</v>
      </c>
    </row>
    <row r="78" spans="4:15" s="322" customFormat="1" ht="15.75" thickBot="1" x14ac:dyDescent="0.25">
      <c r="D78" s="642" t="str">
        <f>"Total "&amp;D67</f>
        <v>Total Recurrent Economic Costs</v>
      </c>
      <c r="J78" s="624">
        <f t="shared" ref="J78:O78" ca="1" si="10">SUM(J68:J77)</f>
        <v>86498.692532800691</v>
      </c>
      <c r="K78" s="624">
        <f t="shared" ca="1" si="10"/>
        <v>86498.692532800691</v>
      </c>
      <c r="L78" s="624">
        <f t="shared" ca="1" si="10"/>
        <v>86498.692532800691</v>
      </c>
      <c r="M78" s="624">
        <f t="shared" ca="1" si="10"/>
        <v>86498.692532800691</v>
      </c>
      <c r="N78" s="624">
        <f t="shared" ca="1" si="10"/>
        <v>86498.692532800691</v>
      </c>
      <c r="O78" s="624">
        <f t="shared" ca="1" si="10"/>
        <v>86498.692532800691</v>
      </c>
    </row>
    <row r="79" spans="4:15" s="322" customFormat="1" ht="13.5" thickTop="1" x14ac:dyDescent="0.2"/>
    <row r="80" spans="4:15" s="322" customFormat="1" x14ac:dyDescent="0.2"/>
    <row r="81" spans="3:15" s="322" customFormat="1" ht="15.75" x14ac:dyDescent="0.2">
      <c r="C81" s="330" t="s">
        <v>1932</v>
      </c>
    </row>
    <row r="82" spans="3:15" s="322" customFormat="1" ht="15" x14ac:dyDescent="0.2">
      <c r="D82" s="641" t="str">
        <f>Intv_Ann_TO!D2391</f>
        <v>Financial Capital Expenditures (Capex) (NonAnnualized)</v>
      </c>
    </row>
    <row r="83" spans="3:15" s="322" customFormat="1" outlineLevel="1" x14ac:dyDescent="0.2">
      <c r="D83" s="640" t="str">
        <f>Intv_Ann_TO!D2392</f>
        <v>Central</v>
      </c>
      <c r="J83" s="5">
        <f>Intv_Ann_TO!J2392</f>
        <v>0</v>
      </c>
      <c r="K83" s="5">
        <f>Intv_Ann_TO!K2392</f>
        <v>0</v>
      </c>
      <c r="L83" s="5">
        <f>Intv_Ann_TO!L2392</f>
        <v>0</v>
      </c>
      <c r="M83" s="5">
        <f>Intv_Ann_TO!M2392</f>
        <v>0</v>
      </c>
      <c r="N83" s="5">
        <f>Intv_Ann_TO!N2392</f>
        <v>0</v>
      </c>
      <c r="O83" s="5">
        <f>Intv_Ann_TO!O2392</f>
        <v>0</v>
      </c>
    </row>
    <row r="84" spans="3:15" s="322" customFormat="1" outlineLevel="1" x14ac:dyDescent="0.2">
      <c r="D84" s="640" t="str">
        <f>Intv_Ann_TO!D2393</f>
        <v>Copperbelt</v>
      </c>
      <c r="J84" s="5">
        <f>Intv_Ann_TO!J2393</f>
        <v>0</v>
      </c>
      <c r="K84" s="5">
        <f>Intv_Ann_TO!K2393</f>
        <v>0</v>
      </c>
      <c r="L84" s="5">
        <f>Intv_Ann_TO!L2393</f>
        <v>0</v>
      </c>
      <c r="M84" s="5">
        <f>Intv_Ann_TO!M2393</f>
        <v>0</v>
      </c>
      <c r="N84" s="5">
        <f>Intv_Ann_TO!N2393</f>
        <v>0</v>
      </c>
      <c r="O84" s="5">
        <f>Intv_Ann_TO!O2393</f>
        <v>0</v>
      </c>
    </row>
    <row r="85" spans="3:15" s="322" customFormat="1" outlineLevel="1" x14ac:dyDescent="0.2">
      <c r="D85" s="640" t="str">
        <f>Intv_Ann_TO!D2394</f>
        <v>Eastern</v>
      </c>
      <c r="J85" s="5">
        <f>Intv_Ann_TO!J2394</f>
        <v>0</v>
      </c>
      <c r="K85" s="5">
        <f>Intv_Ann_TO!K2394</f>
        <v>0</v>
      </c>
      <c r="L85" s="5">
        <f>Intv_Ann_TO!L2394</f>
        <v>0</v>
      </c>
      <c r="M85" s="5">
        <f>Intv_Ann_TO!M2394</f>
        <v>0</v>
      </c>
      <c r="N85" s="5">
        <f>Intv_Ann_TO!N2394</f>
        <v>0</v>
      </c>
      <c r="O85" s="5">
        <f>Intv_Ann_TO!O2394</f>
        <v>0</v>
      </c>
    </row>
    <row r="86" spans="3:15" s="322" customFormat="1" outlineLevel="1" x14ac:dyDescent="0.2">
      <c r="D86" s="640" t="str">
        <f>Intv_Ann_TO!D2395</f>
        <v>Luapula</v>
      </c>
      <c r="J86" s="5">
        <f>Intv_Ann_TO!J2395</f>
        <v>0</v>
      </c>
      <c r="K86" s="5">
        <f>Intv_Ann_TO!K2395</f>
        <v>0</v>
      </c>
      <c r="L86" s="5">
        <f>Intv_Ann_TO!L2395</f>
        <v>0</v>
      </c>
      <c r="M86" s="5">
        <f>Intv_Ann_TO!M2395</f>
        <v>0</v>
      </c>
      <c r="N86" s="5">
        <f>Intv_Ann_TO!N2395</f>
        <v>0</v>
      </c>
      <c r="O86" s="5">
        <f>Intv_Ann_TO!O2395</f>
        <v>0</v>
      </c>
    </row>
    <row r="87" spans="3:15" s="322" customFormat="1" outlineLevel="1" x14ac:dyDescent="0.2">
      <c r="D87" s="640" t="str">
        <f>Intv_Ann_TO!D2396</f>
        <v>Lusaka</v>
      </c>
      <c r="J87" s="5">
        <f>Intv_Ann_TO!J2396</f>
        <v>0</v>
      </c>
      <c r="K87" s="5">
        <f>Intv_Ann_TO!K2396</f>
        <v>0</v>
      </c>
      <c r="L87" s="5">
        <f>Intv_Ann_TO!L2396</f>
        <v>0</v>
      </c>
      <c r="M87" s="5">
        <f>Intv_Ann_TO!M2396</f>
        <v>0</v>
      </c>
      <c r="N87" s="5">
        <f>Intv_Ann_TO!N2396</f>
        <v>0</v>
      </c>
      <c r="O87" s="5">
        <f>Intv_Ann_TO!O2396</f>
        <v>0</v>
      </c>
    </row>
    <row r="88" spans="3:15" s="322" customFormat="1" outlineLevel="1" x14ac:dyDescent="0.2">
      <c r="D88" s="640" t="str">
        <f>Intv_Ann_TO!D2397</f>
        <v>Muchinga</v>
      </c>
      <c r="J88" s="5">
        <f>Intv_Ann_TO!J2397</f>
        <v>0</v>
      </c>
      <c r="K88" s="5">
        <f>Intv_Ann_TO!K2397</f>
        <v>0</v>
      </c>
      <c r="L88" s="5">
        <f>Intv_Ann_TO!L2397</f>
        <v>0</v>
      </c>
      <c r="M88" s="5">
        <f>Intv_Ann_TO!M2397</f>
        <v>0</v>
      </c>
      <c r="N88" s="5">
        <f>Intv_Ann_TO!N2397</f>
        <v>0</v>
      </c>
      <c r="O88" s="5">
        <f>Intv_Ann_TO!O2397</f>
        <v>0</v>
      </c>
    </row>
    <row r="89" spans="3:15" s="322" customFormat="1" outlineLevel="1" x14ac:dyDescent="0.2">
      <c r="D89" s="640" t="str">
        <f>Intv_Ann_TO!D2398</f>
        <v>Northern</v>
      </c>
      <c r="J89" s="5">
        <f>Intv_Ann_TO!J2398</f>
        <v>0</v>
      </c>
      <c r="K89" s="5">
        <f>Intv_Ann_TO!K2398</f>
        <v>0</v>
      </c>
      <c r="L89" s="5">
        <f>Intv_Ann_TO!L2398</f>
        <v>0</v>
      </c>
      <c r="M89" s="5">
        <f>Intv_Ann_TO!M2398</f>
        <v>0</v>
      </c>
      <c r="N89" s="5">
        <f>Intv_Ann_TO!N2398</f>
        <v>0</v>
      </c>
      <c r="O89" s="5">
        <f>Intv_Ann_TO!O2398</f>
        <v>0</v>
      </c>
    </row>
    <row r="90" spans="3:15" s="322" customFormat="1" outlineLevel="1" x14ac:dyDescent="0.2">
      <c r="D90" s="640" t="str">
        <f>Intv_Ann_TO!D2399</f>
        <v>North-Western</v>
      </c>
      <c r="J90" s="5">
        <f>Intv_Ann_TO!J2399</f>
        <v>0</v>
      </c>
      <c r="K90" s="5">
        <f>Intv_Ann_TO!K2399</f>
        <v>0</v>
      </c>
      <c r="L90" s="5">
        <f>Intv_Ann_TO!L2399</f>
        <v>0</v>
      </c>
      <c r="M90" s="5">
        <f>Intv_Ann_TO!M2399</f>
        <v>0</v>
      </c>
      <c r="N90" s="5">
        <f>Intv_Ann_TO!N2399</f>
        <v>0</v>
      </c>
      <c r="O90" s="5">
        <f>Intv_Ann_TO!O2399</f>
        <v>0</v>
      </c>
    </row>
    <row r="91" spans="3:15" s="322" customFormat="1" outlineLevel="1" x14ac:dyDescent="0.2">
      <c r="D91" s="640" t="str">
        <f>Intv_Ann_TO!D2400</f>
        <v>Southern</v>
      </c>
      <c r="J91" s="5">
        <f>Intv_Ann_TO!J2400</f>
        <v>0</v>
      </c>
      <c r="K91" s="5">
        <f>Intv_Ann_TO!K2400</f>
        <v>0</v>
      </c>
      <c r="L91" s="5">
        <f>Intv_Ann_TO!L2400</f>
        <v>0</v>
      </c>
      <c r="M91" s="5">
        <f>Intv_Ann_TO!M2400</f>
        <v>0</v>
      </c>
      <c r="N91" s="5">
        <f>Intv_Ann_TO!N2400</f>
        <v>0</v>
      </c>
      <c r="O91" s="5">
        <f>Intv_Ann_TO!O2400</f>
        <v>0</v>
      </c>
    </row>
    <row r="92" spans="3:15" s="322" customFormat="1" outlineLevel="1" x14ac:dyDescent="0.2">
      <c r="D92" s="640" t="str">
        <f>Intv_Ann_TO!D2401</f>
        <v>Western</v>
      </c>
      <c r="J92" s="5">
        <f>Intv_Ann_TO!J2401</f>
        <v>0</v>
      </c>
      <c r="K92" s="5">
        <f>Intv_Ann_TO!K2401</f>
        <v>0</v>
      </c>
      <c r="L92" s="5">
        <f>Intv_Ann_TO!L2401</f>
        <v>0</v>
      </c>
      <c r="M92" s="5">
        <f>Intv_Ann_TO!M2401</f>
        <v>0</v>
      </c>
      <c r="N92" s="5">
        <f>Intv_Ann_TO!N2401</f>
        <v>0</v>
      </c>
      <c r="O92" s="5">
        <f>Intv_Ann_TO!O2401</f>
        <v>0</v>
      </c>
    </row>
    <row r="93" spans="3:15" s="322" customFormat="1" ht="15.75" thickBot="1" x14ac:dyDescent="0.25">
      <c r="D93" s="642" t="str">
        <f>"Total "&amp;D82</f>
        <v>Total Financial Capital Expenditures (Capex) (NonAnnualized)</v>
      </c>
      <c r="J93" s="624">
        <f t="shared" ref="J93:O93" si="11">SUM(J83:J92)</f>
        <v>0</v>
      </c>
      <c r="K93" s="624">
        <f t="shared" si="11"/>
        <v>0</v>
      </c>
      <c r="L93" s="624">
        <f t="shared" si="11"/>
        <v>0</v>
      </c>
      <c r="M93" s="624">
        <f t="shared" si="11"/>
        <v>0</v>
      </c>
      <c r="N93" s="624">
        <f t="shared" si="11"/>
        <v>0</v>
      </c>
      <c r="O93" s="624">
        <f t="shared" si="11"/>
        <v>0</v>
      </c>
    </row>
    <row r="94" spans="3:15" s="322" customFormat="1" ht="13.5" thickTop="1" x14ac:dyDescent="0.2"/>
    <row r="95" spans="3:15" s="322" customFormat="1" ht="15" x14ac:dyDescent="0.2">
      <c r="D95" s="641" t="str">
        <f>Intv_Ann_TO!D2403</f>
        <v>Financial Capital Expenditures (Capex) (Annualized)</v>
      </c>
    </row>
    <row r="96" spans="3:15" s="322" customFormat="1" outlineLevel="1" x14ac:dyDescent="0.2">
      <c r="D96" s="640" t="str">
        <f>Intv_Ann_TO!D2404</f>
        <v>Central</v>
      </c>
      <c r="J96" s="5">
        <f>Intv_Ann_TO!J2404</f>
        <v>0</v>
      </c>
      <c r="K96" s="5">
        <f>Intv_Ann_TO!K2404</f>
        <v>0</v>
      </c>
      <c r="L96" s="5">
        <f>Intv_Ann_TO!L2404</f>
        <v>0</v>
      </c>
      <c r="M96" s="5">
        <f>Intv_Ann_TO!M2404</f>
        <v>0</v>
      </c>
      <c r="N96" s="5">
        <f>Intv_Ann_TO!N2404</f>
        <v>0</v>
      </c>
      <c r="O96" s="5">
        <f>Intv_Ann_TO!O2404</f>
        <v>0</v>
      </c>
    </row>
    <row r="97" spans="4:15" s="322" customFormat="1" outlineLevel="1" x14ac:dyDescent="0.2">
      <c r="D97" s="640" t="str">
        <f>Intv_Ann_TO!D2405</f>
        <v>Copperbelt</v>
      </c>
      <c r="J97" s="5">
        <f>Intv_Ann_TO!J2405</f>
        <v>0</v>
      </c>
      <c r="K97" s="5">
        <f>Intv_Ann_TO!K2405</f>
        <v>0</v>
      </c>
      <c r="L97" s="5">
        <f>Intv_Ann_TO!L2405</f>
        <v>0</v>
      </c>
      <c r="M97" s="5">
        <f>Intv_Ann_TO!M2405</f>
        <v>0</v>
      </c>
      <c r="N97" s="5">
        <f>Intv_Ann_TO!N2405</f>
        <v>0</v>
      </c>
      <c r="O97" s="5">
        <f>Intv_Ann_TO!O2405</f>
        <v>0</v>
      </c>
    </row>
    <row r="98" spans="4:15" s="322" customFormat="1" outlineLevel="1" x14ac:dyDescent="0.2">
      <c r="D98" s="640" t="str">
        <f>Intv_Ann_TO!D2406</f>
        <v>Eastern</v>
      </c>
      <c r="J98" s="5">
        <f>Intv_Ann_TO!J2406</f>
        <v>0</v>
      </c>
      <c r="K98" s="5">
        <f>Intv_Ann_TO!K2406</f>
        <v>0</v>
      </c>
      <c r="L98" s="5">
        <f>Intv_Ann_TO!L2406</f>
        <v>0</v>
      </c>
      <c r="M98" s="5">
        <f>Intv_Ann_TO!M2406</f>
        <v>0</v>
      </c>
      <c r="N98" s="5">
        <f>Intv_Ann_TO!N2406</f>
        <v>0</v>
      </c>
      <c r="O98" s="5">
        <f>Intv_Ann_TO!O2406</f>
        <v>0</v>
      </c>
    </row>
    <row r="99" spans="4:15" s="322" customFormat="1" outlineLevel="1" x14ac:dyDescent="0.2">
      <c r="D99" s="640" t="str">
        <f>Intv_Ann_TO!D2407</f>
        <v>Luapula</v>
      </c>
      <c r="J99" s="5">
        <f>Intv_Ann_TO!J2407</f>
        <v>0</v>
      </c>
      <c r="K99" s="5">
        <f>Intv_Ann_TO!K2407</f>
        <v>0</v>
      </c>
      <c r="L99" s="5">
        <f>Intv_Ann_TO!L2407</f>
        <v>0</v>
      </c>
      <c r="M99" s="5">
        <f>Intv_Ann_TO!M2407</f>
        <v>0</v>
      </c>
      <c r="N99" s="5">
        <f>Intv_Ann_TO!N2407</f>
        <v>0</v>
      </c>
      <c r="O99" s="5">
        <f>Intv_Ann_TO!O2407</f>
        <v>0</v>
      </c>
    </row>
    <row r="100" spans="4:15" s="322" customFormat="1" outlineLevel="1" x14ac:dyDescent="0.2">
      <c r="D100" s="640" t="str">
        <f>Intv_Ann_TO!D2408</f>
        <v>Lusaka</v>
      </c>
      <c r="J100" s="5">
        <f>Intv_Ann_TO!J2408</f>
        <v>0</v>
      </c>
      <c r="K100" s="5">
        <f>Intv_Ann_TO!K2408</f>
        <v>0</v>
      </c>
      <c r="L100" s="5">
        <f>Intv_Ann_TO!L2408</f>
        <v>0</v>
      </c>
      <c r="M100" s="5">
        <f>Intv_Ann_TO!M2408</f>
        <v>0</v>
      </c>
      <c r="N100" s="5">
        <f>Intv_Ann_TO!N2408</f>
        <v>0</v>
      </c>
      <c r="O100" s="5">
        <f>Intv_Ann_TO!O2408</f>
        <v>0</v>
      </c>
    </row>
    <row r="101" spans="4:15" s="322" customFormat="1" outlineLevel="1" x14ac:dyDescent="0.2">
      <c r="D101" s="640" t="str">
        <f>Intv_Ann_TO!D2409</f>
        <v>Muchinga</v>
      </c>
      <c r="J101" s="5">
        <f>Intv_Ann_TO!J2409</f>
        <v>0</v>
      </c>
      <c r="K101" s="5">
        <f>Intv_Ann_TO!K2409</f>
        <v>0</v>
      </c>
      <c r="L101" s="5">
        <f>Intv_Ann_TO!L2409</f>
        <v>0</v>
      </c>
      <c r="M101" s="5">
        <f>Intv_Ann_TO!M2409</f>
        <v>0</v>
      </c>
      <c r="N101" s="5">
        <f>Intv_Ann_TO!N2409</f>
        <v>0</v>
      </c>
      <c r="O101" s="5">
        <f>Intv_Ann_TO!O2409</f>
        <v>0</v>
      </c>
    </row>
    <row r="102" spans="4:15" s="322" customFormat="1" outlineLevel="1" x14ac:dyDescent="0.2">
      <c r="D102" s="640" t="str">
        <f>Intv_Ann_TO!D2410</f>
        <v>Northern</v>
      </c>
      <c r="J102" s="5">
        <f>Intv_Ann_TO!J2410</f>
        <v>0</v>
      </c>
      <c r="K102" s="5">
        <f>Intv_Ann_TO!K2410</f>
        <v>0</v>
      </c>
      <c r="L102" s="5">
        <f>Intv_Ann_TO!L2410</f>
        <v>0</v>
      </c>
      <c r="M102" s="5">
        <f>Intv_Ann_TO!M2410</f>
        <v>0</v>
      </c>
      <c r="N102" s="5">
        <f>Intv_Ann_TO!N2410</f>
        <v>0</v>
      </c>
      <c r="O102" s="5">
        <f>Intv_Ann_TO!O2410</f>
        <v>0</v>
      </c>
    </row>
    <row r="103" spans="4:15" s="322" customFormat="1" outlineLevel="1" x14ac:dyDescent="0.2">
      <c r="D103" s="640" t="str">
        <f>Intv_Ann_TO!D2411</f>
        <v>North-Western</v>
      </c>
      <c r="J103" s="5">
        <f>Intv_Ann_TO!J2411</f>
        <v>0</v>
      </c>
      <c r="K103" s="5">
        <f>Intv_Ann_TO!K2411</f>
        <v>0</v>
      </c>
      <c r="L103" s="5">
        <f>Intv_Ann_TO!L2411</f>
        <v>0</v>
      </c>
      <c r="M103" s="5">
        <f>Intv_Ann_TO!M2411</f>
        <v>0</v>
      </c>
      <c r="N103" s="5">
        <f>Intv_Ann_TO!N2411</f>
        <v>0</v>
      </c>
      <c r="O103" s="5">
        <f>Intv_Ann_TO!O2411</f>
        <v>0</v>
      </c>
    </row>
    <row r="104" spans="4:15" s="322" customFormat="1" outlineLevel="1" x14ac:dyDescent="0.2">
      <c r="D104" s="640" t="str">
        <f>Intv_Ann_TO!D2412</f>
        <v>Southern</v>
      </c>
      <c r="J104" s="5">
        <f>Intv_Ann_TO!J2412</f>
        <v>0</v>
      </c>
      <c r="K104" s="5">
        <f>Intv_Ann_TO!K2412</f>
        <v>0</v>
      </c>
      <c r="L104" s="5">
        <f>Intv_Ann_TO!L2412</f>
        <v>0</v>
      </c>
      <c r="M104" s="5">
        <f>Intv_Ann_TO!M2412</f>
        <v>0</v>
      </c>
      <c r="N104" s="5">
        <f>Intv_Ann_TO!N2412</f>
        <v>0</v>
      </c>
      <c r="O104" s="5">
        <f>Intv_Ann_TO!O2412</f>
        <v>0</v>
      </c>
    </row>
    <row r="105" spans="4:15" s="322" customFormat="1" outlineLevel="1" x14ac:dyDescent="0.2">
      <c r="D105" s="640" t="str">
        <f>Intv_Ann_TO!D2413</f>
        <v>Western</v>
      </c>
      <c r="J105" s="5">
        <f>Intv_Ann_TO!J2413</f>
        <v>0</v>
      </c>
      <c r="K105" s="5">
        <f>Intv_Ann_TO!K2413</f>
        <v>0</v>
      </c>
      <c r="L105" s="5">
        <f>Intv_Ann_TO!L2413</f>
        <v>0</v>
      </c>
      <c r="M105" s="5">
        <f>Intv_Ann_TO!M2413</f>
        <v>0</v>
      </c>
      <c r="N105" s="5">
        <f>Intv_Ann_TO!N2413</f>
        <v>0</v>
      </c>
      <c r="O105" s="5">
        <f>Intv_Ann_TO!O2413</f>
        <v>0</v>
      </c>
    </row>
    <row r="106" spans="4:15" s="322" customFormat="1" ht="15.75" thickBot="1" x14ac:dyDescent="0.25">
      <c r="D106" s="642" t="str">
        <f>"Total "&amp;D95</f>
        <v>Total Financial Capital Expenditures (Capex) (Annualized)</v>
      </c>
      <c r="J106" s="624">
        <f t="shared" ref="J106:O106" si="12">SUM(J96:J105)</f>
        <v>0</v>
      </c>
      <c r="K106" s="624">
        <f t="shared" si="12"/>
        <v>0</v>
      </c>
      <c r="L106" s="624">
        <f t="shared" si="12"/>
        <v>0</v>
      </c>
      <c r="M106" s="624">
        <f t="shared" si="12"/>
        <v>0</v>
      </c>
      <c r="N106" s="624">
        <f t="shared" si="12"/>
        <v>0</v>
      </c>
      <c r="O106" s="624">
        <f t="shared" si="12"/>
        <v>0</v>
      </c>
    </row>
    <row r="107" spans="4:15" s="322" customFormat="1" ht="13.5" thickTop="1" x14ac:dyDescent="0.2"/>
    <row r="108" spans="4:15" s="322" customFormat="1" ht="15" x14ac:dyDescent="0.2">
      <c r="D108" s="641" t="str">
        <f>Intv_Ann_TO!D2416</f>
        <v>Economic Capex (NonAnnualized)</v>
      </c>
    </row>
    <row r="109" spans="4:15" s="322" customFormat="1" outlineLevel="1" x14ac:dyDescent="0.2">
      <c r="D109" s="640" t="str">
        <f>Intv_Ann_TO!D2417</f>
        <v>Central</v>
      </c>
      <c r="J109" s="5">
        <f>Intv_Ann_TO!J2417</f>
        <v>0</v>
      </c>
      <c r="K109" s="5">
        <f>Intv_Ann_TO!K2417</f>
        <v>0</v>
      </c>
      <c r="L109" s="5">
        <f>Intv_Ann_TO!L2417</f>
        <v>0</v>
      </c>
      <c r="M109" s="5">
        <f>Intv_Ann_TO!M2417</f>
        <v>0</v>
      </c>
      <c r="N109" s="5">
        <f>Intv_Ann_TO!N2417</f>
        <v>0</v>
      </c>
      <c r="O109" s="5">
        <f>Intv_Ann_TO!O2417</f>
        <v>0</v>
      </c>
    </row>
    <row r="110" spans="4:15" s="322" customFormat="1" outlineLevel="1" x14ac:dyDescent="0.2">
      <c r="D110" s="640" t="str">
        <f>Intv_Ann_TO!D2418</f>
        <v>Copperbelt</v>
      </c>
      <c r="J110" s="5">
        <f>Intv_Ann_TO!J2418</f>
        <v>0</v>
      </c>
      <c r="K110" s="5">
        <f>Intv_Ann_TO!K2418</f>
        <v>0</v>
      </c>
      <c r="L110" s="5">
        <f>Intv_Ann_TO!L2418</f>
        <v>0</v>
      </c>
      <c r="M110" s="5">
        <f>Intv_Ann_TO!M2418</f>
        <v>0</v>
      </c>
      <c r="N110" s="5">
        <f>Intv_Ann_TO!N2418</f>
        <v>0</v>
      </c>
      <c r="O110" s="5">
        <f>Intv_Ann_TO!O2418</f>
        <v>0</v>
      </c>
    </row>
    <row r="111" spans="4:15" s="322" customFormat="1" outlineLevel="1" x14ac:dyDescent="0.2">
      <c r="D111" s="640" t="str">
        <f>Intv_Ann_TO!D2419</f>
        <v>Eastern</v>
      </c>
      <c r="J111" s="5">
        <f>Intv_Ann_TO!J2419</f>
        <v>0</v>
      </c>
      <c r="K111" s="5">
        <f>Intv_Ann_TO!K2419</f>
        <v>0</v>
      </c>
      <c r="L111" s="5">
        <f>Intv_Ann_TO!L2419</f>
        <v>0</v>
      </c>
      <c r="M111" s="5">
        <f>Intv_Ann_TO!M2419</f>
        <v>0</v>
      </c>
      <c r="N111" s="5">
        <f>Intv_Ann_TO!N2419</f>
        <v>0</v>
      </c>
      <c r="O111" s="5">
        <f>Intv_Ann_TO!O2419</f>
        <v>0</v>
      </c>
    </row>
    <row r="112" spans="4:15" s="322" customFormat="1" outlineLevel="1" x14ac:dyDescent="0.2">
      <c r="D112" s="640" t="str">
        <f>Intv_Ann_TO!D2420</f>
        <v>Luapula</v>
      </c>
      <c r="J112" s="5">
        <f>Intv_Ann_TO!J2420</f>
        <v>0</v>
      </c>
      <c r="K112" s="5">
        <f>Intv_Ann_TO!K2420</f>
        <v>0</v>
      </c>
      <c r="L112" s="5">
        <f>Intv_Ann_TO!L2420</f>
        <v>0</v>
      </c>
      <c r="M112" s="5">
        <f>Intv_Ann_TO!M2420</f>
        <v>0</v>
      </c>
      <c r="N112" s="5">
        <f>Intv_Ann_TO!N2420</f>
        <v>0</v>
      </c>
      <c r="O112" s="5">
        <f>Intv_Ann_TO!O2420</f>
        <v>0</v>
      </c>
    </row>
    <row r="113" spans="4:15" s="322" customFormat="1" outlineLevel="1" x14ac:dyDescent="0.2">
      <c r="D113" s="640" t="str">
        <f>Intv_Ann_TO!D2421</f>
        <v>Lusaka</v>
      </c>
      <c r="J113" s="5">
        <f>Intv_Ann_TO!J2421</f>
        <v>0</v>
      </c>
      <c r="K113" s="5">
        <f>Intv_Ann_TO!K2421</f>
        <v>0</v>
      </c>
      <c r="L113" s="5">
        <f>Intv_Ann_TO!L2421</f>
        <v>0</v>
      </c>
      <c r="M113" s="5">
        <f>Intv_Ann_TO!M2421</f>
        <v>0</v>
      </c>
      <c r="N113" s="5">
        <f>Intv_Ann_TO!N2421</f>
        <v>0</v>
      </c>
      <c r="O113" s="5">
        <f>Intv_Ann_TO!O2421</f>
        <v>0</v>
      </c>
    </row>
    <row r="114" spans="4:15" s="322" customFormat="1" outlineLevel="1" x14ac:dyDescent="0.2">
      <c r="D114" s="640" t="str">
        <f>Intv_Ann_TO!D2422</f>
        <v>Muchinga</v>
      </c>
      <c r="J114" s="5">
        <f>Intv_Ann_TO!J2422</f>
        <v>0</v>
      </c>
      <c r="K114" s="5">
        <f>Intv_Ann_TO!K2422</f>
        <v>0</v>
      </c>
      <c r="L114" s="5">
        <f>Intv_Ann_TO!L2422</f>
        <v>0</v>
      </c>
      <c r="M114" s="5">
        <f>Intv_Ann_TO!M2422</f>
        <v>0</v>
      </c>
      <c r="N114" s="5">
        <f>Intv_Ann_TO!N2422</f>
        <v>0</v>
      </c>
      <c r="O114" s="5">
        <f>Intv_Ann_TO!O2422</f>
        <v>0</v>
      </c>
    </row>
    <row r="115" spans="4:15" s="322" customFormat="1" outlineLevel="1" x14ac:dyDescent="0.2">
      <c r="D115" s="640" t="str">
        <f>Intv_Ann_TO!D2423</f>
        <v>Northern</v>
      </c>
      <c r="J115" s="5">
        <f>Intv_Ann_TO!J2423</f>
        <v>0</v>
      </c>
      <c r="K115" s="5">
        <f>Intv_Ann_TO!K2423</f>
        <v>0</v>
      </c>
      <c r="L115" s="5">
        <f>Intv_Ann_TO!L2423</f>
        <v>0</v>
      </c>
      <c r="M115" s="5">
        <f>Intv_Ann_TO!M2423</f>
        <v>0</v>
      </c>
      <c r="N115" s="5">
        <f>Intv_Ann_TO!N2423</f>
        <v>0</v>
      </c>
      <c r="O115" s="5">
        <f>Intv_Ann_TO!O2423</f>
        <v>0</v>
      </c>
    </row>
    <row r="116" spans="4:15" s="322" customFormat="1" outlineLevel="1" x14ac:dyDescent="0.2">
      <c r="D116" s="640" t="str">
        <f>Intv_Ann_TO!D2424</f>
        <v>North-Western</v>
      </c>
      <c r="J116" s="5">
        <f>Intv_Ann_TO!J2424</f>
        <v>0</v>
      </c>
      <c r="K116" s="5">
        <f>Intv_Ann_TO!K2424</f>
        <v>0</v>
      </c>
      <c r="L116" s="5">
        <f>Intv_Ann_TO!L2424</f>
        <v>0</v>
      </c>
      <c r="M116" s="5">
        <f>Intv_Ann_TO!M2424</f>
        <v>0</v>
      </c>
      <c r="N116" s="5">
        <f>Intv_Ann_TO!N2424</f>
        <v>0</v>
      </c>
      <c r="O116" s="5">
        <f>Intv_Ann_TO!O2424</f>
        <v>0</v>
      </c>
    </row>
    <row r="117" spans="4:15" s="322" customFormat="1" outlineLevel="1" x14ac:dyDescent="0.2">
      <c r="D117" s="640" t="str">
        <f>Intv_Ann_TO!D2425</f>
        <v>Southern</v>
      </c>
      <c r="J117" s="5">
        <f>Intv_Ann_TO!J2425</f>
        <v>0</v>
      </c>
      <c r="K117" s="5">
        <f>Intv_Ann_TO!K2425</f>
        <v>0</v>
      </c>
      <c r="L117" s="5">
        <f>Intv_Ann_TO!L2425</f>
        <v>0</v>
      </c>
      <c r="M117" s="5">
        <f>Intv_Ann_TO!M2425</f>
        <v>0</v>
      </c>
      <c r="N117" s="5">
        <f>Intv_Ann_TO!N2425</f>
        <v>0</v>
      </c>
      <c r="O117" s="5">
        <f>Intv_Ann_TO!O2425</f>
        <v>0</v>
      </c>
    </row>
    <row r="118" spans="4:15" s="322" customFormat="1" outlineLevel="1" x14ac:dyDescent="0.2">
      <c r="D118" s="640" t="str">
        <f>Intv_Ann_TO!D2426</f>
        <v>Western</v>
      </c>
      <c r="J118" s="5">
        <f>Intv_Ann_TO!J2426</f>
        <v>0</v>
      </c>
      <c r="K118" s="5">
        <f>Intv_Ann_TO!K2426</f>
        <v>0</v>
      </c>
      <c r="L118" s="5">
        <f>Intv_Ann_TO!L2426</f>
        <v>0</v>
      </c>
      <c r="M118" s="5">
        <f>Intv_Ann_TO!M2426</f>
        <v>0</v>
      </c>
      <c r="N118" s="5">
        <f>Intv_Ann_TO!N2426</f>
        <v>0</v>
      </c>
      <c r="O118" s="5">
        <f>Intv_Ann_TO!O2426</f>
        <v>0</v>
      </c>
    </row>
    <row r="119" spans="4:15" s="322" customFormat="1" ht="15.75" thickBot="1" x14ac:dyDescent="0.25">
      <c r="D119" s="642" t="str">
        <f>"Total "&amp;D108</f>
        <v>Total Economic Capex (NonAnnualized)</v>
      </c>
      <c r="J119" s="624">
        <f t="shared" ref="J119:O119" si="13">SUM(J109:J118)</f>
        <v>0</v>
      </c>
      <c r="K119" s="624">
        <f t="shared" si="13"/>
        <v>0</v>
      </c>
      <c r="L119" s="624">
        <f t="shared" si="13"/>
        <v>0</v>
      </c>
      <c r="M119" s="624">
        <f t="shared" si="13"/>
        <v>0</v>
      </c>
      <c r="N119" s="624">
        <f t="shared" si="13"/>
        <v>0</v>
      </c>
      <c r="O119" s="624">
        <f t="shared" si="13"/>
        <v>0</v>
      </c>
    </row>
    <row r="120" spans="4:15" s="322" customFormat="1" ht="13.5" thickTop="1" x14ac:dyDescent="0.2"/>
    <row r="121" spans="4:15" s="322" customFormat="1" ht="15" x14ac:dyDescent="0.2">
      <c r="D121" s="641" t="str">
        <f>Intv_Ann_TO!D2428</f>
        <v>Economic Capital Expenditures (Capex) (Annualized)</v>
      </c>
    </row>
    <row r="122" spans="4:15" s="322" customFormat="1" outlineLevel="1" x14ac:dyDescent="0.2">
      <c r="D122" s="640" t="str">
        <f>Intv_Ann_TO!D2429</f>
        <v>Central</v>
      </c>
      <c r="J122" s="5">
        <f>Intv_Ann_TO!J2429</f>
        <v>0</v>
      </c>
      <c r="K122" s="5">
        <f>Intv_Ann_TO!K2429</f>
        <v>0</v>
      </c>
      <c r="L122" s="5">
        <f>Intv_Ann_TO!L2429</f>
        <v>0</v>
      </c>
      <c r="M122" s="5">
        <f>Intv_Ann_TO!M2429</f>
        <v>0</v>
      </c>
      <c r="N122" s="5">
        <f>Intv_Ann_TO!N2429</f>
        <v>0</v>
      </c>
      <c r="O122" s="5">
        <f>Intv_Ann_TO!O2429</f>
        <v>0</v>
      </c>
    </row>
    <row r="123" spans="4:15" s="322" customFormat="1" outlineLevel="1" x14ac:dyDescent="0.2">
      <c r="D123" s="640" t="str">
        <f>Intv_Ann_TO!D2430</f>
        <v>Copperbelt</v>
      </c>
      <c r="J123" s="5">
        <f>Intv_Ann_TO!J2430</f>
        <v>0</v>
      </c>
      <c r="K123" s="5">
        <f>Intv_Ann_TO!K2430</f>
        <v>0</v>
      </c>
      <c r="L123" s="5">
        <f>Intv_Ann_TO!L2430</f>
        <v>0</v>
      </c>
      <c r="M123" s="5">
        <f>Intv_Ann_TO!M2430</f>
        <v>0</v>
      </c>
      <c r="N123" s="5">
        <f>Intv_Ann_TO!N2430</f>
        <v>0</v>
      </c>
      <c r="O123" s="5">
        <f>Intv_Ann_TO!O2430</f>
        <v>0</v>
      </c>
    </row>
    <row r="124" spans="4:15" s="322" customFormat="1" outlineLevel="1" x14ac:dyDescent="0.2">
      <c r="D124" s="640" t="str">
        <f>Intv_Ann_TO!D2431</f>
        <v>Eastern</v>
      </c>
      <c r="J124" s="5">
        <f>Intv_Ann_TO!J2431</f>
        <v>0</v>
      </c>
      <c r="K124" s="5">
        <f>Intv_Ann_TO!K2431</f>
        <v>0</v>
      </c>
      <c r="L124" s="5">
        <f>Intv_Ann_TO!L2431</f>
        <v>0</v>
      </c>
      <c r="M124" s="5">
        <f>Intv_Ann_TO!M2431</f>
        <v>0</v>
      </c>
      <c r="N124" s="5">
        <f>Intv_Ann_TO!N2431</f>
        <v>0</v>
      </c>
      <c r="O124" s="5">
        <f>Intv_Ann_TO!O2431</f>
        <v>0</v>
      </c>
    </row>
    <row r="125" spans="4:15" s="322" customFormat="1" outlineLevel="1" x14ac:dyDescent="0.2">
      <c r="D125" s="640" t="str">
        <f>Intv_Ann_TO!D2432</f>
        <v>Luapula</v>
      </c>
      <c r="J125" s="5">
        <f>Intv_Ann_TO!J2432</f>
        <v>0</v>
      </c>
      <c r="K125" s="5">
        <f>Intv_Ann_TO!K2432</f>
        <v>0</v>
      </c>
      <c r="L125" s="5">
        <f>Intv_Ann_TO!L2432</f>
        <v>0</v>
      </c>
      <c r="M125" s="5">
        <f>Intv_Ann_TO!M2432</f>
        <v>0</v>
      </c>
      <c r="N125" s="5">
        <f>Intv_Ann_TO!N2432</f>
        <v>0</v>
      </c>
      <c r="O125" s="5">
        <f>Intv_Ann_TO!O2432</f>
        <v>0</v>
      </c>
    </row>
    <row r="126" spans="4:15" s="322" customFormat="1" outlineLevel="1" x14ac:dyDescent="0.2">
      <c r="D126" s="640" t="str">
        <f>Intv_Ann_TO!D2433</f>
        <v>Lusaka</v>
      </c>
      <c r="J126" s="5">
        <f>Intv_Ann_TO!J2433</f>
        <v>0</v>
      </c>
      <c r="K126" s="5">
        <f>Intv_Ann_TO!K2433</f>
        <v>0</v>
      </c>
      <c r="L126" s="5">
        <f>Intv_Ann_TO!L2433</f>
        <v>0</v>
      </c>
      <c r="M126" s="5">
        <f>Intv_Ann_TO!M2433</f>
        <v>0</v>
      </c>
      <c r="N126" s="5">
        <f>Intv_Ann_TO!N2433</f>
        <v>0</v>
      </c>
      <c r="O126" s="5">
        <f>Intv_Ann_TO!O2433</f>
        <v>0</v>
      </c>
    </row>
    <row r="127" spans="4:15" s="322" customFormat="1" outlineLevel="1" x14ac:dyDescent="0.2">
      <c r="D127" s="640" t="str">
        <f>Intv_Ann_TO!D2434</f>
        <v>Muchinga</v>
      </c>
      <c r="J127" s="5">
        <f>Intv_Ann_TO!J2434</f>
        <v>0</v>
      </c>
      <c r="K127" s="5">
        <f>Intv_Ann_TO!K2434</f>
        <v>0</v>
      </c>
      <c r="L127" s="5">
        <f>Intv_Ann_TO!L2434</f>
        <v>0</v>
      </c>
      <c r="M127" s="5">
        <f>Intv_Ann_TO!M2434</f>
        <v>0</v>
      </c>
      <c r="N127" s="5">
        <f>Intv_Ann_TO!N2434</f>
        <v>0</v>
      </c>
      <c r="O127" s="5">
        <f>Intv_Ann_TO!O2434</f>
        <v>0</v>
      </c>
    </row>
    <row r="128" spans="4:15" s="322" customFormat="1" outlineLevel="1" x14ac:dyDescent="0.2">
      <c r="D128" s="640" t="str">
        <f>Intv_Ann_TO!D2435</f>
        <v>Northern</v>
      </c>
      <c r="J128" s="5">
        <f>Intv_Ann_TO!J2435</f>
        <v>0</v>
      </c>
      <c r="K128" s="5">
        <f>Intv_Ann_TO!K2435</f>
        <v>0</v>
      </c>
      <c r="L128" s="5">
        <f>Intv_Ann_TO!L2435</f>
        <v>0</v>
      </c>
      <c r="M128" s="5">
        <f>Intv_Ann_TO!M2435</f>
        <v>0</v>
      </c>
      <c r="N128" s="5">
        <f>Intv_Ann_TO!N2435</f>
        <v>0</v>
      </c>
      <c r="O128" s="5">
        <f>Intv_Ann_TO!O2435</f>
        <v>0</v>
      </c>
    </row>
    <row r="129" spans="3:15" s="322" customFormat="1" outlineLevel="1" x14ac:dyDescent="0.2">
      <c r="D129" s="640" t="str">
        <f>Intv_Ann_TO!D2436</f>
        <v>North-Western</v>
      </c>
      <c r="J129" s="5">
        <f>Intv_Ann_TO!J2436</f>
        <v>0</v>
      </c>
      <c r="K129" s="5">
        <f>Intv_Ann_TO!K2436</f>
        <v>0</v>
      </c>
      <c r="L129" s="5">
        <f>Intv_Ann_TO!L2436</f>
        <v>0</v>
      </c>
      <c r="M129" s="5">
        <f>Intv_Ann_TO!M2436</f>
        <v>0</v>
      </c>
      <c r="N129" s="5">
        <f>Intv_Ann_TO!N2436</f>
        <v>0</v>
      </c>
      <c r="O129" s="5">
        <f>Intv_Ann_TO!O2436</f>
        <v>0</v>
      </c>
    </row>
    <row r="130" spans="3:15" s="322" customFormat="1" outlineLevel="1" x14ac:dyDescent="0.2">
      <c r="D130" s="640" t="str">
        <f>Intv_Ann_TO!D2437</f>
        <v>Southern</v>
      </c>
      <c r="J130" s="5">
        <f>Intv_Ann_TO!J2437</f>
        <v>0</v>
      </c>
      <c r="K130" s="5">
        <f>Intv_Ann_TO!K2437</f>
        <v>0</v>
      </c>
      <c r="L130" s="5">
        <f>Intv_Ann_TO!L2437</f>
        <v>0</v>
      </c>
      <c r="M130" s="5">
        <f>Intv_Ann_TO!M2437</f>
        <v>0</v>
      </c>
      <c r="N130" s="5">
        <f>Intv_Ann_TO!N2437</f>
        <v>0</v>
      </c>
      <c r="O130" s="5">
        <f>Intv_Ann_TO!O2437</f>
        <v>0</v>
      </c>
    </row>
    <row r="131" spans="3:15" s="322" customFormat="1" outlineLevel="1" x14ac:dyDescent="0.2">
      <c r="D131" s="640" t="str">
        <f>Intv_Ann_TO!D2438</f>
        <v>Western</v>
      </c>
      <c r="J131" s="5">
        <f>Intv_Ann_TO!J2438</f>
        <v>0</v>
      </c>
      <c r="K131" s="5">
        <f>Intv_Ann_TO!K2438</f>
        <v>0</v>
      </c>
      <c r="L131" s="5">
        <f>Intv_Ann_TO!L2438</f>
        <v>0</v>
      </c>
      <c r="M131" s="5">
        <f>Intv_Ann_TO!M2438</f>
        <v>0</v>
      </c>
      <c r="N131" s="5">
        <f>Intv_Ann_TO!N2438</f>
        <v>0</v>
      </c>
      <c r="O131" s="5">
        <f>Intv_Ann_TO!O2438</f>
        <v>0</v>
      </c>
    </row>
    <row r="132" spans="3:15" s="322" customFormat="1" ht="15.75" thickBot="1" x14ac:dyDescent="0.25">
      <c r="D132" s="642" t="str">
        <f>"Total "&amp;D121</f>
        <v>Total Economic Capital Expenditures (Capex) (Annualized)</v>
      </c>
      <c r="J132" s="624">
        <f t="shared" ref="J132:O132" si="14">SUM(J122:J131)</f>
        <v>0</v>
      </c>
      <c r="K132" s="624">
        <f t="shared" si="14"/>
        <v>0</v>
      </c>
      <c r="L132" s="624">
        <f t="shared" si="14"/>
        <v>0</v>
      </c>
      <c r="M132" s="624">
        <f t="shared" si="14"/>
        <v>0</v>
      </c>
      <c r="N132" s="624">
        <f t="shared" si="14"/>
        <v>0</v>
      </c>
      <c r="O132" s="624">
        <f t="shared" si="14"/>
        <v>0</v>
      </c>
    </row>
    <row r="133" spans="3:15" s="322" customFormat="1" ht="13.5" thickTop="1" x14ac:dyDescent="0.2"/>
    <row r="134" spans="3:15" s="322" customFormat="1" x14ac:dyDescent="0.2"/>
    <row r="135" spans="3:15" s="322" customFormat="1" ht="15.75" x14ac:dyDescent="0.2">
      <c r="C135" s="330" t="s">
        <v>1937</v>
      </c>
    </row>
    <row r="136" spans="3:15" s="322" customFormat="1" ht="15.75" thickBot="1" x14ac:dyDescent="0.25">
      <c r="D136" s="638" t="s">
        <v>1941</v>
      </c>
      <c r="J136" s="624">
        <f t="shared" ref="J136:O136" ca="1" si="15">J65+J106</f>
        <v>56328.746112000001</v>
      </c>
      <c r="K136" s="624">
        <f t="shared" ca="1" si="15"/>
        <v>56328.746112000001</v>
      </c>
      <c r="L136" s="624">
        <f t="shared" ca="1" si="15"/>
        <v>56328.746112000001</v>
      </c>
      <c r="M136" s="624">
        <f t="shared" ca="1" si="15"/>
        <v>56328.746112000001</v>
      </c>
      <c r="N136" s="624">
        <f t="shared" ca="1" si="15"/>
        <v>56328.746112000001</v>
      </c>
      <c r="O136" s="624">
        <f t="shared" ca="1" si="15"/>
        <v>56328.746112000001</v>
      </c>
    </row>
    <row r="137" spans="3:15" s="322" customFormat="1" ht="13.5" thickTop="1" x14ac:dyDescent="0.2"/>
    <row r="138" spans="3:15" s="322" customFormat="1" ht="15.75" thickBot="1" x14ac:dyDescent="0.25">
      <c r="D138" s="638" t="s">
        <v>1942</v>
      </c>
      <c r="J138" s="624">
        <f t="shared" ref="J138:O138" ca="1" si="16">J78+J132</f>
        <v>86498.692532800691</v>
      </c>
      <c r="K138" s="624">
        <f t="shared" ca="1" si="16"/>
        <v>86498.692532800691</v>
      </c>
      <c r="L138" s="624">
        <f t="shared" ca="1" si="16"/>
        <v>86498.692532800691</v>
      </c>
      <c r="M138" s="624">
        <f t="shared" ca="1" si="16"/>
        <v>86498.692532800691</v>
      </c>
      <c r="N138" s="624">
        <f t="shared" ca="1" si="16"/>
        <v>86498.692532800691</v>
      </c>
      <c r="O138" s="624">
        <f t="shared" ca="1" si="16"/>
        <v>86498.692532800691</v>
      </c>
    </row>
    <row r="139" spans="3:15" s="322" customFormat="1" ht="13.5" thickTop="1" x14ac:dyDescent="0.2"/>
    <row r="141" spans="3:15" x14ac:dyDescent="0.2">
      <c r="C141" s="716" t="str">
        <f>"Go to "&amp;HL_Intv_6_Ass</f>
        <v>Go to Palliative Care</v>
      </c>
      <c r="D141" s="702"/>
      <c r="E141" s="702"/>
      <c r="F141" s="702"/>
      <c r="G141" s="702"/>
      <c r="H141" s="702"/>
      <c r="I141" s="702"/>
    </row>
    <row r="142" spans="3:15" x14ac:dyDescent="0.2">
      <c r="C142" s="716" t="str">
        <f>"Go to "&amp;HL_Intv_6_Ann_Ass</f>
        <v>Go to Intervention Services - Annual Assumptions</v>
      </c>
      <c r="D142" s="702"/>
      <c r="E142" s="702"/>
      <c r="F142" s="702"/>
      <c r="G142" s="702"/>
      <c r="H142" s="702"/>
      <c r="I142" s="702"/>
    </row>
    <row r="143" spans="3:15" x14ac:dyDescent="0.2">
      <c r="C143" s="716" t="str">
        <f>"Go to "&amp;HL_Intv_6_Out</f>
        <v>Go to Palliative Care</v>
      </c>
      <c r="D143" s="702"/>
      <c r="E143" s="702"/>
      <c r="F143" s="702"/>
      <c r="G143" s="702"/>
      <c r="H143" s="702"/>
      <c r="I143" s="702"/>
    </row>
    <row r="144" spans="3:15" x14ac:dyDescent="0.2">
      <c r="C144" s="716" t="str">
        <f>"Go to "&amp;HL_Intv_6_Out_Sum</f>
        <v>Go to Palliative Outpatient - Outputs Summary</v>
      </c>
      <c r="D144" s="702"/>
      <c r="E144" s="702"/>
      <c r="F144" s="702"/>
      <c r="G144" s="702"/>
      <c r="H144" s="702"/>
      <c r="I144" s="702"/>
    </row>
  </sheetData>
  <sheetProtection password="F0F4" sheet="1" scenarios="1"/>
  <mergeCells count="5">
    <mergeCell ref="C143:I143"/>
    <mergeCell ref="C144:I144"/>
    <mergeCell ref="B3:F3"/>
    <mergeCell ref="C141:I141"/>
    <mergeCell ref="C142:I142"/>
  </mergeCells>
  <hyperlinks>
    <hyperlink ref="C141:I141" location="HL_Intv_6_Ass" tooltip="Click to follow hyperlink." display="HL_Intv_6_Ass"/>
    <hyperlink ref="C142:I142" location="HL_Intv_6_Ann_Ass" tooltip="Click to follow hyperlink." display="HL_Intv_6_Ann_Ass"/>
    <hyperlink ref="C143:I143" location="HL_Intv_6_Out" tooltip="Click to follow hyperlink." display="HL_Intv_6_Out"/>
    <hyperlink ref="C144:I144" location="HL_Intv_6_Out_Sum" tooltip="Click to follow hyperlink." display="HL_Intv_6_Out_Sum"/>
    <hyperlink ref="A4" location="$A$10" tooltip="Go to Top of Sheet" display="$A$10"/>
    <hyperlink ref="B4" location="HL_Sheet_Main_85" tooltip="Go to Previous Sheet" display="HL_Sheet_Main_85"/>
    <hyperlink ref="C4" location="HL_Sheet_Main_3" tooltip="Go to Next Sheet" display="HL_Sheet_Main_3"/>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1">
    <pageSetUpPr autoPageBreaks="0" fitToPage="1"/>
  </sheetPr>
  <dimension ref="A1:P27"/>
  <sheetViews>
    <sheetView showGridLines="0" zoomScaleNormal="100" workbookViewId="0">
      <selection activeCell="E19" sqref="E19"/>
    </sheetView>
  </sheetViews>
  <sheetFormatPr defaultColWidth="0" defaultRowHeight="12.75" zeroHeight="1" x14ac:dyDescent="0.2"/>
  <cols>
    <col min="1" max="2" width="11.7109375" customWidth="1"/>
    <col min="3" max="6" width="3.7109375" customWidth="1"/>
    <col min="7" max="16" width="11.7109375" customWidth="1"/>
    <col min="17" max="16384" width="11.7109375" hidden="1"/>
  </cols>
  <sheetData>
    <row r="1" spans="1:16" x14ac:dyDescent="0.2">
      <c r="A1" s="420"/>
    </row>
    <row r="2" spans="1:16" x14ac:dyDescent="0.2"/>
    <row r="3" spans="1:16" x14ac:dyDescent="0.2"/>
    <row r="4" spans="1:16" x14ac:dyDescent="0.2"/>
    <row r="5" spans="1:16" x14ac:dyDescent="0.2"/>
    <row r="6" spans="1:16" x14ac:dyDescent="0.2"/>
    <row r="7" spans="1:16" ht="17.100000000000001" customHeight="1" x14ac:dyDescent="0.2">
      <c r="C7" s="42"/>
    </row>
    <row r="8" spans="1:16" ht="18.75" x14ac:dyDescent="0.2">
      <c r="C8" s="37" t="str">
        <f>Lbl_Country&amp;" C4P* - Screening &amp; Treatment Tool"&amp;Err_Chks_Msg&amp;Sens_Chks_Msg&amp;Alt_Chks_Msg</f>
        <v>Zambia C4P* - Screening &amp; Treatment Tool</v>
      </c>
    </row>
    <row r="9" spans="1:16" ht="23.25" x14ac:dyDescent="0.2">
      <c r="C9" s="32" t="s">
        <v>1882</v>
      </c>
      <c r="M9" s="170"/>
      <c r="N9" s="47"/>
      <c r="O9" s="47"/>
      <c r="P9" s="47"/>
    </row>
    <row r="10" spans="1:16" ht="21" x14ac:dyDescent="0.2">
      <c r="C10" s="35" t="s">
        <v>68</v>
      </c>
    </row>
    <row r="11" spans="1:16" ht="18.75" x14ac:dyDescent="0.2">
      <c r="C11" s="36"/>
    </row>
    <row r="12" spans="1:16" x14ac:dyDescent="0.2">
      <c r="C12" s="702" t="s">
        <v>2</v>
      </c>
      <c r="D12" s="702"/>
      <c r="E12" s="702"/>
      <c r="F12" s="702"/>
      <c r="G12" s="702"/>
    </row>
    <row r="13" spans="1:16" x14ac:dyDescent="0.2">
      <c r="C13" s="337" t="s">
        <v>6</v>
      </c>
      <c r="D13" s="46" t="s">
        <v>7</v>
      </c>
    </row>
    <row r="14" spans="1:16" x14ac:dyDescent="0.2">
      <c r="N14" s="47"/>
      <c r="O14" s="47"/>
      <c r="P14" s="47"/>
    </row>
    <row r="15" spans="1:16" x14ac:dyDescent="0.2"/>
    <row r="16" spans="1:16" x14ac:dyDescent="0.2"/>
    <row r="17" spans="3:7" ht="15" x14ac:dyDescent="0.2">
      <c r="C17" s="30" t="s">
        <v>591</v>
      </c>
    </row>
    <row r="18" spans="3:7" x14ac:dyDescent="0.2">
      <c r="C18" s="645" t="s">
        <v>588</v>
      </c>
      <c r="D18" s="502"/>
      <c r="E18" s="502"/>
      <c r="F18" s="502"/>
      <c r="G18" s="502"/>
    </row>
    <row r="19" spans="3:7" x14ac:dyDescent="0.2">
      <c r="C19" s="645" t="s">
        <v>589</v>
      </c>
      <c r="D19" s="502"/>
      <c r="E19" s="502"/>
      <c r="F19" s="502"/>
      <c r="G19" s="502"/>
    </row>
    <row r="20" spans="3:7" x14ac:dyDescent="0.2">
      <c r="C20" s="645" t="s">
        <v>590</v>
      </c>
      <c r="D20" s="502"/>
      <c r="E20" s="502"/>
      <c r="F20" s="502"/>
      <c r="G20" s="502"/>
    </row>
    <row r="21" spans="3:7" x14ac:dyDescent="0.2"/>
    <row r="22" spans="3:7" x14ac:dyDescent="0.2"/>
    <row r="23" spans="3:7" x14ac:dyDescent="0.2"/>
    <row r="24" spans="3:7" x14ac:dyDescent="0.2"/>
    <row r="25" spans="3:7" x14ac:dyDescent="0.2"/>
    <row r="26" spans="3:7" x14ac:dyDescent="0.2"/>
    <row r="27" spans="3:7" x14ac:dyDescent="0.2"/>
  </sheetData>
  <mergeCells count="1">
    <mergeCell ref="C12:G12"/>
  </mergeCells>
  <hyperlinks>
    <hyperlink ref="D13" location="HL_Sheet_Main_45" tooltip="Go to Next Sheet" display="HL_Sheet_Main_45"/>
    <hyperlink ref="C13" location="HL_Sheet_Main_91" tooltip="Go to Previous Sheet" display="HL_Sheet_Main_91"/>
    <hyperlink ref="C18:G18" location="Team_BA!A1" display="- Team Information"/>
    <hyperlink ref="C19:G19" location="Labels_BA!A1" display="- Programme-specific labeling"/>
    <hyperlink ref="C20:G20" location="TS_BA!A1" display="- Programme-specific timing"/>
    <hyperlink ref="C12" location="HL_Home" tooltip="Go to Table of Contents" display="HL_Home"/>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autoPageBreaks="0"/>
  </sheetPr>
  <dimension ref="A1:P35"/>
  <sheetViews>
    <sheetView showGridLines="0" zoomScaleNormal="100" workbookViewId="0">
      <pane xSplit="1" ySplit="4" topLeftCell="B5" activePane="bottomRight" state="frozen"/>
      <selection activeCell="R20" sqref="R20"/>
      <selection pane="topRight" activeCell="R20" sqref="R20"/>
      <selection pane="bottomLeft" activeCell="R20" sqref="R20"/>
      <selection pane="bottomRight" activeCell="B4" sqref="B4"/>
    </sheetView>
  </sheetViews>
  <sheetFormatPr defaultColWidth="11.7109375" defaultRowHeight="12.75" x14ac:dyDescent="0.2"/>
  <cols>
    <col min="1" max="5" width="3.7109375" style="105" customWidth="1"/>
    <col min="6" max="9" width="11.7109375" style="105"/>
    <col min="10" max="10" width="4.42578125" style="105" customWidth="1"/>
    <col min="11" max="11" width="13.85546875" style="105" customWidth="1"/>
    <col min="12" max="12" width="14.28515625" style="105" customWidth="1"/>
    <col min="13" max="13" width="3.140625" style="105" customWidth="1"/>
    <col min="14" max="16384" width="11.7109375" style="105"/>
  </cols>
  <sheetData>
    <row r="1" spans="1:9" ht="23.25" x14ac:dyDescent="0.2">
      <c r="A1" s="321"/>
      <c r="B1" s="106" t="s">
        <v>604</v>
      </c>
    </row>
    <row r="2" spans="1:9" ht="18.75" x14ac:dyDescent="0.2">
      <c r="B2" s="107" t="str">
        <f>Model_Name</f>
        <v>Zambia C4P* - Screening &amp; Treatment Tool</v>
      </c>
    </row>
    <row r="3" spans="1:9" x14ac:dyDescent="0.2">
      <c r="B3" s="722" t="s">
        <v>2</v>
      </c>
      <c r="C3" s="722"/>
      <c r="D3" s="722"/>
      <c r="E3" s="722"/>
      <c r="F3" s="722"/>
    </row>
    <row r="4" spans="1:9" x14ac:dyDescent="0.2">
      <c r="A4" s="108" t="s">
        <v>4</v>
      </c>
      <c r="B4" s="109" t="s">
        <v>6</v>
      </c>
      <c r="C4" s="110" t="s">
        <v>7</v>
      </c>
      <c r="D4" s="354" t="s">
        <v>27</v>
      </c>
      <c r="E4" s="355" t="s">
        <v>28</v>
      </c>
      <c r="F4" s="356" t="s">
        <v>29</v>
      </c>
    </row>
    <row r="5" spans="1:9" s="348" customFormat="1" x14ac:dyDescent="0.2"/>
    <row r="6" spans="1:9" s="348" customFormat="1" ht="18.75" x14ac:dyDescent="0.2">
      <c r="B6" s="357" t="s">
        <v>573</v>
      </c>
    </row>
    <row r="7" spans="1:9" s="348" customFormat="1" x14ac:dyDescent="0.2"/>
    <row r="8" spans="1:9" s="348" customFormat="1" ht="15.75" x14ac:dyDescent="0.2">
      <c r="C8" s="591" t="s">
        <v>565</v>
      </c>
    </row>
    <row r="9" spans="1:9" s="348" customFormat="1" x14ac:dyDescent="0.2"/>
    <row r="10" spans="1:9" s="348" customFormat="1" x14ac:dyDescent="0.2">
      <c r="F10" s="592" t="s">
        <v>77</v>
      </c>
      <c r="G10" s="721" t="s">
        <v>1244</v>
      </c>
      <c r="H10" s="721"/>
      <c r="I10" s="721"/>
    </row>
    <row r="11" spans="1:9" s="348" customFormat="1" x14ac:dyDescent="0.2">
      <c r="F11" s="592" t="s">
        <v>572</v>
      </c>
      <c r="G11" s="723"/>
      <c r="H11" s="723"/>
      <c r="I11" s="723"/>
    </row>
    <row r="12" spans="1:9" s="348" customFormat="1" x14ac:dyDescent="0.2">
      <c r="F12" s="592" t="s">
        <v>557</v>
      </c>
      <c r="G12" s="721" t="s">
        <v>1633</v>
      </c>
      <c r="H12" s="721"/>
      <c r="I12" s="721"/>
    </row>
    <row r="13" spans="1:9" s="348" customFormat="1" x14ac:dyDescent="0.2">
      <c r="F13" s="592" t="s">
        <v>566</v>
      </c>
      <c r="G13" s="723"/>
      <c r="H13" s="723"/>
      <c r="I13" s="723"/>
    </row>
    <row r="14" spans="1:9" s="348" customFormat="1" x14ac:dyDescent="0.2">
      <c r="F14" s="592" t="s">
        <v>605</v>
      </c>
      <c r="G14" s="723"/>
      <c r="H14" s="723"/>
      <c r="I14" s="723"/>
    </row>
    <row r="15" spans="1:9" s="348" customFormat="1" x14ac:dyDescent="0.2">
      <c r="F15" s="592" t="s">
        <v>567</v>
      </c>
      <c r="G15" s="723"/>
      <c r="H15" s="723"/>
      <c r="I15" s="723"/>
    </row>
    <row r="16" spans="1:9" s="348" customFormat="1" x14ac:dyDescent="0.2">
      <c r="F16" s="592" t="s">
        <v>596</v>
      </c>
      <c r="G16" s="721" t="s">
        <v>1240</v>
      </c>
      <c r="H16" s="721"/>
      <c r="I16" s="721"/>
    </row>
    <row r="17" spans="3:16" s="348" customFormat="1" x14ac:dyDescent="0.2">
      <c r="F17" s="592" t="s">
        <v>568</v>
      </c>
      <c r="G17" s="721" t="s">
        <v>1226</v>
      </c>
      <c r="H17" s="721"/>
      <c r="I17" s="721"/>
    </row>
    <row r="18" spans="3:16" s="348" customFormat="1" x14ac:dyDescent="0.2">
      <c r="F18" s="592" t="s">
        <v>570</v>
      </c>
      <c r="G18" s="723"/>
      <c r="H18" s="723"/>
      <c r="I18" s="723"/>
    </row>
    <row r="19" spans="3:16" s="348" customFormat="1" x14ac:dyDescent="0.2">
      <c r="F19" s="592" t="s">
        <v>569</v>
      </c>
      <c r="G19" s="723"/>
      <c r="H19" s="723"/>
      <c r="I19" s="723"/>
    </row>
    <row r="20" spans="3:16" s="348" customFormat="1" x14ac:dyDescent="0.2">
      <c r="F20" s="592" t="s">
        <v>571</v>
      </c>
      <c r="G20" s="724" t="s">
        <v>1632</v>
      </c>
      <c r="H20" s="721"/>
      <c r="I20" s="721"/>
    </row>
    <row r="21" spans="3:16" s="348" customFormat="1" x14ac:dyDescent="0.2"/>
    <row r="22" spans="3:16" s="348" customFormat="1" ht="15.75" x14ac:dyDescent="0.2">
      <c r="C22" s="591" t="s">
        <v>574</v>
      </c>
    </row>
    <row r="23" spans="3:16" s="348" customFormat="1" x14ac:dyDescent="0.2"/>
    <row r="24" spans="3:16" s="348" customFormat="1" ht="15" x14ac:dyDescent="0.2">
      <c r="G24" s="725" t="s">
        <v>77</v>
      </c>
      <c r="H24" s="726"/>
      <c r="I24" s="726"/>
      <c r="K24" s="725" t="s">
        <v>571</v>
      </c>
      <c r="L24" s="726"/>
      <c r="N24" s="725" t="s">
        <v>557</v>
      </c>
      <c r="O24" s="726"/>
      <c r="P24" s="726"/>
    </row>
    <row r="25" spans="3:16" s="348" customFormat="1" x14ac:dyDescent="0.2">
      <c r="C25" s="592" t="s">
        <v>575</v>
      </c>
      <c r="G25" s="721" t="s">
        <v>1248</v>
      </c>
      <c r="H25" s="721"/>
      <c r="I25" s="721"/>
      <c r="K25" s="727" t="s">
        <v>1249</v>
      </c>
      <c r="L25" s="721"/>
      <c r="N25" s="721" t="s">
        <v>634</v>
      </c>
      <c r="O25" s="721"/>
      <c r="P25" s="721"/>
    </row>
    <row r="26" spans="3:16" s="348" customFormat="1" x14ac:dyDescent="0.2">
      <c r="C26" s="592" t="s">
        <v>576</v>
      </c>
      <c r="G26" s="721" t="s">
        <v>1173</v>
      </c>
      <c r="H26" s="721"/>
      <c r="I26" s="721"/>
      <c r="K26" s="721" t="s">
        <v>1174</v>
      </c>
      <c r="L26" s="721"/>
      <c r="N26" s="721" t="s">
        <v>1175</v>
      </c>
      <c r="O26" s="721"/>
      <c r="P26" s="721"/>
    </row>
    <row r="27" spans="3:16" s="348" customFormat="1" x14ac:dyDescent="0.2">
      <c r="C27" s="592" t="s">
        <v>577</v>
      </c>
      <c r="G27" s="721" t="s">
        <v>1176</v>
      </c>
      <c r="H27" s="721"/>
      <c r="I27" s="721"/>
      <c r="K27" s="727" t="s">
        <v>1250</v>
      </c>
      <c r="L27" s="721"/>
      <c r="N27" s="721" t="s">
        <v>1175</v>
      </c>
      <c r="O27" s="721"/>
      <c r="P27" s="721"/>
    </row>
    <row r="28" spans="3:16" s="348" customFormat="1" x14ac:dyDescent="0.2">
      <c r="C28" s="592" t="s">
        <v>578</v>
      </c>
      <c r="G28" s="721" t="s">
        <v>1177</v>
      </c>
      <c r="H28" s="721"/>
      <c r="I28" s="721"/>
      <c r="K28" s="721" t="s">
        <v>1178</v>
      </c>
      <c r="L28" s="721"/>
      <c r="N28" s="721" t="s">
        <v>1179</v>
      </c>
      <c r="O28" s="721"/>
      <c r="P28" s="721"/>
    </row>
    <row r="29" spans="3:16" s="348" customFormat="1" x14ac:dyDescent="0.2">
      <c r="C29" s="592" t="s">
        <v>579</v>
      </c>
      <c r="G29" s="721" t="s">
        <v>1634</v>
      </c>
      <c r="H29" s="721"/>
      <c r="I29" s="721"/>
      <c r="K29" s="727" t="s">
        <v>1635</v>
      </c>
      <c r="L29" s="721"/>
      <c r="N29" s="721" t="s">
        <v>1633</v>
      </c>
      <c r="O29" s="721"/>
      <c r="P29" s="721"/>
    </row>
    <row r="30" spans="3:16" s="348" customFormat="1" x14ac:dyDescent="0.2">
      <c r="C30" s="592" t="s">
        <v>580</v>
      </c>
      <c r="G30" s="721" t="s">
        <v>1636</v>
      </c>
      <c r="H30" s="721"/>
      <c r="I30" s="721"/>
      <c r="K30" s="727" t="s">
        <v>1638</v>
      </c>
      <c r="L30" s="721"/>
      <c r="N30" s="721" t="s">
        <v>1633</v>
      </c>
      <c r="O30" s="721"/>
      <c r="P30" s="721"/>
    </row>
    <row r="31" spans="3:16" s="348" customFormat="1" x14ac:dyDescent="0.2">
      <c r="C31" s="592" t="s">
        <v>581</v>
      </c>
      <c r="G31" s="721" t="s">
        <v>1869</v>
      </c>
      <c r="H31" s="721"/>
      <c r="I31" s="721"/>
      <c r="K31" s="721"/>
      <c r="L31" s="721"/>
      <c r="N31" s="721" t="s">
        <v>1633</v>
      </c>
      <c r="O31" s="721"/>
      <c r="P31" s="721"/>
    </row>
    <row r="32" spans="3:16" s="348" customFormat="1" x14ac:dyDescent="0.2">
      <c r="C32" s="592" t="s">
        <v>582</v>
      </c>
      <c r="G32" s="721"/>
      <c r="H32" s="721"/>
      <c r="I32" s="721"/>
      <c r="K32" s="727"/>
      <c r="L32" s="721"/>
      <c r="N32" s="721"/>
      <c r="O32" s="721"/>
      <c r="P32" s="721"/>
    </row>
    <row r="33" spans="3:16" s="348" customFormat="1" x14ac:dyDescent="0.2">
      <c r="C33" s="592" t="s">
        <v>583</v>
      </c>
      <c r="G33" s="721"/>
      <c r="H33" s="721"/>
      <c r="I33" s="721"/>
      <c r="K33" s="727"/>
      <c r="L33" s="721"/>
      <c r="N33" s="721"/>
      <c r="O33" s="721"/>
      <c r="P33" s="721"/>
    </row>
    <row r="34" spans="3:16" s="348" customFormat="1" x14ac:dyDescent="0.2">
      <c r="C34" s="592" t="s">
        <v>584</v>
      </c>
      <c r="G34" s="721"/>
      <c r="H34" s="721"/>
      <c r="I34" s="721"/>
      <c r="K34" s="727"/>
      <c r="L34" s="721"/>
      <c r="N34" s="721"/>
      <c r="O34" s="721"/>
      <c r="P34" s="721"/>
    </row>
    <row r="35" spans="3:16" s="348" customFormat="1" x14ac:dyDescent="0.2">
      <c r="C35" s="592" t="s">
        <v>1637</v>
      </c>
      <c r="G35" s="721"/>
      <c r="H35" s="721"/>
      <c r="I35" s="721"/>
      <c r="K35" s="721"/>
      <c r="L35" s="721"/>
      <c r="N35" s="721"/>
      <c r="O35" s="721"/>
      <c r="P35" s="721"/>
    </row>
  </sheetData>
  <sheetProtection password="F0F4" sheet="1" scenarios="1"/>
  <mergeCells count="48">
    <mergeCell ref="N33:P33"/>
    <mergeCell ref="N34:P34"/>
    <mergeCell ref="K31:L31"/>
    <mergeCell ref="K32:L32"/>
    <mergeCell ref="K33:L33"/>
    <mergeCell ref="K34:L34"/>
    <mergeCell ref="G32:I32"/>
    <mergeCell ref="G33:I33"/>
    <mergeCell ref="N30:P30"/>
    <mergeCell ref="K25:L25"/>
    <mergeCell ref="K26:L26"/>
    <mergeCell ref="K27:L27"/>
    <mergeCell ref="K28:L28"/>
    <mergeCell ref="K29:L29"/>
    <mergeCell ref="K30:L30"/>
    <mergeCell ref="N25:P25"/>
    <mergeCell ref="N26:P26"/>
    <mergeCell ref="N27:P27"/>
    <mergeCell ref="N28:P28"/>
    <mergeCell ref="N29:P29"/>
    <mergeCell ref="N31:P31"/>
    <mergeCell ref="N32:P32"/>
    <mergeCell ref="G27:I27"/>
    <mergeCell ref="G28:I28"/>
    <mergeCell ref="G29:I29"/>
    <mergeCell ref="G30:I30"/>
    <mergeCell ref="G31:I31"/>
    <mergeCell ref="G24:I24"/>
    <mergeCell ref="K24:L24"/>
    <mergeCell ref="N24:P24"/>
    <mergeCell ref="G25:I25"/>
    <mergeCell ref="G26:I26"/>
    <mergeCell ref="G35:I35"/>
    <mergeCell ref="K35:L35"/>
    <mergeCell ref="N35:P35"/>
    <mergeCell ref="B3:F3"/>
    <mergeCell ref="G10:I10"/>
    <mergeCell ref="G13:I13"/>
    <mergeCell ref="G20:I20"/>
    <mergeCell ref="G11:I11"/>
    <mergeCell ref="G12:I12"/>
    <mergeCell ref="G14:I14"/>
    <mergeCell ref="G15:I15"/>
    <mergeCell ref="G16:I16"/>
    <mergeCell ref="G17:I17"/>
    <mergeCell ref="G18:I18"/>
    <mergeCell ref="G19:I19"/>
    <mergeCell ref="G34:I34"/>
  </mergeCells>
  <hyperlinks>
    <hyperlink ref="A4" location="$B$5" tooltip="Go to Top of Sheet" display="$B$5"/>
    <hyperlink ref="K25" r:id="rId1"/>
    <hyperlink ref="B4" location="HL_Sheet_Main_3" tooltip="Go to Previous Sheet" display="HL_Sheet_Main_3"/>
    <hyperlink ref="C4" location="HL_Sheet_Main_35" tooltip="Go to Next Sheet" display="HL_Sheet_Main_35"/>
    <hyperlink ref="K27" r:id="rId2"/>
    <hyperlink ref="G20" r:id="rId3"/>
    <hyperlink ref="K29" r:id="rId4"/>
    <hyperlink ref="K30" r:id="rId5"/>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6"/>
  <headerFooter>
    <oddFooter>&amp;L&amp;F
&amp;A
Printed: &amp;T on &amp;D&amp;CPage &amp;P of &amp;N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pageSetUpPr autoPageBreaks="0"/>
  </sheetPr>
  <dimension ref="A1:O43"/>
  <sheetViews>
    <sheetView showGridLines="0" zoomScaleNormal="100" workbookViewId="0">
      <pane ySplit="4" topLeftCell="A5" activePane="bottomLeft" state="frozen"/>
      <selection activeCell="R20" sqref="R20"/>
      <selection pane="bottomLeft" activeCell="M19" sqref="M19"/>
    </sheetView>
  </sheetViews>
  <sheetFormatPr defaultColWidth="11.7109375" defaultRowHeight="12.75" outlineLevelRow="1" x14ac:dyDescent="0.2"/>
  <cols>
    <col min="1" max="2" width="3.7109375" style="105" customWidth="1"/>
    <col min="3" max="3" width="6" style="105" customWidth="1"/>
    <col min="4" max="4" width="11.7109375" style="105" customWidth="1"/>
    <col min="5" max="5" width="15.7109375" style="105" customWidth="1"/>
    <col min="6" max="6" width="15.42578125" style="105" customWidth="1"/>
    <col min="7" max="7" width="8.85546875" style="105" customWidth="1"/>
    <col min="8" max="8" width="11.7109375" style="105"/>
    <col min="9" max="9" width="17.42578125" style="105" customWidth="1"/>
    <col min="10" max="12" width="11.7109375" style="105"/>
    <col min="13" max="13" width="15" style="105" customWidth="1"/>
    <col min="14" max="15" width="11.7109375" style="105"/>
    <col min="16" max="16" width="13.5703125" style="105" customWidth="1"/>
    <col min="17" max="17" width="12" style="105" bestFit="1" customWidth="1"/>
    <col min="18" max="16384" width="11.7109375" style="105"/>
  </cols>
  <sheetData>
    <row r="1" spans="1:15" ht="23.25" x14ac:dyDescent="0.2">
      <c r="A1" s="321"/>
      <c r="B1" s="106" t="s">
        <v>587</v>
      </c>
    </row>
    <row r="2" spans="1:15" ht="18.75" x14ac:dyDescent="0.2">
      <c r="B2" s="107" t="str">
        <f>Model_Name</f>
        <v>Zambia C4P* - Screening &amp; Treatment Tool</v>
      </c>
    </row>
    <row r="3" spans="1:15" x14ac:dyDescent="0.2">
      <c r="B3" s="722" t="s">
        <v>2</v>
      </c>
      <c r="C3" s="722"/>
      <c r="D3" s="722"/>
      <c r="E3" s="227"/>
      <c r="F3" s="111"/>
    </row>
    <row r="4" spans="1:15" x14ac:dyDescent="0.2">
      <c r="A4" s="108" t="s">
        <v>4</v>
      </c>
      <c r="B4" s="109" t="s">
        <v>6</v>
      </c>
      <c r="C4" s="110" t="s">
        <v>7</v>
      </c>
      <c r="D4" s="354" t="s">
        <v>27</v>
      </c>
      <c r="E4" s="355" t="s">
        <v>28</v>
      </c>
      <c r="F4" s="356" t="s">
        <v>29</v>
      </c>
    </row>
    <row r="5" spans="1:15" s="348" customFormat="1" x14ac:dyDescent="0.2">
      <c r="K5" s="671" t="s">
        <v>653</v>
      </c>
    </row>
    <row r="6" spans="1:15" s="348" customFormat="1" ht="15.75" x14ac:dyDescent="0.2">
      <c r="B6" s="746" t="s">
        <v>562</v>
      </c>
      <c r="C6" s="747"/>
      <c r="D6" s="747"/>
      <c r="E6" s="747"/>
      <c r="G6" s="721" t="s">
        <v>1226</v>
      </c>
      <c r="H6" s="721"/>
      <c r="I6" s="721"/>
      <c r="K6" s="737" t="s">
        <v>1204</v>
      </c>
      <c r="L6" s="738"/>
      <c r="M6" s="738"/>
      <c r="N6" s="738"/>
      <c r="O6" s="739"/>
    </row>
    <row r="7" spans="1:15" s="348" customFormat="1" x14ac:dyDescent="0.2"/>
    <row r="8" spans="1:15" s="348" customFormat="1" ht="15.75" x14ac:dyDescent="0.2">
      <c r="B8" s="746" t="s">
        <v>736</v>
      </c>
      <c r="C8" s="747"/>
      <c r="D8" s="747"/>
      <c r="E8" s="747"/>
    </row>
    <row r="9" spans="1:15" s="348" customFormat="1" outlineLevel="1" x14ac:dyDescent="0.2">
      <c r="C9" s="671" t="s">
        <v>611</v>
      </c>
      <c r="G9" s="721" t="s">
        <v>1227</v>
      </c>
      <c r="H9" s="721"/>
      <c r="I9" s="721"/>
    </row>
    <row r="10" spans="1:15" s="348" customFormat="1" outlineLevel="1" x14ac:dyDescent="0.2">
      <c r="C10" s="671" t="s">
        <v>612</v>
      </c>
      <c r="G10" s="721" t="s">
        <v>1228</v>
      </c>
      <c r="H10" s="721"/>
      <c r="I10" s="721"/>
    </row>
    <row r="11" spans="1:15" s="348" customFormat="1" outlineLevel="1" x14ac:dyDescent="0.2">
      <c r="C11" s="671" t="s">
        <v>613</v>
      </c>
      <c r="G11" s="721" t="s">
        <v>98</v>
      </c>
      <c r="H11" s="721"/>
      <c r="I11" s="721"/>
    </row>
    <row r="12" spans="1:15" s="348" customFormat="1" x14ac:dyDescent="0.2"/>
    <row r="13" spans="1:15" s="348" customFormat="1" ht="15.75" x14ac:dyDescent="0.2">
      <c r="B13" s="746" t="s">
        <v>737</v>
      </c>
      <c r="C13" s="747"/>
      <c r="D13" s="747"/>
      <c r="E13" s="747"/>
    </row>
    <row r="14" spans="1:15" s="348" customFormat="1" ht="15" outlineLevel="1" x14ac:dyDescent="0.2">
      <c r="D14" s="742" t="s">
        <v>1780</v>
      </c>
      <c r="E14" s="743"/>
      <c r="F14" s="743"/>
      <c r="G14" s="742" t="s">
        <v>395</v>
      </c>
      <c r="H14" s="743"/>
      <c r="I14" s="743"/>
      <c r="J14" s="743"/>
      <c r="K14" s="743"/>
      <c r="L14" s="743"/>
      <c r="M14" s="743"/>
    </row>
    <row r="15" spans="1:15" s="348" customFormat="1" ht="15" outlineLevel="1" x14ac:dyDescent="0.2">
      <c r="D15" s="112" t="s">
        <v>280</v>
      </c>
      <c r="E15" s="667" t="s">
        <v>281</v>
      </c>
      <c r="F15" s="113" t="s">
        <v>282</v>
      </c>
      <c r="G15" s="667" t="s">
        <v>283</v>
      </c>
      <c r="H15" s="667" t="s">
        <v>284</v>
      </c>
      <c r="I15" s="667" t="s">
        <v>285</v>
      </c>
      <c r="J15" s="558" t="s">
        <v>1605</v>
      </c>
      <c r="K15" s="558" t="s">
        <v>1606</v>
      </c>
      <c r="L15" s="558" t="s">
        <v>1607</v>
      </c>
      <c r="M15" s="559" t="s">
        <v>1608</v>
      </c>
    </row>
    <row r="16" spans="1:15" s="348" customFormat="1" ht="38.25" outlineLevel="1" x14ac:dyDescent="0.2">
      <c r="D16" s="236" t="s">
        <v>1229</v>
      </c>
      <c r="E16" s="237" t="s">
        <v>1230</v>
      </c>
      <c r="F16" s="238" t="s">
        <v>1231</v>
      </c>
      <c r="G16" s="238" t="s">
        <v>1232</v>
      </c>
      <c r="H16" s="238" t="s">
        <v>1799</v>
      </c>
      <c r="I16" s="238" t="s">
        <v>1798</v>
      </c>
      <c r="J16" s="560" t="s">
        <v>1800</v>
      </c>
      <c r="K16" s="560" t="s">
        <v>1778</v>
      </c>
      <c r="L16" s="560" t="s">
        <v>1779</v>
      </c>
      <c r="M16" s="561" t="s">
        <v>1626</v>
      </c>
    </row>
    <row r="17" spans="2:15" s="348" customFormat="1" x14ac:dyDescent="0.2"/>
    <row r="18" spans="2:15" s="348" customFormat="1" x14ac:dyDescent="0.2"/>
    <row r="19" spans="2:15" s="348" customFormat="1" x14ac:dyDescent="0.2"/>
    <row r="20" spans="2:15" s="348" customFormat="1" x14ac:dyDescent="0.2"/>
    <row r="21" spans="2:15" s="348" customFormat="1" x14ac:dyDescent="0.2"/>
    <row r="22" spans="2:15" s="348" customFormat="1" x14ac:dyDescent="0.2"/>
    <row r="23" spans="2:15" s="348" customFormat="1" ht="15" x14ac:dyDescent="0.2">
      <c r="D23" s="667" t="s">
        <v>980</v>
      </c>
    </row>
    <row r="24" spans="2:15" s="348" customFormat="1" x14ac:dyDescent="0.2">
      <c r="D24" s="721" t="s">
        <v>2000</v>
      </c>
      <c r="E24" s="721"/>
      <c r="F24" s="721"/>
      <c r="G24" s="721"/>
      <c r="H24" s="721"/>
      <c r="I24" s="721"/>
    </row>
    <row r="25" spans="2:15" s="348" customFormat="1" x14ac:dyDescent="0.2">
      <c r="D25" s="721"/>
      <c r="E25" s="721"/>
      <c r="F25" s="721"/>
      <c r="G25" s="721"/>
      <c r="H25" s="721"/>
      <c r="I25" s="721"/>
    </row>
    <row r="26" spans="2:15" s="348" customFormat="1" x14ac:dyDescent="0.2">
      <c r="D26" s="744"/>
      <c r="E26" s="721"/>
      <c r="F26" s="721"/>
      <c r="G26" s="721"/>
      <c r="H26" s="721"/>
      <c r="I26" s="721"/>
    </row>
    <row r="27" spans="2:15" s="348" customFormat="1" x14ac:dyDescent="0.2"/>
    <row r="28" spans="2:15" s="348" customFormat="1" x14ac:dyDescent="0.2"/>
    <row r="29" spans="2:15" s="348" customFormat="1" x14ac:dyDescent="0.2"/>
    <row r="30" spans="2:15" s="348" customFormat="1" ht="36" customHeight="1" x14ac:dyDescent="0.2">
      <c r="B30" s="740" t="s">
        <v>738</v>
      </c>
      <c r="C30" s="741"/>
      <c r="D30" s="741"/>
      <c r="E30" s="741"/>
      <c r="F30" s="741"/>
    </row>
    <row r="31" spans="2:15" s="348" customFormat="1" ht="23.1" customHeight="1" outlineLevel="1" x14ac:dyDescent="0.2">
      <c r="D31" s="667" t="s">
        <v>422</v>
      </c>
      <c r="H31" s="359" t="str">
        <f>D33&amp;" Categories"</f>
        <v>HIV+ Categories</v>
      </c>
      <c r="L31" s="671" t="s">
        <v>979</v>
      </c>
    </row>
    <row r="32" spans="2:15" s="348" customFormat="1" outlineLevel="1" x14ac:dyDescent="0.2">
      <c r="G32" s="360" t="s">
        <v>400</v>
      </c>
      <c r="H32" s="721" t="s">
        <v>1234</v>
      </c>
      <c r="I32" s="721"/>
      <c r="J32" s="721"/>
      <c r="M32" s="745" t="s">
        <v>1764</v>
      </c>
      <c r="N32" s="745"/>
      <c r="O32" s="745"/>
    </row>
    <row r="33" spans="3:15" s="348" customFormat="1" ht="15" outlineLevel="1" x14ac:dyDescent="0.2">
      <c r="C33" s="114">
        <v>1</v>
      </c>
      <c r="D33" s="721" t="s">
        <v>560</v>
      </c>
      <c r="E33" s="721"/>
      <c r="F33" s="721"/>
      <c r="L33" s="728" t="s">
        <v>1764</v>
      </c>
      <c r="M33" s="729"/>
      <c r="N33" s="729"/>
      <c r="O33" s="730"/>
    </row>
    <row r="34" spans="3:15" s="348" customFormat="1" outlineLevel="1" x14ac:dyDescent="0.2">
      <c r="G34" s="360" t="s">
        <v>401</v>
      </c>
      <c r="H34" s="721" t="s">
        <v>1233</v>
      </c>
      <c r="I34" s="721"/>
      <c r="J34" s="721"/>
      <c r="M34" s="721" t="s">
        <v>1764</v>
      </c>
      <c r="N34" s="721"/>
      <c r="O34" s="721"/>
    </row>
    <row r="35" spans="3:15" s="348" customFormat="1" outlineLevel="1" x14ac:dyDescent="0.2"/>
    <row r="36" spans="3:15" s="348" customFormat="1" ht="21" customHeight="1" outlineLevel="1" x14ac:dyDescent="0.2">
      <c r="H36" s="359" t="str">
        <f>D38&amp;" Categories"</f>
        <v>HIV- Categories</v>
      </c>
    </row>
    <row r="37" spans="3:15" s="348" customFormat="1" outlineLevel="1" x14ac:dyDescent="0.2">
      <c r="G37" s="360" t="s">
        <v>402</v>
      </c>
      <c r="H37" s="721" t="s">
        <v>1235</v>
      </c>
      <c r="I37" s="721"/>
      <c r="J37" s="721"/>
      <c r="M37" s="721" t="s">
        <v>1765</v>
      </c>
      <c r="N37" s="721"/>
      <c r="O37" s="721"/>
    </row>
    <row r="38" spans="3:15" s="348" customFormat="1" ht="15" outlineLevel="1" x14ac:dyDescent="0.2">
      <c r="C38" s="114">
        <v>2</v>
      </c>
      <c r="D38" s="721" t="s">
        <v>559</v>
      </c>
      <c r="E38" s="721"/>
      <c r="F38" s="721"/>
      <c r="L38" s="731" t="s">
        <v>1764</v>
      </c>
      <c r="M38" s="732"/>
      <c r="N38" s="732"/>
      <c r="O38" s="733"/>
    </row>
    <row r="39" spans="3:15" s="348" customFormat="1" outlineLevel="1" x14ac:dyDescent="0.2">
      <c r="G39" s="360" t="s">
        <v>403</v>
      </c>
      <c r="H39" s="721" t="s">
        <v>1236</v>
      </c>
      <c r="I39" s="721"/>
      <c r="J39" s="721"/>
      <c r="M39" s="721" t="s">
        <v>1764</v>
      </c>
      <c r="N39" s="721"/>
      <c r="O39" s="721"/>
    </row>
    <row r="40" spans="3:15" s="348" customFormat="1" outlineLevel="1" x14ac:dyDescent="0.2"/>
    <row r="41" spans="3:15" s="348" customFormat="1" x14ac:dyDescent="0.2"/>
    <row r="42" spans="3:15" s="348" customFormat="1" ht="15.75" x14ac:dyDescent="0.2">
      <c r="C42" s="664" t="s">
        <v>978</v>
      </c>
    </row>
    <row r="43" spans="3:15" s="348" customFormat="1" x14ac:dyDescent="0.2">
      <c r="C43" s="734" t="s">
        <v>2001</v>
      </c>
      <c r="D43" s="735"/>
      <c r="E43" s="735"/>
      <c r="F43" s="735"/>
      <c r="G43" s="735"/>
      <c r="H43" s="735"/>
      <c r="I43" s="735"/>
      <c r="J43" s="736"/>
    </row>
  </sheetData>
  <sheetProtection password="F0F4" sheet="1" scenarios="1"/>
  <sortState ref="D127:F147">
    <sortCondition ref="D127"/>
  </sortState>
  <mergeCells count="28">
    <mergeCell ref="H39:J39"/>
    <mergeCell ref="D33:F33"/>
    <mergeCell ref="D38:F38"/>
    <mergeCell ref="H32:J32"/>
    <mergeCell ref="H34:J34"/>
    <mergeCell ref="H37:J37"/>
    <mergeCell ref="M34:O34"/>
    <mergeCell ref="M32:O32"/>
    <mergeCell ref="B3:D3"/>
    <mergeCell ref="B6:E6"/>
    <mergeCell ref="B8:E8"/>
    <mergeCell ref="B13:E13"/>
    <mergeCell ref="L33:O33"/>
    <mergeCell ref="L38:O38"/>
    <mergeCell ref="C43:J43"/>
    <mergeCell ref="K6:O6"/>
    <mergeCell ref="B30:F30"/>
    <mergeCell ref="G6:I6"/>
    <mergeCell ref="G9:I9"/>
    <mergeCell ref="D14:F14"/>
    <mergeCell ref="G11:I11"/>
    <mergeCell ref="G10:I10"/>
    <mergeCell ref="D24:I24"/>
    <mergeCell ref="D25:I25"/>
    <mergeCell ref="G14:M14"/>
    <mergeCell ref="D26:I26"/>
    <mergeCell ref="M37:O37"/>
    <mergeCell ref="M39:O39"/>
  </mergeCells>
  <hyperlinks>
    <hyperlink ref="A4" location="$A$5" tooltip="Go to Top of Sheet" display="$A$5"/>
    <hyperlink ref="C4" location="HL_Sheet_Main_8" tooltip="Go to Next Sheet" display="HL_Sheet_Main_8"/>
    <hyperlink ref="B4" location="HL_Sheet_Main_45" tooltip="Go to Previous Sheet" display="HL_Sheet_Main_45"/>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1">
    <pageSetUpPr autoPageBreaks="0"/>
  </sheetPr>
  <dimension ref="A1:J17"/>
  <sheetViews>
    <sheetView showGridLines="0" zoomScaleNormal="100" workbookViewId="0">
      <pane ySplit="4" topLeftCell="A5" activePane="bottomLeft" state="frozen"/>
      <selection activeCell="R20" sqref="R20"/>
      <selection pane="bottomLeft" activeCell="H13" sqref="H13:I13"/>
    </sheetView>
  </sheetViews>
  <sheetFormatPr defaultColWidth="11.7109375" defaultRowHeight="12.75" outlineLevelRow="2" x14ac:dyDescent="0.2"/>
  <cols>
    <col min="1" max="5" width="3.7109375" style="105" customWidth="1"/>
    <col min="6" max="16384" width="11.7109375" style="105"/>
  </cols>
  <sheetData>
    <row r="1" spans="1:10" ht="23.25" x14ac:dyDescent="0.2">
      <c r="A1" s="321"/>
      <c r="B1" s="106" t="s">
        <v>602</v>
      </c>
    </row>
    <row r="2" spans="1:10" ht="18.75" x14ac:dyDescent="0.2">
      <c r="B2" s="107" t="str">
        <f>Model_Name</f>
        <v>Zambia C4P* - Screening &amp; Treatment Tool</v>
      </c>
    </row>
    <row r="3" spans="1:10" x14ac:dyDescent="0.2">
      <c r="B3" s="722" t="s">
        <v>2</v>
      </c>
      <c r="C3" s="722"/>
      <c r="D3" s="722"/>
      <c r="E3" s="722"/>
      <c r="F3" s="722"/>
    </row>
    <row r="4" spans="1:10" x14ac:dyDescent="0.2">
      <c r="A4" s="108" t="s">
        <v>4</v>
      </c>
      <c r="B4" s="109" t="s">
        <v>6</v>
      </c>
      <c r="C4" s="353" t="s">
        <v>7</v>
      </c>
      <c r="D4" s="354" t="s">
        <v>27</v>
      </c>
      <c r="E4" s="355" t="s">
        <v>28</v>
      </c>
      <c r="F4" s="356" t="s">
        <v>29</v>
      </c>
    </row>
    <row r="5" spans="1:10" s="348" customFormat="1" x14ac:dyDescent="0.2"/>
    <row r="6" spans="1:10" s="348" customFormat="1" x14ac:dyDescent="0.2"/>
    <row r="7" spans="1:10" s="348" customFormat="1" ht="18.75" x14ac:dyDescent="0.2">
      <c r="B7" s="357" t="s">
        <v>30</v>
      </c>
    </row>
    <row r="8" spans="1:10" s="348" customFormat="1" x14ac:dyDescent="0.2"/>
    <row r="9" spans="1:10" s="348" customFormat="1" ht="15.75" customHeight="1" x14ac:dyDescent="0.2">
      <c r="C9" s="634" t="s">
        <v>618</v>
      </c>
      <c r="H9" s="756" t="s">
        <v>34</v>
      </c>
      <c r="I9" s="757"/>
    </row>
    <row r="10" spans="1:10" s="348" customFormat="1" ht="15.75" customHeight="1" x14ac:dyDescent="0.2">
      <c r="C10" s="634" t="s">
        <v>614</v>
      </c>
      <c r="H10" s="635">
        <v>12</v>
      </c>
    </row>
    <row r="11" spans="1:10" s="348" customFormat="1" ht="15.75" customHeight="1" x14ac:dyDescent="0.2">
      <c r="C11" s="634" t="s">
        <v>271</v>
      </c>
      <c r="H11" s="758">
        <v>2015</v>
      </c>
      <c r="I11" s="759"/>
    </row>
    <row r="12" spans="1:10" s="348" customFormat="1" ht="15.75" customHeight="1" x14ac:dyDescent="0.2">
      <c r="C12" s="634" t="s">
        <v>615</v>
      </c>
      <c r="H12" s="748">
        <v>6</v>
      </c>
      <c r="I12" s="749"/>
    </row>
    <row r="13" spans="1:10" s="348" customFormat="1" ht="15.75" hidden="1" customHeight="1" outlineLevel="2" x14ac:dyDescent="0.2">
      <c r="C13" s="634" t="s">
        <v>35</v>
      </c>
      <c r="H13" s="750">
        <f>EDATE(DATE(TS_First_Fin_Yr,DD_TS_Fin_Yr_End_Mth,1),-TS_Mths_In_Yr+1)</f>
        <v>42005</v>
      </c>
      <c r="I13" s="751"/>
    </row>
    <row r="14" spans="1:10" s="348" customFormat="1" ht="15.75" hidden="1" customHeight="1" outlineLevel="2" x14ac:dyDescent="0.2">
      <c r="C14" s="634" t="s">
        <v>36</v>
      </c>
      <c r="H14" s="752">
        <f>EDATE(TS_Start_Date,TS_Term*TS_Mths_In_Yr)-1</f>
        <v>44196</v>
      </c>
      <c r="I14" s="753"/>
    </row>
    <row r="15" spans="1:10" s="348" customFormat="1" ht="15.75" customHeight="1" collapsed="1" x14ac:dyDescent="0.2">
      <c r="C15" s="634" t="s">
        <v>616</v>
      </c>
      <c r="H15" s="185" t="s">
        <v>1237</v>
      </c>
      <c r="I15" s="635">
        <v>1</v>
      </c>
      <c r="J15" s="634" t="s">
        <v>617</v>
      </c>
    </row>
    <row r="16" spans="1:10" s="348" customFormat="1" ht="15.75" hidden="1" customHeight="1" outlineLevel="2" x14ac:dyDescent="0.2">
      <c r="C16" s="634" t="s">
        <v>38</v>
      </c>
      <c r="H16" s="754">
        <f>INDEX(LU_TS_Denom_Conv,DD_TS_Denom)</f>
        <v>1</v>
      </c>
      <c r="I16" s="755"/>
    </row>
    <row r="17" collapsed="1" x14ac:dyDescent="0.2"/>
  </sheetData>
  <sheetProtection password="F0F4" sheet="1" scenarios="1"/>
  <mergeCells count="7">
    <mergeCell ref="H12:I12"/>
    <mergeCell ref="H13:I13"/>
    <mergeCell ref="H14:I14"/>
    <mergeCell ref="H16:I16"/>
    <mergeCell ref="B3:F3"/>
    <mergeCell ref="H9:I9"/>
    <mergeCell ref="H11:I11"/>
  </mergeCells>
  <dataValidations count="4">
    <dataValidation type="whole" showDropDown="1" showErrorMessage="1" errorTitle="Drop Down Box Cell Link" error="The value in a drop down box cell link must be a whole number within the control's lookup range rows." sqref="H10">
      <formula1>1</formula1>
      <formula2>ROWS(LU_TS_Mth_Names)</formula2>
    </dataValidation>
    <dataValidation type="whole" operator="greaterThanOrEqual" showDropDown="1" showErrorMessage="1" errorTitle="First Financial Year" error="The first financial year must be a whole number greater than or equal to 1904." sqref="H11">
      <formula1>1904</formula1>
    </dataValidation>
    <dataValidation type="whole" operator="greaterThan" showDropDown="1" showErrorMessage="1" errorTitle="Term (Years)" error="The term must be a whole number of years greater than zero." sqref="H12">
      <formula1>0</formula1>
    </dataValidation>
    <dataValidation type="whole" showDropDown="1" showErrorMessage="1" errorTitle="Drop Down Box Cell Link" error="The value in a drop down box cell link must be a whole number within the control's lookup range rows." sqref="I15">
      <formula1>1</formula1>
      <formula2>ROWS(LU_TS_Denom)</formula2>
    </dataValidation>
  </dataValidations>
  <hyperlinks>
    <hyperlink ref="A4" location="$A$5" tooltip="Go to Top of Sheet" display="$A$5"/>
    <hyperlink ref="B4" location="HL_Sheet_Main_35" tooltip="Go to Previous Sheet" display="HL_Sheet_Main_35"/>
    <hyperlink ref="C4" location="HL_Sheet_Main_49" tooltip="Go to Next Sheet" display="HL_Sheet_Main_49"/>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1265" r:id="rId4" name="bpmDropDownTS1">
              <controlPr defaultSize="0" autoFill="0" autoPict="0">
                <anchor moveWithCells="1">
                  <from>
                    <xdr:col>7</xdr:col>
                    <xdr:colOff>0</xdr:colOff>
                    <xdr:row>9</xdr:row>
                    <xdr:rowOff>0</xdr:rowOff>
                  </from>
                  <to>
                    <xdr:col>9</xdr:col>
                    <xdr:colOff>0</xdr:colOff>
                    <xdr:row>10</xdr:row>
                    <xdr:rowOff>0</xdr:rowOff>
                  </to>
                </anchor>
              </controlPr>
            </control>
          </mc:Choice>
        </mc:AlternateContent>
        <mc:AlternateContent xmlns:mc="http://schemas.openxmlformats.org/markup-compatibility/2006">
          <mc:Choice Requires="x14">
            <control shapeId="11266" r:id="rId5" name="bpmDropDownTS2">
              <controlPr defaultSize="0" autoFill="0" autoPict="0">
                <anchor moveWithCells="1">
                  <from>
                    <xdr:col>8</xdr:col>
                    <xdr:colOff>0</xdr:colOff>
                    <xdr:row>12</xdr:row>
                    <xdr:rowOff>0</xdr:rowOff>
                  </from>
                  <to>
                    <xdr:col>9</xdr:col>
                    <xdr:colOff>0</xdr:colOff>
                    <xdr:row>15</xdr:row>
                    <xdr:rowOff>0</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autoPageBreaks="0" fitToPage="1"/>
  </sheetPr>
  <dimension ref="A1:P27"/>
  <sheetViews>
    <sheetView showGridLines="0" showRowColHeaders="0" zoomScaleNormal="100" workbookViewId="0">
      <selection activeCell="C11" sqref="C11"/>
    </sheetView>
  </sheetViews>
  <sheetFormatPr defaultColWidth="0" defaultRowHeight="12.75" zeroHeight="1" x14ac:dyDescent="0.2"/>
  <cols>
    <col min="1" max="2" width="11.7109375" customWidth="1"/>
    <col min="3" max="6" width="3.7109375" customWidth="1"/>
    <col min="7" max="16" width="11.7109375" customWidth="1"/>
    <col min="17" max="16384" width="11.7109375" hidden="1"/>
  </cols>
  <sheetData>
    <row r="1" spans="1:16" x14ac:dyDescent="0.2">
      <c r="A1" s="420"/>
    </row>
    <row r="2" spans="1:16" x14ac:dyDescent="0.2"/>
    <row r="3" spans="1:16" x14ac:dyDescent="0.2"/>
    <row r="4" spans="1:16" x14ac:dyDescent="0.2"/>
    <row r="5" spans="1:16" x14ac:dyDescent="0.2"/>
    <row r="6" spans="1:16" x14ac:dyDescent="0.2"/>
    <row r="7" spans="1:16" x14ac:dyDescent="0.2"/>
    <row r="8" spans="1:16" x14ac:dyDescent="0.2"/>
    <row r="9" spans="1:16" ht="23.25" x14ac:dyDescent="0.2">
      <c r="C9" s="32" t="s">
        <v>620</v>
      </c>
    </row>
    <row r="10" spans="1:16" ht="21" x14ac:dyDescent="0.2">
      <c r="C10" s="35" t="s">
        <v>269</v>
      </c>
      <c r="M10" s="170"/>
      <c r="N10" s="47"/>
      <c r="O10" s="47"/>
      <c r="P10" s="47"/>
    </row>
    <row r="11" spans="1:16" ht="18.75" x14ac:dyDescent="0.2">
      <c r="C11" s="36" t="str">
        <f>Model_Name</f>
        <v>Zambia C4P* - Screening &amp; Treatment Tool</v>
      </c>
      <c r="M11" s="170"/>
      <c r="N11" s="47"/>
      <c r="O11" s="47"/>
      <c r="P11" s="47"/>
    </row>
    <row r="12" spans="1:16" x14ac:dyDescent="0.2">
      <c r="C12" s="702" t="s">
        <v>2</v>
      </c>
      <c r="D12" s="702"/>
      <c r="E12" s="702"/>
      <c r="F12" s="702"/>
      <c r="G12" s="702"/>
      <c r="M12" s="170"/>
      <c r="N12" s="47"/>
      <c r="O12" s="47"/>
      <c r="P12" s="47"/>
    </row>
    <row r="13" spans="1:16" x14ac:dyDescent="0.2">
      <c r="C13" s="337" t="s">
        <v>6</v>
      </c>
      <c r="D13" s="46" t="s">
        <v>7</v>
      </c>
      <c r="M13" s="170"/>
      <c r="N13" s="47"/>
      <c r="O13" s="47"/>
      <c r="P13" s="47"/>
    </row>
    <row r="14" spans="1:16" x14ac:dyDescent="0.2">
      <c r="M14" s="170"/>
      <c r="N14" s="47"/>
      <c r="O14" s="47"/>
      <c r="P14" s="47"/>
    </row>
    <row r="15" spans="1:16" x14ac:dyDescent="0.2">
      <c r="M15" s="170"/>
      <c r="N15" s="47"/>
      <c r="O15" s="47"/>
      <c r="P15" s="47"/>
    </row>
    <row r="16" spans="1:16" x14ac:dyDescent="0.2"/>
    <row r="17" spans="3:4" ht="15" x14ac:dyDescent="0.2">
      <c r="C17" s="54" t="s">
        <v>5</v>
      </c>
    </row>
    <row r="18" spans="3:4" x14ac:dyDescent="0.2">
      <c r="C18" s="91" t="s">
        <v>739</v>
      </c>
    </row>
    <row r="19" spans="3:4" x14ac:dyDescent="0.2">
      <c r="C19" s="91" t="s">
        <v>740</v>
      </c>
    </row>
    <row r="20" spans="3:4" x14ac:dyDescent="0.2">
      <c r="D20" s="241" t="s">
        <v>760</v>
      </c>
    </row>
    <row r="21" spans="3:4" x14ac:dyDescent="0.2">
      <c r="D21" s="241" t="s">
        <v>761</v>
      </c>
    </row>
    <row r="22" spans="3:4" x14ac:dyDescent="0.2">
      <c r="D22" s="241" t="s">
        <v>762</v>
      </c>
    </row>
    <row r="23" spans="3:4" x14ac:dyDescent="0.2"/>
    <row r="24" spans="3:4" x14ac:dyDescent="0.2"/>
    <row r="25" spans="3:4" x14ac:dyDescent="0.2"/>
    <row r="26" spans="3:4" x14ac:dyDescent="0.2"/>
    <row r="27" spans="3:4" x14ac:dyDescent="0.2"/>
  </sheetData>
  <mergeCells count="1">
    <mergeCell ref="C12:G12"/>
  </mergeCells>
  <hyperlinks>
    <hyperlink ref="D13" location="HL_Sheet_Main_50" tooltip="Go to Next Sheet" display="HL_Sheet_Main_50"/>
    <hyperlink ref="D20" location="'Gen_Assump_SSC'!C9" tooltip="Go to General Assumptions" display="'Gen_Assump_SSC'!C9"/>
    <hyperlink ref="D21" location="'Svc_Assump_SSC'!C9" tooltip="Go to Service Assumptions" display="'Svc_Assump_SSC'!C9"/>
    <hyperlink ref="D22" location="'Oth_Cost_SC'!C9" tooltip="Go to Other Cost Assumptions" display="'Oth_Cost_SC'!C9"/>
    <hyperlink ref="C13" location="HL_Sheet_Main_8" tooltip="Go to Previous Sheet" display="HL_Sheet_Main_8"/>
    <hyperlink ref="C12"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autoPageBreaks="0" fitToPage="1"/>
  </sheetPr>
  <dimension ref="A1:P27"/>
  <sheetViews>
    <sheetView showGridLines="0" topLeftCell="A6" zoomScaleNormal="100" workbookViewId="0">
      <selection activeCell="A28" sqref="A28:XFD1048576"/>
    </sheetView>
  </sheetViews>
  <sheetFormatPr defaultColWidth="0" defaultRowHeight="12.75" zeroHeight="1" x14ac:dyDescent="0.2"/>
  <cols>
    <col min="1" max="2" width="11.7109375" customWidth="1"/>
    <col min="3" max="6" width="3.7109375" customWidth="1"/>
    <col min="7" max="16" width="11.7109375" customWidth="1"/>
    <col min="17" max="16384" width="11.7109375" hidden="1"/>
  </cols>
  <sheetData>
    <row r="1" spans="1:16" x14ac:dyDescent="0.2">
      <c r="A1" s="420"/>
    </row>
    <row r="2" spans="1:16" x14ac:dyDescent="0.2"/>
    <row r="3" spans="1:16" x14ac:dyDescent="0.2"/>
    <row r="4" spans="1:16" x14ac:dyDescent="0.2"/>
    <row r="5" spans="1:16" x14ac:dyDescent="0.2"/>
    <row r="6" spans="1:16" x14ac:dyDescent="0.2"/>
    <row r="7" spans="1:16" x14ac:dyDescent="0.2"/>
    <row r="8" spans="1:16" x14ac:dyDescent="0.2"/>
    <row r="9" spans="1:16" ht="23.25" x14ac:dyDescent="0.2">
      <c r="C9" s="32" t="s">
        <v>268</v>
      </c>
    </row>
    <row r="10" spans="1:16" ht="21" x14ac:dyDescent="0.2">
      <c r="C10" s="35" t="s">
        <v>1878</v>
      </c>
    </row>
    <row r="11" spans="1:16" ht="18.75" x14ac:dyDescent="0.2">
      <c r="C11" s="36" t="str">
        <f>Model_Name</f>
        <v>Zambia C4P* - Screening &amp; Treatment Tool</v>
      </c>
      <c r="P11" s="47"/>
    </row>
    <row r="12" spans="1:16" x14ac:dyDescent="0.2">
      <c r="C12" s="702" t="s">
        <v>2</v>
      </c>
      <c r="D12" s="702"/>
      <c r="E12" s="702"/>
      <c r="F12" s="702"/>
      <c r="G12" s="702"/>
      <c r="M12" s="47"/>
      <c r="N12" s="47"/>
      <c r="O12" s="47"/>
      <c r="P12" s="47"/>
    </row>
    <row r="13" spans="1:16" x14ac:dyDescent="0.2">
      <c r="C13" s="50" t="s">
        <v>6</v>
      </c>
      <c r="D13" s="46" t="s">
        <v>7</v>
      </c>
      <c r="M13" s="47"/>
      <c r="N13" s="47"/>
      <c r="O13" s="47"/>
      <c r="P13" s="47"/>
    </row>
    <row r="14" spans="1:16" x14ac:dyDescent="0.2">
      <c r="M14" s="47"/>
      <c r="N14" s="47"/>
      <c r="O14" s="47"/>
      <c r="P14" s="47"/>
    </row>
    <row r="15" spans="1:16" x14ac:dyDescent="0.2">
      <c r="M15" s="47"/>
      <c r="N15" s="47"/>
      <c r="O15" s="47"/>
      <c r="P15" s="47"/>
    </row>
    <row r="16" spans="1:16" x14ac:dyDescent="0.2">
      <c r="M16" s="47"/>
      <c r="N16" s="47"/>
      <c r="O16" s="47"/>
      <c r="P16" s="47"/>
    </row>
    <row r="17" spans="3:11" ht="15" x14ac:dyDescent="0.2">
      <c r="C17" s="54" t="s">
        <v>10</v>
      </c>
    </row>
    <row r="18" spans="3:11" x14ac:dyDescent="0.2">
      <c r="C18" s="89" t="s">
        <v>741</v>
      </c>
    </row>
    <row r="19" spans="3:11" x14ac:dyDescent="0.2">
      <c r="C19" s="89"/>
      <c r="D19" s="711" t="s">
        <v>763</v>
      </c>
      <c r="E19" s="711"/>
      <c r="F19" s="711"/>
      <c r="G19" s="711"/>
      <c r="H19" s="711"/>
      <c r="I19" s="711"/>
      <c r="J19" s="711"/>
      <c r="K19" s="711"/>
    </row>
    <row r="20" spans="3:11" x14ac:dyDescent="0.2">
      <c r="C20" s="89"/>
      <c r="D20" s="711" t="s">
        <v>764</v>
      </c>
      <c r="E20" s="711"/>
      <c r="F20" s="711"/>
      <c r="G20" s="711"/>
      <c r="H20" s="711"/>
      <c r="I20" s="711"/>
      <c r="J20" s="711"/>
      <c r="K20" s="711"/>
    </row>
    <row r="21" spans="3:11" x14ac:dyDescent="0.2">
      <c r="D21" s="711" t="s">
        <v>765</v>
      </c>
      <c r="E21" s="711"/>
      <c r="F21" s="711"/>
      <c r="G21" s="711"/>
      <c r="H21" s="711"/>
      <c r="I21" s="711"/>
      <c r="J21" s="711"/>
      <c r="K21" s="711"/>
    </row>
    <row r="22" spans="3:11" x14ac:dyDescent="0.2"/>
    <row r="23" spans="3:11" x14ac:dyDescent="0.2"/>
    <row r="24" spans="3:11" x14ac:dyDescent="0.2"/>
    <row r="25" spans="3:11" x14ac:dyDescent="0.2"/>
    <row r="26" spans="3:11" x14ac:dyDescent="0.2"/>
    <row r="27" spans="3:11" x14ac:dyDescent="0.2"/>
  </sheetData>
  <mergeCells count="4">
    <mergeCell ref="C12:G12"/>
    <mergeCell ref="D19:K19"/>
    <mergeCell ref="D20:K20"/>
    <mergeCell ref="D21:K21"/>
  </mergeCells>
  <hyperlinks>
    <hyperlink ref="C13" location="HL_Sheet_Main_49" tooltip="Go to Previous Sheet" display="HL_Sheet_Main_49"/>
    <hyperlink ref="D19" location="HL_Reg_Pop_Reg_Ass" tooltip="Go to Names of Key Programme Areas and Numbers of Sub-Areas Within Each" display="HL_Reg_Pop_Reg_Ass"/>
    <hyperlink ref="D20" location="HL_Plan_Prog_Start_Year" tooltip="Go to Programme Rollout Schedule, by Key Programme Area and Year" display="HL_Plan_Prog_Start_Year"/>
    <hyperlink ref="D21" location="HL_Plan_FAC_Inventory" tooltip="Go to Counts of Each Facility Type by Key Programme Area" display="HL_Plan_FAC_Inventory"/>
    <hyperlink ref="D13" location="HL_Sheet_Main_12" tooltip="Go to Next Sheet" display="HL_Sheet_Main_12"/>
    <hyperlink ref="C12"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pageSetUpPr autoPageBreaks="0"/>
  </sheetPr>
  <dimension ref="A1:P29"/>
  <sheetViews>
    <sheetView showGridLines="0" zoomScaleNormal="100" workbookViewId="0">
      <pane xSplit="1" ySplit="4" topLeftCell="B5" activePane="bottomRight" state="frozen"/>
      <selection pane="topRight" activeCell="B1" sqref="B1"/>
      <selection pane="bottomLeft" activeCell="A5" sqref="A5"/>
      <selection pane="bottomRight" activeCell="M27" sqref="M27"/>
    </sheetView>
  </sheetViews>
  <sheetFormatPr defaultColWidth="11.7109375" defaultRowHeight="12.75" outlineLevelRow="2" x14ac:dyDescent="0.2"/>
  <cols>
    <col min="1" max="5" width="3.7109375" style="105" customWidth="1"/>
    <col min="6" max="7" width="11.7109375" style="105"/>
    <col min="8" max="8" width="15.28515625" style="105" customWidth="1"/>
    <col min="9" max="9" width="15.7109375" style="105" customWidth="1"/>
    <col min="10" max="16384" width="11.7109375" style="105"/>
  </cols>
  <sheetData>
    <row r="1" spans="1:16" ht="23.25" x14ac:dyDescent="0.2">
      <c r="A1" s="321"/>
      <c r="B1" s="106" t="s">
        <v>619</v>
      </c>
    </row>
    <row r="2" spans="1:16" ht="18.75" x14ac:dyDescent="0.2">
      <c r="B2" s="107" t="str">
        <f>Model_Name</f>
        <v>Zambia C4P* - Screening &amp; Treatment Tool</v>
      </c>
    </row>
    <row r="3" spans="1:16" x14ac:dyDescent="0.2">
      <c r="B3" s="722" t="s">
        <v>2</v>
      </c>
      <c r="C3" s="722"/>
      <c r="D3" s="722"/>
      <c r="E3" s="722"/>
      <c r="F3" s="722"/>
    </row>
    <row r="4" spans="1:16" x14ac:dyDescent="0.2">
      <c r="A4" s="351" t="s">
        <v>4</v>
      </c>
      <c r="B4" s="109" t="s">
        <v>6</v>
      </c>
      <c r="C4" s="110" t="s">
        <v>7</v>
      </c>
      <c r="D4" s="354" t="s">
        <v>27</v>
      </c>
      <c r="E4" s="355" t="s">
        <v>28</v>
      </c>
      <c r="F4" s="356" t="s">
        <v>29</v>
      </c>
    </row>
    <row r="5" spans="1:16" s="348" customFormat="1" x14ac:dyDescent="0.2"/>
    <row r="6" spans="1:16" s="348" customFormat="1" ht="18.75" x14ac:dyDescent="0.2">
      <c r="B6" s="115" t="str">
        <f>H25&amp;"s, "&amp;H26&amp;"s, and Program Start Years - Assumptions"</f>
        <v>Provinces, Districts, and Program Start Years - Assumptions</v>
      </c>
    </row>
    <row r="7" spans="1:16" s="348" customFormat="1" x14ac:dyDescent="0.2"/>
    <row r="8" spans="1:16" s="348" customFormat="1" ht="15.75" x14ac:dyDescent="0.2">
      <c r="C8" s="527"/>
      <c r="D8" s="528"/>
      <c r="E8" s="528"/>
      <c r="F8" s="528"/>
      <c r="G8" s="528"/>
      <c r="H8" s="530"/>
      <c r="J8" s="527"/>
      <c r="K8" s="530"/>
      <c r="M8" s="769" t="s">
        <v>294</v>
      </c>
      <c r="N8" s="770"/>
      <c r="O8" s="770"/>
      <c r="P8" s="771"/>
    </row>
    <row r="9" spans="1:16" s="348" customFormat="1" ht="15" x14ac:dyDescent="0.2">
      <c r="C9" s="765" t="str">
        <f t="shared" ref="C9" si="0">H25&amp;" Names"</f>
        <v>Province Names</v>
      </c>
      <c r="D9" s="766"/>
      <c r="E9" s="766"/>
      <c r="F9" s="766"/>
      <c r="G9" s="766"/>
      <c r="H9" s="529" t="str">
        <f>"# of "&amp;H26&amp;"s"</f>
        <v># of Districts</v>
      </c>
      <c r="J9" s="775" t="s">
        <v>271</v>
      </c>
      <c r="K9" s="776"/>
      <c r="M9" s="772" t="s">
        <v>74</v>
      </c>
      <c r="N9" s="773"/>
      <c r="O9" s="773"/>
      <c r="P9" s="774"/>
    </row>
    <row r="10" spans="1:16" s="348" customFormat="1" x14ac:dyDescent="0.2">
      <c r="C10" s="767" t="s">
        <v>1207</v>
      </c>
      <c r="D10" s="767"/>
      <c r="E10" s="767"/>
      <c r="F10" s="767"/>
      <c r="G10" s="767"/>
      <c r="H10" s="608">
        <v>11</v>
      </c>
      <c r="J10" s="496">
        <v>1</v>
      </c>
      <c r="M10" s="767" t="s">
        <v>1245</v>
      </c>
      <c r="N10" s="767"/>
      <c r="O10" s="767"/>
      <c r="P10" s="767"/>
    </row>
    <row r="11" spans="1:16" s="348" customFormat="1" x14ac:dyDescent="0.2">
      <c r="C11" s="768" t="s">
        <v>1238</v>
      </c>
      <c r="D11" s="768"/>
      <c r="E11" s="768"/>
      <c r="F11" s="768"/>
      <c r="G11" s="768"/>
      <c r="H11" s="608">
        <v>10</v>
      </c>
      <c r="J11" s="496">
        <v>1</v>
      </c>
      <c r="M11" s="768" t="s">
        <v>1246</v>
      </c>
      <c r="N11" s="768"/>
      <c r="O11" s="768"/>
      <c r="P11" s="768"/>
    </row>
    <row r="12" spans="1:16" s="348" customFormat="1" x14ac:dyDescent="0.2">
      <c r="C12" s="768" t="s">
        <v>1206</v>
      </c>
      <c r="D12" s="768"/>
      <c r="E12" s="768"/>
      <c r="F12" s="768"/>
      <c r="G12" s="768"/>
      <c r="H12" s="608">
        <v>9</v>
      </c>
      <c r="J12" s="496">
        <v>1</v>
      </c>
      <c r="M12" s="768" t="s">
        <v>1247</v>
      </c>
      <c r="N12" s="768"/>
      <c r="O12" s="768"/>
      <c r="P12" s="768"/>
    </row>
    <row r="13" spans="1:16" s="348" customFormat="1" x14ac:dyDescent="0.2">
      <c r="C13" s="768" t="s">
        <v>1239</v>
      </c>
      <c r="D13" s="768"/>
      <c r="E13" s="768"/>
      <c r="F13" s="768"/>
      <c r="G13" s="768"/>
      <c r="H13" s="608">
        <v>11</v>
      </c>
      <c r="J13" s="496">
        <v>1</v>
      </c>
      <c r="M13" s="768"/>
      <c r="N13" s="768"/>
      <c r="O13" s="768"/>
      <c r="P13" s="768"/>
    </row>
    <row r="14" spans="1:16" s="348" customFormat="1" x14ac:dyDescent="0.2">
      <c r="C14" s="768" t="s">
        <v>1240</v>
      </c>
      <c r="D14" s="768"/>
      <c r="E14" s="768"/>
      <c r="F14" s="768"/>
      <c r="G14" s="768"/>
      <c r="H14" s="608">
        <v>8</v>
      </c>
      <c r="J14" s="496">
        <v>1</v>
      </c>
      <c r="M14" s="768" t="s">
        <v>1766</v>
      </c>
      <c r="N14" s="768"/>
      <c r="O14" s="768"/>
      <c r="P14" s="768"/>
    </row>
    <row r="15" spans="1:16" s="348" customFormat="1" x14ac:dyDescent="0.2">
      <c r="C15" s="760" t="s">
        <v>1241</v>
      </c>
      <c r="D15" s="761"/>
      <c r="E15" s="761"/>
      <c r="F15" s="761"/>
      <c r="G15" s="762"/>
      <c r="H15" s="608">
        <v>7</v>
      </c>
      <c r="J15" s="496">
        <v>1</v>
      </c>
      <c r="M15" s="760" t="s">
        <v>1767</v>
      </c>
      <c r="N15" s="763"/>
      <c r="O15" s="763"/>
      <c r="P15" s="764"/>
    </row>
    <row r="16" spans="1:16" s="348" customFormat="1" x14ac:dyDescent="0.2">
      <c r="C16" s="760" t="s">
        <v>1242</v>
      </c>
      <c r="D16" s="761"/>
      <c r="E16" s="761"/>
      <c r="F16" s="761"/>
      <c r="G16" s="762"/>
      <c r="H16" s="608">
        <v>9</v>
      </c>
      <c r="J16" s="496">
        <v>1</v>
      </c>
      <c r="M16" s="760" t="s">
        <v>1768</v>
      </c>
      <c r="N16" s="763"/>
      <c r="O16" s="763"/>
      <c r="P16" s="764"/>
    </row>
    <row r="17" spans="3:16" s="348" customFormat="1" x14ac:dyDescent="0.2">
      <c r="C17" s="760" t="s">
        <v>1243</v>
      </c>
      <c r="D17" s="761"/>
      <c r="E17" s="761"/>
      <c r="F17" s="761"/>
      <c r="G17" s="762"/>
      <c r="H17" s="608">
        <v>9</v>
      </c>
      <c r="J17" s="496">
        <v>1</v>
      </c>
      <c r="M17" s="760"/>
      <c r="N17" s="763"/>
      <c r="O17" s="763"/>
      <c r="P17" s="764"/>
    </row>
    <row r="18" spans="3:16" s="348" customFormat="1" x14ac:dyDescent="0.2">
      <c r="C18" s="760" t="s">
        <v>1205</v>
      </c>
      <c r="D18" s="761"/>
      <c r="E18" s="761"/>
      <c r="F18" s="761"/>
      <c r="G18" s="762"/>
      <c r="H18" s="608">
        <v>13</v>
      </c>
      <c r="J18" s="496">
        <v>1</v>
      </c>
      <c r="M18" s="760"/>
      <c r="N18" s="763"/>
      <c r="O18" s="763"/>
      <c r="P18" s="764"/>
    </row>
    <row r="19" spans="3:16" s="348" customFormat="1" x14ac:dyDescent="0.2">
      <c r="C19" s="760" t="s">
        <v>592</v>
      </c>
      <c r="D19" s="761"/>
      <c r="E19" s="761"/>
      <c r="F19" s="761"/>
      <c r="G19" s="762"/>
      <c r="H19" s="609">
        <v>16</v>
      </c>
      <c r="J19" s="496">
        <v>1</v>
      </c>
      <c r="M19" s="760"/>
      <c r="N19" s="763"/>
      <c r="O19" s="763"/>
      <c r="P19" s="764"/>
    </row>
    <row r="20" spans="3:16" s="348" customFormat="1" ht="15" x14ac:dyDescent="0.2">
      <c r="C20" s="782" t="s">
        <v>121</v>
      </c>
      <c r="D20" s="783"/>
      <c r="E20" s="783"/>
      <c r="F20" s="783"/>
      <c r="G20" s="783"/>
      <c r="H20" s="116">
        <f>SUM(H10:H19)</f>
        <v>103</v>
      </c>
    </row>
    <row r="21" spans="3:16" s="348" customFormat="1" x14ac:dyDescent="0.2"/>
    <row r="22" spans="3:16" s="348" customFormat="1" x14ac:dyDescent="0.2"/>
    <row r="23" spans="3:16" s="348" customFormat="1" ht="15.75" outlineLevel="2" x14ac:dyDescent="0.2">
      <c r="C23" s="664" t="s">
        <v>289</v>
      </c>
    </row>
    <row r="24" spans="3:16" s="348" customFormat="1" outlineLevel="2" x14ac:dyDescent="0.2"/>
    <row r="25" spans="3:16" s="348" customFormat="1" ht="12.75" customHeight="1" outlineLevel="2" x14ac:dyDescent="0.2">
      <c r="D25" s="671" t="s">
        <v>1208</v>
      </c>
      <c r="H25" s="780" t="str">
        <f>Labels_BA!G10</f>
        <v>Province</v>
      </c>
      <c r="I25" s="781"/>
      <c r="J25" s="781"/>
    </row>
    <row r="26" spans="3:16" s="348" customFormat="1" ht="12.75" customHeight="1" outlineLevel="2" x14ac:dyDescent="0.2">
      <c r="D26" s="671" t="s">
        <v>393</v>
      </c>
      <c r="H26" s="778" t="str">
        <f>Labels_BA!G11</f>
        <v>District</v>
      </c>
      <c r="I26" s="779"/>
      <c r="J26" s="779"/>
    </row>
    <row r="27" spans="3:16" s="348" customFormat="1" x14ac:dyDescent="0.2"/>
    <row r="28" spans="3:16" s="348" customFormat="1" x14ac:dyDescent="0.2">
      <c r="C28" s="722" t="str">
        <f>"Go to "&amp;HL_Reg_Pop_Reg_Out</f>
        <v>Go to Province - Outputs</v>
      </c>
      <c r="D28" s="777"/>
      <c r="E28" s="777"/>
      <c r="F28" s="777"/>
      <c r="G28" s="777"/>
      <c r="H28" s="777"/>
      <c r="I28" s="777"/>
    </row>
    <row r="29" spans="3:16" s="348" customFormat="1" x14ac:dyDescent="0.2">
      <c r="C29" s="722" t="str">
        <f>"Go to "&amp;HL_Reg_Pop_Pop_Out</f>
        <v>Go to Population - Outputs</v>
      </c>
      <c r="D29" s="777"/>
      <c r="E29" s="777"/>
      <c r="F29" s="777"/>
      <c r="G29" s="777"/>
      <c r="H29" s="777"/>
      <c r="I29" s="777"/>
    </row>
  </sheetData>
  <sheetProtection password="F0F4" sheet="1" scenarios="1"/>
  <mergeCells count="30">
    <mergeCell ref="M8:P8"/>
    <mergeCell ref="M9:P9"/>
    <mergeCell ref="J9:K9"/>
    <mergeCell ref="M10:P10"/>
    <mergeCell ref="C29:I29"/>
    <mergeCell ref="C28:I28"/>
    <mergeCell ref="H26:J26"/>
    <mergeCell ref="H25:J25"/>
    <mergeCell ref="C20:G20"/>
    <mergeCell ref="M13:P13"/>
    <mergeCell ref="M14:P14"/>
    <mergeCell ref="M12:P12"/>
    <mergeCell ref="M11:P11"/>
    <mergeCell ref="C12:G12"/>
    <mergeCell ref="C16:G16"/>
    <mergeCell ref="M16:P16"/>
    <mergeCell ref="B3:F3"/>
    <mergeCell ref="C9:G9"/>
    <mergeCell ref="C10:G10"/>
    <mergeCell ref="C13:G13"/>
    <mergeCell ref="C14:G14"/>
    <mergeCell ref="C11:G11"/>
    <mergeCell ref="C15:G15"/>
    <mergeCell ref="M15:P15"/>
    <mergeCell ref="C19:G19"/>
    <mergeCell ref="M19:P19"/>
    <mergeCell ref="C18:G18"/>
    <mergeCell ref="M18:P18"/>
    <mergeCell ref="C17:G17"/>
    <mergeCell ref="M17:P17"/>
  </mergeCells>
  <dataValidations count="2">
    <dataValidation type="decimal" operator="greaterThanOrEqual" allowBlank="1" showDropDown="1" showErrorMessage="1" errorTitle="Invalid Assumption" error="Assumption must be a value greater than or equal to zero." sqref="H10:H19">
      <formula1>0</formula1>
    </dataValidation>
    <dataValidation type="whole" showDropDown="1" showErrorMessage="1" errorTitle="Drop Down Box Cell Link" error="The value in a drop down box cell link must be a whole number within the control's lookup range rows." sqref="J10:J19">
      <formula1>1</formula1>
      <formula2>ROWS(LU_Reg_Pop_Start_Year)</formula2>
    </dataValidation>
  </dataValidations>
  <hyperlinks>
    <hyperlink ref="C28:I28" location="HL_Reg_Pop_Reg_Out" tooltip="Click to follow hyperlink." display="HL_Reg_Pop_Reg_Out"/>
    <hyperlink ref="C29:I29" location="HL_Reg_Pop_Pop_Out" tooltip="Click to follow hyperlink." display="HL_Reg_Pop_Pop_Out"/>
    <hyperlink ref="B4" location="HL_Sheet_Main_50" tooltip="Go to Previous Sheet" display="HL_Sheet_Main_50"/>
    <hyperlink ref="C4" location="HL_Sheet_Main_11" tooltip="Go to Next Sheet" display="HL_Sheet_Main_11"/>
    <hyperlink ref="A4" location="$B$5" tooltip="Go to Top of Sheet" display="$B$5"/>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314" r:id="rId4" name="bpmDropDownReg_Pop2">
              <controlPr defaultSize="0" autoFill="0" autoPict="0">
                <anchor moveWithCells="1">
                  <from>
                    <xdr:col>9</xdr:col>
                    <xdr:colOff>0</xdr:colOff>
                    <xdr:row>9</xdr:row>
                    <xdr:rowOff>0</xdr:rowOff>
                  </from>
                  <to>
                    <xdr:col>11</xdr:col>
                    <xdr:colOff>0</xdr:colOff>
                    <xdr:row>10</xdr:row>
                    <xdr:rowOff>0</xdr:rowOff>
                  </to>
                </anchor>
              </controlPr>
            </control>
          </mc:Choice>
        </mc:AlternateContent>
        <mc:AlternateContent xmlns:mc="http://schemas.openxmlformats.org/markup-compatibility/2006">
          <mc:Choice Requires="x14">
            <control shapeId="13315" r:id="rId5" name="bpmDropDownReg_Pop3">
              <controlPr defaultSize="0" autoFill="0" autoPict="0">
                <anchor moveWithCells="1">
                  <from>
                    <xdr:col>9</xdr:col>
                    <xdr:colOff>0</xdr:colOff>
                    <xdr:row>12</xdr:row>
                    <xdr:rowOff>0</xdr:rowOff>
                  </from>
                  <to>
                    <xdr:col>11</xdr:col>
                    <xdr:colOff>0</xdr:colOff>
                    <xdr:row>13</xdr:row>
                    <xdr:rowOff>0</xdr:rowOff>
                  </to>
                </anchor>
              </controlPr>
            </control>
          </mc:Choice>
        </mc:AlternateContent>
        <mc:AlternateContent xmlns:mc="http://schemas.openxmlformats.org/markup-compatibility/2006">
          <mc:Choice Requires="x14">
            <control shapeId="13316" r:id="rId6" name="bpmDropDownReg_Pop4">
              <controlPr defaultSize="0" autoFill="0" autoPict="0">
                <anchor moveWithCells="1">
                  <from>
                    <xdr:col>9</xdr:col>
                    <xdr:colOff>0</xdr:colOff>
                    <xdr:row>13</xdr:row>
                    <xdr:rowOff>0</xdr:rowOff>
                  </from>
                  <to>
                    <xdr:col>11</xdr:col>
                    <xdr:colOff>0</xdr:colOff>
                    <xdr:row>14</xdr:row>
                    <xdr:rowOff>0</xdr:rowOff>
                  </to>
                </anchor>
              </controlPr>
            </control>
          </mc:Choice>
        </mc:AlternateContent>
        <mc:AlternateContent xmlns:mc="http://schemas.openxmlformats.org/markup-compatibility/2006">
          <mc:Choice Requires="x14">
            <control shapeId="13320" r:id="rId7" name="bpmDropDownReg_Pop8">
              <controlPr defaultSize="0" autoFill="0" autoPict="0">
                <anchor moveWithCells="1">
                  <from>
                    <xdr:col>9</xdr:col>
                    <xdr:colOff>0</xdr:colOff>
                    <xdr:row>11</xdr:row>
                    <xdr:rowOff>0</xdr:rowOff>
                  </from>
                  <to>
                    <xdr:col>11</xdr:col>
                    <xdr:colOff>0</xdr:colOff>
                    <xdr:row>12</xdr:row>
                    <xdr:rowOff>0</xdr:rowOff>
                  </to>
                </anchor>
              </controlPr>
            </control>
          </mc:Choice>
        </mc:AlternateContent>
        <mc:AlternateContent xmlns:mc="http://schemas.openxmlformats.org/markup-compatibility/2006">
          <mc:Choice Requires="x14">
            <control shapeId="13321" r:id="rId8" name="bpmDropDownReg_Pop1">
              <controlPr defaultSize="0" autoFill="0" autoPict="0">
                <anchor moveWithCells="1">
                  <from>
                    <xdr:col>9</xdr:col>
                    <xdr:colOff>0</xdr:colOff>
                    <xdr:row>10</xdr:row>
                    <xdr:rowOff>0</xdr:rowOff>
                  </from>
                  <to>
                    <xdr:col>11</xdr:col>
                    <xdr:colOff>0</xdr:colOff>
                    <xdr:row>11</xdr:row>
                    <xdr:rowOff>0</xdr:rowOff>
                  </to>
                </anchor>
              </controlPr>
            </control>
          </mc:Choice>
        </mc:AlternateContent>
        <mc:AlternateContent xmlns:mc="http://schemas.openxmlformats.org/markup-compatibility/2006">
          <mc:Choice Requires="x14">
            <control shapeId="13322" r:id="rId9" name="bpmDropDownReg_Pop5">
              <controlPr defaultSize="0" autoFill="0" autoPict="0">
                <anchor moveWithCells="1">
                  <from>
                    <xdr:col>9</xdr:col>
                    <xdr:colOff>0</xdr:colOff>
                    <xdr:row>14</xdr:row>
                    <xdr:rowOff>0</xdr:rowOff>
                  </from>
                  <to>
                    <xdr:col>11</xdr:col>
                    <xdr:colOff>0</xdr:colOff>
                    <xdr:row>15</xdr:row>
                    <xdr:rowOff>0</xdr:rowOff>
                  </to>
                </anchor>
              </controlPr>
            </control>
          </mc:Choice>
        </mc:AlternateContent>
        <mc:AlternateContent xmlns:mc="http://schemas.openxmlformats.org/markup-compatibility/2006">
          <mc:Choice Requires="x14">
            <control shapeId="13323" r:id="rId10" name="bpmDropDownReg_Pop6">
              <controlPr defaultSize="0" autoFill="0" autoPict="0">
                <anchor moveWithCells="1">
                  <from>
                    <xdr:col>9</xdr:col>
                    <xdr:colOff>0</xdr:colOff>
                    <xdr:row>15</xdr:row>
                    <xdr:rowOff>0</xdr:rowOff>
                  </from>
                  <to>
                    <xdr:col>11</xdr:col>
                    <xdr:colOff>0</xdr:colOff>
                    <xdr:row>16</xdr:row>
                    <xdr:rowOff>0</xdr:rowOff>
                  </to>
                </anchor>
              </controlPr>
            </control>
          </mc:Choice>
        </mc:AlternateContent>
        <mc:AlternateContent xmlns:mc="http://schemas.openxmlformats.org/markup-compatibility/2006">
          <mc:Choice Requires="x14">
            <control shapeId="13324" r:id="rId11" name="bpmDropDownReg_Pop7">
              <controlPr defaultSize="0" autoFill="0" autoPict="0">
                <anchor moveWithCells="1">
                  <from>
                    <xdr:col>9</xdr:col>
                    <xdr:colOff>0</xdr:colOff>
                    <xdr:row>16</xdr:row>
                    <xdr:rowOff>0</xdr:rowOff>
                  </from>
                  <to>
                    <xdr:col>11</xdr:col>
                    <xdr:colOff>0</xdr:colOff>
                    <xdr:row>17</xdr:row>
                    <xdr:rowOff>0</xdr:rowOff>
                  </to>
                </anchor>
              </controlPr>
            </control>
          </mc:Choice>
        </mc:AlternateContent>
        <mc:AlternateContent xmlns:mc="http://schemas.openxmlformats.org/markup-compatibility/2006">
          <mc:Choice Requires="x14">
            <control shapeId="13325" r:id="rId12" name="bpmDropDownReg_Pop9">
              <controlPr defaultSize="0" autoFill="0" autoPict="0">
                <anchor moveWithCells="1">
                  <from>
                    <xdr:col>9</xdr:col>
                    <xdr:colOff>0</xdr:colOff>
                    <xdr:row>17</xdr:row>
                    <xdr:rowOff>0</xdr:rowOff>
                  </from>
                  <to>
                    <xdr:col>11</xdr:col>
                    <xdr:colOff>0</xdr:colOff>
                    <xdr:row>18</xdr:row>
                    <xdr:rowOff>0</xdr:rowOff>
                  </to>
                </anchor>
              </controlPr>
            </control>
          </mc:Choice>
        </mc:AlternateContent>
        <mc:AlternateContent xmlns:mc="http://schemas.openxmlformats.org/markup-compatibility/2006">
          <mc:Choice Requires="x14">
            <control shapeId="13326" r:id="rId13" name="bpmDropDownReg_Pop10">
              <controlPr defaultSize="0" autoFill="0" autoPict="0">
                <anchor moveWithCells="1">
                  <from>
                    <xdr:col>9</xdr:col>
                    <xdr:colOff>0</xdr:colOff>
                    <xdr:row>18</xdr:row>
                    <xdr:rowOff>0</xdr:rowOff>
                  </from>
                  <to>
                    <xdr:col>11</xdr:col>
                    <xdr:colOff>0</xdr:colOff>
                    <xdr:row>19</xdr:row>
                    <xdr:rowOff>0</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tabColor rgb="FFFFC000"/>
    <pageSetUpPr autoPageBreaks="0"/>
  </sheetPr>
  <dimension ref="A1:O217"/>
  <sheetViews>
    <sheetView showGridLines="0" zoomScaleNormal="100" workbookViewId="0">
      <pane ySplit="9" topLeftCell="A10" activePane="bottomLeft" state="frozen"/>
      <selection activeCell="R20" sqref="R20"/>
      <selection pane="bottomLeft" activeCell="J88" sqref="J88"/>
    </sheetView>
  </sheetViews>
  <sheetFormatPr defaultColWidth="11.7109375" defaultRowHeight="12.75" outlineLevelRow="2" outlineLevelCol="1" x14ac:dyDescent="0.2"/>
  <cols>
    <col min="1" max="1" width="3.7109375" style="105" customWidth="1"/>
    <col min="2" max="2" width="5.85546875" style="105" customWidth="1"/>
    <col min="3" max="4" width="3.85546875" style="105" customWidth="1"/>
    <col min="5" max="5" width="3.7109375" style="105" customWidth="1"/>
    <col min="6" max="6" width="11.7109375" style="105"/>
    <col min="7" max="7" width="14.7109375" style="105" customWidth="1"/>
    <col min="8" max="8" width="15.7109375" style="105" customWidth="1"/>
    <col min="9" max="9" width="11.7109375" style="105" customWidth="1"/>
    <col min="10" max="13" width="11.7109375" style="105" customWidth="1" outlineLevel="1"/>
    <col min="14" max="14" width="12.42578125" style="105" customWidth="1" outlineLevel="1"/>
    <col min="15" max="15" width="11.7109375" style="105" customWidth="1" outlineLevel="1"/>
    <col min="16" max="16384" width="11.7109375" style="105"/>
  </cols>
  <sheetData>
    <row r="1" spans="1:15" ht="23.25" x14ac:dyDescent="0.2">
      <c r="A1" s="321"/>
      <c r="B1" s="106" t="s">
        <v>1212</v>
      </c>
    </row>
    <row r="2" spans="1:15" ht="18.75" x14ac:dyDescent="0.2">
      <c r="B2" s="107" t="str">
        <f>Model_Name</f>
        <v>Zambia C4P* - Screening &amp; Treatment Tool</v>
      </c>
    </row>
    <row r="3" spans="1:15" x14ac:dyDescent="0.2">
      <c r="B3" s="722" t="s">
        <v>2</v>
      </c>
      <c r="C3" s="722"/>
      <c r="D3" s="722"/>
      <c r="E3" s="722"/>
      <c r="F3" s="722"/>
    </row>
    <row r="4" spans="1:15" x14ac:dyDescent="0.2">
      <c r="A4" s="108" t="s">
        <v>4</v>
      </c>
      <c r="B4" s="109" t="s">
        <v>6</v>
      </c>
      <c r="C4" s="110" t="s">
        <v>7</v>
      </c>
      <c r="D4" s="354" t="s">
        <v>27</v>
      </c>
      <c r="E4" s="355" t="s">
        <v>28</v>
      </c>
      <c r="F4" s="356" t="s">
        <v>29</v>
      </c>
    </row>
    <row r="5" spans="1:15" s="348" customFormat="1" x14ac:dyDescent="0.2">
      <c r="B5" s="200" t="str">
        <f>"Year Ending "&amp;INDEX(LU_TS_Mth_Names,DD_TS_Fin_Yr_End_Mth)</f>
        <v>Year Ending December</v>
      </c>
      <c r="C5" s="232"/>
      <c r="D5" s="232"/>
      <c r="E5" s="232"/>
      <c r="F5" s="232"/>
      <c r="G5" s="232"/>
      <c r="H5" s="232"/>
      <c r="I5" s="232"/>
      <c r="J5" s="455">
        <f t="shared" ref="J5:O5" si="0">J9</f>
        <v>2015</v>
      </c>
      <c r="K5" s="455">
        <f t="shared" si="0"/>
        <v>2016</v>
      </c>
      <c r="L5" s="455">
        <f t="shared" si="0"/>
        <v>2017</v>
      </c>
      <c r="M5" s="455">
        <f t="shared" si="0"/>
        <v>2018</v>
      </c>
      <c r="N5" s="455">
        <f t="shared" si="0"/>
        <v>2019</v>
      </c>
      <c r="O5" s="455">
        <f t="shared" si="0"/>
        <v>2020</v>
      </c>
    </row>
    <row r="6" spans="1:15" s="348" customFormat="1" hidden="1" outlineLevel="2" x14ac:dyDescent="0.2">
      <c r="B6" s="671" t="s">
        <v>70</v>
      </c>
      <c r="J6" s="118">
        <f t="shared" ref="J6:O6" si="1">EDATE(TS_Start_Date,(J8-1)*TS_Mths_In_Yr)</f>
        <v>42005</v>
      </c>
      <c r="K6" s="118">
        <f t="shared" si="1"/>
        <v>42370</v>
      </c>
      <c r="L6" s="118">
        <f t="shared" si="1"/>
        <v>42736</v>
      </c>
      <c r="M6" s="118">
        <f t="shared" si="1"/>
        <v>43101</v>
      </c>
      <c r="N6" s="118">
        <f t="shared" si="1"/>
        <v>43466</v>
      </c>
      <c r="O6" s="118">
        <f t="shared" si="1"/>
        <v>43831</v>
      </c>
    </row>
    <row r="7" spans="1:15" s="348" customFormat="1" hidden="1" outlineLevel="2" x14ac:dyDescent="0.2">
      <c r="B7" s="671" t="s">
        <v>71</v>
      </c>
      <c r="J7" s="118">
        <f t="shared" ref="J7:O7" si="2">EDATE(J6,TS_Mths_In_Yr)-1</f>
        <v>42369</v>
      </c>
      <c r="K7" s="118">
        <f t="shared" si="2"/>
        <v>42735</v>
      </c>
      <c r="L7" s="118">
        <f t="shared" si="2"/>
        <v>43100</v>
      </c>
      <c r="M7" s="118">
        <f t="shared" si="2"/>
        <v>43465</v>
      </c>
      <c r="N7" s="118">
        <f t="shared" si="2"/>
        <v>43830</v>
      </c>
      <c r="O7" s="118">
        <f t="shared" si="2"/>
        <v>44196</v>
      </c>
    </row>
    <row r="8" spans="1:15" s="348" customFormat="1" hidden="1" outlineLevel="2" x14ac:dyDescent="0.2">
      <c r="B8" s="671" t="s">
        <v>72</v>
      </c>
      <c r="J8" s="119">
        <f>COLUMNS($J8:J8)</f>
        <v>1</v>
      </c>
      <c r="K8" s="119">
        <f>COLUMNS($J8:K8)</f>
        <v>2</v>
      </c>
      <c r="L8" s="119">
        <f>COLUMNS($J8:L8)</f>
        <v>3</v>
      </c>
      <c r="M8" s="119">
        <f>COLUMNS($J8:M8)</f>
        <v>4</v>
      </c>
      <c r="N8" s="119">
        <f>COLUMNS($J8:N8)</f>
        <v>5</v>
      </c>
      <c r="O8" s="119">
        <f>COLUMNS($J8:O8)</f>
        <v>6</v>
      </c>
    </row>
    <row r="9" spans="1:15" s="348" customFormat="1" hidden="1" outlineLevel="2" x14ac:dyDescent="0.2">
      <c r="B9" s="120" t="s">
        <v>73</v>
      </c>
      <c r="C9" s="117"/>
      <c r="D9" s="117"/>
      <c r="E9" s="117"/>
      <c r="F9" s="117"/>
      <c r="G9" s="117"/>
      <c r="H9" s="117"/>
      <c r="I9" s="117"/>
      <c r="J9" s="121">
        <f t="shared" ref="J9:O9" si="3">YEAR(J7)</f>
        <v>2015</v>
      </c>
      <c r="K9" s="121">
        <f t="shared" si="3"/>
        <v>2016</v>
      </c>
      <c r="L9" s="121">
        <f t="shared" si="3"/>
        <v>2017</v>
      </c>
      <c r="M9" s="121">
        <f t="shared" si="3"/>
        <v>2018</v>
      </c>
      <c r="N9" s="121">
        <f t="shared" si="3"/>
        <v>2019</v>
      </c>
      <c r="O9" s="121">
        <f t="shared" si="3"/>
        <v>2020</v>
      </c>
    </row>
    <row r="10" spans="1:15" s="348" customFormat="1" collapsed="1" x14ac:dyDescent="0.2"/>
    <row r="11" spans="1:15" s="348" customFormat="1" ht="18.75" x14ac:dyDescent="0.2">
      <c r="A11" s="357" t="s">
        <v>603</v>
      </c>
    </row>
    <row r="12" spans="1:15" s="348" customFormat="1" ht="15.75" x14ac:dyDescent="0.2">
      <c r="B12" s="664" t="s">
        <v>607</v>
      </c>
    </row>
    <row r="13" spans="1:15" s="348" customFormat="1" ht="15.75" outlineLevel="1" x14ac:dyDescent="0.2">
      <c r="C13" s="664" t="s">
        <v>291</v>
      </c>
    </row>
    <row r="14" spans="1:15" s="348" customFormat="1" outlineLevel="1" x14ac:dyDescent="0.2">
      <c r="D14" s="795" t="s">
        <v>1735</v>
      </c>
      <c r="E14" s="796"/>
      <c r="F14" s="796"/>
      <c r="G14" s="796"/>
      <c r="H14" s="796"/>
      <c r="J14" s="413">
        <v>0.2</v>
      </c>
      <c r="K14" s="413">
        <v>0.2</v>
      </c>
      <c r="L14" s="413">
        <v>0.2</v>
      </c>
      <c r="M14" s="413">
        <v>0.2</v>
      </c>
      <c r="N14" s="413">
        <v>0.2</v>
      </c>
      <c r="O14" s="413">
        <v>0.2</v>
      </c>
    </row>
    <row r="15" spans="1:15" s="348" customFormat="1" outlineLevel="1" x14ac:dyDescent="0.2">
      <c r="D15" s="797" t="s">
        <v>1736</v>
      </c>
      <c r="E15" s="798"/>
      <c r="F15" s="798"/>
      <c r="G15" s="798"/>
      <c r="H15" s="798"/>
      <c r="J15" s="413">
        <v>0.2</v>
      </c>
      <c r="K15" s="413">
        <f>Reg_Pop_Ann_TA!I37</f>
        <v>0.17899999999999999</v>
      </c>
      <c r="L15" s="413">
        <v>0.2</v>
      </c>
      <c r="M15" s="413">
        <v>0.2</v>
      </c>
      <c r="N15" s="413">
        <v>0.2</v>
      </c>
      <c r="O15" s="413">
        <v>0.2</v>
      </c>
    </row>
    <row r="16" spans="1:15" s="348" customFormat="1" outlineLevel="1" x14ac:dyDescent="0.2">
      <c r="D16" s="784" t="s">
        <v>1737</v>
      </c>
      <c r="E16" s="784"/>
      <c r="F16" s="784"/>
      <c r="G16" s="784"/>
      <c r="H16" s="784"/>
      <c r="J16" s="413">
        <v>1</v>
      </c>
      <c r="K16" s="413">
        <v>1</v>
      </c>
      <c r="L16" s="413">
        <v>1</v>
      </c>
      <c r="M16" s="413">
        <v>1</v>
      </c>
      <c r="N16" s="413">
        <v>1</v>
      </c>
      <c r="O16" s="413">
        <v>1</v>
      </c>
    </row>
    <row r="17" spans="2:15" s="348" customFormat="1" x14ac:dyDescent="0.2">
      <c r="D17" s="784" t="s">
        <v>1738</v>
      </c>
      <c r="E17" s="784"/>
      <c r="F17" s="784"/>
      <c r="G17" s="784"/>
      <c r="H17" s="784"/>
      <c r="J17" s="413">
        <v>1</v>
      </c>
      <c r="K17" s="413">
        <v>1</v>
      </c>
      <c r="L17" s="413">
        <v>1</v>
      </c>
      <c r="M17" s="413">
        <v>1</v>
      </c>
      <c r="N17" s="413">
        <v>1</v>
      </c>
      <c r="O17" s="413">
        <v>1</v>
      </c>
    </row>
    <row r="18" spans="2:15" s="348" customFormat="1" x14ac:dyDescent="0.2"/>
    <row r="19" spans="2:15" s="348" customFormat="1" ht="15" outlineLevel="1" x14ac:dyDescent="0.2">
      <c r="C19" s="667" t="s">
        <v>1665</v>
      </c>
    </row>
    <row r="20" spans="2:15" s="348" customFormat="1" outlineLevel="1" x14ac:dyDescent="0.2">
      <c r="C20" s="723" t="s">
        <v>1686</v>
      </c>
      <c r="D20" s="723"/>
      <c r="E20" s="723"/>
      <c r="F20" s="723"/>
      <c r="G20" s="723"/>
      <c r="H20" s="723"/>
      <c r="I20" s="723"/>
    </row>
    <row r="21" spans="2:15" s="348" customFormat="1" x14ac:dyDescent="0.2">
      <c r="C21" s="721" t="s">
        <v>1739</v>
      </c>
      <c r="D21" s="721"/>
      <c r="E21" s="721"/>
      <c r="F21" s="721"/>
      <c r="G21" s="721"/>
      <c r="H21" s="721"/>
      <c r="I21" s="721"/>
    </row>
    <row r="22" spans="2:15" s="348" customFormat="1" x14ac:dyDescent="0.2"/>
    <row r="23" spans="2:15" s="348" customFormat="1" ht="15.75" x14ac:dyDescent="0.2">
      <c r="B23" s="664" t="s">
        <v>606</v>
      </c>
    </row>
    <row r="24" spans="2:15" s="348" customFormat="1" x14ac:dyDescent="0.2">
      <c r="C24" s="721" t="s">
        <v>1687</v>
      </c>
      <c r="D24" s="721"/>
      <c r="E24" s="721"/>
      <c r="F24" s="721"/>
      <c r="G24" s="721"/>
      <c r="H24" s="721"/>
      <c r="I24" s="721"/>
    </row>
    <row r="25" spans="2:15" s="348" customFormat="1" ht="15" outlineLevel="1" x14ac:dyDescent="0.2">
      <c r="D25" s="667" t="s">
        <v>299</v>
      </c>
      <c r="H25" s="671" t="s">
        <v>293</v>
      </c>
    </row>
    <row r="26" spans="2:15" s="348" customFormat="1" outlineLevel="1" x14ac:dyDescent="0.2">
      <c r="D26" s="668" t="str">
        <f>Screen_BA!G10</f>
        <v>VIA</v>
      </c>
      <c r="H26" s="412">
        <v>1</v>
      </c>
      <c r="J26" s="412">
        <v>0</v>
      </c>
      <c r="K26" s="412">
        <v>0</v>
      </c>
      <c r="L26" s="412">
        <v>0</v>
      </c>
      <c r="M26" s="412">
        <v>0</v>
      </c>
      <c r="N26" s="412">
        <v>0</v>
      </c>
      <c r="O26" s="412">
        <v>0</v>
      </c>
    </row>
    <row r="27" spans="2:15" s="348" customFormat="1" outlineLevel="1" x14ac:dyDescent="0.2">
      <c r="D27" s="671" t="s">
        <v>121</v>
      </c>
      <c r="H27" s="122">
        <f>SUM(H26:H26)</f>
        <v>1</v>
      </c>
    </row>
    <row r="28" spans="2:15" s="348" customFormat="1" x14ac:dyDescent="0.2"/>
    <row r="29" spans="2:15" s="348" customFormat="1" ht="15" x14ac:dyDescent="0.2">
      <c r="C29" s="667" t="s">
        <v>1665</v>
      </c>
    </row>
    <row r="30" spans="2:15" s="348" customFormat="1" x14ac:dyDescent="0.2">
      <c r="C30" s="721" t="s">
        <v>1693</v>
      </c>
      <c r="D30" s="721"/>
      <c r="E30" s="721"/>
      <c r="F30" s="721"/>
      <c r="G30" s="721"/>
      <c r="H30" s="721"/>
      <c r="I30" s="721"/>
    </row>
    <row r="31" spans="2:15" s="348" customFormat="1" x14ac:dyDescent="0.2">
      <c r="C31" s="721" t="s">
        <v>1666</v>
      </c>
      <c r="D31" s="721"/>
      <c r="E31" s="721"/>
      <c r="F31" s="721"/>
      <c r="G31" s="721"/>
      <c r="H31" s="721"/>
      <c r="I31" s="721"/>
    </row>
    <row r="32" spans="2:15" s="348" customFormat="1" x14ac:dyDescent="0.2">
      <c r="C32" s="721" t="s">
        <v>1740</v>
      </c>
      <c r="D32" s="721"/>
      <c r="E32" s="721"/>
      <c r="F32" s="721"/>
      <c r="G32" s="721"/>
      <c r="H32" s="721"/>
      <c r="I32" s="721"/>
    </row>
    <row r="33" spans="2:15" s="348" customFormat="1" ht="15.75" x14ac:dyDescent="0.2">
      <c r="B33" s="664" t="s">
        <v>649</v>
      </c>
    </row>
    <row r="34" spans="2:15" s="348" customFormat="1" outlineLevel="1" x14ac:dyDescent="0.2">
      <c r="C34" s="721" t="s">
        <v>1672</v>
      </c>
      <c r="D34" s="721"/>
      <c r="E34" s="721"/>
      <c r="F34" s="721"/>
      <c r="G34" s="721"/>
      <c r="H34" s="721"/>
      <c r="I34" s="721"/>
    </row>
    <row r="35" spans="2:15" s="348" customFormat="1" outlineLevel="1" x14ac:dyDescent="0.2">
      <c r="D35" s="671" t="s">
        <v>561</v>
      </c>
      <c r="H35" s="122">
        <f>1-SUM(H36:H40)</f>
        <v>0.8</v>
      </c>
    </row>
    <row r="36" spans="2:15" s="348" customFormat="1" outlineLevel="1" x14ac:dyDescent="0.2">
      <c r="D36" s="671" t="s">
        <v>298</v>
      </c>
      <c r="H36" s="412">
        <v>0.11600000000000001</v>
      </c>
      <c r="I36" s="671" t="s">
        <v>1639</v>
      </c>
      <c r="J36" s="412">
        <v>0</v>
      </c>
      <c r="K36" s="412">
        <v>0</v>
      </c>
      <c r="L36" s="412">
        <v>0</v>
      </c>
      <c r="M36" s="412">
        <v>0</v>
      </c>
      <c r="N36" s="412">
        <v>0</v>
      </c>
      <c r="O36" s="412">
        <v>0</v>
      </c>
    </row>
    <row r="37" spans="2:15" s="348" customFormat="1" outlineLevel="1" x14ac:dyDescent="0.2">
      <c r="D37" s="671" t="s">
        <v>610</v>
      </c>
      <c r="H37" s="412">
        <v>6.3E-2</v>
      </c>
      <c r="I37" s="123">
        <f>H36+H37</f>
        <v>0.17899999999999999</v>
      </c>
      <c r="J37" s="412">
        <v>0</v>
      </c>
      <c r="K37" s="412">
        <v>0</v>
      </c>
      <c r="L37" s="412">
        <v>0</v>
      </c>
      <c r="M37" s="412">
        <v>0</v>
      </c>
      <c r="N37" s="412">
        <v>0</v>
      </c>
      <c r="O37" s="412">
        <v>0</v>
      </c>
    </row>
    <row r="38" spans="2:15" s="348" customFormat="1" outlineLevel="1" x14ac:dyDescent="0.2">
      <c r="D38" s="671" t="s">
        <v>650</v>
      </c>
      <c r="H38" s="412">
        <v>5.0000000000000001E-3</v>
      </c>
      <c r="I38" s="671" t="s">
        <v>1640</v>
      </c>
      <c r="J38" s="412">
        <v>0</v>
      </c>
      <c r="K38" s="412">
        <v>0</v>
      </c>
      <c r="L38" s="412">
        <v>0</v>
      </c>
      <c r="M38" s="412">
        <v>0</v>
      </c>
      <c r="N38" s="412">
        <v>0</v>
      </c>
      <c r="O38" s="412">
        <v>0</v>
      </c>
    </row>
    <row r="39" spans="2:15" s="348" customFormat="1" outlineLevel="1" x14ac:dyDescent="0.2">
      <c r="D39" s="671" t="s">
        <v>651</v>
      </c>
      <c r="H39" s="412">
        <v>8.0000000000000002E-3</v>
      </c>
      <c r="J39" s="412">
        <v>0</v>
      </c>
      <c r="K39" s="412">
        <v>0</v>
      </c>
      <c r="L39" s="412">
        <v>0</v>
      </c>
      <c r="M39" s="412">
        <v>0</v>
      </c>
      <c r="N39" s="412">
        <v>0</v>
      </c>
      <c r="O39" s="412">
        <v>0</v>
      </c>
    </row>
    <row r="40" spans="2:15" s="348" customFormat="1" outlineLevel="1" x14ac:dyDescent="0.2">
      <c r="D40" s="671" t="s">
        <v>652</v>
      </c>
      <c r="H40" s="412">
        <v>8.0000000000000002E-3</v>
      </c>
      <c r="I40" s="122">
        <f>H38+H39+H40</f>
        <v>2.1000000000000001E-2</v>
      </c>
      <c r="J40" s="412">
        <v>0</v>
      </c>
      <c r="K40" s="412">
        <v>0</v>
      </c>
      <c r="L40" s="412">
        <v>0</v>
      </c>
      <c r="M40" s="412">
        <v>0</v>
      </c>
      <c r="N40" s="412">
        <v>0</v>
      </c>
      <c r="O40" s="412">
        <v>0</v>
      </c>
    </row>
    <row r="41" spans="2:15" s="348" customFormat="1" x14ac:dyDescent="0.2">
      <c r="G41" s="671" t="s">
        <v>1180</v>
      </c>
      <c r="H41" s="122">
        <f>SUM(H35:H40)</f>
        <v>1</v>
      </c>
      <c r="I41" s="678" t="str">
        <f>IF(H41&lt;&gt;1,"ERROR!","OK")</f>
        <v>OK</v>
      </c>
    </row>
    <row r="42" spans="2:15" s="348" customFormat="1" x14ac:dyDescent="0.2"/>
    <row r="43" spans="2:15" s="348" customFormat="1" ht="15" x14ac:dyDescent="0.2">
      <c r="C43" s="667" t="s">
        <v>1665</v>
      </c>
    </row>
    <row r="44" spans="2:15" s="348" customFormat="1" outlineLevel="1" x14ac:dyDescent="0.2">
      <c r="C44" s="721" t="s">
        <v>1672</v>
      </c>
      <c r="D44" s="721"/>
      <c r="E44" s="721"/>
      <c r="F44" s="721"/>
      <c r="G44" s="721"/>
      <c r="H44" s="721"/>
      <c r="I44" s="721"/>
    </row>
    <row r="45" spans="2:15" s="348" customFormat="1" outlineLevel="1" x14ac:dyDescent="0.2">
      <c r="C45" s="721" t="s">
        <v>1740</v>
      </c>
      <c r="D45" s="721"/>
      <c r="E45" s="721"/>
      <c r="F45" s="721"/>
      <c r="G45" s="721"/>
      <c r="H45" s="721"/>
      <c r="I45" s="721"/>
    </row>
    <row r="46" spans="2:15" s="348" customFormat="1" outlineLevel="1" x14ac:dyDescent="0.2">
      <c r="C46" s="721" t="s">
        <v>1667</v>
      </c>
      <c r="D46" s="721"/>
      <c r="E46" s="721"/>
      <c r="F46" s="721"/>
      <c r="G46" s="721"/>
      <c r="H46" s="721"/>
      <c r="I46" s="721"/>
    </row>
    <row r="47" spans="2:15" s="348" customFormat="1" outlineLevel="1" x14ac:dyDescent="0.2">
      <c r="C47" s="721" t="s">
        <v>1668</v>
      </c>
      <c r="D47" s="721"/>
      <c r="E47" s="721"/>
      <c r="F47" s="721"/>
      <c r="G47" s="721"/>
      <c r="H47" s="721"/>
      <c r="I47" s="721"/>
    </row>
    <row r="48" spans="2:15" s="348" customFormat="1" outlineLevel="1" x14ac:dyDescent="0.2">
      <c r="C48" s="723" t="s">
        <v>1669</v>
      </c>
      <c r="D48" s="723"/>
      <c r="E48" s="723"/>
      <c r="F48" s="723"/>
      <c r="G48" s="723"/>
      <c r="H48" s="723"/>
      <c r="I48" s="723"/>
    </row>
    <row r="49" spans="2:15" s="348" customFormat="1" outlineLevel="1" x14ac:dyDescent="0.2">
      <c r="C49" s="723" t="s">
        <v>1670</v>
      </c>
      <c r="D49" s="723"/>
      <c r="E49" s="723"/>
      <c r="F49" s="723"/>
      <c r="G49" s="723"/>
      <c r="H49" s="723"/>
      <c r="I49" s="723"/>
    </row>
    <row r="50" spans="2:15" s="348" customFormat="1" outlineLevel="1" x14ac:dyDescent="0.2">
      <c r="C50" s="723" t="s">
        <v>1671</v>
      </c>
      <c r="D50" s="723"/>
      <c r="E50" s="723"/>
      <c r="F50" s="723"/>
      <c r="G50" s="723"/>
      <c r="H50" s="723"/>
      <c r="I50" s="723"/>
    </row>
    <row r="51" spans="2:15" s="348" customFormat="1" outlineLevel="1" x14ac:dyDescent="0.2">
      <c r="C51" s="721"/>
      <c r="D51" s="721"/>
      <c r="E51" s="721"/>
      <c r="F51" s="721"/>
      <c r="G51" s="721"/>
      <c r="H51" s="721"/>
      <c r="I51" s="721"/>
    </row>
    <row r="52" spans="2:15" s="348" customFormat="1" x14ac:dyDescent="0.2"/>
    <row r="53" spans="2:15" s="348" customFormat="1" ht="15.75" x14ac:dyDescent="0.2">
      <c r="B53" s="664" t="s">
        <v>608</v>
      </c>
    </row>
    <row r="54" spans="2:15" s="348" customFormat="1" outlineLevel="1" x14ac:dyDescent="0.2"/>
    <row r="55" spans="2:15" s="348" customFormat="1" ht="15" outlineLevel="1" x14ac:dyDescent="0.2">
      <c r="D55" s="667" t="s">
        <v>767</v>
      </c>
      <c r="H55" s="671" t="s">
        <v>293</v>
      </c>
    </row>
    <row r="56" spans="2:15" s="348" customFormat="1" ht="15" outlineLevel="1" x14ac:dyDescent="0.2">
      <c r="D56" s="667" t="s">
        <v>1675</v>
      </c>
      <c r="H56" s="123">
        <f>1-H64</f>
        <v>0.82099999999999995</v>
      </c>
    </row>
    <row r="57" spans="2:15" s="348" customFormat="1" outlineLevel="1" x14ac:dyDescent="0.2">
      <c r="D57" s="785" t="str">
        <f>Diag_BA!G10</f>
        <v>BIOP-H</v>
      </c>
      <c r="E57" s="786"/>
      <c r="F57" s="786"/>
      <c r="G57" s="787"/>
      <c r="H57" s="412">
        <v>0.01</v>
      </c>
      <c r="J57" s="412"/>
      <c r="K57" s="412">
        <v>0</v>
      </c>
      <c r="L57" s="412">
        <v>0</v>
      </c>
      <c r="M57" s="412">
        <v>0</v>
      </c>
      <c r="N57" s="412">
        <v>0</v>
      </c>
      <c r="O57" s="412">
        <v>0</v>
      </c>
    </row>
    <row r="58" spans="2:15" s="348" customFormat="1" outlineLevel="1" x14ac:dyDescent="0.2">
      <c r="D58" s="785" t="str">
        <f>Intv_BA!G10</f>
        <v>Cryo -SV</v>
      </c>
      <c r="E58" s="786"/>
      <c r="F58" s="786"/>
      <c r="G58" s="787"/>
      <c r="H58" s="412">
        <v>0.106</v>
      </c>
      <c r="J58" s="412"/>
      <c r="K58" s="412">
        <v>0</v>
      </c>
      <c r="L58" s="412">
        <v>0</v>
      </c>
      <c r="M58" s="412">
        <v>0</v>
      </c>
      <c r="N58" s="412">
        <v>0</v>
      </c>
      <c r="O58" s="412">
        <v>0</v>
      </c>
    </row>
    <row r="59" spans="2:15" s="348" customFormat="1" outlineLevel="1" x14ac:dyDescent="0.2">
      <c r="D59" s="785" t="str">
        <f>Intv_BA!G588</f>
        <v>LEEP with BIOP-H</v>
      </c>
      <c r="E59" s="786"/>
      <c r="F59" s="786"/>
      <c r="G59" s="787"/>
      <c r="H59" s="412">
        <v>6.3E-2</v>
      </c>
      <c r="J59" s="412"/>
      <c r="K59" s="412">
        <v>0</v>
      </c>
      <c r="L59" s="412">
        <v>0</v>
      </c>
      <c r="M59" s="412">
        <v>0</v>
      </c>
      <c r="N59" s="412">
        <v>0</v>
      </c>
      <c r="O59" s="412">
        <v>0</v>
      </c>
    </row>
    <row r="60" spans="2:15" s="348" customFormat="1" outlineLevel="1" x14ac:dyDescent="0.2">
      <c r="D60" s="785" t="str">
        <f>Intv_BA!G2360</f>
        <v>SURG</v>
      </c>
      <c r="E60" s="786"/>
      <c r="F60" s="786"/>
      <c r="G60" s="787"/>
      <c r="H60" s="412">
        <v>0</v>
      </c>
      <c r="J60" s="412"/>
      <c r="K60" s="412">
        <v>0</v>
      </c>
      <c r="L60" s="412">
        <v>0</v>
      </c>
      <c r="M60" s="412">
        <v>0</v>
      </c>
      <c r="N60" s="412">
        <v>0</v>
      </c>
      <c r="O60" s="412">
        <v>0</v>
      </c>
    </row>
    <row r="61" spans="2:15" s="348" customFormat="1" outlineLevel="1" x14ac:dyDescent="0.2">
      <c r="D61" s="785" t="str">
        <f>Intv_BA!G1181</f>
        <v>Chemo</v>
      </c>
      <c r="E61" s="786"/>
      <c r="F61" s="786"/>
      <c r="G61" s="787"/>
      <c r="H61" s="412">
        <v>0</v>
      </c>
      <c r="J61" s="412"/>
      <c r="K61" s="412">
        <v>0</v>
      </c>
      <c r="L61" s="412">
        <v>0</v>
      </c>
      <c r="M61" s="412">
        <v>0</v>
      </c>
      <c r="N61" s="412">
        <v>0</v>
      </c>
      <c r="O61" s="412">
        <v>0</v>
      </c>
    </row>
    <row r="62" spans="2:15" s="348" customFormat="1" outlineLevel="1" x14ac:dyDescent="0.2">
      <c r="D62" s="785" t="str">
        <f>Intv_BA!G1768</f>
        <v>RADIO</v>
      </c>
      <c r="E62" s="786"/>
      <c r="F62" s="786"/>
      <c r="G62" s="787"/>
      <c r="H62" s="412">
        <v>0</v>
      </c>
      <c r="J62" s="412"/>
      <c r="K62" s="412">
        <v>0</v>
      </c>
      <c r="L62" s="412">
        <v>0</v>
      </c>
      <c r="M62" s="412">
        <v>0</v>
      </c>
      <c r="N62" s="412">
        <v>0</v>
      </c>
      <c r="O62" s="412">
        <v>0</v>
      </c>
    </row>
    <row r="63" spans="2:15" s="348" customFormat="1" outlineLevel="1" x14ac:dyDescent="0.2">
      <c r="D63" s="785" t="str">
        <f>Intv_BA!G2952</f>
        <v>PALL</v>
      </c>
      <c r="E63" s="786"/>
      <c r="F63" s="786"/>
      <c r="G63" s="787"/>
      <c r="H63" s="412">
        <v>0</v>
      </c>
      <c r="J63" s="412"/>
      <c r="K63" s="412">
        <v>0</v>
      </c>
      <c r="L63" s="412">
        <v>0</v>
      </c>
      <c r="M63" s="412">
        <v>0</v>
      </c>
      <c r="N63" s="412">
        <v>0</v>
      </c>
      <c r="O63" s="412">
        <v>0</v>
      </c>
    </row>
    <row r="64" spans="2:15" s="348" customFormat="1" ht="15" outlineLevel="1" x14ac:dyDescent="0.2">
      <c r="D64" s="782" t="s">
        <v>564</v>
      </c>
      <c r="E64" s="783"/>
      <c r="F64" s="783"/>
      <c r="G64" s="783"/>
      <c r="H64" s="123">
        <f>SUM(H57:H63)</f>
        <v>0.17899999999999999</v>
      </c>
      <c r="J64" s="672"/>
      <c r="K64" s="672"/>
      <c r="L64" s="672"/>
      <c r="M64" s="672"/>
      <c r="N64" s="672"/>
      <c r="O64" s="672"/>
    </row>
    <row r="65" spans="3:15" s="348" customFormat="1" x14ac:dyDescent="0.2"/>
    <row r="66" spans="3:15" s="348" customFormat="1" ht="15" x14ac:dyDescent="0.2">
      <c r="C66" s="667" t="s">
        <v>1665</v>
      </c>
    </row>
    <row r="67" spans="3:15" s="348" customFormat="1" x14ac:dyDescent="0.2">
      <c r="C67" s="721" t="s">
        <v>1673</v>
      </c>
      <c r="D67" s="721"/>
      <c r="E67" s="721"/>
      <c r="F67" s="721"/>
      <c r="G67" s="721"/>
      <c r="H67" s="721"/>
      <c r="I67" s="721"/>
    </row>
    <row r="68" spans="3:15" s="348" customFormat="1" x14ac:dyDescent="0.2">
      <c r="C68" s="721" t="s">
        <v>1740</v>
      </c>
      <c r="D68" s="721"/>
      <c r="E68" s="721"/>
      <c r="F68" s="721"/>
      <c r="G68" s="721"/>
      <c r="H68" s="721"/>
      <c r="I68" s="721"/>
    </row>
    <row r="69" spans="3:15" s="348" customFormat="1" x14ac:dyDescent="0.2">
      <c r="C69" s="721" t="s">
        <v>1676</v>
      </c>
      <c r="D69" s="721"/>
      <c r="E69" s="721"/>
      <c r="F69" s="721"/>
      <c r="G69" s="721"/>
      <c r="H69" s="721"/>
      <c r="I69" s="721"/>
    </row>
    <row r="70" spans="3:15" s="348" customFormat="1" x14ac:dyDescent="0.2">
      <c r="C70" s="721" t="s">
        <v>1677</v>
      </c>
      <c r="D70" s="721"/>
      <c r="E70" s="721"/>
      <c r="F70" s="721"/>
      <c r="G70" s="721"/>
      <c r="H70" s="721"/>
      <c r="I70" s="721"/>
    </row>
    <row r="71" spans="3:15" s="348" customFormat="1" x14ac:dyDescent="0.2">
      <c r="C71" s="788" t="s">
        <v>1678</v>
      </c>
      <c r="D71" s="788"/>
      <c r="E71" s="788"/>
      <c r="F71" s="788"/>
      <c r="G71" s="788"/>
      <c r="H71" s="788"/>
      <c r="I71" s="788"/>
    </row>
    <row r="72" spans="3:15" s="348" customFormat="1" x14ac:dyDescent="0.2">
      <c r="C72" s="788"/>
      <c r="D72" s="788"/>
      <c r="E72" s="788"/>
      <c r="F72" s="788"/>
      <c r="G72" s="788"/>
      <c r="H72" s="788"/>
      <c r="I72" s="788"/>
    </row>
    <row r="73" spans="3:15" s="348" customFormat="1" x14ac:dyDescent="0.2">
      <c r="C73" s="788"/>
      <c r="D73" s="788"/>
      <c r="E73" s="788"/>
      <c r="F73" s="788"/>
      <c r="G73" s="788"/>
      <c r="H73" s="788"/>
      <c r="I73" s="788"/>
    </row>
    <row r="74" spans="3:15" s="348" customFormat="1" x14ac:dyDescent="0.2">
      <c r="C74" s="721"/>
      <c r="D74" s="721"/>
      <c r="E74" s="721"/>
      <c r="F74" s="721"/>
      <c r="G74" s="721"/>
      <c r="H74" s="721"/>
      <c r="I74" s="721"/>
    </row>
    <row r="75" spans="3:15" s="348" customFormat="1" x14ac:dyDescent="0.2"/>
    <row r="76" spans="3:15" s="348" customFormat="1" ht="15" x14ac:dyDescent="0.2">
      <c r="D76" s="284" t="s">
        <v>1643</v>
      </c>
    </row>
    <row r="77" spans="3:15" s="348" customFormat="1" x14ac:dyDescent="0.2">
      <c r="H77" s="666" t="s">
        <v>1782</v>
      </c>
      <c r="I77" s="666" t="s">
        <v>1781</v>
      </c>
    </row>
    <row r="78" spans="3:15" s="348" customFormat="1" ht="15" x14ac:dyDescent="0.2">
      <c r="D78" s="799" t="s">
        <v>778</v>
      </c>
      <c r="E78" s="799"/>
      <c r="F78" s="799"/>
      <c r="G78" s="799"/>
      <c r="H78" s="503">
        <f>1-SUM(H79:H85)</f>
        <v>0.83</v>
      </c>
      <c r="I78" s="122">
        <f>$H$64*H78</f>
        <v>0.14856999999999998</v>
      </c>
    </row>
    <row r="79" spans="3:15" s="348" customFormat="1" outlineLevel="1" x14ac:dyDescent="0.2">
      <c r="D79" s="785" t="str">
        <f t="shared" ref="D79:D86" si="4">D57</f>
        <v>BIOP-H</v>
      </c>
      <c r="E79" s="786"/>
      <c r="F79" s="786"/>
      <c r="G79" s="786"/>
      <c r="H79" s="413">
        <v>0</v>
      </c>
      <c r="I79" s="122">
        <f t="shared" ref="I79:I85" si="5">$H$64*H79</f>
        <v>0</v>
      </c>
      <c r="J79" s="412"/>
      <c r="K79" s="412">
        <v>0</v>
      </c>
      <c r="L79" s="412">
        <v>0</v>
      </c>
      <c r="M79" s="412">
        <v>0</v>
      </c>
      <c r="N79" s="412">
        <v>0</v>
      </c>
      <c r="O79" s="412">
        <v>0</v>
      </c>
    </row>
    <row r="80" spans="3:15" s="348" customFormat="1" outlineLevel="1" x14ac:dyDescent="0.2">
      <c r="D80" s="785" t="str">
        <f t="shared" si="4"/>
        <v>Cryo -SV</v>
      </c>
      <c r="E80" s="786"/>
      <c r="F80" s="786"/>
      <c r="G80" s="786"/>
      <c r="H80" s="413">
        <v>0</v>
      </c>
      <c r="I80" s="122">
        <f t="shared" si="5"/>
        <v>0</v>
      </c>
      <c r="J80" s="412"/>
      <c r="K80" s="412">
        <v>0</v>
      </c>
      <c r="L80" s="412">
        <v>0</v>
      </c>
      <c r="M80" s="412">
        <v>0</v>
      </c>
      <c r="N80" s="412">
        <v>0</v>
      </c>
      <c r="O80" s="412">
        <v>0</v>
      </c>
    </row>
    <row r="81" spans="3:15" s="348" customFormat="1" outlineLevel="1" x14ac:dyDescent="0.2">
      <c r="D81" s="785" t="str">
        <f t="shared" si="4"/>
        <v>LEEP with BIOP-H</v>
      </c>
      <c r="E81" s="786"/>
      <c r="F81" s="786"/>
      <c r="G81" s="786"/>
      <c r="H81" s="413">
        <v>0</v>
      </c>
      <c r="I81" s="122">
        <f t="shared" si="5"/>
        <v>0</v>
      </c>
      <c r="J81" s="412"/>
      <c r="K81" s="412">
        <v>0</v>
      </c>
      <c r="L81" s="412">
        <v>0</v>
      </c>
      <c r="M81" s="412">
        <v>0</v>
      </c>
      <c r="N81" s="412">
        <v>0</v>
      </c>
      <c r="O81" s="412">
        <v>0</v>
      </c>
    </row>
    <row r="82" spans="3:15" s="348" customFormat="1" x14ac:dyDescent="0.2">
      <c r="D82" s="785" t="str">
        <f t="shared" si="4"/>
        <v>SURG</v>
      </c>
      <c r="E82" s="786"/>
      <c r="F82" s="786"/>
      <c r="G82" s="786"/>
      <c r="H82" s="413">
        <v>0.04</v>
      </c>
      <c r="I82" s="122">
        <f t="shared" si="5"/>
        <v>7.1599999999999997E-3</v>
      </c>
      <c r="J82" s="412"/>
      <c r="K82" s="412">
        <v>0</v>
      </c>
      <c r="L82" s="412">
        <v>0</v>
      </c>
      <c r="M82" s="412">
        <v>0</v>
      </c>
      <c r="N82" s="412">
        <v>0</v>
      </c>
      <c r="O82" s="412">
        <v>0</v>
      </c>
    </row>
    <row r="83" spans="3:15" s="348" customFormat="1" x14ac:dyDescent="0.2">
      <c r="D83" s="785" t="str">
        <f t="shared" si="4"/>
        <v>Chemo</v>
      </c>
      <c r="E83" s="786"/>
      <c r="F83" s="786"/>
      <c r="G83" s="786"/>
      <c r="H83" s="413">
        <v>0.05</v>
      </c>
      <c r="I83" s="122">
        <f t="shared" si="5"/>
        <v>8.9499999999999996E-3</v>
      </c>
      <c r="J83" s="412"/>
      <c r="K83" s="412">
        <v>0</v>
      </c>
      <c r="L83" s="412">
        <v>0</v>
      </c>
      <c r="M83" s="412">
        <v>0</v>
      </c>
      <c r="N83" s="412">
        <v>0</v>
      </c>
      <c r="O83" s="412">
        <v>0</v>
      </c>
    </row>
    <row r="84" spans="3:15" s="348" customFormat="1" x14ac:dyDescent="0.2">
      <c r="D84" s="785" t="str">
        <f t="shared" si="4"/>
        <v>RADIO</v>
      </c>
      <c r="E84" s="786"/>
      <c r="F84" s="786"/>
      <c r="G84" s="786"/>
      <c r="H84" s="413">
        <v>0.05</v>
      </c>
      <c r="I84" s="122">
        <f t="shared" si="5"/>
        <v>8.9499999999999996E-3</v>
      </c>
      <c r="J84" s="412"/>
      <c r="K84" s="412">
        <v>0</v>
      </c>
      <c r="L84" s="412">
        <v>0</v>
      </c>
      <c r="M84" s="412">
        <v>0</v>
      </c>
      <c r="N84" s="412">
        <v>0</v>
      </c>
      <c r="O84" s="412">
        <v>0</v>
      </c>
    </row>
    <row r="85" spans="3:15" s="348" customFormat="1" x14ac:dyDescent="0.2">
      <c r="D85" s="789" t="str">
        <f t="shared" si="4"/>
        <v>PALL</v>
      </c>
      <c r="E85" s="790"/>
      <c r="F85" s="790"/>
      <c r="G85" s="790"/>
      <c r="H85" s="413">
        <v>0.03</v>
      </c>
      <c r="I85" s="122">
        <f t="shared" si="5"/>
        <v>5.3699999999999998E-3</v>
      </c>
      <c r="J85" s="412"/>
      <c r="K85" s="412">
        <v>0</v>
      </c>
      <c r="L85" s="412">
        <v>0</v>
      </c>
      <c r="M85" s="412">
        <v>0</v>
      </c>
      <c r="N85" s="412">
        <v>0</v>
      </c>
      <c r="O85" s="412">
        <v>0</v>
      </c>
    </row>
    <row r="86" spans="3:15" s="348" customFormat="1" ht="15" x14ac:dyDescent="0.2">
      <c r="D86" s="791" t="str">
        <f t="shared" si="4"/>
        <v>Total Proportion Referred</v>
      </c>
      <c r="E86" s="792"/>
      <c r="F86" s="792"/>
      <c r="G86" s="792"/>
      <c r="H86" s="123">
        <f>SUM(H79:H85)</f>
        <v>0.17</v>
      </c>
      <c r="I86" s="672">
        <f>SUM(I79:I85)</f>
        <v>3.0429999999999999E-2</v>
      </c>
      <c r="J86" s="123"/>
      <c r="K86" s="123"/>
      <c r="L86" s="123"/>
      <c r="M86" s="123"/>
      <c r="N86" s="123"/>
      <c r="O86" s="123"/>
    </row>
    <row r="87" spans="3:15" s="348" customFormat="1" x14ac:dyDescent="0.2"/>
    <row r="88" spans="3:15" s="348" customFormat="1" ht="15" x14ac:dyDescent="0.2">
      <c r="C88" s="667" t="s">
        <v>1665</v>
      </c>
    </row>
    <row r="89" spans="3:15" s="348" customFormat="1" x14ac:dyDescent="0.2">
      <c r="C89" s="721" t="s">
        <v>1674</v>
      </c>
      <c r="D89" s="721"/>
      <c r="E89" s="721"/>
      <c r="F89" s="721"/>
      <c r="G89" s="721"/>
      <c r="H89" s="721"/>
      <c r="I89" s="721"/>
    </row>
    <row r="90" spans="3:15" s="348" customFormat="1" x14ac:dyDescent="0.2">
      <c r="C90" s="721" t="s">
        <v>1740</v>
      </c>
      <c r="D90" s="721"/>
      <c r="E90" s="721"/>
      <c r="F90" s="721"/>
      <c r="G90" s="721"/>
      <c r="H90" s="721"/>
      <c r="I90" s="721"/>
    </row>
    <row r="91" spans="3:15" s="348" customFormat="1" x14ac:dyDescent="0.2">
      <c r="C91" s="723" t="s">
        <v>1679</v>
      </c>
      <c r="D91" s="723"/>
      <c r="E91" s="723"/>
      <c r="F91" s="723"/>
      <c r="G91" s="723"/>
      <c r="H91" s="723"/>
      <c r="I91" s="723"/>
    </row>
    <row r="92" spans="3:15" s="348" customFormat="1" x14ac:dyDescent="0.2">
      <c r="C92" s="723" t="s">
        <v>1680</v>
      </c>
      <c r="D92" s="723"/>
      <c r="E92" s="723"/>
      <c r="F92" s="723"/>
      <c r="G92" s="723"/>
      <c r="H92" s="723"/>
      <c r="I92" s="723"/>
    </row>
    <row r="93" spans="3:15" s="348" customFormat="1" x14ac:dyDescent="0.2">
      <c r="C93" s="723" t="s">
        <v>1681</v>
      </c>
      <c r="D93" s="723"/>
      <c r="E93" s="723"/>
      <c r="F93" s="723"/>
      <c r="G93" s="723"/>
      <c r="H93" s="723"/>
      <c r="I93" s="723"/>
    </row>
    <row r="94" spans="3:15" s="348" customFormat="1" x14ac:dyDescent="0.2">
      <c r="C94" s="721"/>
      <c r="D94" s="721"/>
      <c r="E94" s="721"/>
      <c r="F94" s="721"/>
      <c r="G94" s="721"/>
      <c r="H94" s="721"/>
      <c r="I94" s="721"/>
    </row>
    <row r="95" spans="3:15" s="348" customFormat="1" x14ac:dyDescent="0.2">
      <c r="C95" s="721"/>
      <c r="D95" s="721"/>
      <c r="E95" s="721"/>
      <c r="F95" s="721"/>
      <c r="G95" s="721"/>
      <c r="H95" s="721"/>
      <c r="I95" s="721"/>
    </row>
    <row r="96" spans="3:15" s="348" customFormat="1" x14ac:dyDescent="0.2">
      <c r="C96" s="721"/>
      <c r="D96" s="721"/>
      <c r="E96" s="721"/>
      <c r="F96" s="721"/>
      <c r="G96" s="721"/>
      <c r="H96" s="721"/>
      <c r="I96" s="721"/>
    </row>
    <row r="97" spans="2:15" s="348" customFormat="1" x14ac:dyDescent="0.2"/>
    <row r="98" spans="2:15" s="348" customFormat="1" ht="15.75" x14ac:dyDescent="0.2">
      <c r="B98" s="664" t="s">
        <v>609</v>
      </c>
    </row>
    <row r="99" spans="2:15" s="348" customFormat="1" ht="15" outlineLevel="1" x14ac:dyDescent="0.2">
      <c r="D99" s="667" t="s">
        <v>1682</v>
      </c>
      <c r="H99" s="671" t="s">
        <v>389</v>
      </c>
    </row>
    <row r="100" spans="2:15" s="348" customFormat="1" outlineLevel="1" x14ac:dyDescent="0.2">
      <c r="D100" s="785" t="str">
        <f>Labels_BA!D33</f>
        <v>HIV+</v>
      </c>
      <c r="E100" s="786"/>
      <c r="F100" s="786"/>
      <c r="G100" s="786"/>
      <c r="H100" s="183">
        <v>3</v>
      </c>
      <c r="J100" s="494">
        <v>0</v>
      </c>
      <c r="K100" s="494">
        <v>0</v>
      </c>
      <c r="L100" s="494">
        <v>0</v>
      </c>
      <c r="M100" s="494">
        <v>0</v>
      </c>
      <c r="N100" s="494">
        <v>0</v>
      </c>
      <c r="O100" s="494">
        <v>0</v>
      </c>
    </row>
    <row r="101" spans="2:15" s="348" customFormat="1" outlineLevel="1" x14ac:dyDescent="0.2">
      <c r="D101" s="793" t="str">
        <f>Labels_BA!D38</f>
        <v>HIV-</v>
      </c>
      <c r="E101" s="794"/>
      <c r="F101" s="794"/>
      <c r="G101" s="794"/>
      <c r="H101" s="537">
        <v>3</v>
      </c>
      <c r="J101" s="494">
        <v>0</v>
      </c>
      <c r="K101" s="494">
        <v>0</v>
      </c>
      <c r="L101" s="494">
        <v>0</v>
      </c>
      <c r="M101" s="494">
        <v>0</v>
      </c>
      <c r="N101" s="494">
        <v>0</v>
      </c>
      <c r="O101" s="494">
        <v>0</v>
      </c>
    </row>
    <row r="102" spans="2:15" s="348" customFormat="1" x14ac:dyDescent="0.2"/>
    <row r="103" spans="2:15" s="348" customFormat="1" ht="15" x14ac:dyDescent="0.2">
      <c r="C103" s="667" t="s">
        <v>1665</v>
      </c>
    </row>
    <row r="104" spans="2:15" s="348" customFormat="1" x14ac:dyDescent="0.2">
      <c r="C104" s="721" t="s">
        <v>1684</v>
      </c>
      <c r="D104" s="721"/>
      <c r="E104" s="721"/>
      <c r="F104" s="721"/>
      <c r="G104" s="721"/>
      <c r="H104" s="721"/>
      <c r="I104" s="721"/>
    </row>
    <row r="105" spans="2:15" s="348" customFormat="1" x14ac:dyDescent="0.2">
      <c r="C105" s="721" t="s">
        <v>1685</v>
      </c>
      <c r="D105" s="721"/>
      <c r="E105" s="721"/>
      <c r="F105" s="721"/>
      <c r="G105" s="721"/>
      <c r="H105" s="721"/>
      <c r="I105" s="721"/>
    </row>
    <row r="106" spans="2:15" s="348" customFormat="1" x14ac:dyDescent="0.2">
      <c r="C106" s="721" t="s">
        <v>1740</v>
      </c>
      <c r="D106" s="721"/>
      <c r="E106" s="721"/>
      <c r="F106" s="721"/>
      <c r="G106" s="721"/>
      <c r="H106" s="721"/>
      <c r="I106" s="721"/>
    </row>
    <row r="107" spans="2:15" s="348" customFormat="1" x14ac:dyDescent="0.2"/>
    <row r="108" spans="2:15" s="348" customFormat="1" ht="15" x14ac:dyDescent="0.2">
      <c r="D108" s="667" t="s">
        <v>1683</v>
      </c>
      <c r="H108" s="671" t="s">
        <v>389</v>
      </c>
    </row>
    <row r="109" spans="2:15" s="348" customFormat="1" x14ac:dyDescent="0.2"/>
    <row r="110" spans="2:15" s="348" customFormat="1" x14ac:dyDescent="0.2">
      <c r="D110" s="668" t="str">
        <f t="shared" ref="D110:D116" si="6">D57</f>
        <v>BIOP-H</v>
      </c>
      <c r="H110" s="183">
        <v>1</v>
      </c>
      <c r="J110" s="372">
        <v>0</v>
      </c>
      <c r="K110" s="372">
        <v>0</v>
      </c>
      <c r="L110" s="372">
        <v>0</v>
      </c>
      <c r="M110" s="372">
        <v>0</v>
      </c>
      <c r="N110" s="372">
        <v>0</v>
      </c>
      <c r="O110" s="372">
        <v>0</v>
      </c>
    </row>
    <row r="111" spans="2:15" s="348" customFormat="1" x14ac:dyDescent="0.2">
      <c r="D111" s="668" t="str">
        <f t="shared" si="6"/>
        <v>Cryo -SV</v>
      </c>
      <c r="H111" s="183">
        <v>1</v>
      </c>
      <c r="J111" s="372">
        <v>0</v>
      </c>
      <c r="K111" s="372">
        <v>0</v>
      </c>
      <c r="L111" s="372">
        <v>0</v>
      </c>
      <c r="M111" s="372">
        <v>0</v>
      </c>
      <c r="N111" s="372">
        <v>0</v>
      </c>
      <c r="O111" s="372">
        <v>0</v>
      </c>
    </row>
    <row r="112" spans="2:15" s="348" customFormat="1" x14ac:dyDescent="0.2">
      <c r="D112" s="668" t="str">
        <f t="shared" si="6"/>
        <v>LEEP with BIOP-H</v>
      </c>
      <c r="H112" s="183">
        <v>1</v>
      </c>
      <c r="J112" s="372">
        <v>0</v>
      </c>
      <c r="K112" s="372">
        <v>0</v>
      </c>
      <c r="L112" s="372">
        <v>0</v>
      </c>
      <c r="M112" s="372">
        <v>0</v>
      </c>
      <c r="N112" s="372">
        <v>0</v>
      </c>
      <c r="O112" s="372">
        <v>0</v>
      </c>
    </row>
    <row r="113" spans="2:15" s="348" customFormat="1" outlineLevel="1" x14ac:dyDescent="0.2">
      <c r="D113" s="668" t="str">
        <f t="shared" si="6"/>
        <v>SURG</v>
      </c>
      <c r="H113" s="183">
        <v>0</v>
      </c>
      <c r="J113" s="372">
        <v>0</v>
      </c>
      <c r="K113" s="372">
        <v>0</v>
      </c>
      <c r="L113" s="372">
        <v>0</v>
      </c>
      <c r="M113" s="372">
        <v>0</v>
      </c>
      <c r="N113" s="372">
        <v>0</v>
      </c>
      <c r="O113" s="372">
        <v>0</v>
      </c>
    </row>
    <row r="114" spans="2:15" s="348" customFormat="1" outlineLevel="1" x14ac:dyDescent="0.2">
      <c r="D114" s="668" t="str">
        <f t="shared" si="6"/>
        <v>Chemo</v>
      </c>
      <c r="H114" s="183">
        <v>0</v>
      </c>
      <c r="J114" s="372">
        <v>0</v>
      </c>
      <c r="K114" s="372">
        <v>0</v>
      </c>
      <c r="L114" s="372">
        <v>0</v>
      </c>
      <c r="M114" s="372">
        <v>0</v>
      </c>
      <c r="N114" s="372">
        <v>0</v>
      </c>
      <c r="O114" s="372">
        <v>0</v>
      </c>
    </row>
    <row r="115" spans="2:15" s="348" customFormat="1" outlineLevel="1" x14ac:dyDescent="0.2">
      <c r="D115" s="668" t="str">
        <f t="shared" si="6"/>
        <v>RADIO</v>
      </c>
      <c r="H115" s="183">
        <v>0</v>
      </c>
      <c r="J115" s="372">
        <v>0</v>
      </c>
      <c r="K115" s="372">
        <v>0</v>
      </c>
      <c r="L115" s="372">
        <v>0</v>
      </c>
      <c r="M115" s="372">
        <v>0</v>
      </c>
      <c r="N115" s="372">
        <v>0</v>
      </c>
      <c r="O115" s="372">
        <v>0</v>
      </c>
    </row>
    <row r="116" spans="2:15" s="348" customFormat="1" outlineLevel="1" x14ac:dyDescent="0.2">
      <c r="D116" s="668" t="str">
        <f t="shared" si="6"/>
        <v>PALL</v>
      </c>
      <c r="H116" s="183">
        <v>0</v>
      </c>
      <c r="J116" s="372">
        <v>0</v>
      </c>
      <c r="K116" s="372">
        <v>0</v>
      </c>
      <c r="L116" s="372">
        <v>0</v>
      </c>
      <c r="M116" s="372">
        <v>0</v>
      </c>
      <c r="N116" s="372">
        <v>0</v>
      </c>
      <c r="O116" s="372">
        <v>0</v>
      </c>
    </row>
    <row r="117" spans="2:15" s="348" customFormat="1" x14ac:dyDescent="0.2"/>
    <row r="118" spans="2:15" s="348" customFormat="1" ht="15" x14ac:dyDescent="0.2">
      <c r="C118" s="667" t="s">
        <v>1665</v>
      </c>
    </row>
    <row r="119" spans="2:15" s="348" customFormat="1" x14ac:dyDescent="0.2">
      <c r="C119" s="721" t="s">
        <v>1684</v>
      </c>
      <c r="D119" s="721"/>
      <c r="E119" s="721"/>
      <c r="F119" s="721"/>
      <c r="G119" s="721"/>
      <c r="H119" s="721"/>
      <c r="I119" s="721"/>
    </row>
    <row r="120" spans="2:15" s="348" customFormat="1" x14ac:dyDescent="0.2">
      <c r="C120" s="721" t="s">
        <v>1685</v>
      </c>
      <c r="D120" s="721"/>
      <c r="E120" s="721"/>
      <c r="F120" s="721"/>
      <c r="G120" s="721"/>
      <c r="H120" s="721"/>
      <c r="I120" s="721"/>
    </row>
    <row r="121" spans="2:15" s="348" customFormat="1" x14ac:dyDescent="0.2">
      <c r="C121" s="721" t="s">
        <v>1740</v>
      </c>
      <c r="D121" s="721"/>
      <c r="E121" s="721"/>
      <c r="F121" s="721"/>
      <c r="G121" s="721"/>
      <c r="H121" s="721"/>
      <c r="I121" s="721"/>
    </row>
    <row r="122" spans="2:15" s="348" customFormat="1" x14ac:dyDescent="0.2"/>
    <row r="123" spans="2:15" s="348" customFormat="1" x14ac:dyDescent="0.2"/>
    <row r="124" spans="2:15" s="348" customFormat="1" ht="15.75" x14ac:dyDescent="0.2">
      <c r="B124" s="124" t="str">
        <f>"Annual Population Counts by  "&amp;D130</f>
        <v>Annual Population Counts by  Province</v>
      </c>
    </row>
    <row r="125" spans="2:15" s="348" customFormat="1" x14ac:dyDescent="0.2"/>
    <row r="126" spans="2:15" s="348" customFormat="1" x14ac:dyDescent="0.2"/>
    <row r="127" spans="2:15" s="348" customFormat="1" x14ac:dyDescent="0.2"/>
    <row r="128" spans="2:15" s="348" customFormat="1" ht="15.75" x14ac:dyDescent="0.2">
      <c r="C128" s="363" t="str">
        <f>Labels_BA!H32</f>
        <v>HIV + WOMEN 15-24 YRS</v>
      </c>
    </row>
    <row r="129" spans="3:15" s="348" customFormat="1" outlineLevel="1" x14ac:dyDescent="0.2"/>
    <row r="130" spans="3:15" s="348" customFormat="1" ht="15" outlineLevel="1" x14ac:dyDescent="0.2">
      <c r="D130" s="669" t="str">
        <f>Plac_Start_Facs_BA!$H$25</f>
        <v>Province</v>
      </c>
      <c r="H130" s="671" t="s">
        <v>816</v>
      </c>
    </row>
    <row r="131" spans="3:15" s="348" customFormat="1" outlineLevel="1" x14ac:dyDescent="0.2">
      <c r="D131" s="668" t="str">
        <f>Plac_Start_Facs_BA!C10</f>
        <v>Central</v>
      </c>
      <c r="H131" s="184">
        <v>7.4999999999999997E-2</v>
      </c>
      <c r="J131" s="458">
        <v>12257</v>
      </c>
      <c r="K131" s="458">
        <v>12516</v>
      </c>
      <c r="L131" s="458">
        <v>12736</v>
      </c>
      <c r="M131" s="458">
        <v>12937</v>
      </c>
      <c r="N131" s="458">
        <v>13142</v>
      </c>
      <c r="O131" s="458">
        <v>13378</v>
      </c>
    </row>
    <row r="132" spans="3:15" s="348" customFormat="1" outlineLevel="1" x14ac:dyDescent="0.2">
      <c r="D132" s="668" t="str">
        <f>Plac_Start_Facs_BA!C11</f>
        <v>Copperbelt</v>
      </c>
      <c r="H132" s="184">
        <v>0.10199999999999999</v>
      </c>
      <c r="J132" s="458">
        <v>26688</v>
      </c>
      <c r="K132" s="458">
        <v>27275</v>
      </c>
      <c r="L132" s="458">
        <v>27817</v>
      </c>
      <c r="M132" s="458">
        <v>28344</v>
      </c>
      <c r="N132" s="458">
        <v>28908</v>
      </c>
      <c r="O132" s="458">
        <v>29542</v>
      </c>
    </row>
    <row r="133" spans="3:15" s="348" customFormat="1" outlineLevel="1" x14ac:dyDescent="0.2">
      <c r="D133" s="668" t="str">
        <f>Plac_Start_Facs_BA!C12</f>
        <v>Eastern</v>
      </c>
      <c r="H133" s="184">
        <v>5.6000000000000001E-2</v>
      </c>
      <c r="J133" s="458">
        <v>10256</v>
      </c>
      <c r="K133" s="458">
        <v>10450</v>
      </c>
      <c r="L133" s="458">
        <v>10625</v>
      </c>
      <c r="M133" s="458">
        <v>10791</v>
      </c>
      <c r="N133" s="458">
        <v>10957</v>
      </c>
      <c r="O133" s="458">
        <v>11134</v>
      </c>
    </row>
    <row r="134" spans="3:15" s="348" customFormat="1" outlineLevel="1" x14ac:dyDescent="0.2">
      <c r="D134" s="668" t="str">
        <f>Plac_Start_Facs_BA!C13</f>
        <v>Luapula</v>
      </c>
      <c r="H134" s="184">
        <v>6.2E-2</v>
      </c>
      <c r="J134" s="458">
        <v>6947</v>
      </c>
      <c r="K134" s="458">
        <v>7065</v>
      </c>
      <c r="L134" s="458">
        <v>7186</v>
      </c>
      <c r="M134" s="458">
        <v>7168</v>
      </c>
      <c r="N134" s="458">
        <v>7374</v>
      </c>
      <c r="O134" s="458">
        <v>7499</v>
      </c>
    </row>
    <row r="135" spans="3:15" s="348" customFormat="1" outlineLevel="1" x14ac:dyDescent="0.2">
      <c r="D135" s="668" t="str">
        <f>Plac_Start_Facs_BA!C14</f>
        <v>Lusaka</v>
      </c>
      <c r="H135" s="184">
        <v>9.9000000000000005E-2</v>
      </c>
      <c r="J135" s="458">
        <v>30245</v>
      </c>
      <c r="K135" s="458">
        <v>31024</v>
      </c>
      <c r="L135" s="458">
        <v>31753</v>
      </c>
      <c r="M135" s="458">
        <v>32456</v>
      </c>
      <c r="N135" s="458">
        <v>33167</v>
      </c>
      <c r="O135" s="458">
        <v>33917</v>
      </c>
    </row>
    <row r="136" spans="3:15" s="348" customFormat="1" outlineLevel="1" x14ac:dyDescent="0.2">
      <c r="D136" s="668" t="str">
        <f>Plac_Start_Facs_BA!C15</f>
        <v>Muchinga</v>
      </c>
      <c r="H136" s="184">
        <v>3.5000000000000003E-2</v>
      </c>
      <c r="J136" s="458">
        <v>3247</v>
      </c>
      <c r="K136" s="458">
        <v>3386</v>
      </c>
      <c r="L136" s="458">
        <v>3521</v>
      </c>
      <c r="M136" s="458">
        <v>3654</v>
      </c>
      <c r="N136" s="458">
        <v>3787</v>
      </c>
      <c r="O136" s="458">
        <v>3921</v>
      </c>
    </row>
    <row r="137" spans="3:15" s="348" customFormat="1" outlineLevel="1" x14ac:dyDescent="0.2">
      <c r="D137" s="668" t="str">
        <f>Plac_Start_Facs_BA!C16</f>
        <v>Northern</v>
      </c>
      <c r="H137" s="184">
        <v>5.2999999999999999E-2</v>
      </c>
      <c r="J137" s="458">
        <v>6849</v>
      </c>
      <c r="K137" s="458">
        <v>7038</v>
      </c>
      <c r="L137" s="458">
        <v>7230</v>
      </c>
      <c r="M137" s="458">
        <v>7427</v>
      </c>
      <c r="N137" s="458">
        <v>7636</v>
      </c>
      <c r="O137" s="458">
        <v>7863</v>
      </c>
    </row>
    <row r="138" spans="3:15" s="348" customFormat="1" outlineLevel="1" x14ac:dyDescent="0.2">
      <c r="D138" s="668" t="str">
        <f>Plac_Start_Facs_BA!C17</f>
        <v>North-Western</v>
      </c>
      <c r="H138" s="184">
        <v>0.04</v>
      </c>
      <c r="J138" s="458">
        <v>3433</v>
      </c>
      <c r="K138" s="458">
        <v>3493</v>
      </c>
      <c r="L138" s="458">
        <v>3543</v>
      </c>
      <c r="M138" s="458">
        <v>3590</v>
      </c>
      <c r="N138" s="458">
        <v>3642</v>
      </c>
      <c r="O138" s="458">
        <v>3706</v>
      </c>
    </row>
    <row r="139" spans="3:15" s="348" customFormat="1" outlineLevel="1" x14ac:dyDescent="0.2">
      <c r="D139" s="668" t="str">
        <f>Plac_Start_Facs_BA!C18</f>
        <v>Southern</v>
      </c>
      <c r="H139" s="184">
        <v>7.4999999999999997E-2</v>
      </c>
      <c r="J139" s="458">
        <v>14585</v>
      </c>
      <c r="K139" s="458">
        <v>14834</v>
      </c>
      <c r="L139" s="458">
        <v>15057</v>
      </c>
      <c r="M139" s="458">
        <v>15274</v>
      </c>
      <c r="N139" s="458">
        <v>15513</v>
      </c>
      <c r="O139" s="458">
        <v>15803</v>
      </c>
    </row>
    <row r="140" spans="3:15" s="348" customFormat="1" outlineLevel="1" x14ac:dyDescent="0.2">
      <c r="D140" s="668" t="str">
        <f>Plac_Start_Facs_BA!C19</f>
        <v>Western</v>
      </c>
      <c r="H140" s="184">
        <v>8.8999999999999996E-2</v>
      </c>
      <c r="J140" s="459">
        <v>8884</v>
      </c>
      <c r="K140" s="459">
        <v>9055</v>
      </c>
      <c r="L140" s="459">
        <v>9254</v>
      </c>
      <c r="M140" s="459">
        <v>9480</v>
      </c>
      <c r="N140" s="459">
        <v>9734</v>
      </c>
      <c r="O140" s="459">
        <v>10012</v>
      </c>
    </row>
    <row r="141" spans="3:15" s="348" customFormat="1" ht="15" outlineLevel="1" x14ac:dyDescent="0.2">
      <c r="D141" s="359" t="str">
        <f>"Total Population ("&amp;C128&amp;")"</f>
        <v>Total Population (HIV + WOMEN 15-24 YRS)</v>
      </c>
      <c r="H141" s="122"/>
      <c r="J141" s="125">
        <f t="shared" ref="J141:O141" si="7">SUM(J131:J140)</f>
        <v>123391</v>
      </c>
      <c r="K141" s="125">
        <f t="shared" si="7"/>
        <v>126136</v>
      </c>
      <c r="L141" s="125">
        <f t="shared" si="7"/>
        <v>128722</v>
      </c>
      <c r="M141" s="125">
        <f t="shared" si="7"/>
        <v>131121</v>
      </c>
      <c r="N141" s="125">
        <f t="shared" si="7"/>
        <v>133860</v>
      </c>
      <c r="O141" s="125">
        <f t="shared" si="7"/>
        <v>136775</v>
      </c>
    </row>
    <row r="142" spans="3:15" s="348" customFormat="1" x14ac:dyDescent="0.2"/>
    <row r="143" spans="3:15" s="348" customFormat="1" ht="15" x14ac:dyDescent="0.2">
      <c r="C143" s="667" t="s">
        <v>1665</v>
      </c>
    </row>
    <row r="144" spans="3:15" s="348" customFormat="1" x14ac:dyDescent="0.2">
      <c r="C144" s="721" t="s">
        <v>1645</v>
      </c>
      <c r="D144" s="721"/>
      <c r="E144" s="721"/>
      <c r="F144" s="721"/>
      <c r="G144" s="721"/>
      <c r="H144" s="721"/>
      <c r="I144" s="721"/>
    </row>
    <row r="145" spans="3:15" s="348" customFormat="1" x14ac:dyDescent="0.2">
      <c r="C145" s="721" t="s">
        <v>1251</v>
      </c>
      <c r="D145" s="721"/>
      <c r="E145" s="721"/>
      <c r="F145" s="721"/>
      <c r="G145" s="721"/>
      <c r="H145" s="721"/>
      <c r="I145" s="721"/>
    </row>
    <row r="146" spans="3:15" s="348" customFormat="1" x14ac:dyDescent="0.2">
      <c r="C146" s="721" t="s">
        <v>1252</v>
      </c>
      <c r="D146" s="721"/>
      <c r="E146" s="721"/>
      <c r="F146" s="721"/>
      <c r="G146" s="721"/>
      <c r="H146" s="721"/>
      <c r="I146" s="721"/>
    </row>
    <row r="147" spans="3:15" s="348" customFormat="1" x14ac:dyDescent="0.2"/>
    <row r="148" spans="3:15" s="348" customFormat="1" x14ac:dyDescent="0.2"/>
    <row r="149" spans="3:15" s="348" customFormat="1" ht="15.75" x14ac:dyDescent="0.2">
      <c r="C149" s="363" t="str">
        <f>Labels_BA!H34</f>
        <v>HIV + WOMEN 25-59 YRS</v>
      </c>
    </row>
    <row r="150" spans="3:15" s="348" customFormat="1" outlineLevel="1" x14ac:dyDescent="0.2"/>
    <row r="151" spans="3:15" s="348" customFormat="1" ht="15" outlineLevel="1" x14ac:dyDescent="0.2">
      <c r="D151" s="669" t="str">
        <f>Plac_Start_Facs_BA!$H$25</f>
        <v>Province</v>
      </c>
      <c r="H151" s="671" t="s">
        <v>816</v>
      </c>
    </row>
    <row r="152" spans="3:15" s="348" customFormat="1" outlineLevel="1" x14ac:dyDescent="0.2">
      <c r="D152" s="668" t="str">
        <f>Plac_Start_Facs_BA!C10</f>
        <v>Central</v>
      </c>
      <c r="H152" s="184">
        <v>0.14799999999999999</v>
      </c>
      <c r="J152" s="458">
        <v>31632</v>
      </c>
      <c r="K152" s="458">
        <v>32644</v>
      </c>
      <c r="L152" s="458">
        <v>33721</v>
      </c>
      <c r="M152" s="458">
        <v>34859</v>
      </c>
      <c r="N152" s="458">
        <v>36050</v>
      </c>
      <c r="O152" s="458">
        <v>37288</v>
      </c>
    </row>
    <row r="153" spans="3:15" s="348" customFormat="1" outlineLevel="1" x14ac:dyDescent="0.2">
      <c r="D153" s="668" t="str">
        <f>Plac_Start_Facs_BA!C11</f>
        <v>Copperbelt</v>
      </c>
      <c r="H153" s="184">
        <v>0.2</v>
      </c>
      <c r="J153" s="458">
        <v>71932</v>
      </c>
      <c r="K153" s="458">
        <v>74294</v>
      </c>
      <c r="L153" s="458">
        <v>76892</v>
      </c>
      <c r="M153" s="458">
        <v>79638</v>
      </c>
      <c r="N153" s="458">
        <v>82409</v>
      </c>
      <c r="O153" s="458">
        <v>85125</v>
      </c>
    </row>
    <row r="154" spans="3:15" s="348" customFormat="1" outlineLevel="1" x14ac:dyDescent="0.2">
      <c r="D154" s="668" t="str">
        <f>Plac_Start_Facs_BA!C12</f>
        <v>Eastern</v>
      </c>
      <c r="H154" s="184">
        <v>0.109</v>
      </c>
      <c r="J154" s="458">
        <v>28923</v>
      </c>
      <c r="K154" s="458">
        <v>29897</v>
      </c>
      <c r="L154" s="458">
        <v>30888</v>
      </c>
      <c r="M154" s="458">
        <v>31906</v>
      </c>
      <c r="N154" s="458">
        <v>32964</v>
      </c>
      <c r="O154" s="458">
        <v>34069</v>
      </c>
    </row>
    <row r="155" spans="3:15" s="348" customFormat="1" outlineLevel="1" x14ac:dyDescent="0.2">
      <c r="D155" s="668" t="str">
        <f>Plac_Start_Facs_BA!C13</f>
        <v>Luapula</v>
      </c>
      <c r="H155" s="184">
        <v>0.121</v>
      </c>
      <c r="J155" s="458">
        <v>19983</v>
      </c>
      <c r="K155" s="458">
        <v>20521</v>
      </c>
      <c r="L155" s="458">
        <v>21074</v>
      </c>
      <c r="M155" s="458">
        <v>21651</v>
      </c>
      <c r="N155" s="458">
        <v>22261</v>
      </c>
      <c r="O155" s="458">
        <v>22906</v>
      </c>
    </row>
    <row r="156" spans="3:15" s="348" customFormat="1" outlineLevel="1" x14ac:dyDescent="0.2">
      <c r="D156" s="668" t="str">
        <f>Plac_Start_Facs_BA!C14</f>
        <v>Lusaka</v>
      </c>
      <c r="H156" s="184">
        <v>0.19400000000000001</v>
      </c>
      <c r="J156" s="458">
        <v>94209</v>
      </c>
      <c r="K156" s="458">
        <v>99406</v>
      </c>
      <c r="L156" s="458">
        <v>104690</v>
      </c>
      <c r="M156" s="458">
        <v>110064</v>
      </c>
      <c r="N156" s="458">
        <v>115526</v>
      </c>
      <c r="O156" s="458">
        <v>121081</v>
      </c>
    </row>
    <row r="157" spans="3:15" s="348" customFormat="1" outlineLevel="1" x14ac:dyDescent="0.2">
      <c r="D157" s="668" t="str">
        <f>Plac_Start_Facs_BA!C15</f>
        <v>Muchinga</v>
      </c>
      <c r="H157" s="184">
        <v>6.9000000000000006E-2</v>
      </c>
      <c r="J157" s="458">
        <v>8954</v>
      </c>
      <c r="K157" s="458">
        <v>9429</v>
      </c>
      <c r="L157" s="458">
        <v>9919</v>
      </c>
      <c r="M157" s="458">
        <v>10424</v>
      </c>
      <c r="N157" s="458">
        <v>10947</v>
      </c>
      <c r="O157" s="458">
        <v>11488</v>
      </c>
    </row>
    <row r="158" spans="3:15" s="348" customFormat="1" outlineLevel="1" x14ac:dyDescent="0.2">
      <c r="D158" s="668" t="str">
        <f>Plac_Start_Facs_BA!C16</f>
        <v>Northern</v>
      </c>
      <c r="H158" s="184">
        <v>0.104</v>
      </c>
      <c r="J158" s="458">
        <v>19230</v>
      </c>
      <c r="K158" s="458">
        <v>19938</v>
      </c>
      <c r="L158" s="458">
        <v>20665</v>
      </c>
      <c r="M158" s="458">
        <v>21410</v>
      </c>
      <c r="N158" s="458">
        <v>22178</v>
      </c>
      <c r="O158" s="458">
        <v>22970</v>
      </c>
    </row>
    <row r="159" spans="3:15" s="348" customFormat="1" outlineLevel="1" x14ac:dyDescent="0.2">
      <c r="D159" s="668" t="str">
        <f>Plac_Start_Facs_BA!C17</f>
        <v>North-Western</v>
      </c>
      <c r="H159" s="184">
        <v>7.9000000000000001E-2</v>
      </c>
      <c r="J159" s="458">
        <v>8981</v>
      </c>
      <c r="K159" s="458">
        <v>9233</v>
      </c>
      <c r="L159" s="458">
        <v>9505</v>
      </c>
      <c r="M159" s="458">
        <v>9796</v>
      </c>
      <c r="N159" s="458">
        <v>10104</v>
      </c>
      <c r="O159" s="458">
        <v>10428</v>
      </c>
    </row>
    <row r="160" spans="3:15" s="348" customFormat="1" outlineLevel="1" x14ac:dyDescent="0.2">
      <c r="D160" s="668" t="str">
        <f>Plac_Start_Facs_BA!C18</f>
        <v>Southern</v>
      </c>
      <c r="H160" s="184">
        <v>0.14699999999999999</v>
      </c>
      <c r="J160" s="458">
        <v>39635</v>
      </c>
      <c r="K160" s="458">
        <v>41021</v>
      </c>
      <c r="L160" s="458">
        <v>42463</v>
      </c>
      <c r="M160" s="458">
        <v>43957</v>
      </c>
      <c r="N160" s="458">
        <v>45495</v>
      </c>
      <c r="O160" s="458">
        <v>47070</v>
      </c>
    </row>
    <row r="161" spans="3:15" s="348" customFormat="1" outlineLevel="1" x14ac:dyDescent="0.2">
      <c r="D161" s="668" t="str">
        <f>Plac_Start_Facs_BA!C19</f>
        <v>Western</v>
      </c>
      <c r="H161" s="184">
        <v>0.17499999999999999</v>
      </c>
      <c r="J161" s="459">
        <v>25765</v>
      </c>
      <c r="K161" s="459">
        <v>26100</v>
      </c>
      <c r="L161" s="459">
        <v>26443</v>
      </c>
      <c r="M161" s="459">
        <v>26802</v>
      </c>
      <c r="N161" s="459">
        <v>27185</v>
      </c>
      <c r="O161" s="459">
        <v>25598</v>
      </c>
    </row>
    <row r="162" spans="3:15" s="348" customFormat="1" ht="15" outlineLevel="1" x14ac:dyDescent="0.2">
      <c r="D162" s="359" t="str">
        <f>"Total Population ("&amp;C149&amp;")"</f>
        <v>Total Population (HIV + WOMEN 25-59 YRS)</v>
      </c>
      <c r="H162" s="122"/>
      <c r="J162" s="125">
        <f t="shared" ref="J162:O162" si="8">SUM(J152:J161)</f>
        <v>349244</v>
      </c>
      <c r="K162" s="125">
        <f t="shared" si="8"/>
        <v>362483</v>
      </c>
      <c r="L162" s="125">
        <f t="shared" si="8"/>
        <v>376260</v>
      </c>
      <c r="M162" s="125">
        <f t="shared" si="8"/>
        <v>390507</v>
      </c>
      <c r="N162" s="125">
        <f t="shared" si="8"/>
        <v>405119</v>
      </c>
      <c r="O162" s="125">
        <f t="shared" si="8"/>
        <v>418023</v>
      </c>
    </row>
    <row r="163" spans="3:15" s="348" customFormat="1" x14ac:dyDescent="0.2"/>
    <row r="164" spans="3:15" s="348" customFormat="1" x14ac:dyDescent="0.2"/>
    <row r="165" spans="3:15" s="348" customFormat="1" ht="15" x14ac:dyDescent="0.2">
      <c r="C165" s="667" t="s">
        <v>1665</v>
      </c>
    </row>
    <row r="166" spans="3:15" s="348" customFormat="1" x14ac:dyDescent="0.2">
      <c r="C166" s="721" t="s">
        <v>1644</v>
      </c>
      <c r="D166" s="721"/>
      <c r="E166" s="721"/>
      <c r="F166" s="721"/>
      <c r="G166" s="721"/>
      <c r="H166" s="721"/>
      <c r="I166" s="721"/>
    </row>
    <row r="167" spans="3:15" s="348" customFormat="1" x14ac:dyDescent="0.2">
      <c r="C167" s="721" t="s">
        <v>1251</v>
      </c>
      <c r="D167" s="721"/>
      <c r="E167" s="721"/>
      <c r="F167" s="721"/>
      <c r="G167" s="721"/>
      <c r="H167" s="721"/>
      <c r="I167" s="721"/>
    </row>
    <row r="168" spans="3:15" s="348" customFormat="1" x14ac:dyDescent="0.2">
      <c r="C168" s="721" t="s">
        <v>1252</v>
      </c>
      <c r="D168" s="721"/>
      <c r="E168" s="721"/>
      <c r="F168" s="721"/>
      <c r="G168" s="721"/>
      <c r="H168" s="721"/>
      <c r="I168" s="721"/>
    </row>
    <row r="169" spans="3:15" s="348" customFormat="1" x14ac:dyDescent="0.2"/>
    <row r="170" spans="3:15" s="348" customFormat="1" ht="15.75" x14ac:dyDescent="0.2">
      <c r="C170" s="363" t="str">
        <f>Labels_BA!H37</f>
        <v>HIV - WOMEN 15-24 YRS</v>
      </c>
    </row>
    <row r="171" spans="3:15" s="348" customFormat="1" outlineLevel="1" x14ac:dyDescent="0.2"/>
    <row r="172" spans="3:15" s="348" customFormat="1" ht="15" outlineLevel="1" x14ac:dyDescent="0.2">
      <c r="D172" s="669" t="str">
        <f>Plac_Start_Facs_BA!$H$25</f>
        <v>Province</v>
      </c>
      <c r="H172" s="671" t="s">
        <v>817</v>
      </c>
    </row>
    <row r="173" spans="3:15" s="348" customFormat="1" outlineLevel="1" x14ac:dyDescent="0.2">
      <c r="D173" s="668" t="str">
        <f t="shared" ref="D173:D182" si="9">D152</f>
        <v>Central</v>
      </c>
      <c r="H173" s="122">
        <f t="shared" ref="H173:H182" si="10">1-H131</f>
        <v>0.92500000000000004</v>
      </c>
      <c r="J173" s="458"/>
      <c r="K173" s="458"/>
      <c r="L173" s="458"/>
      <c r="M173" s="458"/>
      <c r="N173" s="458"/>
      <c r="O173" s="458"/>
    </row>
    <row r="174" spans="3:15" s="348" customFormat="1" outlineLevel="1" x14ac:dyDescent="0.2">
      <c r="D174" s="668" t="str">
        <f t="shared" si="9"/>
        <v>Copperbelt</v>
      </c>
      <c r="H174" s="122">
        <f t="shared" si="10"/>
        <v>0.89800000000000002</v>
      </c>
      <c r="J174" s="458"/>
      <c r="K174" s="458"/>
      <c r="L174" s="458"/>
      <c r="M174" s="458"/>
      <c r="N174" s="458"/>
      <c r="O174" s="458"/>
    </row>
    <row r="175" spans="3:15" s="348" customFormat="1" outlineLevel="1" x14ac:dyDescent="0.2">
      <c r="D175" s="668" t="str">
        <f t="shared" si="9"/>
        <v>Eastern</v>
      </c>
      <c r="H175" s="122">
        <f t="shared" si="10"/>
        <v>0.94399999999999995</v>
      </c>
      <c r="J175" s="458"/>
      <c r="K175" s="458"/>
      <c r="L175" s="458"/>
      <c r="M175" s="458"/>
      <c r="N175" s="458"/>
      <c r="O175" s="458"/>
    </row>
    <row r="176" spans="3:15" s="348" customFormat="1" outlineLevel="1" x14ac:dyDescent="0.2">
      <c r="D176" s="668" t="str">
        <f t="shared" si="9"/>
        <v>Luapula</v>
      </c>
      <c r="H176" s="122">
        <f t="shared" si="10"/>
        <v>0.93799999999999994</v>
      </c>
      <c r="J176" s="458"/>
      <c r="K176" s="458"/>
      <c r="L176" s="458"/>
      <c r="M176" s="458"/>
      <c r="N176" s="458"/>
      <c r="O176" s="458"/>
    </row>
    <row r="177" spans="3:15" s="348" customFormat="1" outlineLevel="1" x14ac:dyDescent="0.2">
      <c r="D177" s="668" t="str">
        <f t="shared" si="9"/>
        <v>Lusaka</v>
      </c>
      <c r="H177" s="122">
        <f t="shared" si="10"/>
        <v>0.90100000000000002</v>
      </c>
      <c r="J177" s="458"/>
      <c r="K177" s="458"/>
      <c r="L177" s="458"/>
      <c r="M177" s="458"/>
      <c r="N177" s="458"/>
      <c r="O177" s="458"/>
    </row>
    <row r="178" spans="3:15" s="348" customFormat="1" outlineLevel="1" x14ac:dyDescent="0.2">
      <c r="D178" s="668" t="str">
        <f t="shared" si="9"/>
        <v>Muchinga</v>
      </c>
      <c r="H178" s="122">
        <f t="shared" si="10"/>
        <v>0.96499999999999997</v>
      </c>
      <c r="J178" s="458"/>
      <c r="K178" s="458"/>
      <c r="L178" s="458"/>
      <c r="M178" s="458"/>
      <c r="N178" s="458"/>
      <c r="O178" s="458"/>
    </row>
    <row r="179" spans="3:15" s="348" customFormat="1" outlineLevel="1" x14ac:dyDescent="0.2">
      <c r="D179" s="668" t="str">
        <f t="shared" si="9"/>
        <v>Northern</v>
      </c>
      <c r="H179" s="122">
        <f t="shared" si="10"/>
        <v>0.94699999999999995</v>
      </c>
      <c r="J179" s="458"/>
      <c r="K179" s="458"/>
      <c r="L179" s="458"/>
      <c r="M179" s="458"/>
      <c r="N179" s="458"/>
      <c r="O179" s="458"/>
    </row>
    <row r="180" spans="3:15" s="348" customFormat="1" outlineLevel="1" x14ac:dyDescent="0.2">
      <c r="D180" s="668" t="str">
        <f t="shared" si="9"/>
        <v>North-Western</v>
      </c>
      <c r="H180" s="122">
        <f t="shared" si="10"/>
        <v>0.96</v>
      </c>
      <c r="J180" s="458"/>
      <c r="K180" s="458"/>
      <c r="L180" s="458"/>
      <c r="M180" s="458"/>
      <c r="N180" s="458"/>
      <c r="O180" s="458"/>
    </row>
    <row r="181" spans="3:15" s="348" customFormat="1" outlineLevel="1" x14ac:dyDescent="0.2">
      <c r="D181" s="668" t="str">
        <f t="shared" si="9"/>
        <v>Southern</v>
      </c>
      <c r="H181" s="122">
        <f t="shared" si="10"/>
        <v>0.92500000000000004</v>
      </c>
      <c r="J181" s="458"/>
      <c r="K181" s="458"/>
      <c r="L181" s="458"/>
      <c r="M181" s="458"/>
      <c r="N181" s="458"/>
      <c r="O181" s="458"/>
    </row>
    <row r="182" spans="3:15" s="348" customFormat="1" outlineLevel="1" x14ac:dyDescent="0.2">
      <c r="D182" s="668" t="str">
        <f t="shared" si="9"/>
        <v>Western</v>
      </c>
      <c r="H182" s="122">
        <f t="shared" si="10"/>
        <v>0.91100000000000003</v>
      </c>
      <c r="J182" s="459"/>
      <c r="K182" s="459"/>
      <c r="L182" s="459"/>
      <c r="M182" s="459"/>
      <c r="N182" s="459"/>
      <c r="O182" s="459"/>
    </row>
    <row r="183" spans="3:15" s="348" customFormat="1" ht="15" outlineLevel="1" x14ac:dyDescent="0.2">
      <c r="D183" s="359" t="str">
        <f>"Target Population ("&amp;C170&amp;")"</f>
        <v>Target Population (HIV - WOMEN 15-24 YRS)</v>
      </c>
      <c r="H183" s="122"/>
      <c r="J183" s="125">
        <f t="shared" ref="J183:O183" si="11">SUM(J173:J182)</f>
        <v>0</v>
      </c>
      <c r="K183" s="125">
        <f t="shared" si="11"/>
        <v>0</v>
      </c>
      <c r="L183" s="125">
        <f t="shared" si="11"/>
        <v>0</v>
      </c>
      <c r="M183" s="125">
        <f t="shared" si="11"/>
        <v>0</v>
      </c>
      <c r="N183" s="125">
        <f t="shared" si="11"/>
        <v>0</v>
      </c>
      <c r="O183" s="125">
        <f t="shared" si="11"/>
        <v>0</v>
      </c>
    </row>
    <row r="184" spans="3:15" s="348" customFormat="1" x14ac:dyDescent="0.2"/>
    <row r="185" spans="3:15" s="348" customFormat="1" ht="15" x14ac:dyDescent="0.2">
      <c r="C185" s="667" t="s">
        <v>1665</v>
      </c>
    </row>
    <row r="186" spans="3:15" s="348" customFormat="1" x14ac:dyDescent="0.2">
      <c r="C186" s="721" t="s">
        <v>1645</v>
      </c>
      <c r="D186" s="721"/>
      <c r="E186" s="721"/>
      <c r="F186" s="721"/>
      <c r="G186" s="721"/>
      <c r="H186" s="721"/>
      <c r="I186" s="721"/>
    </row>
    <row r="187" spans="3:15" s="348" customFormat="1" x14ac:dyDescent="0.2">
      <c r="C187" s="721" t="s">
        <v>1251</v>
      </c>
      <c r="D187" s="721"/>
      <c r="E187" s="721"/>
      <c r="F187" s="721"/>
      <c r="G187" s="721"/>
      <c r="H187" s="721"/>
      <c r="I187" s="721"/>
    </row>
    <row r="188" spans="3:15" s="348" customFormat="1" x14ac:dyDescent="0.2">
      <c r="C188" s="721" t="s">
        <v>1252</v>
      </c>
      <c r="D188" s="721"/>
      <c r="E188" s="721"/>
      <c r="F188" s="721"/>
      <c r="G188" s="721"/>
      <c r="H188" s="721"/>
      <c r="I188" s="721"/>
    </row>
    <row r="189" spans="3:15" s="348" customFormat="1" x14ac:dyDescent="0.2"/>
    <row r="190" spans="3:15" s="348" customFormat="1" ht="15.75" x14ac:dyDescent="0.2">
      <c r="C190" s="363" t="str">
        <f>Labels_BA!H39</f>
        <v>HIV - WOMEN 25-59 YRS</v>
      </c>
    </row>
    <row r="191" spans="3:15" s="348" customFormat="1" outlineLevel="1" x14ac:dyDescent="0.2"/>
    <row r="192" spans="3:15" s="348" customFormat="1" ht="15" outlineLevel="1" x14ac:dyDescent="0.2">
      <c r="D192" s="669" t="str">
        <f>Plac_Start_Facs_BA!$H$25</f>
        <v>Province</v>
      </c>
      <c r="H192" s="671" t="s">
        <v>817</v>
      </c>
    </row>
    <row r="193" spans="3:15" s="348" customFormat="1" outlineLevel="1" x14ac:dyDescent="0.2">
      <c r="D193" s="668" t="str">
        <f t="shared" ref="D193:D202" si="12">D173</f>
        <v>Central</v>
      </c>
      <c r="H193" s="122">
        <f t="shared" ref="H193:H202" si="13">1-H152</f>
        <v>0.85199999999999998</v>
      </c>
      <c r="J193" s="458">
        <v>182098</v>
      </c>
      <c r="K193" s="458">
        <v>187924</v>
      </c>
      <c r="L193" s="458">
        <v>194125</v>
      </c>
      <c r="M193" s="458">
        <v>200676</v>
      </c>
      <c r="N193" s="458">
        <v>207534</v>
      </c>
      <c r="O193" s="458">
        <v>214660</v>
      </c>
    </row>
    <row r="194" spans="3:15" s="348" customFormat="1" outlineLevel="1" x14ac:dyDescent="0.2">
      <c r="D194" s="668" t="str">
        <f t="shared" si="12"/>
        <v>Copperbelt</v>
      </c>
      <c r="H194" s="122">
        <f t="shared" si="13"/>
        <v>0.8</v>
      </c>
      <c r="J194" s="458">
        <v>287728</v>
      </c>
      <c r="K194" s="458">
        <v>297177</v>
      </c>
      <c r="L194" s="458">
        <v>307569</v>
      </c>
      <c r="M194" s="458">
        <v>318550</v>
      </c>
      <c r="N194" s="458">
        <v>329635</v>
      </c>
      <c r="O194" s="458">
        <v>340499</v>
      </c>
    </row>
    <row r="195" spans="3:15" s="348" customFormat="1" outlineLevel="1" x14ac:dyDescent="0.2">
      <c r="D195" s="668" t="str">
        <f t="shared" si="12"/>
        <v>Eastern</v>
      </c>
      <c r="H195" s="122">
        <f t="shared" si="13"/>
        <v>0.89100000000000001</v>
      </c>
      <c r="J195" s="458">
        <v>236427</v>
      </c>
      <c r="K195" s="458">
        <v>244393</v>
      </c>
      <c r="L195" s="458">
        <v>252488</v>
      </c>
      <c r="M195" s="458">
        <v>260808</v>
      </c>
      <c r="N195" s="458">
        <v>269457</v>
      </c>
      <c r="O195" s="458">
        <v>278494</v>
      </c>
    </row>
    <row r="196" spans="3:15" s="348" customFormat="1" outlineLevel="1" x14ac:dyDescent="0.2">
      <c r="D196" s="668" t="str">
        <f t="shared" si="12"/>
        <v>Luapula</v>
      </c>
      <c r="H196" s="122">
        <f t="shared" si="13"/>
        <v>0.879</v>
      </c>
      <c r="J196" s="458">
        <v>145181</v>
      </c>
      <c r="K196" s="458">
        <v>149070</v>
      </c>
      <c r="L196" s="458">
        <v>153089</v>
      </c>
      <c r="M196" s="458">
        <v>157285</v>
      </c>
      <c r="N196" s="458">
        <v>161712</v>
      </c>
      <c r="O196" s="458">
        <v>166403</v>
      </c>
    </row>
    <row r="197" spans="3:15" s="348" customFormat="1" outlineLevel="1" x14ac:dyDescent="0.2">
      <c r="D197" s="668" t="str">
        <f t="shared" si="12"/>
        <v>Lusaka</v>
      </c>
      <c r="H197" s="122">
        <f t="shared" si="13"/>
        <v>0.80600000000000005</v>
      </c>
      <c r="J197" s="458">
        <v>391403</v>
      </c>
      <c r="K197" s="458">
        <v>412997</v>
      </c>
      <c r="L197" s="458">
        <v>434949</v>
      </c>
      <c r="M197" s="458">
        <v>457274</v>
      </c>
      <c r="N197" s="458">
        <v>479970</v>
      </c>
      <c r="O197" s="458">
        <v>503050</v>
      </c>
    </row>
    <row r="198" spans="3:15" s="348" customFormat="1" outlineLevel="1" x14ac:dyDescent="0.2">
      <c r="D198" s="668" t="str">
        <f t="shared" si="12"/>
        <v>Muchinga</v>
      </c>
      <c r="H198" s="122">
        <f t="shared" si="13"/>
        <v>0.93100000000000005</v>
      </c>
      <c r="J198" s="458">
        <v>120817</v>
      </c>
      <c r="K198" s="458">
        <v>127225</v>
      </c>
      <c r="L198" s="458">
        <v>133834</v>
      </c>
      <c r="M198" s="458">
        <v>140650</v>
      </c>
      <c r="N198" s="458">
        <v>147699</v>
      </c>
      <c r="O198" s="458">
        <v>155001</v>
      </c>
    </row>
    <row r="199" spans="3:15" s="348" customFormat="1" outlineLevel="1" x14ac:dyDescent="0.2">
      <c r="D199" s="668" t="str">
        <f t="shared" si="12"/>
        <v>Northern</v>
      </c>
      <c r="H199" s="122">
        <f t="shared" si="13"/>
        <v>0.89600000000000002</v>
      </c>
      <c r="J199" s="458">
        <v>165673</v>
      </c>
      <c r="K199" s="458">
        <v>171773</v>
      </c>
      <c r="L199" s="458">
        <v>178033</v>
      </c>
      <c r="M199" s="458">
        <v>184459</v>
      </c>
      <c r="N199" s="458">
        <v>191076</v>
      </c>
      <c r="O199" s="458">
        <v>197896</v>
      </c>
    </row>
    <row r="200" spans="3:15" s="348" customFormat="1" outlineLevel="1" x14ac:dyDescent="0.2">
      <c r="D200" s="668" t="str">
        <f t="shared" si="12"/>
        <v>North-Western</v>
      </c>
      <c r="H200" s="122">
        <f t="shared" si="13"/>
        <v>0.92100000000000004</v>
      </c>
      <c r="J200" s="458">
        <v>104700</v>
      </c>
      <c r="K200" s="458">
        <v>107646</v>
      </c>
      <c r="L200" s="458">
        <v>110815</v>
      </c>
      <c r="M200" s="458">
        <v>114201</v>
      </c>
      <c r="N200" s="458">
        <v>117795</v>
      </c>
      <c r="O200" s="458">
        <v>121571</v>
      </c>
    </row>
    <row r="201" spans="3:15" s="348" customFormat="1" outlineLevel="1" x14ac:dyDescent="0.2">
      <c r="D201" s="668" t="str">
        <f t="shared" si="12"/>
        <v>Southern</v>
      </c>
      <c r="H201" s="122">
        <f t="shared" si="13"/>
        <v>0.85299999999999998</v>
      </c>
      <c r="J201" s="458">
        <v>229993</v>
      </c>
      <c r="K201" s="458">
        <v>238032</v>
      </c>
      <c r="L201" s="458">
        <v>246400</v>
      </c>
      <c r="M201" s="458">
        <v>255067</v>
      </c>
      <c r="N201" s="458">
        <v>263993</v>
      </c>
      <c r="O201" s="458">
        <v>273133</v>
      </c>
    </row>
    <row r="202" spans="3:15" s="348" customFormat="1" outlineLevel="1" x14ac:dyDescent="0.2">
      <c r="D202" s="668" t="str">
        <f t="shared" si="12"/>
        <v>Western</v>
      </c>
      <c r="H202" s="122">
        <f t="shared" si="13"/>
        <v>0.82499999999999996</v>
      </c>
      <c r="J202" s="459">
        <v>121462</v>
      </c>
      <c r="K202" s="459">
        <v>123041</v>
      </c>
      <c r="L202" s="459">
        <v>124660</v>
      </c>
      <c r="M202" s="459">
        <v>126351</v>
      </c>
      <c r="N202" s="459">
        <v>128156</v>
      </c>
      <c r="O202" s="459">
        <v>130107</v>
      </c>
    </row>
    <row r="203" spans="3:15" s="348" customFormat="1" ht="15" outlineLevel="1" x14ac:dyDescent="0.2">
      <c r="D203" s="359" t="str">
        <f>"Target Population ("&amp;C190&amp;")"</f>
        <v>Target Population (HIV - WOMEN 25-59 YRS)</v>
      </c>
      <c r="H203" s="122"/>
      <c r="J203" s="125">
        <f t="shared" ref="J203:O203" si="14">SUM(J193:J202)</f>
        <v>1985482</v>
      </c>
      <c r="K203" s="125">
        <f t="shared" si="14"/>
        <v>2059278</v>
      </c>
      <c r="L203" s="125">
        <f t="shared" si="14"/>
        <v>2135962</v>
      </c>
      <c r="M203" s="125">
        <f t="shared" si="14"/>
        <v>2215321</v>
      </c>
      <c r="N203" s="125">
        <f t="shared" si="14"/>
        <v>2297027</v>
      </c>
      <c r="O203" s="125">
        <f t="shared" si="14"/>
        <v>2380814</v>
      </c>
    </row>
    <row r="204" spans="3:15" s="348" customFormat="1" x14ac:dyDescent="0.2"/>
    <row r="205" spans="3:15" s="348" customFormat="1" ht="15" x14ac:dyDescent="0.2">
      <c r="C205" s="667" t="s">
        <v>1665</v>
      </c>
    </row>
    <row r="206" spans="3:15" s="348" customFormat="1" x14ac:dyDescent="0.2">
      <c r="C206" s="721" t="s">
        <v>1644</v>
      </c>
      <c r="D206" s="721"/>
      <c r="E206" s="721"/>
      <c r="F206" s="721"/>
      <c r="G206" s="721"/>
      <c r="H206" s="721"/>
      <c r="I206" s="721"/>
    </row>
    <row r="207" spans="3:15" s="348" customFormat="1" x14ac:dyDescent="0.2">
      <c r="C207" s="721" t="s">
        <v>1251</v>
      </c>
      <c r="D207" s="721"/>
      <c r="E207" s="721"/>
      <c r="F207" s="721"/>
      <c r="G207" s="721"/>
      <c r="H207" s="721"/>
      <c r="I207" s="721"/>
    </row>
    <row r="208" spans="3:15" s="348" customFormat="1" x14ac:dyDescent="0.2">
      <c r="C208" s="721" t="s">
        <v>1252</v>
      </c>
      <c r="D208" s="721"/>
      <c r="E208" s="721"/>
      <c r="F208" s="721"/>
      <c r="G208" s="721"/>
      <c r="H208" s="721"/>
      <c r="I208" s="721"/>
    </row>
    <row r="209" spans="1:9" s="348" customFormat="1" x14ac:dyDescent="0.2"/>
    <row r="210" spans="1:9" s="348" customFormat="1" ht="18.75" x14ac:dyDescent="0.2">
      <c r="A210" s="357" t="s">
        <v>23</v>
      </c>
    </row>
    <row r="211" spans="1:9" s="348" customFormat="1" outlineLevel="2" x14ac:dyDescent="0.2">
      <c r="D211" s="671" t="s">
        <v>386</v>
      </c>
      <c r="H211" s="672">
        <f>IF(H27&lt;&gt;1,1,0)</f>
        <v>0</v>
      </c>
    </row>
    <row r="212" spans="1:9" s="348" customFormat="1" outlineLevel="2" x14ac:dyDescent="0.2">
      <c r="D212" s="671" t="s">
        <v>272</v>
      </c>
      <c r="H212" s="364">
        <f>IF($H$56&lt;0,1,0)</f>
        <v>0</v>
      </c>
    </row>
    <row r="213" spans="1:9" s="348" customFormat="1" x14ac:dyDescent="0.2">
      <c r="C213" s="671" t="s">
        <v>131</v>
      </c>
      <c r="H213" s="126">
        <f>IF(ISERROR(SUM(H211:H212)),1,MIN(SUM(H211:H212),1))</f>
        <v>0</v>
      </c>
    </row>
    <row r="214" spans="1:9" s="348" customFormat="1" x14ac:dyDescent="0.2"/>
    <row r="215" spans="1:9" s="348" customFormat="1" x14ac:dyDescent="0.2">
      <c r="C215" s="722" t="str">
        <f>"Go to "&amp;HL_Reg_Pop_Reg_Ass</f>
        <v>Go to Provinces, Districts, and Program Start Years - Assumptions</v>
      </c>
      <c r="D215" s="777"/>
      <c r="E215" s="777"/>
      <c r="F215" s="777"/>
      <c r="G215" s="777"/>
      <c r="H215" s="777"/>
      <c r="I215" s="777"/>
    </row>
    <row r="216" spans="1:9" s="348" customFormat="1" x14ac:dyDescent="0.2">
      <c r="C216" s="722" t="str">
        <f>"Go to "&amp;HL_Reg_Pop_Reg_Out</f>
        <v>Go to Province - Outputs</v>
      </c>
      <c r="D216" s="777"/>
      <c r="E216" s="777"/>
      <c r="F216" s="777"/>
      <c r="G216" s="777"/>
      <c r="H216" s="777"/>
      <c r="I216" s="777"/>
    </row>
    <row r="217" spans="1:9" s="348" customFormat="1" x14ac:dyDescent="0.2">
      <c r="C217" s="722" t="str">
        <f>"Go to "&amp;HL_Reg_Pop_Pop_Out</f>
        <v>Go to Population - Outputs</v>
      </c>
      <c r="D217" s="777"/>
      <c r="E217" s="777"/>
      <c r="F217" s="777"/>
      <c r="G217" s="777"/>
      <c r="H217" s="777"/>
      <c r="I217" s="777"/>
    </row>
  </sheetData>
  <sheetProtection password="F0F4" sheet="1" scenarios="1"/>
  <mergeCells count="76">
    <mergeCell ref="C208:I208"/>
    <mergeCell ref="C34:I34"/>
    <mergeCell ref="C24:I24"/>
    <mergeCell ref="C186:I186"/>
    <mergeCell ref="C187:I187"/>
    <mergeCell ref="C188:I188"/>
    <mergeCell ref="C206:I206"/>
    <mergeCell ref="C166:I166"/>
    <mergeCell ref="C167:I167"/>
    <mergeCell ref="C168:I168"/>
    <mergeCell ref="C106:I106"/>
    <mergeCell ref="C119:I119"/>
    <mergeCell ref="C121:I121"/>
    <mergeCell ref="C105:I105"/>
    <mergeCell ref="C120:I120"/>
    <mergeCell ref="C49:I49"/>
    <mergeCell ref="C50:I50"/>
    <mergeCell ref="C51:I51"/>
    <mergeCell ref="C74:I74"/>
    <mergeCell ref="C89:I89"/>
    <mergeCell ref="D81:G81"/>
    <mergeCell ref="D79:G79"/>
    <mergeCell ref="D78:G78"/>
    <mergeCell ref="C47:I47"/>
    <mergeCell ref="C48:I48"/>
    <mergeCell ref="C30:I30"/>
    <mergeCell ref="B3:F3"/>
    <mergeCell ref="C215:I215"/>
    <mergeCell ref="D61:G61"/>
    <mergeCell ref="D62:G62"/>
    <mergeCell ref="D64:G64"/>
    <mergeCell ref="D101:G101"/>
    <mergeCell ref="D100:G100"/>
    <mergeCell ref="D14:H14"/>
    <mergeCell ref="D15:H15"/>
    <mergeCell ref="D80:G80"/>
    <mergeCell ref="D84:G84"/>
    <mergeCell ref="D60:G60"/>
    <mergeCell ref="D57:G57"/>
    <mergeCell ref="C20:I20"/>
    <mergeCell ref="C21:I21"/>
    <mergeCell ref="C31:I31"/>
    <mergeCell ref="C44:I44"/>
    <mergeCell ref="C45:I45"/>
    <mergeCell ref="C217:I217"/>
    <mergeCell ref="C216:I216"/>
    <mergeCell ref="D85:G85"/>
    <mergeCell ref="D82:G82"/>
    <mergeCell ref="D83:G83"/>
    <mergeCell ref="D86:G86"/>
    <mergeCell ref="C91:I91"/>
    <mergeCell ref="C92:I92"/>
    <mergeCell ref="C144:I144"/>
    <mergeCell ref="C145:I145"/>
    <mergeCell ref="C146:I146"/>
    <mergeCell ref="C93:I93"/>
    <mergeCell ref="C94:I94"/>
    <mergeCell ref="C95:I95"/>
    <mergeCell ref="C90:I90"/>
    <mergeCell ref="C207:I207"/>
    <mergeCell ref="D16:H16"/>
    <mergeCell ref="D17:H17"/>
    <mergeCell ref="C96:I96"/>
    <mergeCell ref="C104:I104"/>
    <mergeCell ref="C32:I32"/>
    <mergeCell ref="C46:I46"/>
    <mergeCell ref="D63:G63"/>
    <mergeCell ref="D58:G58"/>
    <mergeCell ref="C72:I72"/>
    <mergeCell ref="C73:I73"/>
    <mergeCell ref="C67:I67"/>
    <mergeCell ref="C68:I68"/>
    <mergeCell ref="C69:I69"/>
    <mergeCell ref="C70:I70"/>
    <mergeCell ref="C71:I71"/>
    <mergeCell ref="D59:G59"/>
  </mergeCells>
  <conditionalFormatting sqref="H212">
    <cfRule type="cellIs" dxfId="115" priority="2" operator="notEqual">
      <formula>0</formula>
    </cfRule>
  </conditionalFormatting>
  <conditionalFormatting sqref="H213">
    <cfRule type="cellIs" dxfId="114" priority="3" operator="notEqual">
      <formula>0</formula>
    </cfRule>
  </conditionalFormatting>
  <dataValidations count="2">
    <dataValidation type="decimal" operator="greaterThanOrEqual" allowBlank="1" showDropDown="1" showErrorMessage="1" errorTitle="Invalid Assumption" error="Assumption must be a value greater than or equal to zero." sqref="J14:O15 H100:H101 H110:H116 J110:O116 J193:O202 J173:O182 J152:O161 J131:O140">
      <formula1>0</formula1>
    </dataValidation>
    <dataValidation type="decimal" showDropDown="1" showErrorMessage="1" errorTitle="Invalid Assumption" error="Assumption must be between 0% and 100%." sqref="H57:H63 J16:O17 J100:O101 J79:O85 H79:H85 J57:O63 J36:O40 J26:O26 H26 H36:H40 H152:H161 H131:H140">
      <formula1>0</formula1>
      <formula2>1</formula2>
    </dataValidation>
  </dataValidations>
  <hyperlinks>
    <hyperlink ref="A4" location="$A$10" tooltip="Go to Top of Sheet" display="$A$10"/>
    <hyperlink ref="C215:I215" location="HL_Reg_Pop_Reg_Ass" tooltip="Click to follow hyperlink." display="HL_Reg_Pop_Reg_Ass"/>
    <hyperlink ref="C216:I216" location="HL_Reg_Pop_Reg_Out" tooltip="Click to follow hyperlink." display="HL_Reg_Pop_Reg_Out"/>
    <hyperlink ref="C217:I217" location="HL_Reg_Pop_Pop_Out" tooltip="Click to follow hyperlink." display="HL_Reg_Pop_Pop_Out"/>
    <hyperlink ref="C4" location="HL_Sheet_Main_40" tooltip="Go to Next Sheet" display="HL_Sheet_Main_40"/>
    <hyperlink ref="B4" location="HL_Sheet_Main_12" tooltip="Go to Previous Sheet" display="HL_Sheet_Main_12"/>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FFC000"/>
    <pageSetUpPr autoPageBreaks="0"/>
  </sheetPr>
  <dimension ref="A1:O35"/>
  <sheetViews>
    <sheetView showGridLines="0" zoomScaleNormal="100" workbookViewId="0">
      <pane ySplit="9" topLeftCell="A19" activePane="bottomLeft" state="frozen"/>
      <selection activeCell="R20" sqref="R20"/>
      <selection pane="bottomLeft" activeCell="F4" sqref="F4"/>
    </sheetView>
  </sheetViews>
  <sheetFormatPr defaultColWidth="11.7109375" defaultRowHeight="12.75" outlineLevelRow="2" outlineLevelCol="1" x14ac:dyDescent="0.2"/>
  <cols>
    <col min="1" max="1" width="3.7109375" style="105" customWidth="1"/>
    <col min="2" max="2" width="5.85546875" style="105" customWidth="1"/>
    <col min="3" max="4" width="3.85546875" style="105" customWidth="1"/>
    <col min="5" max="5" width="3.7109375" style="105" customWidth="1"/>
    <col min="6" max="6" width="11.7109375" style="105"/>
    <col min="7" max="7" width="14.7109375" style="105" customWidth="1"/>
    <col min="8" max="8" width="15.7109375" style="105" customWidth="1"/>
    <col min="9" max="9" width="19.85546875" style="105" customWidth="1"/>
    <col min="10" max="15" width="11.7109375" style="105" outlineLevel="1"/>
    <col min="16" max="16384" width="11.7109375" style="105"/>
  </cols>
  <sheetData>
    <row r="1" spans="1:15" ht="23.25" x14ac:dyDescent="0.2">
      <c r="A1" s="321"/>
      <c r="B1" s="106" t="s">
        <v>563</v>
      </c>
    </row>
    <row r="2" spans="1:15" ht="18.75" x14ac:dyDescent="0.2">
      <c r="B2" s="107" t="str">
        <f>Model_Name</f>
        <v>Zambia C4P* - Screening &amp; Treatment Tool</v>
      </c>
    </row>
    <row r="3" spans="1:15" x14ac:dyDescent="0.2">
      <c r="B3" s="722" t="s">
        <v>2</v>
      </c>
      <c r="C3" s="722"/>
      <c r="D3" s="722"/>
      <c r="E3" s="722"/>
      <c r="F3" s="722"/>
    </row>
    <row r="4" spans="1:15" x14ac:dyDescent="0.2">
      <c r="A4" s="108" t="s">
        <v>4</v>
      </c>
      <c r="B4" s="109" t="s">
        <v>6</v>
      </c>
      <c r="C4" s="110" t="s">
        <v>7</v>
      </c>
      <c r="D4" s="354" t="s">
        <v>27</v>
      </c>
      <c r="E4" s="355" t="s">
        <v>28</v>
      </c>
      <c r="F4" s="356" t="s">
        <v>29</v>
      </c>
    </row>
    <row r="5" spans="1:15" x14ac:dyDescent="0.2">
      <c r="B5" s="200" t="str">
        <f>"Year Ending "&amp;INDEX(LU_TS_Mth_Names,DD_TS_Fin_Yr_End_Mth)</f>
        <v>Year Ending December</v>
      </c>
      <c r="C5" s="232"/>
      <c r="D5" s="232"/>
      <c r="E5" s="232"/>
      <c r="F5" s="232"/>
      <c r="G5" s="232"/>
      <c r="H5" s="232"/>
      <c r="I5" s="232"/>
      <c r="J5" s="455">
        <f t="shared" ref="J5:O5" si="0">J9</f>
        <v>2015</v>
      </c>
      <c r="K5" s="455">
        <f t="shared" si="0"/>
        <v>2016</v>
      </c>
      <c r="L5" s="455">
        <f t="shared" si="0"/>
        <v>2017</v>
      </c>
      <c r="M5" s="455">
        <f t="shared" si="0"/>
        <v>2018</v>
      </c>
      <c r="N5" s="455">
        <f t="shared" si="0"/>
        <v>2019</v>
      </c>
      <c r="O5" s="455">
        <f t="shared" si="0"/>
        <v>2020</v>
      </c>
    </row>
    <row r="6" spans="1:15" hidden="1" outlineLevel="2" x14ac:dyDescent="0.2">
      <c r="B6" s="175" t="s">
        <v>70</v>
      </c>
      <c r="J6" s="118">
        <f t="shared" ref="J6:O6" si="1">EDATE(TS_Start_Date,(J8-1)*TS_Mths_In_Yr)</f>
        <v>42005</v>
      </c>
      <c r="K6" s="118">
        <f t="shared" si="1"/>
        <v>42370</v>
      </c>
      <c r="L6" s="118">
        <f t="shared" si="1"/>
        <v>42736</v>
      </c>
      <c r="M6" s="118">
        <f t="shared" si="1"/>
        <v>43101</v>
      </c>
      <c r="N6" s="118">
        <f t="shared" si="1"/>
        <v>43466</v>
      </c>
      <c r="O6" s="118">
        <f t="shared" si="1"/>
        <v>43831</v>
      </c>
    </row>
    <row r="7" spans="1:15" hidden="1" outlineLevel="2" x14ac:dyDescent="0.2">
      <c r="B7" s="175" t="s">
        <v>71</v>
      </c>
      <c r="J7" s="118">
        <f t="shared" ref="J7:O7" si="2">EDATE(J6,TS_Mths_In_Yr)-1</f>
        <v>42369</v>
      </c>
      <c r="K7" s="118">
        <f t="shared" si="2"/>
        <v>42735</v>
      </c>
      <c r="L7" s="118">
        <f t="shared" si="2"/>
        <v>43100</v>
      </c>
      <c r="M7" s="118">
        <f t="shared" si="2"/>
        <v>43465</v>
      </c>
      <c r="N7" s="118">
        <f t="shared" si="2"/>
        <v>43830</v>
      </c>
      <c r="O7" s="118">
        <f t="shared" si="2"/>
        <v>44196</v>
      </c>
    </row>
    <row r="8" spans="1:15" hidden="1" outlineLevel="2" x14ac:dyDescent="0.2">
      <c r="B8" s="175" t="s">
        <v>72</v>
      </c>
      <c r="J8" s="119">
        <f>COLUMNS($J8:J8)</f>
        <v>1</v>
      </c>
      <c r="K8" s="119">
        <f>COLUMNS($J8:K8)</f>
        <v>2</v>
      </c>
      <c r="L8" s="119">
        <f>COLUMNS($J8:L8)</f>
        <v>3</v>
      </c>
      <c r="M8" s="119">
        <f>COLUMNS($J8:M8)</f>
        <v>4</v>
      </c>
      <c r="N8" s="119">
        <f>COLUMNS($J8:N8)</f>
        <v>5</v>
      </c>
      <c r="O8" s="119">
        <f>COLUMNS($J8:O8)</f>
        <v>6</v>
      </c>
    </row>
    <row r="9" spans="1:15" hidden="1" outlineLevel="2" x14ac:dyDescent="0.2">
      <c r="B9" s="120" t="s">
        <v>73</v>
      </c>
      <c r="C9" s="117"/>
      <c r="D9" s="117"/>
      <c r="E9" s="117"/>
      <c r="F9" s="117"/>
      <c r="G9" s="117"/>
      <c r="H9" s="117"/>
      <c r="I9" s="117"/>
      <c r="J9" s="121">
        <f t="shared" ref="J9:O9" si="3">YEAR(J7)</f>
        <v>2015</v>
      </c>
      <c r="K9" s="121">
        <f t="shared" si="3"/>
        <v>2016</v>
      </c>
      <c r="L9" s="121">
        <f t="shared" si="3"/>
        <v>2017</v>
      </c>
      <c r="M9" s="121">
        <f t="shared" si="3"/>
        <v>2018</v>
      </c>
      <c r="N9" s="121">
        <f t="shared" si="3"/>
        <v>2019</v>
      </c>
      <c r="O9" s="121">
        <f t="shared" si="3"/>
        <v>2020</v>
      </c>
    </row>
    <row r="10" spans="1:15" s="348" customFormat="1" collapsed="1" x14ac:dyDescent="0.2"/>
    <row r="11" spans="1:15" s="348" customFormat="1" ht="15.75" x14ac:dyDescent="0.2">
      <c r="C11" s="600" t="s">
        <v>1769</v>
      </c>
    </row>
    <row r="12" spans="1:15" s="348" customFormat="1" x14ac:dyDescent="0.2">
      <c r="D12" s="800" t="s">
        <v>391</v>
      </c>
      <c r="E12" s="801"/>
      <c r="F12" s="801"/>
      <c r="G12" s="801"/>
    </row>
    <row r="13" spans="1:15" s="348" customFormat="1" x14ac:dyDescent="0.2">
      <c r="D13" s="721" t="s">
        <v>211</v>
      </c>
      <c r="E13" s="721"/>
      <c r="F13" s="721"/>
      <c r="G13" s="721"/>
      <c r="J13" s="446">
        <v>1</v>
      </c>
      <c r="K13" s="446">
        <v>1</v>
      </c>
      <c r="L13" s="446">
        <v>1</v>
      </c>
      <c r="M13" s="446">
        <v>1</v>
      </c>
      <c r="N13" s="446">
        <v>1</v>
      </c>
      <c r="O13" s="446">
        <v>1</v>
      </c>
    </row>
    <row r="14" spans="1:15" s="348" customFormat="1" x14ac:dyDescent="0.2">
      <c r="D14" s="721" t="s">
        <v>1237</v>
      </c>
      <c r="E14" s="721"/>
      <c r="F14" s="721"/>
      <c r="G14" s="721"/>
      <c r="J14" s="445">
        <v>10.971399999999999</v>
      </c>
      <c r="K14" s="445">
        <v>10.971399999999999</v>
      </c>
      <c r="L14" s="445">
        <v>10.971399999999999</v>
      </c>
      <c r="M14" s="445">
        <v>10.971399999999999</v>
      </c>
      <c r="N14" s="445">
        <v>10.971399999999999</v>
      </c>
      <c r="O14" s="445">
        <v>10.971399999999999</v>
      </c>
    </row>
    <row r="15" spans="1:15" s="348" customFormat="1" x14ac:dyDescent="0.2"/>
    <row r="16" spans="1:15" s="348" customFormat="1" ht="15" x14ac:dyDescent="0.2">
      <c r="D16" s="602" t="s">
        <v>1665</v>
      </c>
    </row>
    <row r="17" spans="3:15" s="348" customFormat="1" x14ac:dyDescent="0.2">
      <c r="D17" s="721"/>
      <c r="E17" s="721"/>
      <c r="F17" s="721"/>
      <c r="G17" s="721"/>
      <c r="H17" s="721"/>
      <c r="I17" s="721"/>
    </row>
    <row r="18" spans="3:15" s="348" customFormat="1" x14ac:dyDescent="0.2">
      <c r="D18" s="721"/>
      <c r="E18" s="721"/>
      <c r="F18" s="721"/>
      <c r="G18" s="721"/>
      <c r="H18" s="721"/>
      <c r="I18" s="721"/>
    </row>
    <row r="19" spans="3:15" s="348" customFormat="1" x14ac:dyDescent="0.2">
      <c r="D19" s="721"/>
      <c r="E19" s="721"/>
      <c r="F19" s="721"/>
      <c r="G19" s="721"/>
      <c r="H19" s="721"/>
      <c r="I19" s="721"/>
    </row>
    <row r="20" spans="3:15" s="348" customFormat="1" x14ac:dyDescent="0.2">
      <c r="D20" s="721" t="s">
        <v>1646</v>
      </c>
      <c r="E20" s="721"/>
      <c r="F20" s="721"/>
      <c r="G20" s="721"/>
      <c r="H20" s="721"/>
      <c r="I20" s="721"/>
    </row>
    <row r="21" spans="3:15" s="348" customFormat="1" x14ac:dyDescent="0.2">
      <c r="D21" s="721" t="s">
        <v>1647</v>
      </c>
      <c r="E21" s="721"/>
      <c r="F21" s="721"/>
      <c r="G21" s="721"/>
      <c r="H21" s="721"/>
      <c r="I21" s="721"/>
    </row>
    <row r="22" spans="3:15" s="348" customFormat="1" x14ac:dyDescent="0.2">
      <c r="D22" s="721" t="s">
        <v>423</v>
      </c>
      <c r="E22" s="721"/>
      <c r="F22" s="721"/>
      <c r="G22" s="721"/>
      <c r="H22" s="721"/>
      <c r="I22" s="721"/>
    </row>
    <row r="23" spans="3:15" s="348" customFormat="1" x14ac:dyDescent="0.2"/>
    <row r="24" spans="3:15" s="348" customFormat="1" ht="15.75" x14ac:dyDescent="0.2">
      <c r="C24" s="600" t="s">
        <v>275</v>
      </c>
      <c r="H24" s="601" t="s">
        <v>292</v>
      </c>
    </row>
    <row r="25" spans="3:15" s="348" customFormat="1" ht="15" outlineLevel="1" x14ac:dyDescent="0.2">
      <c r="D25" s="602" t="s">
        <v>1119</v>
      </c>
      <c r="H25" s="412">
        <v>0</v>
      </c>
      <c r="J25" s="184">
        <v>0</v>
      </c>
      <c r="K25" s="184">
        <v>0</v>
      </c>
      <c r="L25" s="184">
        <v>0</v>
      </c>
      <c r="M25" s="184">
        <v>0</v>
      </c>
      <c r="N25" s="184">
        <v>0</v>
      </c>
      <c r="O25" s="184">
        <v>0</v>
      </c>
    </row>
    <row r="26" spans="3:15" s="348" customFormat="1" x14ac:dyDescent="0.2">
      <c r="D26" s="603" t="s">
        <v>276</v>
      </c>
      <c r="H26" s="439">
        <v>0.03</v>
      </c>
      <c r="J26" s="184">
        <v>0.03</v>
      </c>
      <c r="K26" s="184">
        <v>0.03</v>
      </c>
      <c r="L26" s="184">
        <v>0.03</v>
      </c>
      <c r="M26" s="184">
        <v>0.03</v>
      </c>
      <c r="N26" s="184">
        <v>0.03</v>
      </c>
      <c r="O26" s="184">
        <v>0.03</v>
      </c>
    </row>
    <row r="27" spans="3:15" s="348" customFormat="1" x14ac:dyDescent="0.2"/>
    <row r="28" spans="3:15" s="348" customFormat="1" ht="15" x14ac:dyDescent="0.2">
      <c r="D28" s="602" t="s">
        <v>1665</v>
      </c>
    </row>
    <row r="29" spans="3:15" s="348" customFormat="1" hidden="1" x14ac:dyDescent="0.2">
      <c r="D29" s="721" t="s">
        <v>1770</v>
      </c>
      <c r="E29" s="721"/>
      <c r="F29" s="721"/>
      <c r="G29" s="721"/>
      <c r="H29" s="721"/>
      <c r="I29" s="721"/>
    </row>
    <row r="30" spans="3:15" s="348" customFormat="1" x14ac:dyDescent="0.2">
      <c r="D30" s="721" t="s">
        <v>1773</v>
      </c>
      <c r="E30" s="721"/>
      <c r="F30" s="721"/>
      <c r="G30" s="721"/>
      <c r="H30" s="721"/>
      <c r="I30" s="721"/>
    </row>
    <row r="31" spans="3:15" s="348" customFormat="1" x14ac:dyDescent="0.2">
      <c r="D31" s="721" t="s">
        <v>1774</v>
      </c>
      <c r="E31" s="721"/>
      <c r="F31" s="721"/>
      <c r="G31" s="721"/>
      <c r="H31" s="721"/>
      <c r="I31" s="721"/>
    </row>
    <row r="32" spans="3:15" s="348" customFormat="1" x14ac:dyDescent="0.2">
      <c r="D32" s="721" t="s">
        <v>1772</v>
      </c>
      <c r="E32" s="721"/>
      <c r="F32" s="721"/>
      <c r="G32" s="721"/>
      <c r="H32" s="721"/>
      <c r="I32" s="721"/>
    </row>
    <row r="33" spans="3:9" s="348" customFormat="1" x14ac:dyDescent="0.2">
      <c r="D33" s="721" t="s">
        <v>1771</v>
      </c>
      <c r="E33" s="721"/>
      <c r="F33" s="721"/>
      <c r="G33" s="721"/>
      <c r="H33" s="721"/>
      <c r="I33" s="721"/>
    </row>
    <row r="34" spans="3:9" s="348" customFormat="1" x14ac:dyDescent="0.2"/>
    <row r="35" spans="3:9" s="348" customFormat="1" x14ac:dyDescent="0.2">
      <c r="C35" s="722" t="str">
        <f>"Go to "&amp;HL_Price_Ass</f>
        <v>Go to Prices - Assumptions</v>
      </c>
      <c r="D35" s="777"/>
      <c r="E35" s="777"/>
      <c r="F35" s="777"/>
      <c r="G35" s="777"/>
      <c r="H35" s="777"/>
      <c r="I35" s="777"/>
    </row>
  </sheetData>
  <sheetProtection password="F0F4" sheet="1" scenarios="1"/>
  <mergeCells count="16">
    <mergeCell ref="B3:F3"/>
    <mergeCell ref="D13:G13"/>
    <mergeCell ref="C35:I35"/>
    <mergeCell ref="D12:G12"/>
    <mergeCell ref="D32:I32"/>
    <mergeCell ref="D33:I33"/>
    <mergeCell ref="D30:I30"/>
    <mergeCell ref="D31:I31"/>
    <mergeCell ref="D20:I20"/>
    <mergeCell ref="D21:I21"/>
    <mergeCell ref="D22:I22"/>
    <mergeCell ref="D29:I29"/>
    <mergeCell ref="D17:I17"/>
    <mergeCell ref="D18:I18"/>
    <mergeCell ref="D19:I19"/>
    <mergeCell ref="D14:G14"/>
  </mergeCells>
  <dataValidations count="4">
    <dataValidation type="custom" showErrorMessage="1" errorTitle="Invalid Assumption" error="Assumption must be a number." sqref="H26">
      <formula1>NOT(ISERROR(H26/1))</formula1>
    </dataValidation>
    <dataValidation type="decimal" showDropDown="1" showErrorMessage="1" errorTitle="Invalid Assumption" error="Assumption must be between -100% and +100%." sqref="H25 J25:O26">
      <formula1>-1</formula1>
      <formula2>1</formula2>
    </dataValidation>
    <dataValidation type="decimal" operator="greaterThanOrEqual" allowBlank="1" showDropDown="1" showErrorMessage="1" errorTitle="Invalid Assumption" error="Assumption must be a value greater than or equal to zero." sqref="J13:O13">
      <formula1>0</formula1>
    </dataValidation>
    <dataValidation type="decimal" operator="greaterThanOrEqual" allowBlank="1" showDropDown="1" showErrorMessage="1" errorTitle="Invalid Assumption" error="Assumption must be a value greater than or equal to zero." sqref="J14:O14">
      <formula1>0</formula1>
    </dataValidation>
  </dataValidations>
  <hyperlinks>
    <hyperlink ref="C35:H35" location="HL_Price_Ass" tooltip="Click to follow hyperlink." display="HL_Price_Ass"/>
    <hyperlink ref="A4" location="$A$10" tooltip="Go to Top of Sheet" display="$A$10"/>
    <hyperlink ref="C35:I35" location="HL_Price_Ass" tooltip="Click to follow hyperlink." display="HL_Price_Ass"/>
    <hyperlink ref="B4" location="HL_Sheet_Main_11" tooltip="Go to Previous Sheet" display="HL_Sheet_Main_11"/>
    <hyperlink ref="C4" location="HL_Sheet_Main_48" tooltip="Go to Next Sheet" display="HL_Sheet_Main_48"/>
    <hyperlink ref="D20" r:id="rId1"/>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2"/>
  <headerFooter>
    <oddFooter>&amp;L&amp;F
&amp;A
Printed: &amp;T on &amp;D&amp;CPage &amp;P of &amp;N</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tabColor rgb="FFFFC000"/>
    <pageSetUpPr autoPageBreaks="0"/>
  </sheetPr>
  <dimension ref="A1:Q424"/>
  <sheetViews>
    <sheetView showGridLines="0" zoomScaleNormal="100" workbookViewId="0">
      <pane xSplit="1" ySplit="4" topLeftCell="B397" activePane="bottomRight" state="frozen"/>
      <selection activeCell="R20" sqref="R20"/>
      <selection pane="topRight" activeCell="R20" sqref="R20"/>
      <selection pane="bottomLeft" activeCell="R20" sqref="R20"/>
      <selection pane="bottomRight" activeCell="G417" sqref="G417"/>
    </sheetView>
  </sheetViews>
  <sheetFormatPr defaultColWidth="11.7109375" defaultRowHeight="12.75" outlineLevelRow="2" x14ac:dyDescent="0.2"/>
  <cols>
    <col min="1" max="1" width="11.7109375" style="105" customWidth="1"/>
    <col min="2" max="5" width="3.7109375" style="105" customWidth="1"/>
    <col min="6" max="6" width="41.140625" style="105" customWidth="1"/>
    <col min="7" max="7" width="14.28515625" style="105" bestFit="1" customWidth="1"/>
    <col min="8" max="8" width="59.140625" style="105" customWidth="1"/>
    <col min="9" max="9" width="16.140625" style="105" bestFit="1" customWidth="1"/>
    <col min="10" max="10" width="15.140625" style="348" bestFit="1" customWidth="1"/>
    <col min="11" max="11" width="18.85546875" style="105" bestFit="1" customWidth="1"/>
    <col min="12" max="12" width="11.7109375" style="105"/>
    <col min="13" max="13" width="13.7109375" style="105" bestFit="1" customWidth="1"/>
    <col min="14" max="15" width="11.7109375" style="105"/>
    <col min="16" max="16" width="26.42578125" style="105" bestFit="1" customWidth="1"/>
    <col min="17" max="17" width="29.85546875" style="105" customWidth="1"/>
    <col min="18" max="18" width="2.7109375" style="105" bestFit="1" customWidth="1"/>
    <col min="19" max="16384" width="11.7109375" style="105"/>
  </cols>
  <sheetData>
    <row r="1" spans="1:17" ht="23.25" x14ac:dyDescent="0.2">
      <c r="A1" s="321"/>
      <c r="B1" s="106" t="s">
        <v>585</v>
      </c>
    </row>
    <row r="2" spans="1:17" ht="18.75" x14ac:dyDescent="0.2">
      <c r="B2" s="107" t="str">
        <f>Model_Name</f>
        <v>Zambia C4P* - Screening &amp; Treatment Tool</v>
      </c>
    </row>
    <row r="3" spans="1:17" x14ac:dyDescent="0.2">
      <c r="B3" s="722" t="s">
        <v>2</v>
      </c>
      <c r="C3" s="722"/>
      <c r="D3" s="722"/>
      <c r="E3" s="722"/>
      <c r="F3" s="722"/>
    </row>
    <row r="4" spans="1:17" x14ac:dyDescent="0.2">
      <c r="A4" s="108" t="s">
        <v>4</v>
      </c>
      <c r="B4" s="109" t="s">
        <v>6</v>
      </c>
      <c r="C4" s="110" t="s">
        <v>7</v>
      </c>
      <c r="D4" s="354" t="s">
        <v>27</v>
      </c>
      <c r="E4" s="355" t="s">
        <v>28</v>
      </c>
      <c r="F4" s="356" t="s">
        <v>29</v>
      </c>
    </row>
    <row r="5" spans="1:17" s="348" customFormat="1" x14ac:dyDescent="0.2"/>
    <row r="6" spans="1:17" s="348" customFormat="1" ht="18.75" x14ac:dyDescent="0.2">
      <c r="B6" s="357" t="s">
        <v>301</v>
      </c>
    </row>
    <row r="7" spans="1:17" s="348" customFormat="1" x14ac:dyDescent="0.2"/>
    <row r="8" spans="1:17" s="348" customFormat="1" ht="15.75" x14ac:dyDescent="0.2">
      <c r="C8" s="664" t="s">
        <v>302</v>
      </c>
    </row>
    <row r="9" spans="1:17" s="348" customFormat="1" x14ac:dyDescent="0.2"/>
    <row r="10" spans="1:17" s="348" customFormat="1" ht="15" x14ac:dyDescent="0.2">
      <c r="D10" s="667" t="s">
        <v>302</v>
      </c>
      <c r="G10" s="283" t="s">
        <v>211</v>
      </c>
      <c r="H10" s="671" t="s">
        <v>1211</v>
      </c>
    </row>
    <row r="11" spans="1:17" s="348" customFormat="1" x14ac:dyDescent="0.2">
      <c r="D11" s="662" t="str">
        <f>"Go to "&amp;HL_Price_Curr_Options</f>
        <v>Go to Currency Codes and Exchange Rates</v>
      </c>
    </row>
    <row r="12" spans="1:17" s="348" customFormat="1" ht="15.75" x14ac:dyDescent="0.2">
      <c r="C12" s="664" t="s">
        <v>1741</v>
      </c>
    </row>
    <row r="13" spans="1:17" s="348" customFormat="1" ht="51" x14ac:dyDescent="0.2">
      <c r="D13" s="359" t="str">
        <f>"Personnel Types - "&amp;F422&amp;""</f>
        <v>Personnel Types - Hospital Facilities</v>
      </c>
      <c r="H13" s="676" t="s">
        <v>838</v>
      </c>
      <c r="I13" s="431" t="str">
        <f>" Price per Package ( "&amp;Price_Appl_Currency&amp;")"</f>
        <v xml:space="preserve"> Price per Package ( USD)</v>
      </c>
      <c r="J13" s="676" t="s">
        <v>972</v>
      </c>
      <c r="K13" s="676" t="s">
        <v>394</v>
      </c>
      <c r="L13" s="365" t="str">
        <f>"Cost Per Personnel Unit ("&amp;$G$10&amp;"/SU)"</f>
        <v>Cost Per Personnel Unit (USD/SU)</v>
      </c>
      <c r="M13" s="671" t="s">
        <v>1775</v>
      </c>
      <c r="O13" s="802" t="s">
        <v>648</v>
      </c>
      <c r="P13" s="803"/>
      <c r="Q13" s="803"/>
    </row>
    <row r="14" spans="1:17" s="348" customFormat="1" x14ac:dyDescent="0.2">
      <c r="D14" s="788" t="s">
        <v>1257</v>
      </c>
      <c r="E14" s="788"/>
      <c r="F14" s="788"/>
      <c r="G14" s="670"/>
      <c r="H14" s="443" t="s">
        <v>307</v>
      </c>
      <c r="I14" s="447">
        <v>0</v>
      </c>
      <c r="J14" s="666" t="s">
        <v>1182</v>
      </c>
      <c r="K14" s="186">
        <v>9600</v>
      </c>
      <c r="L14" s="127">
        <f t="shared" ref="L14:L44" si="0">IFERROR(I14/K14,0)</f>
        <v>0</v>
      </c>
      <c r="M14" s="678" t="str">
        <f t="shared" ref="M14:M44" si="1">"per "&amp;J14&amp;""</f>
        <v>per minute</v>
      </c>
      <c r="O14" s="721"/>
      <c r="P14" s="721"/>
      <c r="Q14" s="721"/>
    </row>
    <row r="15" spans="1:17" s="348" customFormat="1" x14ac:dyDescent="0.2">
      <c r="D15" s="788" t="s">
        <v>1258</v>
      </c>
      <c r="E15" s="788"/>
      <c r="F15" s="788"/>
      <c r="G15" s="670"/>
      <c r="H15" s="443" t="s">
        <v>307</v>
      </c>
      <c r="I15" s="447">
        <v>922.55874673629205</v>
      </c>
      <c r="J15" s="666" t="s">
        <v>1182</v>
      </c>
      <c r="K15" s="186">
        <v>9600</v>
      </c>
      <c r="L15" s="127">
        <f t="shared" si="0"/>
        <v>9.6099869451697087E-2</v>
      </c>
      <c r="M15" s="678" t="str">
        <f t="shared" si="1"/>
        <v>per minute</v>
      </c>
      <c r="O15" s="721" t="s">
        <v>1367</v>
      </c>
      <c r="P15" s="721"/>
      <c r="Q15" s="721"/>
    </row>
    <row r="16" spans="1:17" s="348" customFormat="1" x14ac:dyDescent="0.2">
      <c r="D16" s="788" t="s">
        <v>1259</v>
      </c>
      <c r="E16" s="788"/>
      <c r="F16" s="788"/>
      <c r="G16" s="670"/>
      <c r="H16" s="443" t="s">
        <v>307</v>
      </c>
      <c r="I16" s="447">
        <v>521.42297650130502</v>
      </c>
      <c r="J16" s="666" t="s">
        <v>1182</v>
      </c>
      <c r="K16" s="186">
        <v>9600</v>
      </c>
      <c r="L16" s="127">
        <f t="shared" si="0"/>
        <v>5.4314893385552607E-2</v>
      </c>
      <c r="M16" s="678" t="str">
        <f t="shared" si="1"/>
        <v>per minute</v>
      </c>
      <c r="O16" s="721" t="s">
        <v>1367</v>
      </c>
      <c r="P16" s="721"/>
      <c r="Q16" s="721"/>
    </row>
    <row r="17" spans="4:17" s="348" customFormat="1" x14ac:dyDescent="0.2">
      <c r="D17" s="788" t="s">
        <v>1260</v>
      </c>
      <c r="E17" s="788"/>
      <c r="F17" s="788"/>
      <c r="G17" s="670"/>
      <c r="H17" s="443" t="s">
        <v>307</v>
      </c>
      <c r="I17" s="447">
        <v>3783.2093124456101</v>
      </c>
      <c r="J17" s="666" t="s">
        <v>1182</v>
      </c>
      <c r="K17" s="186">
        <v>9600</v>
      </c>
      <c r="L17" s="127">
        <f t="shared" si="0"/>
        <v>0.39408430337975103</v>
      </c>
      <c r="M17" s="678" t="str">
        <f t="shared" si="1"/>
        <v>per minute</v>
      </c>
      <c r="O17" s="721" t="s">
        <v>1367</v>
      </c>
      <c r="P17" s="721"/>
      <c r="Q17" s="721"/>
    </row>
    <row r="18" spans="4:17" s="348" customFormat="1" x14ac:dyDescent="0.2">
      <c r="D18" s="723" t="s">
        <v>1649</v>
      </c>
      <c r="E18" s="723"/>
      <c r="F18" s="723"/>
      <c r="G18" s="663"/>
      <c r="H18" s="444" t="s">
        <v>307</v>
      </c>
      <c r="I18" s="448">
        <v>3200</v>
      </c>
      <c r="J18" s="666" t="s">
        <v>1182</v>
      </c>
      <c r="K18" s="186">
        <v>9600</v>
      </c>
      <c r="L18" s="127">
        <f t="shared" si="0"/>
        <v>0.33333333333333331</v>
      </c>
      <c r="M18" s="678" t="str">
        <f t="shared" si="1"/>
        <v>per minute</v>
      </c>
      <c r="O18" s="721"/>
      <c r="P18" s="721"/>
      <c r="Q18" s="721"/>
    </row>
    <row r="19" spans="4:17" s="348" customFormat="1" x14ac:dyDescent="0.2">
      <c r="D19" s="723" t="s">
        <v>1261</v>
      </c>
      <c r="E19" s="723"/>
      <c r="F19" s="723"/>
      <c r="G19" s="663"/>
      <c r="H19" s="444" t="s">
        <v>307</v>
      </c>
      <c r="I19" s="448">
        <v>2908.8348563968698</v>
      </c>
      <c r="J19" s="666" t="s">
        <v>1182</v>
      </c>
      <c r="K19" s="186">
        <v>9600</v>
      </c>
      <c r="L19" s="127">
        <f t="shared" si="0"/>
        <v>0.30300363087467391</v>
      </c>
      <c r="M19" s="678" t="str">
        <f t="shared" si="1"/>
        <v>per minute</v>
      </c>
      <c r="O19" s="721" t="s">
        <v>1651</v>
      </c>
      <c r="P19" s="721"/>
      <c r="Q19" s="721"/>
    </row>
    <row r="20" spans="4:17" s="348" customFormat="1" x14ac:dyDescent="0.2">
      <c r="D20" s="813" t="s">
        <v>1262</v>
      </c>
      <c r="E20" s="814"/>
      <c r="F20" s="815"/>
      <c r="G20" s="670"/>
      <c r="H20" s="443" t="s">
        <v>307</v>
      </c>
      <c r="I20" s="447">
        <v>922.55874673629205</v>
      </c>
      <c r="J20" s="666" t="s">
        <v>1182</v>
      </c>
      <c r="K20" s="186">
        <v>9600</v>
      </c>
      <c r="L20" s="127">
        <f t="shared" si="0"/>
        <v>9.6099869451697087E-2</v>
      </c>
      <c r="M20" s="678" t="str">
        <f t="shared" si="1"/>
        <v>per minute</v>
      </c>
      <c r="O20" s="721" t="s">
        <v>1367</v>
      </c>
      <c r="P20" s="721"/>
      <c r="Q20" s="721"/>
    </row>
    <row r="21" spans="4:17" s="348" customFormat="1" x14ac:dyDescent="0.2">
      <c r="D21" s="813" t="s">
        <v>1263</v>
      </c>
      <c r="E21" s="814"/>
      <c r="F21" s="815"/>
      <c r="G21" s="670"/>
      <c r="H21" s="443" t="s">
        <v>307</v>
      </c>
      <c r="I21" s="447">
        <v>456.18798955613602</v>
      </c>
      <c r="J21" s="666" t="s">
        <v>1182</v>
      </c>
      <c r="K21" s="186">
        <v>9600</v>
      </c>
      <c r="L21" s="127">
        <f t="shared" si="0"/>
        <v>4.7519582245430833E-2</v>
      </c>
      <c r="M21" s="678" t="str">
        <f t="shared" si="1"/>
        <v>per minute</v>
      </c>
      <c r="O21" s="721" t="s">
        <v>1367</v>
      </c>
      <c r="P21" s="721"/>
      <c r="Q21" s="721"/>
    </row>
    <row r="22" spans="4:17" s="348" customFormat="1" x14ac:dyDescent="0.2">
      <c r="D22" s="788" t="s">
        <v>1264</v>
      </c>
      <c r="E22" s="788"/>
      <c r="F22" s="788"/>
      <c r="G22" s="670"/>
      <c r="H22" s="443" t="s">
        <v>307</v>
      </c>
      <c r="I22" s="447">
        <v>521.35770234986899</v>
      </c>
      <c r="J22" s="666" t="s">
        <v>1182</v>
      </c>
      <c r="K22" s="186">
        <v>9600</v>
      </c>
      <c r="L22" s="127">
        <f t="shared" si="0"/>
        <v>5.4308093994778019E-2</v>
      </c>
      <c r="M22" s="678" t="str">
        <f t="shared" si="1"/>
        <v>per minute</v>
      </c>
      <c r="O22" s="721" t="s">
        <v>1367</v>
      </c>
      <c r="P22" s="721"/>
      <c r="Q22" s="721"/>
    </row>
    <row r="23" spans="4:17" s="348" customFormat="1" x14ac:dyDescent="0.2">
      <c r="D23" s="788" t="s">
        <v>1265</v>
      </c>
      <c r="E23" s="788"/>
      <c r="F23" s="788"/>
      <c r="G23" s="670"/>
      <c r="H23" s="443" t="s">
        <v>307</v>
      </c>
      <c r="I23" s="447">
        <v>1535.22193211488</v>
      </c>
      <c r="J23" s="666" t="s">
        <v>1182</v>
      </c>
      <c r="K23" s="186">
        <v>9600</v>
      </c>
      <c r="L23" s="127">
        <f t="shared" si="0"/>
        <v>0.15991895126196667</v>
      </c>
      <c r="M23" s="678" t="str">
        <f t="shared" si="1"/>
        <v>per minute</v>
      </c>
      <c r="O23" s="721" t="s">
        <v>1367</v>
      </c>
      <c r="P23" s="721"/>
      <c r="Q23" s="721"/>
    </row>
    <row r="24" spans="4:17" s="348" customFormat="1" x14ac:dyDescent="0.2">
      <c r="D24" s="788" t="s">
        <v>1266</v>
      </c>
      <c r="E24" s="788"/>
      <c r="F24" s="788"/>
      <c r="G24" s="670"/>
      <c r="H24" s="443" t="s">
        <v>307</v>
      </c>
      <c r="I24" s="447">
        <v>922.55874673629205</v>
      </c>
      <c r="J24" s="666" t="s">
        <v>1182</v>
      </c>
      <c r="K24" s="186">
        <v>9600</v>
      </c>
      <c r="L24" s="127">
        <f t="shared" si="0"/>
        <v>9.6099869451697087E-2</v>
      </c>
      <c r="M24" s="678" t="str">
        <f t="shared" si="1"/>
        <v>per minute</v>
      </c>
      <c r="O24" s="721" t="s">
        <v>1367</v>
      </c>
      <c r="P24" s="721"/>
      <c r="Q24" s="721"/>
    </row>
    <row r="25" spans="4:17" s="348" customFormat="1" x14ac:dyDescent="0.2">
      <c r="D25" s="788" t="s">
        <v>1267</v>
      </c>
      <c r="E25" s="788"/>
      <c r="F25" s="788"/>
      <c r="G25" s="670"/>
      <c r="H25" s="443" t="s">
        <v>307</v>
      </c>
      <c r="I25" s="447">
        <v>3783.2093124456101</v>
      </c>
      <c r="J25" s="666" t="s">
        <v>1182</v>
      </c>
      <c r="K25" s="186">
        <v>9600</v>
      </c>
      <c r="L25" s="127">
        <f t="shared" si="0"/>
        <v>0.39408430337975103</v>
      </c>
      <c r="M25" s="678" t="str">
        <f t="shared" si="1"/>
        <v>per minute</v>
      </c>
      <c r="O25" s="721" t="s">
        <v>1367</v>
      </c>
      <c r="P25" s="721"/>
      <c r="Q25" s="721"/>
    </row>
    <row r="26" spans="4:17" s="348" customFormat="1" x14ac:dyDescent="0.2">
      <c r="D26" s="788" t="s">
        <v>1268</v>
      </c>
      <c r="E26" s="788"/>
      <c r="F26" s="788"/>
      <c r="G26" s="670"/>
      <c r="H26" s="443" t="s">
        <v>307</v>
      </c>
      <c r="I26" s="447">
        <v>521.39686684073104</v>
      </c>
      <c r="J26" s="666" t="s">
        <v>1182</v>
      </c>
      <c r="K26" s="186">
        <v>9600</v>
      </c>
      <c r="L26" s="127">
        <f t="shared" si="0"/>
        <v>5.4312173629242816E-2</v>
      </c>
      <c r="M26" s="678" t="str">
        <f t="shared" si="1"/>
        <v>per minute</v>
      </c>
      <c r="O26" s="721" t="s">
        <v>1367</v>
      </c>
      <c r="P26" s="721"/>
      <c r="Q26" s="721"/>
    </row>
    <row r="27" spans="4:17" s="348" customFormat="1" x14ac:dyDescent="0.2">
      <c r="D27" s="813" t="s">
        <v>1269</v>
      </c>
      <c r="E27" s="814"/>
      <c r="F27" s="815"/>
      <c r="G27" s="670"/>
      <c r="H27" s="443" t="s">
        <v>307</v>
      </c>
      <c r="I27" s="447">
        <v>1528.2637075718001</v>
      </c>
      <c r="J27" s="666" t="s">
        <v>1182</v>
      </c>
      <c r="K27" s="186">
        <v>9600</v>
      </c>
      <c r="L27" s="127">
        <f t="shared" si="0"/>
        <v>0.15919413620539585</v>
      </c>
      <c r="M27" s="678" t="str">
        <f t="shared" si="1"/>
        <v>per minute</v>
      </c>
      <c r="O27" s="721" t="s">
        <v>1367</v>
      </c>
      <c r="P27" s="721"/>
      <c r="Q27" s="721"/>
    </row>
    <row r="28" spans="4:17" s="348" customFormat="1" x14ac:dyDescent="0.2">
      <c r="D28" s="813" t="s">
        <v>1270</v>
      </c>
      <c r="E28" s="814"/>
      <c r="F28" s="815"/>
      <c r="G28" s="670"/>
      <c r="H28" s="443" t="s">
        <v>307</v>
      </c>
      <c r="I28" s="447">
        <v>1528.27785030461</v>
      </c>
      <c r="J28" s="666" t="s">
        <v>1182</v>
      </c>
      <c r="K28" s="186">
        <v>9600</v>
      </c>
      <c r="L28" s="127">
        <f t="shared" si="0"/>
        <v>0.15919560940673019</v>
      </c>
      <c r="M28" s="678" t="str">
        <f t="shared" si="1"/>
        <v>per minute</v>
      </c>
      <c r="O28" s="721" t="s">
        <v>1367</v>
      </c>
      <c r="P28" s="721"/>
      <c r="Q28" s="721"/>
    </row>
    <row r="29" spans="4:17" s="348" customFormat="1" x14ac:dyDescent="0.2">
      <c r="D29" s="822" t="s">
        <v>1271</v>
      </c>
      <c r="E29" s="823"/>
      <c r="F29" s="823"/>
      <c r="G29" s="670"/>
      <c r="H29" s="443" t="s">
        <v>307</v>
      </c>
      <c r="I29" s="447">
        <v>1528.30613577023</v>
      </c>
      <c r="J29" s="666" t="s">
        <v>1182</v>
      </c>
      <c r="K29" s="186">
        <v>9600</v>
      </c>
      <c r="L29" s="127">
        <f t="shared" si="0"/>
        <v>0.15919855580939896</v>
      </c>
      <c r="M29" s="678" t="str">
        <f t="shared" si="1"/>
        <v>per minute</v>
      </c>
      <c r="O29" s="721" t="s">
        <v>1367</v>
      </c>
      <c r="P29" s="721"/>
      <c r="Q29" s="721"/>
    </row>
    <row r="30" spans="4:17" s="348" customFormat="1" x14ac:dyDescent="0.2">
      <c r="D30" s="788" t="s">
        <v>1272</v>
      </c>
      <c r="E30" s="788"/>
      <c r="F30" s="788"/>
      <c r="G30" s="670"/>
      <c r="H30" s="443" t="s">
        <v>307</v>
      </c>
      <c r="I30" s="447">
        <v>1528.2919930374201</v>
      </c>
      <c r="J30" s="666" t="s">
        <v>1182</v>
      </c>
      <c r="K30" s="186">
        <v>9600</v>
      </c>
      <c r="L30" s="127">
        <f t="shared" si="0"/>
        <v>0.15919708260806459</v>
      </c>
      <c r="M30" s="678" t="str">
        <f t="shared" si="1"/>
        <v>per minute</v>
      </c>
      <c r="O30" s="721" t="s">
        <v>1367</v>
      </c>
      <c r="P30" s="721"/>
      <c r="Q30" s="721"/>
    </row>
    <row r="31" spans="4:17" s="348" customFormat="1" x14ac:dyDescent="0.2">
      <c r="D31" s="788" t="s">
        <v>1273</v>
      </c>
      <c r="E31" s="788"/>
      <c r="F31" s="788"/>
      <c r="G31" s="670"/>
      <c r="H31" s="443" t="s">
        <v>307</v>
      </c>
      <c r="I31" s="447">
        <v>922.55874673629205</v>
      </c>
      <c r="J31" s="666" t="s">
        <v>1182</v>
      </c>
      <c r="K31" s="186">
        <v>9600</v>
      </c>
      <c r="L31" s="127">
        <f t="shared" si="0"/>
        <v>9.6099869451697087E-2</v>
      </c>
      <c r="M31" s="678" t="str">
        <f t="shared" si="1"/>
        <v>per minute</v>
      </c>
      <c r="O31" s="721" t="s">
        <v>1367</v>
      </c>
      <c r="P31" s="721"/>
      <c r="Q31" s="721"/>
    </row>
    <row r="32" spans="4:17" s="348" customFormat="1" x14ac:dyDescent="0.2">
      <c r="D32" s="788" t="s">
        <v>1274</v>
      </c>
      <c r="E32" s="788"/>
      <c r="F32" s="788"/>
      <c r="G32" s="670"/>
      <c r="H32" s="443" t="s">
        <v>307</v>
      </c>
      <c r="I32" s="447">
        <v>922.55874673629205</v>
      </c>
      <c r="J32" s="666" t="s">
        <v>1182</v>
      </c>
      <c r="K32" s="186">
        <v>9600</v>
      </c>
      <c r="L32" s="127">
        <f t="shared" si="0"/>
        <v>9.6099869451697087E-2</v>
      </c>
      <c r="M32" s="678" t="str">
        <f t="shared" si="1"/>
        <v>per minute</v>
      </c>
      <c r="O32" s="721" t="s">
        <v>1367</v>
      </c>
      <c r="P32" s="721"/>
      <c r="Q32" s="721"/>
    </row>
    <row r="33" spans="4:17" s="348" customFormat="1" x14ac:dyDescent="0.2">
      <c r="D33" s="813" t="s">
        <v>1275</v>
      </c>
      <c r="E33" s="814"/>
      <c r="F33" s="815"/>
      <c r="G33" s="670"/>
      <c r="H33" s="443" t="s">
        <v>307</v>
      </c>
      <c r="I33" s="447">
        <v>922.55874673629205</v>
      </c>
      <c r="J33" s="666" t="s">
        <v>1182</v>
      </c>
      <c r="K33" s="186">
        <v>9600</v>
      </c>
      <c r="L33" s="127">
        <f t="shared" si="0"/>
        <v>9.6099869451697087E-2</v>
      </c>
      <c r="M33" s="678" t="str">
        <f t="shared" si="1"/>
        <v>per minute</v>
      </c>
      <c r="O33" s="721" t="s">
        <v>1367</v>
      </c>
      <c r="P33" s="721"/>
      <c r="Q33" s="721"/>
    </row>
    <row r="34" spans="4:17" s="348" customFormat="1" x14ac:dyDescent="0.2">
      <c r="D34" s="813" t="s">
        <v>1276</v>
      </c>
      <c r="E34" s="814"/>
      <c r="F34" s="815"/>
      <c r="G34" s="670"/>
      <c r="H34" s="443" t="s">
        <v>307</v>
      </c>
      <c r="I34" s="447">
        <v>548.30287206266303</v>
      </c>
      <c r="J34" s="666" t="s">
        <v>1182</v>
      </c>
      <c r="K34" s="186">
        <v>9600</v>
      </c>
      <c r="L34" s="127">
        <f t="shared" si="0"/>
        <v>5.7114882506527402E-2</v>
      </c>
      <c r="M34" s="678" t="str">
        <f t="shared" si="1"/>
        <v>per minute</v>
      </c>
      <c r="O34" s="721" t="s">
        <v>1367</v>
      </c>
      <c r="P34" s="721"/>
      <c r="Q34" s="721"/>
    </row>
    <row r="35" spans="4:17" s="348" customFormat="1" x14ac:dyDescent="0.2">
      <c r="D35" s="813" t="s">
        <v>1277</v>
      </c>
      <c r="E35" s="814"/>
      <c r="F35" s="815"/>
      <c r="G35" s="670"/>
      <c r="H35" s="443" t="s">
        <v>307</v>
      </c>
      <c r="I35" s="447">
        <v>521.40992167101797</v>
      </c>
      <c r="J35" s="666" t="s">
        <v>1182</v>
      </c>
      <c r="K35" s="186">
        <v>9600</v>
      </c>
      <c r="L35" s="127">
        <f t="shared" si="0"/>
        <v>5.4313533507397704E-2</v>
      </c>
      <c r="M35" s="678" t="str">
        <f t="shared" si="1"/>
        <v>per minute</v>
      </c>
      <c r="O35" s="721" t="s">
        <v>1367</v>
      </c>
      <c r="P35" s="721"/>
      <c r="Q35" s="721"/>
    </row>
    <row r="36" spans="4:17" s="348" customFormat="1" x14ac:dyDescent="0.2">
      <c r="D36" s="813" t="s">
        <v>1278</v>
      </c>
      <c r="E36" s="814"/>
      <c r="F36" s="815"/>
      <c r="G36" s="670"/>
      <c r="H36" s="443" t="s">
        <v>307</v>
      </c>
      <c r="I36" s="447">
        <v>1171.8668407310699</v>
      </c>
      <c r="J36" s="666" t="s">
        <v>1182</v>
      </c>
      <c r="K36" s="186">
        <v>9600</v>
      </c>
      <c r="L36" s="127">
        <f t="shared" si="0"/>
        <v>0.12206946257615311</v>
      </c>
      <c r="M36" s="678" t="str">
        <f t="shared" si="1"/>
        <v>per minute</v>
      </c>
      <c r="O36" s="721" t="s">
        <v>1367</v>
      </c>
      <c r="P36" s="721"/>
      <c r="Q36" s="721"/>
    </row>
    <row r="37" spans="4:17" s="348" customFormat="1" x14ac:dyDescent="0.2">
      <c r="D37" s="813" t="s">
        <v>1279</v>
      </c>
      <c r="E37" s="814"/>
      <c r="F37" s="815"/>
      <c r="G37" s="670"/>
      <c r="H37" s="443" t="s">
        <v>307</v>
      </c>
      <c r="I37" s="447">
        <v>1171.8809834638801</v>
      </c>
      <c r="J37" s="666" t="s">
        <v>1182</v>
      </c>
      <c r="K37" s="186">
        <v>9600</v>
      </c>
      <c r="L37" s="127">
        <f t="shared" si="0"/>
        <v>0.12207093577748751</v>
      </c>
      <c r="M37" s="678" t="str">
        <f t="shared" si="1"/>
        <v>per minute</v>
      </c>
      <c r="O37" s="721" t="s">
        <v>1367</v>
      </c>
      <c r="P37" s="721"/>
      <c r="Q37" s="721"/>
    </row>
    <row r="38" spans="4:17" s="348" customFormat="1" x14ac:dyDescent="0.2">
      <c r="D38" s="813" t="s">
        <v>1280</v>
      </c>
      <c r="E38" s="814"/>
      <c r="F38" s="815"/>
      <c r="G38" s="670"/>
      <c r="H38" s="443" t="s">
        <v>1181</v>
      </c>
      <c r="I38" s="447">
        <v>1171.8951261966899</v>
      </c>
      <c r="J38" s="666" t="s">
        <v>1182</v>
      </c>
      <c r="K38" s="186">
        <v>9600</v>
      </c>
      <c r="L38" s="127">
        <f t="shared" si="0"/>
        <v>0.12207240897882186</v>
      </c>
      <c r="M38" s="678" t="str">
        <f t="shared" si="1"/>
        <v>per minute</v>
      </c>
      <c r="O38" s="721" t="s">
        <v>1367</v>
      </c>
      <c r="P38" s="721"/>
      <c r="Q38" s="721"/>
    </row>
    <row r="39" spans="4:17" s="348" customFormat="1" x14ac:dyDescent="0.2">
      <c r="D39" s="813" t="s">
        <v>1281</v>
      </c>
      <c r="E39" s="814"/>
      <c r="F39" s="815"/>
      <c r="G39" s="670"/>
      <c r="H39" s="443" t="s">
        <v>1181</v>
      </c>
      <c r="I39" s="447">
        <v>521.37075718015706</v>
      </c>
      <c r="J39" s="666" t="s">
        <v>1182</v>
      </c>
      <c r="K39" s="186">
        <v>9600</v>
      </c>
      <c r="L39" s="127">
        <f t="shared" si="0"/>
        <v>5.4309453872933025E-2</v>
      </c>
      <c r="M39" s="678" t="str">
        <f t="shared" si="1"/>
        <v>per minute</v>
      </c>
      <c r="O39" s="721" t="s">
        <v>1367</v>
      </c>
      <c r="P39" s="721"/>
      <c r="Q39" s="721"/>
    </row>
    <row r="40" spans="4:17" s="348" customFormat="1" x14ac:dyDescent="0.2">
      <c r="D40" s="813" t="s">
        <v>1253</v>
      </c>
      <c r="E40" s="814"/>
      <c r="F40" s="815"/>
      <c r="G40" s="670"/>
      <c r="H40" s="443" t="s">
        <v>1181</v>
      </c>
      <c r="I40" s="447">
        <v>0</v>
      </c>
      <c r="J40" s="666" t="s">
        <v>1182</v>
      </c>
      <c r="K40" s="186">
        <v>0</v>
      </c>
      <c r="L40" s="127">
        <f t="shared" si="0"/>
        <v>0</v>
      </c>
      <c r="M40" s="678" t="str">
        <f t="shared" si="1"/>
        <v>per minute</v>
      </c>
      <c r="O40" s="721"/>
      <c r="P40" s="721"/>
      <c r="Q40" s="721"/>
    </row>
    <row r="41" spans="4:17" s="348" customFormat="1" x14ac:dyDescent="0.2">
      <c r="D41" s="813" t="s">
        <v>1254</v>
      </c>
      <c r="E41" s="814"/>
      <c r="F41" s="815"/>
      <c r="G41" s="670"/>
      <c r="H41" s="443" t="s">
        <v>1181</v>
      </c>
      <c r="I41" s="447">
        <v>0</v>
      </c>
      <c r="J41" s="666" t="s">
        <v>1182</v>
      </c>
      <c r="K41" s="186">
        <v>0</v>
      </c>
      <c r="L41" s="127">
        <f t="shared" si="0"/>
        <v>0</v>
      </c>
      <c r="M41" s="678" t="str">
        <f t="shared" si="1"/>
        <v>per minute</v>
      </c>
      <c r="O41" s="721"/>
      <c r="P41" s="721"/>
      <c r="Q41" s="721"/>
    </row>
    <row r="42" spans="4:17" s="348" customFormat="1" x14ac:dyDescent="0.2">
      <c r="D42" s="813" t="s">
        <v>1255</v>
      </c>
      <c r="E42" s="814"/>
      <c r="F42" s="815"/>
      <c r="G42" s="670"/>
      <c r="H42" s="443" t="s">
        <v>1181</v>
      </c>
      <c r="I42" s="447">
        <v>0</v>
      </c>
      <c r="J42" s="666" t="s">
        <v>1182</v>
      </c>
      <c r="K42" s="186">
        <v>0</v>
      </c>
      <c r="L42" s="127">
        <f t="shared" si="0"/>
        <v>0</v>
      </c>
      <c r="M42" s="678" t="str">
        <f t="shared" si="1"/>
        <v>per minute</v>
      </c>
      <c r="O42" s="721"/>
      <c r="P42" s="721"/>
      <c r="Q42" s="721"/>
    </row>
    <row r="43" spans="4:17" s="348" customFormat="1" x14ac:dyDescent="0.2">
      <c r="D43" s="813" t="s">
        <v>1256</v>
      </c>
      <c r="E43" s="814"/>
      <c r="F43" s="815"/>
      <c r="G43" s="670"/>
      <c r="H43" s="443" t="s">
        <v>1181</v>
      </c>
      <c r="I43" s="447">
        <v>0</v>
      </c>
      <c r="J43" s="666" t="s">
        <v>1182</v>
      </c>
      <c r="K43" s="186">
        <v>0</v>
      </c>
      <c r="L43" s="127">
        <f t="shared" si="0"/>
        <v>0</v>
      </c>
      <c r="M43" s="678" t="str">
        <f t="shared" si="1"/>
        <v>per minute</v>
      </c>
      <c r="O43" s="721"/>
      <c r="P43" s="721"/>
      <c r="Q43" s="721"/>
    </row>
    <row r="44" spans="4:17" s="348" customFormat="1" x14ac:dyDescent="0.2">
      <c r="D44" s="813" t="s">
        <v>1648</v>
      </c>
      <c r="E44" s="814"/>
      <c r="F44" s="815"/>
      <c r="G44" s="670"/>
      <c r="H44" s="443" t="s">
        <v>1181</v>
      </c>
      <c r="I44" s="447">
        <v>0</v>
      </c>
      <c r="J44" s="666" t="s">
        <v>1182</v>
      </c>
      <c r="K44" s="186">
        <v>0</v>
      </c>
      <c r="L44" s="127">
        <f t="shared" si="0"/>
        <v>0</v>
      </c>
      <c r="M44" s="678" t="str">
        <f t="shared" si="1"/>
        <v>per minute</v>
      </c>
      <c r="O44" s="721"/>
      <c r="P44" s="721"/>
      <c r="Q44" s="721"/>
    </row>
    <row r="45" spans="4:17" s="348" customFormat="1" ht="21.6" customHeight="1" x14ac:dyDescent="0.2"/>
    <row r="46" spans="4:17" s="348" customFormat="1" ht="51" x14ac:dyDescent="0.2">
      <c r="D46" s="824" t="str">
        <f t="shared" ref="D46" si="2">"Personnel Types - "&amp;I422&amp;""</f>
        <v>Personnel Types - Other Health Facilities</v>
      </c>
      <c r="E46" s="825"/>
      <c r="F46" s="825"/>
      <c r="H46" s="676" t="s">
        <v>838</v>
      </c>
      <c r="I46" s="676" t="s">
        <v>973</v>
      </c>
      <c r="J46" s="676" t="s">
        <v>972</v>
      </c>
      <c r="K46" s="676" t="s">
        <v>818</v>
      </c>
      <c r="L46" s="365" t="str">
        <f>"Cost Per Personnel Unit ("&amp;$G$10&amp;"/SU)"</f>
        <v>Cost Per Personnel Unit (USD/SU)</v>
      </c>
      <c r="M46" s="671" t="s">
        <v>1775</v>
      </c>
      <c r="O46" s="800" t="s">
        <v>648</v>
      </c>
      <c r="P46" s="801"/>
      <c r="Q46" s="801"/>
    </row>
    <row r="47" spans="4:17" s="348" customFormat="1" x14ac:dyDescent="0.2">
      <c r="D47" s="788" t="s">
        <v>1257</v>
      </c>
      <c r="E47" s="788"/>
      <c r="F47" s="788"/>
      <c r="G47" s="670"/>
      <c r="H47" s="443" t="s">
        <v>307</v>
      </c>
      <c r="I47" s="447">
        <v>0</v>
      </c>
      <c r="J47" s="666" t="s">
        <v>306</v>
      </c>
      <c r="K47" s="447">
        <v>9600</v>
      </c>
      <c r="L47" s="127">
        <f t="shared" ref="L47:L77" si="3">IFERROR(I47/K47,0)</f>
        <v>0</v>
      </c>
      <c r="M47" s="678" t="str">
        <f t="shared" ref="M47:M77" si="4">"per "&amp;J47&amp;""</f>
        <v>per Minute</v>
      </c>
      <c r="O47" s="721"/>
      <c r="P47" s="721"/>
      <c r="Q47" s="721"/>
    </row>
    <row r="48" spans="4:17" s="348" customFormat="1" x14ac:dyDescent="0.2">
      <c r="D48" s="788" t="s">
        <v>1258</v>
      </c>
      <c r="E48" s="788"/>
      <c r="F48" s="788"/>
      <c r="G48" s="670"/>
      <c r="H48" s="443" t="s">
        <v>307</v>
      </c>
      <c r="I48" s="447">
        <v>922.55874673629205</v>
      </c>
      <c r="J48" s="666" t="s">
        <v>306</v>
      </c>
      <c r="K48" s="447">
        <v>9600</v>
      </c>
      <c r="L48" s="127">
        <f t="shared" si="3"/>
        <v>9.6099869451697087E-2</v>
      </c>
      <c r="M48" s="678" t="str">
        <f t="shared" si="4"/>
        <v>per Minute</v>
      </c>
      <c r="O48" s="721" t="s">
        <v>1367</v>
      </c>
      <c r="P48" s="721"/>
      <c r="Q48" s="721"/>
    </row>
    <row r="49" spans="4:17" s="348" customFormat="1" x14ac:dyDescent="0.2">
      <c r="D49" s="788" t="s">
        <v>1259</v>
      </c>
      <c r="E49" s="788"/>
      <c r="F49" s="788"/>
      <c r="G49" s="670"/>
      <c r="H49" s="443" t="s">
        <v>307</v>
      </c>
      <c r="I49" s="447">
        <v>521.42297650130502</v>
      </c>
      <c r="J49" s="666" t="s">
        <v>306</v>
      </c>
      <c r="K49" s="447">
        <v>9600</v>
      </c>
      <c r="L49" s="127">
        <f t="shared" si="3"/>
        <v>5.4314893385552607E-2</v>
      </c>
      <c r="M49" s="678" t="str">
        <f t="shared" si="4"/>
        <v>per Minute</v>
      </c>
      <c r="O49" s="721" t="s">
        <v>1367</v>
      </c>
      <c r="P49" s="721"/>
      <c r="Q49" s="721"/>
    </row>
    <row r="50" spans="4:17" s="348" customFormat="1" x14ac:dyDescent="0.2">
      <c r="D50" s="788" t="s">
        <v>1260</v>
      </c>
      <c r="E50" s="788"/>
      <c r="F50" s="788"/>
      <c r="G50" s="670"/>
      <c r="H50" s="443" t="s">
        <v>307</v>
      </c>
      <c r="I50" s="447">
        <v>3783.2093124456101</v>
      </c>
      <c r="J50" s="666" t="s">
        <v>306</v>
      </c>
      <c r="K50" s="447">
        <v>9600</v>
      </c>
      <c r="L50" s="127">
        <f t="shared" si="3"/>
        <v>0.39408430337975103</v>
      </c>
      <c r="M50" s="678" t="str">
        <f t="shared" si="4"/>
        <v>per Minute</v>
      </c>
      <c r="O50" s="721" t="s">
        <v>1367</v>
      </c>
      <c r="P50" s="721"/>
      <c r="Q50" s="721"/>
    </row>
    <row r="51" spans="4:17" s="348" customFormat="1" x14ac:dyDescent="0.2">
      <c r="D51" s="723" t="s">
        <v>1649</v>
      </c>
      <c r="E51" s="723"/>
      <c r="F51" s="723"/>
      <c r="G51" s="663"/>
      <c r="H51" s="444" t="s">
        <v>307</v>
      </c>
      <c r="I51" s="448">
        <v>3000</v>
      </c>
      <c r="J51" s="666" t="s">
        <v>306</v>
      </c>
      <c r="K51" s="448">
        <v>9600</v>
      </c>
      <c r="L51" s="127">
        <f t="shared" si="3"/>
        <v>0.3125</v>
      </c>
      <c r="M51" s="678" t="str">
        <f t="shared" si="4"/>
        <v>per Minute</v>
      </c>
      <c r="O51" s="721" t="s">
        <v>1650</v>
      </c>
      <c r="P51" s="721"/>
      <c r="Q51" s="721"/>
    </row>
    <row r="52" spans="4:17" s="348" customFormat="1" x14ac:dyDescent="0.2">
      <c r="D52" s="723" t="s">
        <v>1261</v>
      </c>
      <c r="E52" s="723"/>
      <c r="F52" s="723"/>
      <c r="G52" s="663"/>
      <c r="H52" s="444" t="s">
        <v>307</v>
      </c>
      <c r="I52" s="448">
        <v>2908.8348563968698</v>
      </c>
      <c r="J52" s="666" t="s">
        <v>306</v>
      </c>
      <c r="K52" s="448">
        <v>9600</v>
      </c>
      <c r="L52" s="127">
        <f t="shared" si="3"/>
        <v>0.30300363087467391</v>
      </c>
      <c r="M52" s="678" t="str">
        <f t="shared" si="4"/>
        <v>per Minute</v>
      </c>
      <c r="O52" s="721" t="s">
        <v>1651</v>
      </c>
      <c r="P52" s="721"/>
      <c r="Q52" s="721"/>
    </row>
    <row r="53" spans="4:17" s="348" customFormat="1" x14ac:dyDescent="0.2">
      <c r="D53" s="788" t="s">
        <v>1262</v>
      </c>
      <c r="E53" s="788"/>
      <c r="F53" s="788"/>
      <c r="G53" s="670"/>
      <c r="H53" s="443" t="s">
        <v>307</v>
      </c>
      <c r="I53" s="447">
        <v>922.55874673629205</v>
      </c>
      <c r="J53" s="666" t="s">
        <v>306</v>
      </c>
      <c r="K53" s="447">
        <v>9600</v>
      </c>
      <c r="L53" s="127">
        <f t="shared" si="3"/>
        <v>9.6099869451697087E-2</v>
      </c>
      <c r="M53" s="678" t="str">
        <f t="shared" si="4"/>
        <v>per Minute</v>
      </c>
      <c r="O53" s="721" t="s">
        <v>1367</v>
      </c>
      <c r="P53" s="721"/>
      <c r="Q53" s="721"/>
    </row>
    <row r="54" spans="4:17" s="348" customFormat="1" x14ac:dyDescent="0.2">
      <c r="D54" s="813" t="s">
        <v>1263</v>
      </c>
      <c r="E54" s="814"/>
      <c r="F54" s="815"/>
      <c r="G54" s="670"/>
      <c r="H54" s="443" t="s">
        <v>307</v>
      </c>
      <c r="I54" s="447">
        <v>456.18798955613602</v>
      </c>
      <c r="J54" s="666" t="s">
        <v>306</v>
      </c>
      <c r="K54" s="447">
        <v>9600</v>
      </c>
      <c r="L54" s="127">
        <f t="shared" si="3"/>
        <v>4.7519582245430833E-2</v>
      </c>
      <c r="M54" s="678" t="str">
        <f t="shared" si="4"/>
        <v>per Minute</v>
      </c>
      <c r="O54" s="721" t="s">
        <v>1367</v>
      </c>
      <c r="P54" s="721"/>
      <c r="Q54" s="721"/>
    </row>
    <row r="55" spans="4:17" s="348" customFormat="1" x14ac:dyDescent="0.2">
      <c r="D55" s="813" t="s">
        <v>1264</v>
      </c>
      <c r="E55" s="814"/>
      <c r="F55" s="815"/>
      <c r="G55" s="670"/>
      <c r="H55" s="443" t="s">
        <v>307</v>
      </c>
      <c r="I55" s="447">
        <v>521.35770234986899</v>
      </c>
      <c r="J55" s="666" t="s">
        <v>306</v>
      </c>
      <c r="K55" s="447">
        <v>9600</v>
      </c>
      <c r="L55" s="127">
        <f t="shared" si="3"/>
        <v>5.4308093994778019E-2</v>
      </c>
      <c r="M55" s="678" t="str">
        <f t="shared" si="4"/>
        <v>per Minute</v>
      </c>
      <c r="O55" s="721" t="s">
        <v>1367</v>
      </c>
      <c r="P55" s="721"/>
      <c r="Q55" s="721"/>
    </row>
    <row r="56" spans="4:17" s="348" customFormat="1" x14ac:dyDescent="0.2">
      <c r="D56" s="813" t="s">
        <v>1265</v>
      </c>
      <c r="E56" s="814"/>
      <c r="F56" s="815"/>
      <c r="G56" s="670"/>
      <c r="H56" s="443" t="s">
        <v>307</v>
      </c>
      <c r="I56" s="447">
        <v>1535.22193211488</v>
      </c>
      <c r="J56" s="666" t="s">
        <v>306</v>
      </c>
      <c r="K56" s="447">
        <v>9600</v>
      </c>
      <c r="L56" s="127">
        <f t="shared" si="3"/>
        <v>0.15991895126196667</v>
      </c>
      <c r="M56" s="678" t="str">
        <f t="shared" si="4"/>
        <v>per Minute</v>
      </c>
      <c r="O56" s="721" t="s">
        <v>1367</v>
      </c>
      <c r="P56" s="721"/>
      <c r="Q56" s="721"/>
    </row>
    <row r="57" spans="4:17" s="348" customFormat="1" x14ac:dyDescent="0.2">
      <c r="D57" s="813" t="s">
        <v>1266</v>
      </c>
      <c r="E57" s="814"/>
      <c r="F57" s="815"/>
      <c r="G57" s="670"/>
      <c r="H57" s="443" t="s">
        <v>307</v>
      </c>
      <c r="I57" s="447">
        <v>922.55874673629205</v>
      </c>
      <c r="J57" s="666" t="s">
        <v>306</v>
      </c>
      <c r="K57" s="447">
        <v>9600</v>
      </c>
      <c r="L57" s="127">
        <f t="shared" si="3"/>
        <v>9.6099869451697087E-2</v>
      </c>
      <c r="M57" s="678" t="str">
        <f t="shared" si="4"/>
        <v>per Minute</v>
      </c>
      <c r="O57" s="721" t="s">
        <v>1367</v>
      </c>
      <c r="P57" s="721"/>
      <c r="Q57" s="721"/>
    </row>
    <row r="58" spans="4:17" s="348" customFormat="1" x14ac:dyDescent="0.2">
      <c r="D58" s="813" t="s">
        <v>1267</v>
      </c>
      <c r="E58" s="814"/>
      <c r="F58" s="815"/>
      <c r="G58" s="670"/>
      <c r="H58" s="443" t="s">
        <v>307</v>
      </c>
      <c r="I58" s="447">
        <v>3783.2093124456101</v>
      </c>
      <c r="J58" s="666" t="s">
        <v>306</v>
      </c>
      <c r="K58" s="447">
        <v>9600</v>
      </c>
      <c r="L58" s="127">
        <f t="shared" si="3"/>
        <v>0.39408430337975103</v>
      </c>
      <c r="M58" s="678" t="str">
        <f t="shared" si="4"/>
        <v>per Minute</v>
      </c>
      <c r="O58" s="721" t="s">
        <v>1367</v>
      </c>
      <c r="P58" s="721"/>
      <c r="Q58" s="721"/>
    </row>
    <row r="59" spans="4:17" s="348" customFormat="1" x14ac:dyDescent="0.2">
      <c r="D59" s="813" t="s">
        <v>1268</v>
      </c>
      <c r="E59" s="814"/>
      <c r="F59" s="815"/>
      <c r="G59" s="670"/>
      <c r="H59" s="443" t="s">
        <v>307</v>
      </c>
      <c r="I59" s="447">
        <v>521.39686684073104</v>
      </c>
      <c r="J59" s="666" t="s">
        <v>306</v>
      </c>
      <c r="K59" s="447">
        <v>9600</v>
      </c>
      <c r="L59" s="127">
        <f t="shared" si="3"/>
        <v>5.4312173629242816E-2</v>
      </c>
      <c r="M59" s="678" t="str">
        <f t="shared" si="4"/>
        <v>per Minute</v>
      </c>
      <c r="O59" s="721" t="s">
        <v>1367</v>
      </c>
      <c r="P59" s="721"/>
      <c r="Q59" s="721"/>
    </row>
    <row r="60" spans="4:17" s="348" customFormat="1" x14ac:dyDescent="0.2">
      <c r="D60" s="813" t="s">
        <v>1269</v>
      </c>
      <c r="E60" s="814"/>
      <c r="F60" s="815"/>
      <c r="G60" s="670"/>
      <c r="H60" s="443" t="s">
        <v>307</v>
      </c>
      <c r="I60" s="447">
        <v>1528.2637075718001</v>
      </c>
      <c r="J60" s="666" t="s">
        <v>306</v>
      </c>
      <c r="K60" s="447">
        <v>9600</v>
      </c>
      <c r="L60" s="127">
        <f t="shared" si="3"/>
        <v>0.15919413620539585</v>
      </c>
      <c r="M60" s="678" t="str">
        <f t="shared" si="4"/>
        <v>per Minute</v>
      </c>
      <c r="O60" s="721" t="s">
        <v>1367</v>
      </c>
      <c r="P60" s="721"/>
      <c r="Q60" s="721"/>
    </row>
    <row r="61" spans="4:17" s="348" customFormat="1" x14ac:dyDescent="0.2">
      <c r="D61" s="813" t="s">
        <v>1270</v>
      </c>
      <c r="E61" s="814"/>
      <c r="F61" s="815"/>
      <c r="G61" s="670"/>
      <c r="H61" s="443" t="s">
        <v>307</v>
      </c>
      <c r="I61" s="447">
        <v>1528.27785030461</v>
      </c>
      <c r="J61" s="666" t="s">
        <v>306</v>
      </c>
      <c r="K61" s="447">
        <v>9600</v>
      </c>
      <c r="L61" s="127">
        <f t="shared" si="3"/>
        <v>0.15919560940673019</v>
      </c>
      <c r="M61" s="678" t="str">
        <f t="shared" si="4"/>
        <v>per Minute</v>
      </c>
      <c r="O61" s="721" t="s">
        <v>1367</v>
      </c>
      <c r="P61" s="721"/>
      <c r="Q61" s="721"/>
    </row>
    <row r="62" spans="4:17" s="348" customFormat="1" x14ac:dyDescent="0.2">
      <c r="D62" s="813" t="s">
        <v>1271</v>
      </c>
      <c r="E62" s="814"/>
      <c r="F62" s="815"/>
      <c r="G62" s="670"/>
      <c r="H62" s="443" t="s">
        <v>307</v>
      </c>
      <c r="I62" s="447">
        <v>1528.30613577023</v>
      </c>
      <c r="J62" s="666" t="s">
        <v>306</v>
      </c>
      <c r="K62" s="447">
        <v>9600</v>
      </c>
      <c r="L62" s="127">
        <f t="shared" si="3"/>
        <v>0.15919855580939896</v>
      </c>
      <c r="M62" s="678" t="str">
        <f t="shared" si="4"/>
        <v>per Minute</v>
      </c>
      <c r="O62" s="721" t="s">
        <v>1367</v>
      </c>
      <c r="P62" s="721"/>
      <c r="Q62" s="721"/>
    </row>
    <row r="63" spans="4:17" s="348" customFormat="1" x14ac:dyDescent="0.2">
      <c r="D63" s="788" t="s">
        <v>1272</v>
      </c>
      <c r="E63" s="788"/>
      <c r="F63" s="788"/>
      <c r="G63" s="670"/>
      <c r="H63" s="443" t="s">
        <v>307</v>
      </c>
      <c r="I63" s="447">
        <v>1528.2919930374201</v>
      </c>
      <c r="J63" s="666" t="s">
        <v>306</v>
      </c>
      <c r="K63" s="447">
        <v>9600</v>
      </c>
      <c r="L63" s="127">
        <f t="shared" si="3"/>
        <v>0.15919708260806459</v>
      </c>
      <c r="M63" s="678" t="str">
        <f t="shared" si="4"/>
        <v>per Minute</v>
      </c>
      <c r="O63" s="721" t="s">
        <v>1367</v>
      </c>
      <c r="P63" s="721"/>
      <c r="Q63" s="721"/>
    </row>
    <row r="64" spans="4:17" s="348" customFormat="1" x14ac:dyDescent="0.2">
      <c r="D64" s="788" t="s">
        <v>1273</v>
      </c>
      <c r="E64" s="788"/>
      <c r="F64" s="788"/>
      <c r="G64" s="670"/>
      <c r="H64" s="443" t="s">
        <v>307</v>
      </c>
      <c r="I64" s="447">
        <v>922.55874673629205</v>
      </c>
      <c r="J64" s="666" t="s">
        <v>306</v>
      </c>
      <c r="K64" s="447">
        <v>9600</v>
      </c>
      <c r="L64" s="127">
        <f t="shared" si="3"/>
        <v>9.6099869451697087E-2</v>
      </c>
      <c r="M64" s="678" t="str">
        <f t="shared" si="4"/>
        <v>per Minute</v>
      </c>
      <c r="O64" s="721" t="s">
        <v>1367</v>
      </c>
      <c r="P64" s="721"/>
      <c r="Q64" s="721"/>
    </row>
    <row r="65" spans="4:17" s="348" customFormat="1" x14ac:dyDescent="0.2">
      <c r="D65" s="788" t="s">
        <v>1274</v>
      </c>
      <c r="E65" s="788"/>
      <c r="F65" s="788"/>
      <c r="G65" s="670"/>
      <c r="H65" s="443" t="s">
        <v>307</v>
      </c>
      <c r="I65" s="447">
        <v>922.55874673629205</v>
      </c>
      <c r="J65" s="666" t="s">
        <v>306</v>
      </c>
      <c r="K65" s="447">
        <v>9600</v>
      </c>
      <c r="L65" s="127">
        <f t="shared" si="3"/>
        <v>9.6099869451697087E-2</v>
      </c>
      <c r="M65" s="678" t="str">
        <f t="shared" si="4"/>
        <v>per Minute</v>
      </c>
      <c r="O65" s="721" t="s">
        <v>1367</v>
      </c>
      <c r="P65" s="721"/>
      <c r="Q65" s="721"/>
    </row>
    <row r="66" spans="4:17" s="348" customFormat="1" x14ac:dyDescent="0.2">
      <c r="D66" s="788" t="s">
        <v>1275</v>
      </c>
      <c r="E66" s="788"/>
      <c r="F66" s="788"/>
      <c r="G66" s="670"/>
      <c r="H66" s="443" t="s">
        <v>307</v>
      </c>
      <c r="I66" s="447">
        <v>922.55874673629205</v>
      </c>
      <c r="J66" s="666" t="s">
        <v>306</v>
      </c>
      <c r="K66" s="447">
        <v>9600</v>
      </c>
      <c r="L66" s="127">
        <f t="shared" si="3"/>
        <v>9.6099869451697087E-2</v>
      </c>
      <c r="M66" s="678" t="str">
        <f t="shared" si="4"/>
        <v>per Minute</v>
      </c>
      <c r="O66" s="721" t="s">
        <v>1367</v>
      </c>
      <c r="P66" s="721"/>
      <c r="Q66" s="721"/>
    </row>
    <row r="67" spans="4:17" s="348" customFormat="1" x14ac:dyDescent="0.2">
      <c r="D67" s="788" t="s">
        <v>1276</v>
      </c>
      <c r="E67" s="788"/>
      <c r="F67" s="788"/>
      <c r="G67" s="670"/>
      <c r="H67" s="443" t="s">
        <v>307</v>
      </c>
      <c r="I67" s="447">
        <v>548.30287206266303</v>
      </c>
      <c r="J67" s="666" t="s">
        <v>306</v>
      </c>
      <c r="K67" s="447">
        <v>9600</v>
      </c>
      <c r="L67" s="127">
        <f t="shared" si="3"/>
        <v>5.7114882506527402E-2</v>
      </c>
      <c r="M67" s="678" t="str">
        <f t="shared" si="4"/>
        <v>per Minute</v>
      </c>
      <c r="O67" s="721" t="s">
        <v>1367</v>
      </c>
      <c r="P67" s="721"/>
      <c r="Q67" s="721"/>
    </row>
    <row r="68" spans="4:17" s="348" customFormat="1" x14ac:dyDescent="0.2">
      <c r="D68" s="813" t="s">
        <v>1277</v>
      </c>
      <c r="E68" s="814" t="s">
        <v>1209</v>
      </c>
      <c r="F68" s="815" t="s">
        <v>1209</v>
      </c>
      <c r="G68" s="670"/>
      <c r="H68" s="443" t="s">
        <v>307</v>
      </c>
      <c r="I68" s="447">
        <v>521.40992167101797</v>
      </c>
      <c r="J68" s="666" t="s">
        <v>306</v>
      </c>
      <c r="K68" s="447">
        <v>9600</v>
      </c>
      <c r="L68" s="127">
        <f t="shared" si="3"/>
        <v>5.4313533507397704E-2</v>
      </c>
      <c r="M68" s="678" t="str">
        <f t="shared" si="4"/>
        <v>per Minute</v>
      </c>
      <c r="O68" s="721" t="s">
        <v>1367</v>
      </c>
      <c r="P68" s="721"/>
      <c r="Q68" s="721"/>
    </row>
    <row r="69" spans="4:17" s="348" customFormat="1" x14ac:dyDescent="0.2">
      <c r="D69" s="813" t="s">
        <v>1278</v>
      </c>
      <c r="E69" s="814" t="s">
        <v>1209</v>
      </c>
      <c r="F69" s="815" t="s">
        <v>1209</v>
      </c>
      <c r="G69" s="670"/>
      <c r="H69" s="443" t="s">
        <v>307</v>
      </c>
      <c r="I69" s="447">
        <v>1171.8668407310699</v>
      </c>
      <c r="J69" s="666" t="s">
        <v>306</v>
      </c>
      <c r="K69" s="447">
        <v>9600</v>
      </c>
      <c r="L69" s="127">
        <f t="shared" si="3"/>
        <v>0.12206946257615311</v>
      </c>
      <c r="M69" s="678" t="str">
        <f t="shared" si="4"/>
        <v>per Minute</v>
      </c>
      <c r="O69" s="721" t="s">
        <v>1367</v>
      </c>
      <c r="P69" s="721"/>
      <c r="Q69" s="721"/>
    </row>
    <row r="70" spans="4:17" s="348" customFormat="1" x14ac:dyDescent="0.2">
      <c r="D70" s="813" t="s">
        <v>1279</v>
      </c>
      <c r="E70" s="814" t="s">
        <v>1209</v>
      </c>
      <c r="F70" s="815" t="s">
        <v>1209</v>
      </c>
      <c r="G70" s="670"/>
      <c r="H70" s="443" t="s">
        <v>307</v>
      </c>
      <c r="I70" s="447">
        <v>1171.8809834638801</v>
      </c>
      <c r="J70" s="666" t="s">
        <v>306</v>
      </c>
      <c r="K70" s="447">
        <v>9600</v>
      </c>
      <c r="L70" s="127">
        <f t="shared" si="3"/>
        <v>0.12207093577748751</v>
      </c>
      <c r="M70" s="678" t="str">
        <f t="shared" si="4"/>
        <v>per Minute</v>
      </c>
      <c r="O70" s="721" t="s">
        <v>1367</v>
      </c>
      <c r="P70" s="721"/>
      <c r="Q70" s="721"/>
    </row>
    <row r="71" spans="4:17" s="348" customFormat="1" x14ac:dyDescent="0.2">
      <c r="D71" s="813" t="s">
        <v>1280</v>
      </c>
      <c r="E71" s="814"/>
      <c r="F71" s="815"/>
      <c r="G71" s="670"/>
      <c r="H71" s="443" t="s">
        <v>307</v>
      </c>
      <c r="I71" s="447">
        <v>1171.8951261966899</v>
      </c>
      <c r="J71" s="666" t="s">
        <v>306</v>
      </c>
      <c r="K71" s="447">
        <v>9600</v>
      </c>
      <c r="L71" s="127">
        <f t="shared" si="3"/>
        <v>0.12207240897882186</v>
      </c>
      <c r="M71" s="678" t="str">
        <f t="shared" si="4"/>
        <v>per Minute</v>
      </c>
      <c r="O71" s="721" t="s">
        <v>1367</v>
      </c>
      <c r="P71" s="721"/>
      <c r="Q71" s="721"/>
    </row>
    <row r="72" spans="4:17" s="348" customFormat="1" x14ac:dyDescent="0.2">
      <c r="D72" s="813" t="s">
        <v>1281</v>
      </c>
      <c r="E72" s="814"/>
      <c r="F72" s="815"/>
      <c r="G72" s="670"/>
      <c r="H72" s="443" t="s">
        <v>307</v>
      </c>
      <c r="I72" s="447">
        <v>521.37075718015706</v>
      </c>
      <c r="J72" s="666" t="s">
        <v>306</v>
      </c>
      <c r="K72" s="447">
        <v>9600</v>
      </c>
      <c r="L72" s="127">
        <f t="shared" si="3"/>
        <v>5.4309453872933025E-2</v>
      </c>
      <c r="M72" s="678" t="str">
        <f t="shared" si="4"/>
        <v>per Minute</v>
      </c>
      <c r="O72" s="721" t="s">
        <v>1367</v>
      </c>
      <c r="P72" s="721"/>
      <c r="Q72" s="721"/>
    </row>
    <row r="73" spans="4:17" s="348" customFormat="1" x14ac:dyDescent="0.2">
      <c r="D73" s="813" t="s">
        <v>1282</v>
      </c>
      <c r="E73" s="814"/>
      <c r="F73" s="815"/>
      <c r="G73" s="670"/>
      <c r="H73" s="443" t="s">
        <v>1181</v>
      </c>
      <c r="I73" s="447">
        <v>0</v>
      </c>
      <c r="J73" s="666" t="s">
        <v>306</v>
      </c>
      <c r="K73" s="447">
        <v>0</v>
      </c>
      <c r="L73" s="127">
        <f t="shared" si="3"/>
        <v>0</v>
      </c>
      <c r="M73" s="678" t="str">
        <f t="shared" si="4"/>
        <v>per Minute</v>
      </c>
      <c r="O73" s="721"/>
      <c r="P73" s="721"/>
      <c r="Q73" s="721"/>
    </row>
    <row r="74" spans="4:17" s="348" customFormat="1" x14ac:dyDescent="0.2">
      <c r="D74" s="813" t="s">
        <v>1283</v>
      </c>
      <c r="E74" s="814"/>
      <c r="F74" s="815"/>
      <c r="G74" s="670"/>
      <c r="H74" s="443" t="s">
        <v>1181</v>
      </c>
      <c r="I74" s="447">
        <v>0</v>
      </c>
      <c r="J74" s="666" t="s">
        <v>306</v>
      </c>
      <c r="K74" s="447">
        <v>0</v>
      </c>
      <c r="L74" s="127">
        <f t="shared" si="3"/>
        <v>0</v>
      </c>
      <c r="M74" s="678" t="str">
        <f t="shared" si="4"/>
        <v>per Minute</v>
      </c>
      <c r="O74" s="721"/>
      <c r="P74" s="721"/>
      <c r="Q74" s="721"/>
    </row>
    <row r="75" spans="4:17" s="348" customFormat="1" x14ac:dyDescent="0.2">
      <c r="D75" s="813" t="s">
        <v>1284</v>
      </c>
      <c r="E75" s="814"/>
      <c r="F75" s="815"/>
      <c r="G75" s="670"/>
      <c r="H75" s="443" t="s">
        <v>1181</v>
      </c>
      <c r="I75" s="447">
        <v>0</v>
      </c>
      <c r="J75" s="666" t="s">
        <v>306</v>
      </c>
      <c r="K75" s="447">
        <v>0</v>
      </c>
      <c r="L75" s="127">
        <f t="shared" si="3"/>
        <v>0</v>
      </c>
      <c r="M75" s="678" t="str">
        <f t="shared" si="4"/>
        <v>per Minute</v>
      </c>
      <c r="O75" s="721"/>
      <c r="P75" s="721"/>
      <c r="Q75" s="721"/>
    </row>
    <row r="76" spans="4:17" s="348" customFormat="1" x14ac:dyDescent="0.2">
      <c r="D76" s="813" t="s">
        <v>1652</v>
      </c>
      <c r="E76" s="814"/>
      <c r="F76" s="815"/>
      <c r="G76" s="670"/>
      <c r="H76" s="443" t="s">
        <v>1181</v>
      </c>
      <c r="I76" s="447">
        <v>0</v>
      </c>
      <c r="J76" s="666" t="s">
        <v>306</v>
      </c>
      <c r="K76" s="447">
        <v>0</v>
      </c>
      <c r="L76" s="127">
        <f t="shared" si="3"/>
        <v>0</v>
      </c>
      <c r="M76" s="678" t="str">
        <f t="shared" si="4"/>
        <v>per Minute</v>
      </c>
      <c r="O76" s="721"/>
      <c r="P76" s="721"/>
      <c r="Q76" s="721"/>
    </row>
    <row r="77" spans="4:17" s="348" customFormat="1" x14ac:dyDescent="0.2">
      <c r="D77" s="788"/>
      <c r="E77" s="788"/>
      <c r="F77" s="788"/>
      <c r="G77" s="670"/>
      <c r="H77" s="443"/>
      <c r="I77" s="447">
        <v>0</v>
      </c>
      <c r="J77" s="666" t="s">
        <v>306</v>
      </c>
      <c r="K77" s="447"/>
      <c r="L77" s="127">
        <f t="shared" si="3"/>
        <v>0</v>
      </c>
      <c r="M77" s="678" t="str">
        <f t="shared" si="4"/>
        <v>per Minute</v>
      </c>
      <c r="O77" s="721"/>
      <c r="P77" s="721"/>
      <c r="Q77" s="721"/>
    </row>
    <row r="78" spans="4:17" s="348" customFormat="1" x14ac:dyDescent="0.2"/>
    <row r="79" spans="4:17" s="348" customFormat="1" x14ac:dyDescent="0.2"/>
    <row r="80" spans="4:17" s="348" customFormat="1" x14ac:dyDescent="0.2"/>
    <row r="81" spans="3:17" s="348" customFormat="1" ht="15.75" x14ac:dyDescent="0.2">
      <c r="C81" s="664" t="s">
        <v>1742</v>
      </c>
    </row>
    <row r="82" spans="3:17" s="348" customFormat="1" x14ac:dyDescent="0.2"/>
    <row r="83" spans="3:17" s="348" customFormat="1" ht="51" x14ac:dyDescent="0.2">
      <c r="D83" s="667" t="s">
        <v>396</v>
      </c>
      <c r="H83" s="676" t="s">
        <v>839</v>
      </c>
      <c r="I83" s="676" t="s">
        <v>971</v>
      </c>
      <c r="J83" s="676" t="s">
        <v>970</v>
      </c>
      <c r="K83" s="676" t="s">
        <v>818</v>
      </c>
      <c r="L83" s="365" t="str">
        <f>"Cost Per Equipment Unit ("&amp;$G$10&amp;"/SU)"</f>
        <v>Cost Per Equipment Unit (USD/SU)</v>
      </c>
      <c r="M83" s="671" t="s">
        <v>1775</v>
      </c>
      <c r="N83" s="676" t="s">
        <v>397</v>
      </c>
      <c r="O83" s="365" t="str">
        <f>"Equipment Annual Financial Cost ("&amp;$G$10&amp;"/SU)"</f>
        <v>Equipment Annual Financial Cost (USD/SU)</v>
      </c>
      <c r="P83" s="365" t="str">
        <f>"Equipment Annual Economic Cost ("&amp;$G$10&amp;"/SU)"</f>
        <v>Equipment Annual Economic Cost (USD/SU)</v>
      </c>
      <c r="Q83" s="671" t="s">
        <v>648</v>
      </c>
    </row>
    <row r="84" spans="3:17" s="348" customFormat="1" x14ac:dyDescent="0.2">
      <c r="D84" s="670" t="s">
        <v>1257</v>
      </c>
      <c r="E84" s="670"/>
      <c r="F84" s="670"/>
      <c r="G84" s="670"/>
      <c r="H84" s="443" t="s">
        <v>1181</v>
      </c>
      <c r="I84" s="500">
        <v>0</v>
      </c>
      <c r="J84" s="443" t="s">
        <v>1181</v>
      </c>
      <c r="K84" s="447">
        <v>1</v>
      </c>
      <c r="L84" s="582">
        <f t="shared" ref="L84:L115" si="5">I84/K84</f>
        <v>0</v>
      </c>
      <c r="M84" s="584" t="str">
        <f t="shared" ref="M84:M115" si="6">"per "&amp;J84</f>
        <v>per SKU</v>
      </c>
      <c r="N84" s="447">
        <v>0</v>
      </c>
      <c r="O84" s="586">
        <f t="shared" ref="O84:O115" si="7">IFERROR(L84/N84,0)</f>
        <v>0</v>
      </c>
      <c r="P84" s="586">
        <f>IFERROR(L84/(((1+Econ_Ann_TA!$H$26)^N84-1)/(Econ_Ann_TA!$H$26*(1+Econ_Ann_TA!$H$26)^N84)),0)</f>
        <v>0</v>
      </c>
      <c r="Q84" s="517"/>
    </row>
    <row r="85" spans="3:17" s="348" customFormat="1" x14ac:dyDescent="0.2">
      <c r="D85" s="670" t="s">
        <v>856</v>
      </c>
      <c r="E85" s="670"/>
      <c r="F85" s="670"/>
      <c r="G85" s="670"/>
      <c r="H85" s="443" t="s">
        <v>325</v>
      </c>
      <c r="I85" s="500">
        <v>11.25</v>
      </c>
      <c r="J85" s="443" t="s">
        <v>325</v>
      </c>
      <c r="K85" s="447">
        <v>1</v>
      </c>
      <c r="L85" s="582">
        <f t="shared" si="5"/>
        <v>11.25</v>
      </c>
      <c r="M85" s="584" t="str">
        <f t="shared" si="6"/>
        <v>per set</v>
      </c>
      <c r="N85" s="447">
        <v>10</v>
      </c>
      <c r="O85" s="586">
        <f t="shared" si="7"/>
        <v>1.125</v>
      </c>
      <c r="P85" s="586">
        <f>IFERROR(L85/(((1+Econ_Ann_TA!$H$26)^N85-1)/(Econ_Ann_TA!$H$26*(1+Econ_Ann_TA!$H$26)^N85)),0)</f>
        <v>1.3188431993080456</v>
      </c>
      <c r="Q85" s="517"/>
    </row>
    <row r="86" spans="3:17" s="348" customFormat="1" x14ac:dyDescent="0.2">
      <c r="D86" s="670" t="s">
        <v>1285</v>
      </c>
      <c r="E86" s="670"/>
      <c r="F86" s="670"/>
      <c r="G86" s="670"/>
      <c r="H86" s="443" t="s">
        <v>314</v>
      </c>
      <c r="I86" s="500">
        <v>5610</v>
      </c>
      <c r="J86" s="443" t="s">
        <v>314</v>
      </c>
      <c r="K86" s="447">
        <v>1</v>
      </c>
      <c r="L86" s="582">
        <f t="shared" si="5"/>
        <v>5610</v>
      </c>
      <c r="M86" s="584" t="str">
        <f t="shared" si="6"/>
        <v>per each</v>
      </c>
      <c r="N86" s="447">
        <v>2</v>
      </c>
      <c r="O86" s="586">
        <f t="shared" si="7"/>
        <v>2805</v>
      </c>
      <c r="P86" s="586">
        <f>IFERROR(L86/(((1+Econ_Ann_TA!$H$26)^N86-1)/(Econ_Ann_TA!$H$26*(1+Econ_Ann_TA!$H$26)^N86)),0)</f>
        <v>2931.8467980295582</v>
      </c>
      <c r="Q86" s="517" t="s">
        <v>1366</v>
      </c>
    </row>
    <row r="87" spans="3:17" s="348" customFormat="1" x14ac:dyDescent="0.2">
      <c r="D87" s="670" t="s">
        <v>1381</v>
      </c>
      <c r="E87" s="670"/>
      <c r="F87" s="670"/>
      <c r="G87" s="670"/>
      <c r="H87" s="443" t="s">
        <v>314</v>
      </c>
      <c r="I87" s="500">
        <v>37.200000000000003</v>
      </c>
      <c r="J87" s="443" t="s">
        <v>314</v>
      </c>
      <c r="K87" s="447">
        <v>1</v>
      </c>
      <c r="L87" s="582">
        <f t="shared" si="5"/>
        <v>37.200000000000003</v>
      </c>
      <c r="M87" s="584" t="str">
        <f t="shared" si="6"/>
        <v>per each</v>
      </c>
      <c r="N87" s="447">
        <v>1</v>
      </c>
      <c r="O87" s="586">
        <f t="shared" si="7"/>
        <v>37.200000000000003</v>
      </c>
      <c r="P87" s="586">
        <f>IFERROR(L87/(((1+Econ_Ann_TA!$H$26)^N87-1)/(Econ_Ann_TA!$H$26*(1+Econ_Ann_TA!$H$26)^N87)),0)</f>
        <v>38.315999999999967</v>
      </c>
      <c r="Q87" s="517" t="s">
        <v>1730</v>
      </c>
    </row>
    <row r="88" spans="3:17" s="348" customFormat="1" x14ac:dyDescent="0.2">
      <c r="D88" s="670" t="s">
        <v>1286</v>
      </c>
      <c r="E88" s="670"/>
      <c r="F88" s="670"/>
      <c r="G88" s="670"/>
      <c r="H88" s="443" t="s">
        <v>314</v>
      </c>
      <c r="I88" s="500">
        <v>2</v>
      </c>
      <c r="J88" s="443" t="s">
        <v>314</v>
      </c>
      <c r="K88" s="447">
        <v>1</v>
      </c>
      <c r="L88" s="582">
        <f t="shared" si="5"/>
        <v>2</v>
      </c>
      <c r="M88" s="584" t="str">
        <f t="shared" si="6"/>
        <v>per each</v>
      </c>
      <c r="N88" s="447">
        <v>2</v>
      </c>
      <c r="O88" s="586">
        <f t="shared" si="7"/>
        <v>1</v>
      </c>
      <c r="P88" s="586">
        <f>IFERROR(L88/(((1+Econ_Ann_TA!$H$26)^N88-1)/(Econ_Ann_TA!$H$26*(1+Econ_Ann_TA!$H$26)^N88)),0)</f>
        <v>1.0452216748768479</v>
      </c>
      <c r="Q88" s="517"/>
    </row>
    <row r="89" spans="3:17" s="348" customFormat="1" x14ac:dyDescent="0.2">
      <c r="D89" s="670" t="s">
        <v>1287</v>
      </c>
      <c r="E89" s="670"/>
      <c r="F89" s="670"/>
      <c r="G89" s="670"/>
      <c r="H89" s="443" t="s">
        <v>314</v>
      </c>
      <c r="I89" s="500">
        <v>50</v>
      </c>
      <c r="J89" s="443" t="s">
        <v>314</v>
      </c>
      <c r="K89" s="447">
        <v>1</v>
      </c>
      <c r="L89" s="582">
        <f t="shared" si="5"/>
        <v>50</v>
      </c>
      <c r="M89" s="584" t="str">
        <f t="shared" si="6"/>
        <v>per each</v>
      </c>
      <c r="N89" s="447">
        <v>3</v>
      </c>
      <c r="O89" s="586">
        <f t="shared" si="7"/>
        <v>16.666666666666668</v>
      </c>
      <c r="P89" s="586">
        <f>IFERROR(L89/(((1+Econ_Ann_TA!$H$26)^N89-1)/(Econ_Ann_TA!$H$26*(1+Econ_Ann_TA!$H$26)^N89)),0)</f>
        <v>17.676518166229901</v>
      </c>
      <c r="Q89" s="517" t="s">
        <v>1366</v>
      </c>
    </row>
    <row r="90" spans="3:17" s="348" customFormat="1" x14ac:dyDescent="0.2">
      <c r="D90" s="670" t="s">
        <v>1288</v>
      </c>
      <c r="E90" s="670"/>
      <c r="F90" s="670"/>
      <c r="G90" s="670"/>
      <c r="H90" s="443" t="s">
        <v>314</v>
      </c>
      <c r="I90" s="500">
        <v>42.303199999999997</v>
      </c>
      <c r="J90" s="443" t="s">
        <v>314</v>
      </c>
      <c r="K90" s="447">
        <v>1</v>
      </c>
      <c r="L90" s="582">
        <f t="shared" si="5"/>
        <v>42.303199999999997</v>
      </c>
      <c r="M90" s="584" t="str">
        <f t="shared" si="6"/>
        <v>per each</v>
      </c>
      <c r="N90" s="447">
        <v>10</v>
      </c>
      <c r="O90" s="586">
        <f t="shared" si="7"/>
        <v>4.2303199999999999</v>
      </c>
      <c r="P90" s="586">
        <f>IFERROR(L90/(((1+Econ_Ann_TA!$H$26)^N90-1)/(Econ_Ann_TA!$H$26*(1+Econ_Ann_TA!$H$26)^N90)),0)</f>
        <v>4.9592255670193879</v>
      </c>
      <c r="Q90" s="517"/>
    </row>
    <row r="91" spans="3:17" s="348" customFormat="1" x14ac:dyDescent="0.2">
      <c r="D91" s="670" t="s">
        <v>1289</v>
      </c>
      <c r="E91" s="670"/>
      <c r="F91" s="670"/>
      <c r="G91" s="670"/>
      <c r="H91" s="443" t="s">
        <v>325</v>
      </c>
      <c r="I91" s="500">
        <v>4</v>
      </c>
      <c r="J91" s="443" t="s">
        <v>325</v>
      </c>
      <c r="K91" s="447">
        <v>1</v>
      </c>
      <c r="L91" s="582">
        <f t="shared" si="5"/>
        <v>4</v>
      </c>
      <c r="M91" s="584" t="str">
        <f t="shared" si="6"/>
        <v>per set</v>
      </c>
      <c r="N91" s="447">
        <v>5</v>
      </c>
      <c r="O91" s="586">
        <f t="shared" si="7"/>
        <v>0.8</v>
      </c>
      <c r="P91" s="586">
        <f>IFERROR(L91/(((1+Econ_Ann_TA!$H$26)^N91-1)/(Econ_Ann_TA!$H$26*(1+Econ_Ann_TA!$H$26)^N91)),0)</f>
        <v>0.87341828560230483</v>
      </c>
      <c r="Q91" s="517" t="s">
        <v>1366</v>
      </c>
    </row>
    <row r="92" spans="3:17" s="348" customFormat="1" x14ac:dyDescent="0.2">
      <c r="D92" s="670" t="s">
        <v>1290</v>
      </c>
      <c r="E92" s="670"/>
      <c r="F92" s="670"/>
      <c r="G92" s="670"/>
      <c r="H92" s="443" t="s">
        <v>325</v>
      </c>
      <c r="I92" s="500">
        <v>20</v>
      </c>
      <c r="J92" s="443" t="s">
        <v>325</v>
      </c>
      <c r="K92" s="447">
        <v>1</v>
      </c>
      <c r="L92" s="582">
        <f t="shared" si="5"/>
        <v>20</v>
      </c>
      <c r="M92" s="584" t="str">
        <f t="shared" si="6"/>
        <v>per set</v>
      </c>
      <c r="N92" s="447">
        <v>10</v>
      </c>
      <c r="O92" s="586">
        <f t="shared" si="7"/>
        <v>2</v>
      </c>
      <c r="P92" s="586">
        <f>IFERROR(L92/(((1+Econ_Ann_TA!$H$26)^N92-1)/(Econ_Ann_TA!$H$26*(1+Econ_Ann_TA!$H$26)^N92)),0)</f>
        <v>2.3446101321031922</v>
      </c>
      <c r="Q92" s="517" t="s">
        <v>1366</v>
      </c>
    </row>
    <row r="93" spans="3:17" s="348" customFormat="1" x14ac:dyDescent="0.2">
      <c r="D93" s="670" t="s">
        <v>1291</v>
      </c>
      <c r="E93" s="670"/>
      <c r="F93" s="670"/>
      <c r="G93" s="670"/>
      <c r="H93" s="443" t="s">
        <v>314</v>
      </c>
      <c r="I93" s="500">
        <v>40</v>
      </c>
      <c r="J93" s="443" t="s">
        <v>314</v>
      </c>
      <c r="K93" s="447">
        <v>1</v>
      </c>
      <c r="L93" s="582">
        <f t="shared" si="5"/>
        <v>40</v>
      </c>
      <c r="M93" s="584" t="str">
        <f t="shared" si="6"/>
        <v>per each</v>
      </c>
      <c r="N93" s="447">
        <v>2</v>
      </c>
      <c r="O93" s="586">
        <f t="shared" si="7"/>
        <v>20</v>
      </c>
      <c r="P93" s="586">
        <f>IFERROR(L93/(((1+Econ_Ann_TA!$H$26)^N93-1)/(Econ_Ann_TA!$H$26*(1+Econ_Ann_TA!$H$26)^N93)),0)</f>
        <v>20.904433497536957</v>
      </c>
      <c r="Q93" s="517" t="s">
        <v>1366</v>
      </c>
    </row>
    <row r="94" spans="3:17" s="348" customFormat="1" x14ac:dyDescent="0.2">
      <c r="D94" s="670" t="s">
        <v>1292</v>
      </c>
      <c r="E94" s="670"/>
      <c r="F94" s="670"/>
      <c r="G94" s="670"/>
      <c r="H94" s="443" t="s">
        <v>325</v>
      </c>
      <c r="I94" s="500">
        <v>150</v>
      </c>
      <c r="J94" s="443" t="s">
        <v>325</v>
      </c>
      <c r="K94" s="447">
        <v>1</v>
      </c>
      <c r="L94" s="582">
        <f t="shared" si="5"/>
        <v>150</v>
      </c>
      <c r="M94" s="584" t="str">
        <f t="shared" si="6"/>
        <v>per set</v>
      </c>
      <c r="N94" s="447">
        <v>9</v>
      </c>
      <c r="O94" s="586">
        <f t="shared" si="7"/>
        <v>16.666666666666668</v>
      </c>
      <c r="P94" s="586">
        <f>IFERROR(L94/(((1+Econ_Ann_TA!$H$26)^N94-1)/(Econ_Ann_TA!$H$26*(1+Econ_Ann_TA!$H$26)^N94)),0)</f>
        <v>19.265078552715515</v>
      </c>
      <c r="Q94" s="517" t="s">
        <v>1366</v>
      </c>
    </row>
    <row r="95" spans="3:17" s="348" customFormat="1" x14ac:dyDescent="0.2">
      <c r="D95" s="670" t="s">
        <v>858</v>
      </c>
      <c r="E95" s="670"/>
      <c r="F95" s="670"/>
      <c r="G95" s="670"/>
      <c r="H95" s="443" t="s">
        <v>820</v>
      </c>
      <c r="I95" s="500">
        <v>1000</v>
      </c>
      <c r="J95" s="443" t="s">
        <v>820</v>
      </c>
      <c r="K95" s="447">
        <v>1</v>
      </c>
      <c r="L95" s="582">
        <f t="shared" si="5"/>
        <v>1000</v>
      </c>
      <c r="M95" s="584" t="str">
        <f t="shared" si="6"/>
        <v>per kit</v>
      </c>
      <c r="N95" s="447">
        <v>2</v>
      </c>
      <c r="O95" s="586">
        <f t="shared" si="7"/>
        <v>500</v>
      </c>
      <c r="P95" s="586">
        <f>IFERROR(L95/(((1+Econ_Ann_TA!$H$26)^N95-1)/(Econ_Ann_TA!$H$26*(1+Econ_Ann_TA!$H$26)^N95)),0)</f>
        <v>522.61083743842391</v>
      </c>
      <c r="Q95" s="517"/>
    </row>
    <row r="96" spans="3:17" s="348" customFormat="1" x14ac:dyDescent="0.2">
      <c r="D96" s="670" t="s">
        <v>1293</v>
      </c>
      <c r="E96" s="670"/>
      <c r="F96" s="670"/>
      <c r="G96" s="670"/>
      <c r="H96" s="443" t="s">
        <v>314</v>
      </c>
      <c r="I96" s="500">
        <v>100</v>
      </c>
      <c r="J96" s="443" t="s">
        <v>314</v>
      </c>
      <c r="K96" s="447">
        <v>1</v>
      </c>
      <c r="L96" s="582">
        <f t="shared" si="5"/>
        <v>100</v>
      </c>
      <c r="M96" s="584" t="str">
        <f t="shared" si="6"/>
        <v>per each</v>
      </c>
      <c r="N96" s="447">
        <v>10</v>
      </c>
      <c r="O96" s="586">
        <f t="shared" si="7"/>
        <v>10</v>
      </c>
      <c r="P96" s="586">
        <f>IFERROR(L96/(((1+Econ_Ann_TA!$H$26)^N96-1)/(Econ_Ann_TA!$H$26*(1+Econ_Ann_TA!$H$26)^N96)),0)</f>
        <v>11.723050660515961</v>
      </c>
      <c r="Q96" s="517" t="s">
        <v>1366</v>
      </c>
    </row>
    <row r="97" spans="4:17" s="348" customFormat="1" x14ac:dyDescent="0.2">
      <c r="D97" s="670" t="s">
        <v>857</v>
      </c>
      <c r="E97" s="670"/>
      <c r="F97" s="670"/>
      <c r="G97" s="670"/>
      <c r="H97" s="443" t="s">
        <v>819</v>
      </c>
      <c r="I97" s="500">
        <v>18.75</v>
      </c>
      <c r="J97" s="443" t="s">
        <v>819</v>
      </c>
      <c r="K97" s="447">
        <v>1</v>
      </c>
      <c r="L97" s="582">
        <f t="shared" si="5"/>
        <v>18.75</v>
      </c>
      <c r="M97" s="584" t="str">
        <f t="shared" si="6"/>
        <v>per cauterizer</v>
      </c>
      <c r="N97" s="447">
        <v>5</v>
      </c>
      <c r="O97" s="586">
        <f t="shared" si="7"/>
        <v>3.75</v>
      </c>
      <c r="P97" s="586">
        <f>IFERROR(L97/(((1+Econ_Ann_TA!$H$26)^N97-1)/(Econ_Ann_TA!$H$26*(1+Econ_Ann_TA!$H$26)^N97)),0)</f>
        <v>4.0941482137608034</v>
      </c>
      <c r="Q97" s="517"/>
    </row>
    <row r="98" spans="4:17" s="348" customFormat="1" x14ac:dyDescent="0.2">
      <c r="D98" s="670" t="s">
        <v>1660</v>
      </c>
      <c r="E98" s="670"/>
      <c r="F98" s="670"/>
      <c r="G98" s="670"/>
      <c r="H98" s="443" t="s">
        <v>325</v>
      </c>
      <c r="I98" s="500">
        <v>2367</v>
      </c>
      <c r="J98" s="443" t="s">
        <v>325</v>
      </c>
      <c r="K98" s="447">
        <v>1</v>
      </c>
      <c r="L98" s="582">
        <f t="shared" si="5"/>
        <v>2367</v>
      </c>
      <c r="M98" s="584" t="str">
        <f t="shared" si="6"/>
        <v>per set</v>
      </c>
      <c r="N98" s="448">
        <v>5</v>
      </c>
      <c r="O98" s="586">
        <f t="shared" si="7"/>
        <v>473.4</v>
      </c>
      <c r="P98" s="586">
        <f>IFERROR(L98/(((1+Econ_Ann_TA!$H$26)^N98-1)/(Econ_Ann_TA!$H$26*(1+Econ_Ann_TA!$H$26)^N98)),0)</f>
        <v>516.84527050516385</v>
      </c>
      <c r="Q98" s="536" t="s">
        <v>1661</v>
      </c>
    </row>
    <row r="99" spans="4:17" s="348" customFormat="1" x14ac:dyDescent="0.2">
      <c r="D99" s="670" t="s">
        <v>1294</v>
      </c>
      <c r="E99" s="670"/>
      <c r="F99" s="670"/>
      <c r="G99" s="670"/>
      <c r="H99" s="443" t="s">
        <v>314</v>
      </c>
      <c r="I99" s="500">
        <v>80</v>
      </c>
      <c r="J99" s="443" t="s">
        <v>314</v>
      </c>
      <c r="K99" s="447">
        <v>1</v>
      </c>
      <c r="L99" s="582">
        <f t="shared" si="5"/>
        <v>80</v>
      </c>
      <c r="M99" s="584" t="str">
        <f t="shared" si="6"/>
        <v>per each</v>
      </c>
      <c r="N99" s="447">
        <v>4</v>
      </c>
      <c r="O99" s="586">
        <f t="shared" si="7"/>
        <v>20</v>
      </c>
      <c r="P99" s="586">
        <f>IFERROR(L99/(((1+Econ_Ann_TA!$H$26)^N99-1)/(Econ_Ann_TA!$H$26*(1+Econ_Ann_TA!$H$26)^N99)),0)</f>
        <v>21.522163615446605</v>
      </c>
      <c r="Q99" s="517" t="s">
        <v>1366</v>
      </c>
    </row>
    <row r="100" spans="4:17" s="348" customFormat="1" x14ac:dyDescent="0.2">
      <c r="D100" s="670" t="s">
        <v>1295</v>
      </c>
      <c r="E100" s="670"/>
      <c r="F100" s="670"/>
      <c r="G100" s="670"/>
      <c r="H100" s="443" t="s">
        <v>314</v>
      </c>
      <c r="I100" s="500">
        <v>8.1560000000000006</v>
      </c>
      <c r="J100" s="443" t="s">
        <v>314</v>
      </c>
      <c r="K100" s="447">
        <v>1</v>
      </c>
      <c r="L100" s="582">
        <f t="shared" si="5"/>
        <v>8.1560000000000006</v>
      </c>
      <c r="M100" s="584" t="str">
        <f t="shared" si="6"/>
        <v>per each</v>
      </c>
      <c r="N100" s="447">
        <v>2</v>
      </c>
      <c r="O100" s="586">
        <f t="shared" si="7"/>
        <v>4.0780000000000003</v>
      </c>
      <c r="P100" s="586">
        <f>IFERROR(L100/(((1+Econ_Ann_TA!$H$26)^N100-1)/(Econ_Ann_TA!$H$26*(1+Econ_Ann_TA!$H$26)^N100)),0)</f>
        <v>4.2624139901477864</v>
      </c>
      <c r="Q100" s="517"/>
    </row>
    <row r="101" spans="4:17" s="348" customFormat="1" x14ac:dyDescent="0.2">
      <c r="D101" s="670" t="s">
        <v>1296</v>
      </c>
      <c r="E101" s="670"/>
      <c r="F101" s="670"/>
      <c r="G101" s="670"/>
      <c r="H101" s="443" t="s">
        <v>325</v>
      </c>
      <c r="I101" s="500">
        <v>10000</v>
      </c>
      <c r="J101" s="443" t="s">
        <v>325</v>
      </c>
      <c r="K101" s="447">
        <v>1</v>
      </c>
      <c r="L101" s="582">
        <f t="shared" si="5"/>
        <v>10000</v>
      </c>
      <c r="M101" s="584" t="str">
        <f t="shared" si="6"/>
        <v>per set</v>
      </c>
      <c r="N101" s="447">
        <v>7</v>
      </c>
      <c r="O101" s="586">
        <f t="shared" si="7"/>
        <v>1428.5714285714287</v>
      </c>
      <c r="P101" s="586">
        <f>IFERROR(L101/(((1+Econ_Ann_TA!$H$26)^N101-1)/(Econ_Ann_TA!$H$26*(1+Econ_Ann_TA!$H$26)^N101)),0)</f>
        <v>1605.0635375427203</v>
      </c>
      <c r="Q101" s="517" t="s">
        <v>1366</v>
      </c>
    </row>
    <row r="102" spans="4:17" s="348" customFormat="1" x14ac:dyDescent="0.2">
      <c r="D102" s="670" t="s">
        <v>1297</v>
      </c>
      <c r="E102" s="670"/>
      <c r="F102" s="670"/>
      <c r="G102" s="670"/>
      <c r="H102" s="443" t="s">
        <v>314</v>
      </c>
      <c r="I102" s="500">
        <v>3100</v>
      </c>
      <c r="J102" s="443" t="s">
        <v>314</v>
      </c>
      <c r="K102" s="447">
        <v>1</v>
      </c>
      <c r="L102" s="582">
        <f t="shared" si="5"/>
        <v>3100</v>
      </c>
      <c r="M102" s="584" t="str">
        <f t="shared" si="6"/>
        <v>per each</v>
      </c>
      <c r="N102" s="447">
        <v>5</v>
      </c>
      <c r="O102" s="586">
        <f t="shared" si="7"/>
        <v>620</v>
      </c>
      <c r="P102" s="586">
        <f>IFERROR(L102/(((1+Econ_Ann_TA!$H$26)^N102-1)/(Econ_Ann_TA!$H$26*(1+Econ_Ann_TA!$H$26)^N102)),0)</f>
        <v>676.8991713417862</v>
      </c>
      <c r="Q102" s="517"/>
    </row>
    <row r="103" spans="4:17" s="348" customFormat="1" x14ac:dyDescent="0.2">
      <c r="D103" s="670" t="s">
        <v>859</v>
      </c>
      <c r="E103" s="670"/>
      <c r="F103" s="670"/>
      <c r="G103" s="670"/>
      <c r="H103" s="443" t="s">
        <v>821</v>
      </c>
      <c r="I103" s="500">
        <v>6250</v>
      </c>
      <c r="J103" s="443" t="s">
        <v>821</v>
      </c>
      <c r="K103" s="447">
        <v>1</v>
      </c>
      <c r="L103" s="582">
        <f t="shared" si="5"/>
        <v>6250</v>
      </c>
      <c r="M103" s="584" t="str">
        <f t="shared" si="6"/>
        <v>per colposcope</v>
      </c>
      <c r="N103" s="447">
        <v>10</v>
      </c>
      <c r="O103" s="586">
        <f t="shared" si="7"/>
        <v>625</v>
      </c>
      <c r="P103" s="586">
        <f>IFERROR(L103/(((1+Econ_Ann_TA!$H$26)^N103-1)/(Econ_Ann_TA!$H$26*(1+Econ_Ann_TA!$H$26)^N103)),0)</f>
        <v>732.69066628224755</v>
      </c>
      <c r="Q103" s="517"/>
    </row>
    <row r="104" spans="4:17" s="348" customFormat="1" x14ac:dyDescent="0.2">
      <c r="D104" s="670" t="s">
        <v>1298</v>
      </c>
      <c r="E104" s="670"/>
      <c r="F104" s="670"/>
      <c r="G104" s="670"/>
      <c r="H104" s="443" t="s">
        <v>314</v>
      </c>
      <c r="I104" s="500">
        <v>1091</v>
      </c>
      <c r="J104" s="443" t="s">
        <v>314</v>
      </c>
      <c r="K104" s="447">
        <v>1</v>
      </c>
      <c r="L104" s="582">
        <f t="shared" si="5"/>
        <v>1091</v>
      </c>
      <c r="M104" s="584" t="str">
        <f t="shared" si="6"/>
        <v>per each</v>
      </c>
      <c r="N104" s="447">
        <v>5</v>
      </c>
      <c r="O104" s="586">
        <f t="shared" si="7"/>
        <v>218.2</v>
      </c>
      <c r="P104" s="586">
        <f>IFERROR(L104/(((1+Econ_Ann_TA!$H$26)^N104-1)/(Econ_Ann_TA!$H$26*(1+Econ_Ann_TA!$H$26)^N104)),0)</f>
        <v>238.22483739802863</v>
      </c>
      <c r="Q104" s="517"/>
    </row>
    <row r="105" spans="4:17" s="348" customFormat="1" x14ac:dyDescent="0.2">
      <c r="D105" s="670" t="s">
        <v>1299</v>
      </c>
      <c r="E105" s="670"/>
      <c r="F105" s="670"/>
      <c r="G105" s="670"/>
      <c r="H105" s="443" t="s">
        <v>325</v>
      </c>
      <c r="I105" s="500">
        <v>500</v>
      </c>
      <c r="J105" s="443" t="s">
        <v>325</v>
      </c>
      <c r="K105" s="447">
        <v>1</v>
      </c>
      <c r="L105" s="582">
        <f t="shared" si="5"/>
        <v>500</v>
      </c>
      <c r="M105" s="584" t="str">
        <f t="shared" si="6"/>
        <v>per set</v>
      </c>
      <c r="N105" s="447">
        <v>4</v>
      </c>
      <c r="O105" s="586">
        <f t="shared" si="7"/>
        <v>125</v>
      </c>
      <c r="P105" s="586">
        <f>IFERROR(L105/(((1+Econ_Ann_TA!$H$26)^N105-1)/(Econ_Ann_TA!$H$26*(1+Econ_Ann_TA!$H$26)^N105)),0)</f>
        <v>134.51352259654129</v>
      </c>
      <c r="Q105" s="517" t="s">
        <v>1366</v>
      </c>
    </row>
    <row r="106" spans="4:17" s="348" customFormat="1" x14ac:dyDescent="0.2">
      <c r="D106" s="670" t="s">
        <v>860</v>
      </c>
      <c r="E106" s="670"/>
      <c r="F106" s="670"/>
      <c r="G106" s="670"/>
      <c r="H106" s="443" t="s">
        <v>822</v>
      </c>
      <c r="I106" s="500">
        <v>1875</v>
      </c>
      <c r="J106" s="443" t="s">
        <v>822</v>
      </c>
      <c r="K106" s="447">
        <v>1</v>
      </c>
      <c r="L106" s="582">
        <f t="shared" si="5"/>
        <v>1875</v>
      </c>
      <c r="M106" s="584" t="str">
        <f t="shared" si="6"/>
        <v>per unit</v>
      </c>
      <c r="N106" s="447">
        <v>10</v>
      </c>
      <c r="O106" s="586">
        <f t="shared" si="7"/>
        <v>187.5</v>
      </c>
      <c r="P106" s="586">
        <f>IFERROR(L106/(((1+Econ_Ann_TA!$H$26)^N106-1)/(Econ_Ann_TA!$H$26*(1+Econ_Ann_TA!$H$26)^N106)),0)</f>
        <v>219.80719988467428</v>
      </c>
      <c r="Q106" s="517"/>
    </row>
    <row r="107" spans="4:17" s="348" customFormat="1" x14ac:dyDescent="0.2">
      <c r="D107" s="670" t="s">
        <v>1300</v>
      </c>
      <c r="E107" s="670"/>
      <c r="F107" s="670"/>
      <c r="G107" s="670"/>
      <c r="H107" s="443" t="s">
        <v>314</v>
      </c>
      <c r="I107" s="500">
        <v>700</v>
      </c>
      <c r="J107" s="443" t="s">
        <v>314</v>
      </c>
      <c r="K107" s="447">
        <v>1</v>
      </c>
      <c r="L107" s="582">
        <f t="shared" si="5"/>
        <v>700</v>
      </c>
      <c r="M107" s="584" t="str">
        <f t="shared" si="6"/>
        <v>per each</v>
      </c>
      <c r="N107" s="447">
        <v>9</v>
      </c>
      <c r="O107" s="586">
        <f t="shared" si="7"/>
        <v>77.777777777777771</v>
      </c>
      <c r="P107" s="586">
        <f>IFERROR(L107/(((1+Econ_Ann_TA!$H$26)^N107-1)/(Econ_Ann_TA!$H$26*(1+Econ_Ann_TA!$H$26)^N107)),0)</f>
        <v>89.903699912672408</v>
      </c>
      <c r="Q107" s="517" t="s">
        <v>1366</v>
      </c>
    </row>
    <row r="108" spans="4:17" s="348" customFormat="1" x14ac:dyDescent="0.2">
      <c r="D108" s="670" t="s">
        <v>861</v>
      </c>
      <c r="E108" s="670"/>
      <c r="F108" s="670"/>
      <c r="G108" s="670"/>
      <c r="H108" s="443" t="s">
        <v>825</v>
      </c>
      <c r="I108" s="500">
        <v>5.8125</v>
      </c>
      <c r="J108" s="443" t="s">
        <v>825</v>
      </c>
      <c r="K108" s="447">
        <v>1</v>
      </c>
      <c r="L108" s="582">
        <f t="shared" si="5"/>
        <v>5.8125</v>
      </c>
      <c r="M108" s="584" t="str">
        <f t="shared" si="6"/>
        <v>per forceps</v>
      </c>
      <c r="N108" s="447">
        <v>9</v>
      </c>
      <c r="O108" s="586">
        <f t="shared" si="7"/>
        <v>0.64583333333333337</v>
      </c>
      <c r="P108" s="586">
        <f>IFERROR(L108/(((1+Econ_Ann_TA!$H$26)^N108-1)/(Econ_Ann_TA!$H$26*(1+Econ_Ann_TA!$H$26)^N108)),0)</f>
        <v>0.74652179391772622</v>
      </c>
      <c r="Q108" s="517"/>
    </row>
    <row r="109" spans="4:17" s="348" customFormat="1" x14ac:dyDescent="0.2">
      <c r="D109" s="670" t="s">
        <v>1301</v>
      </c>
      <c r="E109" s="670"/>
      <c r="F109" s="670"/>
      <c r="G109" s="670"/>
      <c r="H109" s="443" t="s">
        <v>314</v>
      </c>
      <c r="I109" s="500">
        <v>100</v>
      </c>
      <c r="J109" s="443" t="s">
        <v>314</v>
      </c>
      <c r="K109" s="447">
        <v>1</v>
      </c>
      <c r="L109" s="582">
        <f t="shared" si="5"/>
        <v>100</v>
      </c>
      <c r="M109" s="584" t="str">
        <f t="shared" si="6"/>
        <v>per each</v>
      </c>
      <c r="N109" s="447">
        <v>6</v>
      </c>
      <c r="O109" s="586">
        <f t="shared" si="7"/>
        <v>16.666666666666668</v>
      </c>
      <c r="P109" s="586">
        <f>IFERROR(L109/(((1+Econ_Ann_TA!$H$26)^N109-1)/(Econ_Ann_TA!$H$26*(1+Econ_Ann_TA!$H$26)^N109)),0)</f>
        <v>18.459750045017728</v>
      </c>
      <c r="Q109" s="517" t="s">
        <v>1366</v>
      </c>
    </row>
    <row r="110" spans="4:17" s="348" customFormat="1" x14ac:dyDescent="0.2">
      <c r="D110" s="670" t="s">
        <v>1302</v>
      </c>
      <c r="E110" s="670"/>
      <c r="F110" s="670"/>
      <c r="G110" s="670"/>
      <c r="H110" s="443" t="s">
        <v>314</v>
      </c>
      <c r="I110" s="500">
        <v>100</v>
      </c>
      <c r="J110" s="443" t="s">
        <v>314</v>
      </c>
      <c r="K110" s="447">
        <v>1</v>
      </c>
      <c r="L110" s="582">
        <f t="shared" si="5"/>
        <v>100</v>
      </c>
      <c r="M110" s="584" t="str">
        <f t="shared" si="6"/>
        <v>per each</v>
      </c>
      <c r="N110" s="447">
        <v>2</v>
      </c>
      <c r="O110" s="586">
        <f t="shared" si="7"/>
        <v>50</v>
      </c>
      <c r="P110" s="586">
        <f>IFERROR(L110/(((1+Econ_Ann_TA!$H$26)^N110-1)/(Econ_Ann_TA!$H$26*(1+Econ_Ann_TA!$H$26)^N110)),0)</f>
        <v>52.261083743842391</v>
      </c>
      <c r="Q110" s="517"/>
    </row>
    <row r="111" spans="4:17" s="348" customFormat="1" x14ac:dyDescent="0.2">
      <c r="D111" s="670" t="s">
        <v>1303</v>
      </c>
      <c r="E111" s="670"/>
      <c r="F111" s="670"/>
      <c r="G111" s="670"/>
      <c r="H111" s="443" t="s">
        <v>314</v>
      </c>
      <c r="I111" s="500">
        <v>197.1369</v>
      </c>
      <c r="J111" s="443" t="s">
        <v>314</v>
      </c>
      <c r="K111" s="447">
        <v>1</v>
      </c>
      <c r="L111" s="582">
        <f t="shared" si="5"/>
        <v>197.1369</v>
      </c>
      <c r="M111" s="584" t="str">
        <f t="shared" si="6"/>
        <v>per each</v>
      </c>
      <c r="N111" s="447">
        <v>5</v>
      </c>
      <c r="O111" s="586">
        <f t="shared" si="7"/>
        <v>39.427379999999999</v>
      </c>
      <c r="P111" s="586">
        <f>IFERROR(L111/(((1+Econ_Ann_TA!$H$26)^N111-1)/(Econ_Ann_TA!$H$26*(1+Econ_Ann_TA!$H$26)^N111)),0)</f>
        <v>43.045743306738252</v>
      </c>
      <c r="Q111" s="517"/>
    </row>
    <row r="112" spans="4:17" s="348" customFormat="1" x14ac:dyDescent="0.2">
      <c r="D112" s="670" t="s">
        <v>1304</v>
      </c>
      <c r="E112" s="670"/>
      <c r="F112" s="670"/>
      <c r="G112" s="670"/>
      <c r="H112" s="443" t="s">
        <v>314</v>
      </c>
      <c r="I112" s="500">
        <v>446.5</v>
      </c>
      <c r="J112" s="443" t="s">
        <v>314</v>
      </c>
      <c r="K112" s="447">
        <v>1</v>
      </c>
      <c r="L112" s="582">
        <f t="shared" si="5"/>
        <v>446.5</v>
      </c>
      <c r="M112" s="584" t="str">
        <f t="shared" si="6"/>
        <v>per each</v>
      </c>
      <c r="N112" s="447">
        <v>5</v>
      </c>
      <c r="O112" s="586">
        <f t="shared" si="7"/>
        <v>89.3</v>
      </c>
      <c r="P112" s="586">
        <f>IFERROR(L112/(((1+Econ_Ann_TA!$H$26)^N112-1)/(Econ_Ann_TA!$H$26*(1+Econ_Ann_TA!$H$26)^N112)),0)</f>
        <v>97.495316130357267</v>
      </c>
      <c r="Q112" s="517" t="s">
        <v>1366</v>
      </c>
    </row>
    <row r="113" spans="4:17" s="348" customFormat="1" x14ac:dyDescent="0.2">
      <c r="D113" s="670" t="s">
        <v>1305</v>
      </c>
      <c r="E113" s="670"/>
      <c r="F113" s="670"/>
      <c r="G113" s="670"/>
      <c r="H113" s="443" t="s">
        <v>314</v>
      </c>
      <c r="I113" s="500">
        <v>370</v>
      </c>
      <c r="J113" s="443" t="s">
        <v>314</v>
      </c>
      <c r="K113" s="447">
        <v>1</v>
      </c>
      <c r="L113" s="582">
        <f t="shared" si="5"/>
        <v>370</v>
      </c>
      <c r="M113" s="584" t="str">
        <f t="shared" si="6"/>
        <v>per each</v>
      </c>
      <c r="N113" s="447">
        <v>6</v>
      </c>
      <c r="O113" s="586">
        <f t="shared" si="7"/>
        <v>61.666666666666664</v>
      </c>
      <c r="P113" s="586">
        <f>IFERROR(L113/(((1+Econ_Ann_TA!$H$26)^N113-1)/(Econ_Ann_TA!$H$26*(1+Econ_Ann_TA!$H$26)^N113)),0)</f>
        <v>68.301075166565596</v>
      </c>
      <c r="Q113" s="517" t="s">
        <v>1366</v>
      </c>
    </row>
    <row r="114" spans="4:17" s="348" customFormat="1" x14ac:dyDescent="0.2">
      <c r="D114" s="670" t="s">
        <v>862</v>
      </c>
      <c r="E114" s="670"/>
      <c r="F114" s="670"/>
      <c r="G114" s="670"/>
      <c r="H114" s="443" t="s">
        <v>824</v>
      </c>
      <c r="I114" s="500">
        <v>40.625</v>
      </c>
      <c r="J114" s="443" t="s">
        <v>824</v>
      </c>
      <c r="K114" s="447">
        <v>1</v>
      </c>
      <c r="L114" s="582">
        <f t="shared" si="5"/>
        <v>40.625</v>
      </c>
      <c r="M114" s="584" t="str">
        <f t="shared" si="6"/>
        <v>per light</v>
      </c>
      <c r="N114" s="447">
        <v>5</v>
      </c>
      <c r="O114" s="586">
        <f t="shared" si="7"/>
        <v>8.125</v>
      </c>
      <c r="P114" s="586">
        <f>IFERROR(L114/(((1+Econ_Ann_TA!$H$26)^N114-1)/(Econ_Ann_TA!$H$26*(1+Econ_Ann_TA!$H$26)^N114)),0)</f>
        <v>8.8706544631484086</v>
      </c>
      <c r="Q114" s="517"/>
    </row>
    <row r="115" spans="4:17" s="348" customFormat="1" x14ac:dyDescent="0.2">
      <c r="D115" s="670" t="s">
        <v>1306</v>
      </c>
      <c r="E115" s="670"/>
      <c r="F115" s="670"/>
      <c r="G115" s="670"/>
      <c r="H115" s="443" t="s">
        <v>314</v>
      </c>
      <c r="I115" s="500">
        <v>430</v>
      </c>
      <c r="J115" s="443" t="s">
        <v>314</v>
      </c>
      <c r="K115" s="447">
        <v>1</v>
      </c>
      <c r="L115" s="582">
        <f t="shared" si="5"/>
        <v>430</v>
      </c>
      <c r="M115" s="584" t="str">
        <f t="shared" si="6"/>
        <v>per each</v>
      </c>
      <c r="N115" s="447">
        <v>5</v>
      </c>
      <c r="O115" s="586">
        <f t="shared" si="7"/>
        <v>86</v>
      </c>
      <c r="P115" s="586">
        <f>IFERROR(L115/(((1+Econ_Ann_TA!$H$26)^N115-1)/(Econ_Ann_TA!$H$26*(1+Econ_Ann_TA!$H$26)^N115)),0)</f>
        <v>93.892465702247762</v>
      </c>
      <c r="Q115" s="517" t="s">
        <v>1366</v>
      </c>
    </row>
    <row r="116" spans="4:17" s="348" customFormat="1" x14ac:dyDescent="0.2">
      <c r="D116" s="670" t="s">
        <v>1307</v>
      </c>
      <c r="E116" s="670"/>
      <c r="F116" s="670"/>
      <c r="G116" s="670"/>
      <c r="H116" s="443" t="s">
        <v>314</v>
      </c>
      <c r="I116" s="500">
        <v>197.1369</v>
      </c>
      <c r="J116" s="443" t="s">
        <v>314</v>
      </c>
      <c r="K116" s="447">
        <v>1</v>
      </c>
      <c r="L116" s="582">
        <f t="shared" ref="L116:L147" si="8">I116/K116</f>
        <v>197.1369</v>
      </c>
      <c r="M116" s="584" t="str">
        <f t="shared" ref="M116:M147" si="9">"per "&amp;J116</f>
        <v>per each</v>
      </c>
      <c r="N116" s="447">
        <v>5</v>
      </c>
      <c r="O116" s="586">
        <f t="shared" ref="O116:O147" si="10">IFERROR(L116/N116,0)</f>
        <v>39.427379999999999</v>
      </c>
      <c r="P116" s="586">
        <f>IFERROR(L116/(((1+Econ_Ann_TA!$H$26)^N116-1)/(Econ_Ann_TA!$H$26*(1+Econ_Ann_TA!$H$26)^N116)),0)</f>
        <v>43.045743306738252</v>
      </c>
      <c r="Q116" s="517"/>
    </row>
    <row r="117" spans="4:17" s="348" customFormat="1" x14ac:dyDescent="0.2">
      <c r="D117" s="670" t="s">
        <v>1308</v>
      </c>
      <c r="E117" s="670"/>
      <c r="F117" s="670"/>
      <c r="G117" s="670"/>
      <c r="H117" s="443" t="s">
        <v>314</v>
      </c>
      <c r="I117" s="500">
        <v>354</v>
      </c>
      <c r="J117" s="443" t="s">
        <v>314</v>
      </c>
      <c r="K117" s="447">
        <v>1</v>
      </c>
      <c r="L117" s="582">
        <f t="shared" si="8"/>
        <v>354</v>
      </c>
      <c r="M117" s="584" t="str">
        <f t="shared" si="9"/>
        <v>per each</v>
      </c>
      <c r="N117" s="447">
        <v>10</v>
      </c>
      <c r="O117" s="586">
        <f t="shared" si="10"/>
        <v>35.4</v>
      </c>
      <c r="P117" s="586">
        <f>IFERROR(L117/(((1+Econ_Ann_TA!$H$26)^N117-1)/(Econ_Ann_TA!$H$26*(1+Econ_Ann_TA!$H$26)^N117)),0)</f>
        <v>41.499599338226503</v>
      </c>
      <c r="Q117" s="517" t="s">
        <v>1366</v>
      </c>
    </row>
    <row r="118" spans="4:17" s="348" customFormat="1" x14ac:dyDescent="0.2">
      <c r="D118" s="670" t="s">
        <v>1309</v>
      </c>
      <c r="E118" s="670"/>
      <c r="F118" s="670"/>
      <c r="G118" s="670"/>
      <c r="H118" s="443" t="s">
        <v>314</v>
      </c>
      <c r="I118" s="500">
        <v>8.1560000000000006</v>
      </c>
      <c r="J118" s="443" t="s">
        <v>314</v>
      </c>
      <c r="K118" s="447">
        <v>1</v>
      </c>
      <c r="L118" s="582">
        <f t="shared" si="8"/>
        <v>8.1560000000000006</v>
      </c>
      <c r="M118" s="584" t="str">
        <f t="shared" si="9"/>
        <v>per each</v>
      </c>
      <c r="N118" s="447">
        <v>5</v>
      </c>
      <c r="O118" s="586">
        <f t="shared" si="10"/>
        <v>1.6312000000000002</v>
      </c>
      <c r="P118" s="586">
        <f>IFERROR(L118/(((1+Econ_Ann_TA!$H$26)^N118-1)/(Econ_Ann_TA!$H$26*(1+Econ_Ann_TA!$H$26)^N118)),0)</f>
        <v>1.7808998843430996</v>
      </c>
      <c r="Q118" s="517"/>
    </row>
    <row r="119" spans="4:17" s="348" customFormat="1" x14ac:dyDescent="0.2">
      <c r="D119" s="670" t="s">
        <v>1310</v>
      </c>
      <c r="E119" s="670"/>
      <c r="F119" s="670"/>
      <c r="G119" s="670"/>
      <c r="H119" s="443" t="s">
        <v>314</v>
      </c>
      <c r="I119" s="500">
        <v>13</v>
      </c>
      <c r="J119" s="443" t="s">
        <v>314</v>
      </c>
      <c r="K119" s="447">
        <v>1</v>
      </c>
      <c r="L119" s="582">
        <f t="shared" si="8"/>
        <v>13</v>
      </c>
      <c r="M119" s="584" t="str">
        <f t="shared" si="9"/>
        <v>per each</v>
      </c>
      <c r="N119" s="447">
        <v>9</v>
      </c>
      <c r="O119" s="586">
        <f t="shared" si="10"/>
        <v>1.4444444444444444</v>
      </c>
      <c r="P119" s="586">
        <f>IFERROR(L119/(((1+Econ_Ann_TA!$H$26)^N119-1)/(Econ_Ann_TA!$H$26*(1+Econ_Ann_TA!$H$26)^N119)),0)</f>
        <v>1.6696401412353445</v>
      </c>
      <c r="Q119" s="517"/>
    </row>
    <row r="120" spans="4:17" s="348" customFormat="1" x14ac:dyDescent="0.2">
      <c r="D120" s="670" t="s">
        <v>863</v>
      </c>
      <c r="E120" s="670"/>
      <c r="F120" s="670"/>
      <c r="G120" s="670"/>
      <c r="H120" s="443" t="s">
        <v>825</v>
      </c>
      <c r="I120" s="500">
        <v>3.75</v>
      </c>
      <c r="J120" s="443" t="s">
        <v>825</v>
      </c>
      <c r="K120" s="447">
        <v>1</v>
      </c>
      <c r="L120" s="582">
        <f t="shared" si="8"/>
        <v>3.75</v>
      </c>
      <c r="M120" s="584" t="str">
        <f t="shared" si="9"/>
        <v>per forceps</v>
      </c>
      <c r="N120" s="447">
        <v>5</v>
      </c>
      <c r="O120" s="586">
        <f t="shared" si="10"/>
        <v>0.75</v>
      </c>
      <c r="P120" s="586">
        <f>IFERROR(L120/(((1+Econ_Ann_TA!$H$26)^N120-1)/(Econ_Ann_TA!$H$26*(1+Econ_Ann_TA!$H$26)^N120)),0)</f>
        <v>0.81882964275216075</v>
      </c>
      <c r="Q120" s="517"/>
    </row>
    <row r="121" spans="4:17" s="348" customFormat="1" x14ac:dyDescent="0.2">
      <c r="D121" s="670" t="s">
        <v>865</v>
      </c>
      <c r="E121" s="670"/>
      <c r="F121" s="670"/>
      <c r="G121" s="670"/>
      <c r="H121" s="443" t="s">
        <v>825</v>
      </c>
      <c r="I121" s="500">
        <v>8.75</v>
      </c>
      <c r="J121" s="443" t="s">
        <v>825</v>
      </c>
      <c r="K121" s="447">
        <v>1</v>
      </c>
      <c r="L121" s="582">
        <f t="shared" si="8"/>
        <v>8.75</v>
      </c>
      <c r="M121" s="584" t="str">
        <f t="shared" si="9"/>
        <v>per forceps</v>
      </c>
      <c r="N121" s="447">
        <v>5</v>
      </c>
      <c r="O121" s="586">
        <f t="shared" si="10"/>
        <v>1.75</v>
      </c>
      <c r="P121" s="586">
        <f>IFERROR(L121/(((1+Econ_Ann_TA!$H$26)^N121-1)/(Econ_Ann_TA!$H$26*(1+Econ_Ann_TA!$H$26)^N121)),0)</f>
        <v>1.9106024997550417</v>
      </c>
      <c r="Q121" s="517"/>
    </row>
    <row r="122" spans="4:17" s="348" customFormat="1" x14ac:dyDescent="0.2">
      <c r="D122" s="670" t="s">
        <v>864</v>
      </c>
      <c r="E122" s="670"/>
      <c r="F122" s="670"/>
      <c r="G122" s="670"/>
      <c r="H122" s="443" t="s">
        <v>825</v>
      </c>
      <c r="I122" s="500">
        <v>10.625</v>
      </c>
      <c r="J122" s="443" t="s">
        <v>825</v>
      </c>
      <c r="K122" s="447">
        <v>1</v>
      </c>
      <c r="L122" s="582">
        <f t="shared" si="8"/>
        <v>10.625</v>
      </c>
      <c r="M122" s="584" t="str">
        <f t="shared" si="9"/>
        <v>per forceps</v>
      </c>
      <c r="N122" s="447">
        <v>5</v>
      </c>
      <c r="O122" s="586">
        <f t="shared" si="10"/>
        <v>2.125</v>
      </c>
      <c r="P122" s="586">
        <f>IFERROR(L122/(((1+Econ_Ann_TA!$H$26)^N122-1)/(Econ_Ann_TA!$H$26*(1+Econ_Ann_TA!$H$26)^N122)),0)</f>
        <v>2.3200173211311221</v>
      </c>
      <c r="Q122" s="517"/>
    </row>
    <row r="123" spans="4:17" s="348" customFormat="1" x14ac:dyDescent="0.2">
      <c r="D123" s="670" t="s">
        <v>1311</v>
      </c>
      <c r="E123" s="670"/>
      <c r="F123" s="670"/>
      <c r="G123" s="670"/>
      <c r="H123" s="443" t="s">
        <v>314</v>
      </c>
      <c r="I123" s="500">
        <v>15</v>
      </c>
      <c r="J123" s="443" t="s">
        <v>314</v>
      </c>
      <c r="K123" s="447">
        <v>1</v>
      </c>
      <c r="L123" s="582">
        <f t="shared" si="8"/>
        <v>15</v>
      </c>
      <c r="M123" s="584" t="str">
        <f t="shared" si="9"/>
        <v>per each</v>
      </c>
      <c r="N123" s="447">
        <v>4</v>
      </c>
      <c r="O123" s="586">
        <f t="shared" si="10"/>
        <v>3.75</v>
      </c>
      <c r="P123" s="586">
        <f>IFERROR(L123/(((1+Econ_Ann_TA!$H$26)^N123-1)/(Econ_Ann_TA!$H$26*(1+Econ_Ann_TA!$H$26)^N123)),0)</f>
        <v>4.0354056778962386</v>
      </c>
      <c r="Q123" s="517" t="s">
        <v>1366</v>
      </c>
    </row>
    <row r="124" spans="4:17" s="348" customFormat="1" x14ac:dyDescent="0.2">
      <c r="D124" s="670" t="s">
        <v>1312</v>
      </c>
      <c r="E124" s="670"/>
      <c r="F124" s="670"/>
      <c r="G124" s="670"/>
      <c r="H124" s="443" t="s">
        <v>314</v>
      </c>
      <c r="I124" s="500">
        <v>16.899999999999999</v>
      </c>
      <c r="J124" s="443" t="s">
        <v>314</v>
      </c>
      <c r="K124" s="447">
        <v>1</v>
      </c>
      <c r="L124" s="582">
        <f t="shared" si="8"/>
        <v>16.899999999999999</v>
      </c>
      <c r="M124" s="584" t="str">
        <f t="shared" si="9"/>
        <v>per each</v>
      </c>
      <c r="N124" s="447">
        <v>9</v>
      </c>
      <c r="O124" s="586">
        <f t="shared" si="10"/>
        <v>1.8777777777777775</v>
      </c>
      <c r="P124" s="586">
        <f>IFERROR(L124/(((1+Econ_Ann_TA!$H$26)^N124-1)/(Econ_Ann_TA!$H$26*(1+Econ_Ann_TA!$H$26)^N124)),0)</f>
        <v>2.1705321836059479</v>
      </c>
      <c r="Q124" s="517" t="s">
        <v>1366</v>
      </c>
    </row>
    <row r="125" spans="4:17" s="348" customFormat="1" x14ac:dyDescent="0.2">
      <c r="D125" s="670" t="s">
        <v>1313</v>
      </c>
      <c r="E125" s="670"/>
      <c r="F125" s="670"/>
      <c r="G125" s="670"/>
      <c r="H125" s="443" t="s">
        <v>314</v>
      </c>
      <c r="I125" s="500">
        <v>17</v>
      </c>
      <c r="J125" s="443" t="s">
        <v>314</v>
      </c>
      <c r="K125" s="447">
        <v>1</v>
      </c>
      <c r="L125" s="582">
        <f t="shared" si="8"/>
        <v>17</v>
      </c>
      <c r="M125" s="584" t="str">
        <f t="shared" si="9"/>
        <v>per each</v>
      </c>
      <c r="N125" s="447">
        <v>2</v>
      </c>
      <c r="O125" s="586">
        <f t="shared" si="10"/>
        <v>8.5</v>
      </c>
      <c r="P125" s="586">
        <f>IFERROR(L125/(((1+Econ_Ann_TA!$H$26)^N125-1)/(Econ_Ann_TA!$H$26*(1+Econ_Ann_TA!$H$26)^N125)),0)</f>
        <v>8.884384236453208</v>
      </c>
      <c r="Q125" s="517" t="s">
        <v>1366</v>
      </c>
    </row>
    <row r="126" spans="4:17" s="348" customFormat="1" x14ac:dyDescent="0.2">
      <c r="D126" s="670" t="s">
        <v>1314</v>
      </c>
      <c r="E126" s="670"/>
      <c r="F126" s="670"/>
      <c r="G126" s="670"/>
      <c r="H126" s="443" t="s">
        <v>314</v>
      </c>
      <c r="I126" s="500">
        <v>15</v>
      </c>
      <c r="J126" s="443" t="s">
        <v>314</v>
      </c>
      <c r="K126" s="447">
        <v>1</v>
      </c>
      <c r="L126" s="582">
        <f t="shared" si="8"/>
        <v>15</v>
      </c>
      <c r="M126" s="584" t="str">
        <f t="shared" si="9"/>
        <v>per each</v>
      </c>
      <c r="N126" s="447">
        <v>6</v>
      </c>
      <c r="O126" s="586">
        <f t="shared" si="10"/>
        <v>2.5</v>
      </c>
      <c r="P126" s="586">
        <f>IFERROR(L126/(((1+Econ_Ann_TA!$H$26)^N126-1)/(Econ_Ann_TA!$H$26*(1+Econ_Ann_TA!$H$26)^N126)),0)</f>
        <v>2.7689625067526591</v>
      </c>
      <c r="Q126" s="517" t="s">
        <v>1366</v>
      </c>
    </row>
    <row r="127" spans="4:17" s="348" customFormat="1" x14ac:dyDescent="0.2">
      <c r="D127" s="670" t="s">
        <v>1315</v>
      </c>
      <c r="E127" s="670"/>
      <c r="F127" s="670"/>
      <c r="G127" s="670"/>
      <c r="H127" s="443" t="s">
        <v>314</v>
      </c>
      <c r="I127" s="500">
        <v>15</v>
      </c>
      <c r="J127" s="443" t="s">
        <v>314</v>
      </c>
      <c r="K127" s="447">
        <v>1</v>
      </c>
      <c r="L127" s="582">
        <f t="shared" si="8"/>
        <v>15</v>
      </c>
      <c r="M127" s="584" t="str">
        <f t="shared" si="9"/>
        <v>per each</v>
      </c>
      <c r="N127" s="447">
        <v>6</v>
      </c>
      <c r="O127" s="586">
        <f t="shared" si="10"/>
        <v>2.5</v>
      </c>
      <c r="P127" s="586">
        <f>IFERROR(L127/(((1+Econ_Ann_TA!$H$26)^N127-1)/(Econ_Ann_TA!$H$26*(1+Econ_Ann_TA!$H$26)^N127)),0)</f>
        <v>2.7689625067526591</v>
      </c>
      <c r="Q127" s="517" t="s">
        <v>1366</v>
      </c>
    </row>
    <row r="128" spans="4:17" s="348" customFormat="1" x14ac:dyDescent="0.2">
      <c r="D128" s="670" t="s">
        <v>866</v>
      </c>
      <c r="E128" s="670"/>
      <c r="F128" s="670"/>
      <c r="G128" s="670"/>
      <c r="H128" s="443" t="s">
        <v>825</v>
      </c>
      <c r="I128" s="500">
        <v>3.4375</v>
      </c>
      <c r="J128" s="443" t="s">
        <v>825</v>
      </c>
      <c r="K128" s="447">
        <v>1</v>
      </c>
      <c r="L128" s="582">
        <f t="shared" si="8"/>
        <v>3.4375</v>
      </c>
      <c r="M128" s="584" t="str">
        <f t="shared" si="9"/>
        <v>per forceps</v>
      </c>
      <c r="N128" s="447">
        <v>5</v>
      </c>
      <c r="O128" s="586">
        <f t="shared" si="10"/>
        <v>0.6875</v>
      </c>
      <c r="P128" s="586">
        <f>IFERROR(L128/(((1+Econ_Ann_TA!$H$26)^N128-1)/(Econ_Ann_TA!$H$26*(1+Econ_Ann_TA!$H$26)^N128)),0)</f>
        <v>0.75059383918948064</v>
      </c>
      <c r="Q128" s="517"/>
    </row>
    <row r="129" spans="4:17" s="348" customFormat="1" x14ac:dyDescent="0.2">
      <c r="D129" s="670" t="s">
        <v>1316</v>
      </c>
      <c r="E129" s="670"/>
      <c r="F129" s="670"/>
      <c r="G129" s="670"/>
      <c r="H129" s="443" t="s">
        <v>314</v>
      </c>
      <c r="I129" s="500">
        <v>15</v>
      </c>
      <c r="J129" s="443" t="s">
        <v>314</v>
      </c>
      <c r="K129" s="447">
        <v>1</v>
      </c>
      <c r="L129" s="582">
        <f t="shared" si="8"/>
        <v>15</v>
      </c>
      <c r="M129" s="584" t="str">
        <f t="shared" si="9"/>
        <v>per each</v>
      </c>
      <c r="N129" s="447">
        <v>4</v>
      </c>
      <c r="O129" s="586">
        <f t="shared" si="10"/>
        <v>3.75</v>
      </c>
      <c r="P129" s="586">
        <f>IFERROR(L129/(((1+Econ_Ann_TA!$H$26)^N129-1)/(Econ_Ann_TA!$H$26*(1+Econ_Ann_TA!$H$26)^N129)),0)</f>
        <v>4.0354056778962386</v>
      </c>
      <c r="Q129" s="517" t="s">
        <v>1366</v>
      </c>
    </row>
    <row r="130" spans="4:17" s="348" customFormat="1" x14ac:dyDescent="0.2">
      <c r="D130" s="670" t="s">
        <v>867</v>
      </c>
      <c r="E130" s="670"/>
      <c r="F130" s="670"/>
      <c r="G130" s="670"/>
      <c r="H130" s="443" t="s">
        <v>825</v>
      </c>
      <c r="I130" s="500">
        <v>37.5</v>
      </c>
      <c r="J130" s="443" t="s">
        <v>825</v>
      </c>
      <c r="K130" s="447">
        <v>1</v>
      </c>
      <c r="L130" s="582">
        <f t="shared" si="8"/>
        <v>37.5</v>
      </c>
      <c r="M130" s="584" t="str">
        <f t="shared" si="9"/>
        <v>per forceps</v>
      </c>
      <c r="N130" s="447">
        <v>5</v>
      </c>
      <c r="O130" s="586">
        <f t="shared" si="10"/>
        <v>7.5</v>
      </c>
      <c r="P130" s="586">
        <f>IFERROR(L130/(((1+Econ_Ann_TA!$H$26)^N130-1)/(Econ_Ann_TA!$H$26*(1+Econ_Ann_TA!$H$26)^N130)),0)</f>
        <v>8.1882964275216068</v>
      </c>
      <c r="Q130" s="517"/>
    </row>
    <row r="131" spans="4:17" s="348" customFormat="1" x14ac:dyDescent="0.2">
      <c r="D131" s="670" t="s">
        <v>1317</v>
      </c>
      <c r="E131" s="670"/>
      <c r="F131" s="670"/>
      <c r="G131" s="670"/>
      <c r="H131" s="443" t="s">
        <v>314</v>
      </c>
      <c r="I131" s="500">
        <v>12</v>
      </c>
      <c r="J131" s="443" t="s">
        <v>314</v>
      </c>
      <c r="K131" s="447">
        <v>1</v>
      </c>
      <c r="L131" s="582">
        <f t="shared" si="8"/>
        <v>12</v>
      </c>
      <c r="M131" s="584" t="str">
        <f t="shared" si="9"/>
        <v>per each</v>
      </c>
      <c r="N131" s="447">
        <v>8</v>
      </c>
      <c r="O131" s="586">
        <f t="shared" si="10"/>
        <v>1.5</v>
      </c>
      <c r="P131" s="586">
        <f>IFERROR(L131/(((1+Econ_Ann_TA!$H$26)^N131-1)/(Econ_Ann_TA!$H$26*(1+Econ_Ann_TA!$H$26)^N131)),0)</f>
        <v>1.709476665926871</v>
      </c>
      <c r="Q131" s="517" t="s">
        <v>1366</v>
      </c>
    </row>
    <row r="132" spans="4:17" s="348" customFormat="1" x14ac:dyDescent="0.2">
      <c r="D132" s="670" t="s">
        <v>925</v>
      </c>
      <c r="E132" s="670"/>
      <c r="F132" s="670"/>
      <c r="G132" s="670"/>
      <c r="H132" s="443" t="s">
        <v>825</v>
      </c>
      <c r="I132" s="500">
        <v>3.4375</v>
      </c>
      <c r="J132" s="443" t="s">
        <v>825</v>
      </c>
      <c r="K132" s="447">
        <v>1</v>
      </c>
      <c r="L132" s="582">
        <f t="shared" si="8"/>
        <v>3.4375</v>
      </c>
      <c r="M132" s="584" t="str">
        <f t="shared" si="9"/>
        <v>per forceps</v>
      </c>
      <c r="N132" s="447">
        <v>5</v>
      </c>
      <c r="O132" s="586">
        <f t="shared" si="10"/>
        <v>0.6875</v>
      </c>
      <c r="P132" s="586">
        <f>IFERROR(L132/(((1+Econ_Ann_TA!$H$26)^N132-1)/(Econ_Ann_TA!$H$26*(1+Econ_Ann_TA!$H$26)^N132)),0)</f>
        <v>0.75059383918948064</v>
      </c>
      <c r="Q132" s="517"/>
    </row>
    <row r="133" spans="4:17" s="348" customFormat="1" x14ac:dyDescent="0.2">
      <c r="D133" s="670" t="s">
        <v>1318</v>
      </c>
      <c r="E133" s="670"/>
      <c r="F133" s="670"/>
      <c r="G133" s="670"/>
      <c r="H133" s="443" t="s">
        <v>314</v>
      </c>
      <c r="I133" s="500">
        <v>10</v>
      </c>
      <c r="J133" s="443" t="s">
        <v>314</v>
      </c>
      <c r="K133" s="447">
        <v>1</v>
      </c>
      <c r="L133" s="582">
        <f t="shared" si="8"/>
        <v>10</v>
      </c>
      <c r="M133" s="584" t="str">
        <f t="shared" si="9"/>
        <v>per each</v>
      </c>
      <c r="N133" s="447">
        <v>9</v>
      </c>
      <c r="O133" s="586">
        <f t="shared" si="10"/>
        <v>1.1111111111111112</v>
      </c>
      <c r="P133" s="586">
        <f>IFERROR(L133/(((1+Econ_Ann_TA!$H$26)^N133-1)/(Econ_Ann_TA!$H$26*(1+Econ_Ann_TA!$H$26)^N133)),0)</f>
        <v>1.2843385701810344</v>
      </c>
      <c r="Q133" s="517" t="s">
        <v>1366</v>
      </c>
    </row>
    <row r="134" spans="4:17" s="348" customFormat="1" x14ac:dyDescent="0.2">
      <c r="D134" s="670" t="s">
        <v>1319</v>
      </c>
      <c r="E134" s="670"/>
      <c r="F134" s="670"/>
      <c r="G134" s="670"/>
      <c r="H134" s="443" t="s">
        <v>314</v>
      </c>
      <c r="I134" s="500">
        <v>3.9441999999999999</v>
      </c>
      <c r="J134" s="443" t="s">
        <v>314</v>
      </c>
      <c r="K134" s="447">
        <v>1</v>
      </c>
      <c r="L134" s="582">
        <f t="shared" si="8"/>
        <v>3.9441999999999999</v>
      </c>
      <c r="M134" s="584" t="str">
        <f t="shared" si="9"/>
        <v>per each</v>
      </c>
      <c r="N134" s="447">
        <v>5</v>
      </c>
      <c r="O134" s="586">
        <f t="shared" si="10"/>
        <v>0.78883999999999999</v>
      </c>
      <c r="P134" s="586">
        <f>IFERROR(L134/(((1+Econ_Ann_TA!$H$26)^N134-1)/(Econ_Ann_TA!$H$26*(1+Econ_Ann_TA!$H$26)^N134)),0)</f>
        <v>0.86123410051815263</v>
      </c>
      <c r="Q134" s="517"/>
    </row>
    <row r="135" spans="4:17" s="348" customFormat="1" x14ac:dyDescent="0.2">
      <c r="D135" s="670" t="s">
        <v>1320</v>
      </c>
      <c r="E135" s="670"/>
      <c r="F135" s="670"/>
      <c r="G135" s="670"/>
      <c r="H135" s="443" t="s">
        <v>314</v>
      </c>
      <c r="I135" s="500">
        <v>15</v>
      </c>
      <c r="J135" s="443" t="s">
        <v>314</v>
      </c>
      <c r="K135" s="447">
        <v>1</v>
      </c>
      <c r="L135" s="582">
        <f t="shared" si="8"/>
        <v>15</v>
      </c>
      <c r="M135" s="584" t="str">
        <f t="shared" si="9"/>
        <v>per each</v>
      </c>
      <c r="N135" s="447">
        <v>8</v>
      </c>
      <c r="O135" s="586">
        <f t="shared" si="10"/>
        <v>1.875</v>
      </c>
      <c r="P135" s="586">
        <f>IFERROR(L135/(((1+Econ_Ann_TA!$H$26)^N135-1)/(Econ_Ann_TA!$H$26*(1+Econ_Ann_TA!$H$26)^N135)),0)</f>
        <v>2.1368458324085888</v>
      </c>
      <c r="Q135" s="517" t="s">
        <v>1366</v>
      </c>
    </row>
    <row r="136" spans="4:17" s="348" customFormat="1" x14ac:dyDescent="0.2">
      <c r="D136" s="670" t="s">
        <v>868</v>
      </c>
      <c r="E136" s="670"/>
      <c r="F136" s="670"/>
      <c r="G136" s="670"/>
      <c r="H136" s="443" t="s">
        <v>314</v>
      </c>
      <c r="I136" s="500">
        <v>82.5</v>
      </c>
      <c r="J136" s="443" t="s">
        <v>826</v>
      </c>
      <c r="K136" s="447">
        <v>1</v>
      </c>
      <c r="L136" s="582">
        <f t="shared" si="8"/>
        <v>82.5</v>
      </c>
      <c r="M136" s="584" t="str">
        <f t="shared" si="9"/>
        <v>per adapter</v>
      </c>
      <c r="N136" s="447">
        <v>10</v>
      </c>
      <c r="O136" s="586">
        <f t="shared" si="10"/>
        <v>8.25</v>
      </c>
      <c r="P136" s="586">
        <f>IFERROR(L136/(((1+Econ_Ann_TA!$H$26)^N136-1)/(Econ_Ann_TA!$H$26*(1+Econ_Ann_TA!$H$26)^N136)),0)</f>
        <v>9.6715167949256688</v>
      </c>
      <c r="Q136" s="517"/>
    </row>
    <row r="137" spans="4:17" s="348" customFormat="1" x14ac:dyDescent="0.2">
      <c r="D137" s="670" t="s">
        <v>869</v>
      </c>
      <c r="E137" s="670"/>
      <c r="F137" s="670"/>
      <c r="G137" s="670"/>
      <c r="H137" s="443" t="s">
        <v>827</v>
      </c>
      <c r="I137" s="500">
        <v>346.875</v>
      </c>
      <c r="J137" s="443" t="s">
        <v>827</v>
      </c>
      <c r="K137" s="447">
        <v>1</v>
      </c>
      <c r="L137" s="582">
        <f t="shared" si="8"/>
        <v>346.875</v>
      </c>
      <c r="M137" s="584" t="str">
        <f t="shared" si="9"/>
        <v>per bed</v>
      </c>
      <c r="N137" s="447">
        <v>2</v>
      </c>
      <c r="O137" s="586">
        <f t="shared" si="10"/>
        <v>173.4375</v>
      </c>
      <c r="P137" s="586">
        <f>IFERROR(L137/(((1+Econ_Ann_TA!$H$26)^N137-1)/(Econ_Ann_TA!$H$26*(1+Econ_Ann_TA!$H$26)^N137)),0)</f>
        <v>181.2806342364533</v>
      </c>
      <c r="Q137" s="517"/>
    </row>
    <row r="138" spans="4:17" s="348" customFormat="1" x14ac:dyDescent="0.2">
      <c r="D138" s="670" t="s">
        <v>1321</v>
      </c>
      <c r="E138" s="670"/>
      <c r="F138" s="670"/>
      <c r="G138" s="670"/>
      <c r="H138" s="443" t="s">
        <v>314</v>
      </c>
      <c r="I138" s="500">
        <v>50</v>
      </c>
      <c r="J138" s="443" t="s">
        <v>314</v>
      </c>
      <c r="K138" s="447">
        <v>1</v>
      </c>
      <c r="L138" s="582">
        <f t="shared" si="8"/>
        <v>50</v>
      </c>
      <c r="M138" s="584" t="str">
        <f t="shared" si="9"/>
        <v>per each</v>
      </c>
      <c r="N138" s="447">
        <v>10</v>
      </c>
      <c r="O138" s="586">
        <f t="shared" si="10"/>
        <v>5</v>
      </c>
      <c r="P138" s="586">
        <f>IFERROR(L138/(((1+Econ_Ann_TA!$H$26)^N138-1)/(Econ_Ann_TA!$H$26*(1+Econ_Ann_TA!$H$26)^N138)),0)</f>
        <v>5.8615253302579804</v>
      </c>
      <c r="Q138" s="517" t="s">
        <v>1366</v>
      </c>
    </row>
    <row r="139" spans="4:17" s="348" customFormat="1" x14ac:dyDescent="0.2">
      <c r="D139" s="670" t="s">
        <v>1322</v>
      </c>
      <c r="E139" s="670"/>
      <c r="F139" s="670"/>
      <c r="G139" s="670"/>
      <c r="H139" s="443" t="s">
        <v>314</v>
      </c>
      <c r="I139" s="500">
        <v>120</v>
      </c>
      <c r="J139" s="443" t="s">
        <v>314</v>
      </c>
      <c r="K139" s="447">
        <v>1</v>
      </c>
      <c r="L139" s="582">
        <f t="shared" si="8"/>
        <v>120</v>
      </c>
      <c r="M139" s="584" t="str">
        <f t="shared" si="9"/>
        <v>per each</v>
      </c>
      <c r="N139" s="447">
        <v>5</v>
      </c>
      <c r="O139" s="586">
        <f t="shared" si="10"/>
        <v>24</v>
      </c>
      <c r="P139" s="586">
        <f>IFERROR(L139/(((1+Econ_Ann_TA!$H$26)^N139-1)/(Econ_Ann_TA!$H$26*(1+Econ_Ann_TA!$H$26)^N139)),0)</f>
        <v>26.202548568069144</v>
      </c>
      <c r="Q139" s="517" t="s">
        <v>1366</v>
      </c>
    </row>
    <row r="140" spans="4:17" s="348" customFormat="1" x14ac:dyDescent="0.2">
      <c r="D140" s="670" t="s">
        <v>1323</v>
      </c>
      <c r="E140" s="670"/>
      <c r="F140" s="670"/>
      <c r="G140" s="670"/>
      <c r="H140" s="443" t="s">
        <v>314</v>
      </c>
      <c r="I140" s="500">
        <v>20</v>
      </c>
      <c r="J140" s="443" t="s">
        <v>314</v>
      </c>
      <c r="K140" s="447">
        <v>1</v>
      </c>
      <c r="L140" s="582">
        <f t="shared" si="8"/>
        <v>20</v>
      </c>
      <c r="M140" s="584" t="str">
        <f t="shared" si="9"/>
        <v>per each</v>
      </c>
      <c r="N140" s="447">
        <v>4</v>
      </c>
      <c r="O140" s="586">
        <f t="shared" si="10"/>
        <v>5</v>
      </c>
      <c r="P140" s="586">
        <f>IFERROR(L140/(((1+Econ_Ann_TA!$H$26)^N140-1)/(Econ_Ann_TA!$H$26*(1+Econ_Ann_TA!$H$26)^N140)),0)</f>
        <v>5.3805409038616512</v>
      </c>
      <c r="Q140" s="517" t="s">
        <v>1366</v>
      </c>
    </row>
    <row r="141" spans="4:17" s="348" customFormat="1" x14ac:dyDescent="0.2">
      <c r="D141" s="670" t="s">
        <v>926</v>
      </c>
      <c r="E141" s="670"/>
      <c r="F141" s="670"/>
      <c r="G141" s="670"/>
      <c r="H141" s="443" t="s">
        <v>823</v>
      </c>
      <c r="I141" s="500">
        <v>7.5</v>
      </c>
      <c r="J141" s="443" t="s">
        <v>823</v>
      </c>
      <c r="K141" s="447">
        <v>1</v>
      </c>
      <c r="L141" s="582">
        <f t="shared" si="8"/>
        <v>7.5</v>
      </c>
      <c r="M141" s="584" t="str">
        <f t="shared" si="9"/>
        <v>per tray</v>
      </c>
      <c r="N141" s="447">
        <v>2</v>
      </c>
      <c r="O141" s="586">
        <f t="shared" si="10"/>
        <v>3.75</v>
      </c>
      <c r="P141" s="586">
        <f>IFERROR(L141/(((1+Econ_Ann_TA!$H$26)^N141-1)/(Econ_Ann_TA!$H$26*(1+Econ_Ann_TA!$H$26)^N141)),0)</f>
        <v>3.9195812807881798</v>
      </c>
      <c r="Q141" s="517"/>
    </row>
    <row r="142" spans="4:17" s="348" customFormat="1" x14ac:dyDescent="0.2">
      <c r="D142" s="670" t="s">
        <v>1324</v>
      </c>
      <c r="E142" s="670"/>
      <c r="F142" s="670"/>
      <c r="G142" s="670"/>
      <c r="H142" s="443" t="s">
        <v>314</v>
      </c>
      <c r="I142" s="500">
        <v>20</v>
      </c>
      <c r="J142" s="443" t="s">
        <v>314</v>
      </c>
      <c r="K142" s="447">
        <v>1</v>
      </c>
      <c r="L142" s="582">
        <f t="shared" si="8"/>
        <v>20</v>
      </c>
      <c r="M142" s="584" t="str">
        <f t="shared" si="9"/>
        <v>per each</v>
      </c>
      <c r="N142" s="447">
        <v>8</v>
      </c>
      <c r="O142" s="586">
        <f t="shared" si="10"/>
        <v>2.5</v>
      </c>
      <c r="P142" s="586">
        <f>IFERROR(L142/(((1+Econ_Ann_TA!$H$26)^N142-1)/(Econ_Ann_TA!$H$26*(1+Econ_Ann_TA!$H$26)^N142)),0)</f>
        <v>2.8491277765447851</v>
      </c>
      <c r="Q142" s="517" t="s">
        <v>1366</v>
      </c>
    </row>
    <row r="143" spans="4:17" s="348" customFormat="1" x14ac:dyDescent="0.2">
      <c r="D143" s="670" t="s">
        <v>1325</v>
      </c>
      <c r="E143" s="670"/>
      <c r="F143" s="670"/>
      <c r="G143" s="670"/>
      <c r="H143" s="443" t="s">
        <v>314</v>
      </c>
      <c r="I143" s="500">
        <v>4.1161000000000003</v>
      </c>
      <c r="J143" s="443" t="s">
        <v>314</v>
      </c>
      <c r="K143" s="447">
        <v>1</v>
      </c>
      <c r="L143" s="582">
        <f t="shared" si="8"/>
        <v>4.1161000000000003</v>
      </c>
      <c r="M143" s="584" t="str">
        <f t="shared" si="9"/>
        <v>per each</v>
      </c>
      <c r="N143" s="447">
        <v>10</v>
      </c>
      <c r="O143" s="586">
        <f t="shared" si="10"/>
        <v>0.41161000000000003</v>
      </c>
      <c r="P143" s="586">
        <f>IFERROR(L143/(((1+Econ_Ann_TA!$H$26)^N143-1)/(Econ_Ann_TA!$H$26*(1+Econ_Ann_TA!$H$26)^N143)),0)</f>
        <v>0.4825324882374975</v>
      </c>
      <c r="Q143" s="517"/>
    </row>
    <row r="144" spans="4:17" s="348" customFormat="1" x14ac:dyDescent="0.2">
      <c r="D144" s="670" t="s">
        <v>1326</v>
      </c>
      <c r="E144" s="670"/>
      <c r="F144" s="670"/>
      <c r="G144" s="670"/>
      <c r="H144" s="443" t="s">
        <v>314</v>
      </c>
      <c r="I144" s="500">
        <v>49.744300000000003</v>
      </c>
      <c r="J144" s="443" t="s">
        <v>314</v>
      </c>
      <c r="K144" s="447">
        <v>1</v>
      </c>
      <c r="L144" s="582">
        <f t="shared" si="8"/>
        <v>49.744300000000003</v>
      </c>
      <c r="M144" s="584" t="str">
        <f t="shared" si="9"/>
        <v>per each</v>
      </c>
      <c r="N144" s="447">
        <v>10</v>
      </c>
      <c r="O144" s="586">
        <f t="shared" si="10"/>
        <v>4.9744299999999999</v>
      </c>
      <c r="P144" s="586">
        <f>IFERROR(L144/(((1+Econ_Ann_TA!$H$26)^N144-1)/(Econ_Ann_TA!$H$26*(1+Econ_Ann_TA!$H$26)^N144)),0)</f>
        <v>5.8315494897190421</v>
      </c>
      <c r="Q144" s="517"/>
    </row>
    <row r="145" spans="4:17" s="348" customFormat="1" x14ac:dyDescent="0.2">
      <c r="D145" s="670" t="s">
        <v>1327</v>
      </c>
      <c r="E145" s="670"/>
      <c r="F145" s="670"/>
      <c r="G145" s="670"/>
      <c r="H145" s="443" t="s">
        <v>325</v>
      </c>
      <c r="I145" s="500">
        <v>1100</v>
      </c>
      <c r="J145" s="443" t="s">
        <v>325</v>
      </c>
      <c r="K145" s="447">
        <v>1</v>
      </c>
      <c r="L145" s="582">
        <f t="shared" si="8"/>
        <v>1100</v>
      </c>
      <c r="M145" s="584" t="str">
        <f t="shared" si="9"/>
        <v>per set</v>
      </c>
      <c r="N145" s="447">
        <v>5</v>
      </c>
      <c r="O145" s="586">
        <f t="shared" si="10"/>
        <v>220</v>
      </c>
      <c r="P145" s="586">
        <f>IFERROR(L145/(((1+Econ_Ann_TA!$H$26)^N145-1)/(Econ_Ann_TA!$H$26*(1+Econ_Ann_TA!$H$26)^N145)),0)</f>
        <v>240.19002854063382</v>
      </c>
      <c r="Q145" s="517" t="s">
        <v>1366</v>
      </c>
    </row>
    <row r="146" spans="4:17" s="348" customFormat="1" x14ac:dyDescent="0.2">
      <c r="D146" s="670" t="s">
        <v>870</v>
      </c>
      <c r="E146" s="670"/>
      <c r="F146" s="670"/>
      <c r="G146" s="670"/>
      <c r="H146" s="443" t="s">
        <v>325</v>
      </c>
      <c r="I146" s="500">
        <v>11838.75</v>
      </c>
      <c r="J146" s="443" t="s">
        <v>828</v>
      </c>
      <c r="K146" s="447">
        <v>1</v>
      </c>
      <c r="L146" s="582">
        <f t="shared" si="8"/>
        <v>11838.75</v>
      </c>
      <c r="M146" s="584" t="str">
        <f t="shared" si="9"/>
        <v>per LEEP unit</v>
      </c>
      <c r="N146" s="447">
        <v>8</v>
      </c>
      <c r="O146" s="586">
        <f t="shared" si="10"/>
        <v>1479.84375</v>
      </c>
      <c r="P146" s="586">
        <f>IFERROR(L146/(((1+Econ_Ann_TA!$H$26)^N146-1)/(Econ_Ann_TA!$H$26*(1+Econ_Ann_TA!$H$26)^N146)),0)</f>
        <v>1686.5055732284786</v>
      </c>
      <c r="Q146" s="517"/>
    </row>
    <row r="147" spans="4:17" s="348" customFormat="1" x14ac:dyDescent="0.2">
      <c r="D147" s="663" t="s">
        <v>1717</v>
      </c>
      <c r="E147" s="663"/>
      <c r="F147" s="663"/>
      <c r="G147" s="663"/>
      <c r="H147" s="444" t="s">
        <v>325</v>
      </c>
      <c r="I147" s="501">
        <v>6000</v>
      </c>
      <c r="J147" s="444" t="s">
        <v>325</v>
      </c>
      <c r="K147" s="448">
        <v>1</v>
      </c>
      <c r="L147" s="582">
        <f t="shared" si="8"/>
        <v>6000</v>
      </c>
      <c r="M147" s="584" t="str">
        <f t="shared" si="9"/>
        <v>per set</v>
      </c>
      <c r="N147" s="447">
        <v>9</v>
      </c>
      <c r="O147" s="586">
        <f t="shared" si="10"/>
        <v>666.66666666666663</v>
      </c>
      <c r="P147" s="586">
        <f>IFERROR(L147/(((1+Econ_Ann_TA!$H$26)^N147-1)/(Econ_Ann_TA!$H$26*(1+Econ_Ann_TA!$H$26)^N147)),0)</f>
        <v>770.60314210862055</v>
      </c>
      <c r="Q147" s="536" t="s">
        <v>1718</v>
      </c>
    </row>
    <row r="148" spans="4:17" s="348" customFormat="1" x14ac:dyDescent="0.2">
      <c r="D148" s="670" t="s">
        <v>1328</v>
      </c>
      <c r="E148" s="670"/>
      <c r="F148" s="670"/>
      <c r="G148" s="670"/>
      <c r="H148" s="443" t="s">
        <v>314</v>
      </c>
      <c r="I148" s="500">
        <v>5055</v>
      </c>
      <c r="J148" s="443" t="s">
        <v>314</v>
      </c>
      <c r="K148" s="447">
        <v>1</v>
      </c>
      <c r="L148" s="582">
        <f t="shared" ref="L148:L179" si="11">I148/K148</f>
        <v>5055</v>
      </c>
      <c r="M148" s="584" t="str">
        <f t="shared" ref="M148:M179" si="12">"per "&amp;J148</f>
        <v>per each</v>
      </c>
      <c r="N148" s="447">
        <v>6</v>
      </c>
      <c r="O148" s="586">
        <f t="shared" ref="O148:O179" si="13">IFERROR(L148/N148,0)</f>
        <v>842.5</v>
      </c>
      <c r="P148" s="586">
        <f>IFERROR(L148/(((1+Econ_Ann_TA!$H$26)^N148-1)/(Econ_Ann_TA!$H$26*(1+Econ_Ann_TA!$H$26)^N148)),0)</f>
        <v>933.14036477564616</v>
      </c>
      <c r="Q148" s="517"/>
    </row>
    <row r="149" spans="4:17" s="348" customFormat="1" x14ac:dyDescent="0.2">
      <c r="D149" s="670" t="s">
        <v>1329</v>
      </c>
      <c r="E149" s="670"/>
      <c r="F149" s="670"/>
      <c r="G149" s="670"/>
      <c r="H149" s="443" t="s">
        <v>314</v>
      </c>
      <c r="I149" s="500">
        <v>100</v>
      </c>
      <c r="J149" s="443" t="s">
        <v>314</v>
      </c>
      <c r="K149" s="447">
        <v>1</v>
      </c>
      <c r="L149" s="582">
        <f t="shared" si="11"/>
        <v>100</v>
      </c>
      <c r="M149" s="584" t="str">
        <f t="shared" si="12"/>
        <v>per each</v>
      </c>
      <c r="N149" s="447">
        <v>4</v>
      </c>
      <c r="O149" s="586">
        <f t="shared" si="13"/>
        <v>25</v>
      </c>
      <c r="P149" s="586">
        <f>IFERROR(L149/(((1+Econ_Ann_TA!$H$26)^N149-1)/(Econ_Ann_TA!$H$26*(1+Econ_Ann_TA!$H$26)^N149)),0)</f>
        <v>26.902704519308259</v>
      </c>
      <c r="Q149" s="517" t="s">
        <v>1366</v>
      </c>
    </row>
    <row r="150" spans="4:17" s="348" customFormat="1" x14ac:dyDescent="0.2">
      <c r="D150" s="670" t="s">
        <v>1654</v>
      </c>
      <c r="E150" s="670"/>
      <c r="F150" s="670"/>
      <c r="G150" s="670"/>
      <c r="H150" s="443" t="s">
        <v>314</v>
      </c>
      <c r="I150" s="500">
        <v>37.200000000000003</v>
      </c>
      <c r="J150" s="443" t="s">
        <v>314</v>
      </c>
      <c r="K150" s="447">
        <v>1</v>
      </c>
      <c r="L150" s="582">
        <f t="shared" si="11"/>
        <v>37.200000000000003</v>
      </c>
      <c r="M150" s="584" t="str">
        <f t="shared" si="12"/>
        <v>per each</v>
      </c>
      <c r="N150" s="447">
        <v>1</v>
      </c>
      <c r="O150" s="586">
        <f t="shared" si="13"/>
        <v>37.200000000000003</v>
      </c>
      <c r="P150" s="586">
        <f>IFERROR(L150/(((1+Econ_Ann_TA!$H$26)^N150-1)/(Econ_Ann_TA!$H$26*(1+Econ_Ann_TA!$H$26)^N150)),0)</f>
        <v>38.315999999999967</v>
      </c>
      <c r="Q150" s="517" t="s">
        <v>1718</v>
      </c>
    </row>
    <row r="151" spans="4:17" s="348" customFormat="1" x14ac:dyDescent="0.2">
      <c r="D151" s="670" t="s">
        <v>1653</v>
      </c>
      <c r="E151" s="670"/>
      <c r="F151" s="670"/>
      <c r="G151" s="670"/>
      <c r="H151" s="443" t="s">
        <v>314</v>
      </c>
      <c r="I151" s="500">
        <v>37.200000000000003</v>
      </c>
      <c r="J151" s="443" t="s">
        <v>314</v>
      </c>
      <c r="K151" s="447">
        <v>1</v>
      </c>
      <c r="L151" s="582">
        <f t="shared" si="11"/>
        <v>37.200000000000003</v>
      </c>
      <c r="M151" s="584" t="str">
        <f t="shared" si="12"/>
        <v>per each</v>
      </c>
      <c r="N151" s="447">
        <v>1</v>
      </c>
      <c r="O151" s="586">
        <f t="shared" si="13"/>
        <v>37.200000000000003</v>
      </c>
      <c r="P151" s="586">
        <f>IFERROR(L151/(((1+Econ_Ann_TA!$H$26)^N151-1)/(Econ_Ann_TA!$H$26*(1+Econ_Ann_TA!$H$26)^N151)),0)</f>
        <v>38.315999999999967</v>
      </c>
      <c r="Q151" s="517" t="s">
        <v>1718</v>
      </c>
    </row>
    <row r="152" spans="4:17" s="348" customFormat="1" x14ac:dyDescent="0.2">
      <c r="D152" s="670" t="s">
        <v>1723</v>
      </c>
      <c r="E152" s="670"/>
      <c r="F152" s="670"/>
      <c r="G152" s="670"/>
      <c r="H152" s="443" t="s">
        <v>314</v>
      </c>
      <c r="I152" s="500">
        <v>37.200000000000003</v>
      </c>
      <c r="J152" s="443" t="s">
        <v>314</v>
      </c>
      <c r="K152" s="447">
        <v>1</v>
      </c>
      <c r="L152" s="582">
        <f t="shared" si="11"/>
        <v>37.200000000000003</v>
      </c>
      <c r="M152" s="584" t="str">
        <f t="shared" si="12"/>
        <v>per each</v>
      </c>
      <c r="N152" s="447">
        <v>1</v>
      </c>
      <c r="O152" s="586">
        <f t="shared" si="13"/>
        <v>37.200000000000003</v>
      </c>
      <c r="P152" s="586">
        <f>IFERROR(L152/(((1+Econ_Ann_TA!$H$26)^N152-1)/(Econ_Ann_TA!$H$26*(1+Econ_Ann_TA!$H$26)^N152)),0)</f>
        <v>38.315999999999967</v>
      </c>
      <c r="Q152" s="517" t="s">
        <v>1718</v>
      </c>
    </row>
    <row r="153" spans="4:17" s="348" customFormat="1" x14ac:dyDescent="0.2">
      <c r="D153" s="670" t="s">
        <v>1724</v>
      </c>
      <c r="E153" s="670"/>
      <c r="F153" s="670"/>
      <c r="G153" s="670"/>
      <c r="H153" s="443" t="s">
        <v>314</v>
      </c>
      <c r="I153" s="500">
        <v>37.200000000000003</v>
      </c>
      <c r="J153" s="443" t="s">
        <v>314</v>
      </c>
      <c r="K153" s="447">
        <v>1</v>
      </c>
      <c r="L153" s="582">
        <f t="shared" si="11"/>
        <v>37.200000000000003</v>
      </c>
      <c r="M153" s="584" t="str">
        <f t="shared" si="12"/>
        <v>per each</v>
      </c>
      <c r="N153" s="447">
        <v>1</v>
      </c>
      <c r="O153" s="586">
        <f t="shared" si="13"/>
        <v>37.200000000000003</v>
      </c>
      <c r="P153" s="586">
        <f>IFERROR(L153/(((1+Econ_Ann_TA!$H$26)^N153-1)/(Econ_Ann_TA!$H$26*(1+Econ_Ann_TA!$H$26)^N153)),0)</f>
        <v>38.315999999999967</v>
      </c>
      <c r="Q153" s="517" t="s">
        <v>1718</v>
      </c>
    </row>
    <row r="154" spans="4:17" s="348" customFormat="1" x14ac:dyDescent="0.2">
      <c r="D154" s="670" t="s">
        <v>1330</v>
      </c>
      <c r="E154" s="670"/>
      <c r="F154" s="670"/>
      <c r="G154" s="670"/>
      <c r="H154" s="443" t="s">
        <v>314</v>
      </c>
      <c r="I154" s="500">
        <v>20</v>
      </c>
      <c r="J154" s="443" t="s">
        <v>314</v>
      </c>
      <c r="K154" s="447">
        <v>1</v>
      </c>
      <c r="L154" s="582">
        <f t="shared" si="11"/>
        <v>20</v>
      </c>
      <c r="M154" s="584" t="str">
        <f t="shared" si="12"/>
        <v>per each</v>
      </c>
      <c r="N154" s="447">
        <v>2</v>
      </c>
      <c r="O154" s="586">
        <f t="shared" si="13"/>
        <v>10</v>
      </c>
      <c r="P154" s="586">
        <f>IFERROR(L154/(((1+Econ_Ann_TA!$H$26)^N154-1)/(Econ_Ann_TA!$H$26*(1+Econ_Ann_TA!$H$26)^N154)),0)</f>
        <v>10.452216748768478</v>
      </c>
      <c r="Q154" s="517" t="s">
        <v>1366</v>
      </c>
    </row>
    <row r="155" spans="4:17" s="348" customFormat="1" x14ac:dyDescent="0.2">
      <c r="D155" s="670" t="s">
        <v>1331</v>
      </c>
      <c r="E155" s="670"/>
      <c r="F155" s="670"/>
      <c r="G155" s="670"/>
      <c r="H155" s="443" t="s">
        <v>314</v>
      </c>
      <c r="I155" s="500">
        <v>150</v>
      </c>
      <c r="J155" s="443" t="s">
        <v>314</v>
      </c>
      <c r="K155" s="447">
        <v>1</v>
      </c>
      <c r="L155" s="582">
        <f t="shared" si="11"/>
        <v>150</v>
      </c>
      <c r="M155" s="584" t="str">
        <f t="shared" si="12"/>
        <v>per each</v>
      </c>
      <c r="N155" s="447">
        <v>10</v>
      </c>
      <c r="O155" s="586">
        <f t="shared" si="13"/>
        <v>15</v>
      </c>
      <c r="P155" s="586">
        <f>IFERROR(L155/(((1+Econ_Ann_TA!$H$26)^N155-1)/(Econ_Ann_TA!$H$26*(1+Econ_Ann_TA!$H$26)^N155)),0)</f>
        <v>17.584575990773942</v>
      </c>
      <c r="Q155" s="517" t="s">
        <v>1366</v>
      </c>
    </row>
    <row r="156" spans="4:17" s="348" customFormat="1" x14ac:dyDescent="0.2">
      <c r="D156" s="670" t="s">
        <v>1332</v>
      </c>
      <c r="E156" s="670"/>
      <c r="F156" s="670"/>
      <c r="G156" s="670"/>
      <c r="H156" s="443" t="s">
        <v>314</v>
      </c>
      <c r="I156" s="500">
        <v>30</v>
      </c>
      <c r="J156" s="443" t="s">
        <v>314</v>
      </c>
      <c r="K156" s="447">
        <v>1</v>
      </c>
      <c r="L156" s="582">
        <f t="shared" si="11"/>
        <v>30</v>
      </c>
      <c r="M156" s="584" t="str">
        <f t="shared" si="12"/>
        <v>per each</v>
      </c>
      <c r="N156" s="447">
        <v>9</v>
      </c>
      <c r="O156" s="586">
        <f t="shared" si="13"/>
        <v>3.3333333333333335</v>
      </c>
      <c r="P156" s="586">
        <f>IFERROR(L156/(((1+Econ_Ann_TA!$H$26)^N156-1)/(Econ_Ann_TA!$H$26*(1+Econ_Ann_TA!$H$26)^N156)),0)</f>
        <v>3.8530157105431031</v>
      </c>
      <c r="Q156" s="517" t="s">
        <v>1366</v>
      </c>
    </row>
    <row r="157" spans="4:17" s="348" customFormat="1" x14ac:dyDescent="0.2">
      <c r="D157" s="670" t="s">
        <v>928</v>
      </c>
      <c r="E157" s="670"/>
      <c r="F157" s="670"/>
      <c r="G157" s="670"/>
      <c r="H157" s="443" t="s">
        <v>314</v>
      </c>
      <c r="I157" s="500">
        <v>46.875</v>
      </c>
      <c r="J157" s="443" t="s">
        <v>927</v>
      </c>
      <c r="K157" s="447">
        <v>1</v>
      </c>
      <c r="L157" s="582">
        <f t="shared" si="11"/>
        <v>46.875</v>
      </c>
      <c r="M157" s="584" t="str">
        <f t="shared" si="12"/>
        <v>per Mackintosh</v>
      </c>
      <c r="N157" s="447">
        <v>5</v>
      </c>
      <c r="O157" s="586">
        <f t="shared" si="13"/>
        <v>9.375</v>
      </c>
      <c r="P157" s="586">
        <f>IFERROR(L157/(((1+Econ_Ann_TA!$H$26)^N157-1)/(Econ_Ann_TA!$H$26*(1+Econ_Ann_TA!$H$26)^N157)),0)</f>
        <v>10.235370534402009</v>
      </c>
      <c r="Q157" s="517"/>
    </row>
    <row r="158" spans="4:17" s="348" customFormat="1" x14ac:dyDescent="0.2">
      <c r="D158" s="670" t="s">
        <v>1333</v>
      </c>
      <c r="E158" s="670"/>
      <c r="F158" s="670"/>
      <c r="G158" s="670"/>
      <c r="H158" s="443" t="s">
        <v>314</v>
      </c>
      <c r="I158" s="500">
        <v>36</v>
      </c>
      <c r="J158" s="443" t="s">
        <v>314</v>
      </c>
      <c r="K158" s="447">
        <v>1</v>
      </c>
      <c r="L158" s="582">
        <f t="shared" si="11"/>
        <v>36</v>
      </c>
      <c r="M158" s="584" t="str">
        <f t="shared" si="12"/>
        <v>per each</v>
      </c>
      <c r="N158" s="447">
        <v>8</v>
      </c>
      <c r="O158" s="586">
        <f t="shared" si="13"/>
        <v>4.5</v>
      </c>
      <c r="P158" s="586">
        <f>IFERROR(L158/(((1+Econ_Ann_TA!$H$26)^N158-1)/(Econ_Ann_TA!$H$26*(1+Econ_Ann_TA!$H$26)^N158)),0)</f>
        <v>5.1284299977806134</v>
      </c>
      <c r="Q158" s="517" t="s">
        <v>1366</v>
      </c>
    </row>
    <row r="159" spans="4:17" s="348" customFormat="1" x14ac:dyDescent="0.2">
      <c r="D159" s="670" t="s">
        <v>1334</v>
      </c>
      <c r="E159" s="670"/>
      <c r="F159" s="670"/>
      <c r="G159" s="670"/>
      <c r="H159" s="443" t="s">
        <v>314</v>
      </c>
      <c r="I159" s="500">
        <v>1800</v>
      </c>
      <c r="J159" s="443" t="s">
        <v>314</v>
      </c>
      <c r="K159" s="447">
        <v>1</v>
      </c>
      <c r="L159" s="582">
        <f t="shared" si="11"/>
        <v>1800</v>
      </c>
      <c r="M159" s="584" t="str">
        <f t="shared" si="12"/>
        <v>per each</v>
      </c>
      <c r="N159" s="447">
        <v>5</v>
      </c>
      <c r="O159" s="586">
        <f t="shared" si="13"/>
        <v>360</v>
      </c>
      <c r="P159" s="586">
        <f>IFERROR(L159/(((1+Econ_Ann_TA!$H$26)^N159-1)/(Econ_Ann_TA!$H$26*(1+Econ_Ann_TA!$H$26)^N159)),0)</f>
        <v>393.03822852103718</v>
      </c>
      <c r="Q159" s="517"/>
    </row>
    <row r="160" spans="4:17" s="348" customFormat="1" x14ac:dyDescent="0.2">
      <c r="D160" s="663" t="s">
        <v>1335</v>
      </c>
      <c r="E160" s="663"/>
      <c r="F160" s="663"/>
      <c r="G160" s="663"/>
      <c r="H160" s="444" t="s">
        <v>314</v>
      </c>
      <c r="I160" s="501">
        <v>40</v>
      </c>
      <c r="J160" s="443" t="s">
        <v>314</v>
      </c>
      <c r="K160" s="447">
        <v>1</v>
      </c>
      <c r="L160" s="582">
        <f t="shared" si="11"/>
        <v>40</v>
      </c>
      <c r="M160" s="584" t="str">
        <f t="shared" si="12"/>
        <v>per each</v>
      </c>
      <c r="N160" s="447">
        <v>9</v>
      </c>
      <c r="O160" s="586">
        <f t="shared" si="13"/>
        <v>4.4444444444444446</v>
      </c>
      <c r="P160" s="586">
        <f>IFERROR(L160/(((1+Econ_Ann_TA!$H$26)^N160-1)/(Econ_Ann_TA!$H$26*(1+Econ_Ann_TA!$H$26)^N160)),0)</f>
        <v>5.1373542807241375</v>
      </c>
      <c r="Q160" s="517" t="s">
        <v>1366</v>
      </c>
    </row>
    <row r="161" spans="4:17" s="348" customFormat="1" x14ac:dyDescent="0.2">
      <c r="D161" s="670" t="s">
        <v>1336</v>
      </c>
      <c r="E161" s="670"/>
      <c r="F161" s="670"/>
      <c r="G161" s="670"/>
      <c r="H161" s="443" t="s">
        <v>314</v>
      </c>
      <c r="I161" s="500">
        <v>90</v>
      </c>
      <c r="J161" s="443" t="s">
        <v>314</v>
      </c>
      <c r="K161" s="447">
        <v>1</v>
      </c>
      <c r="L161" s="582">
        <f t="shared" si="11"/>
        <v>90</v>
      </c>
      <c r="M161" s="584" t="str">
        <f t="shared" si="12"/>
        <v>per each</v>
      </c>
      <c r="N161" s="447">
        <v>5</v>
      </c>
      <c r="O161" s="586">
        <f t="shared" si="13"/>
        <v>18</v>
      </c>
      <c r="P161" s="586">
        <f>IFERROR(L161/(((1+Econ_Ann_TA!$H$26)^N161-1)/(Econ_Ann_TA!$H$26*(1+Econ_Ann_TA!$H$26)^N161)),0)</f>
        <v>19.651911426051857</v>
      </c>
      <c r="Q161" s="517"/>
    </row>
    <row r="162" spans="4:17" s="348" customFormat="1" x14ac:dyDescent="0.2">
      <c r="D162" s="670" t="s">
        <v>1337</v>
      </c>
      <c r="E162" s="670"/>
      <c r="F162" s="670"/>
      <c r="G162" s="670"/>
      <c r="H162" s="443" t="s">
        <v>314</v>
      </c>
      <c r="I162" s="500">
        <v>160</v>
      </c>
      <c r="J162" s="443" t="s">
        <v>314</v>
      </c>
      <c r="K162" s="447">
        <v>1</v>
      </c>
      <c r="L162" s="582">
        <f t="shared" si="11"/>
        <v>160</v>
      </c>
      <c r="M162" s="584" t="str">
        <f t="shared" si="12"/>
        <v>per each</v>
      </c>
      <c r="N162" s="447">
        <v>10</v>
      </c>
      <c r="O162" s="586">
        <f t="shared" si="13"/>
        <v>16</v>
      </c>
      <c r="P162" s="586">
        <f>IFERROR(L162/(((1+Econ_Ann_TA!$H$26)^N162-1)/(Econ_Ann_TA!$H$26*(1+Econ_Ann_TA!$H$26)^N162)),0)</f>
        <v>18.756881056825538</v>
      </c>
      <c r="Q162" s="517" t="s">
        <v>1366</v>
      </c>
    </row>
    <row r="163" spans="4:17" s="348" customFormat="1" x14ac:dyDescent="0.2">
      <c r="D163" s="670" t="s">
        <v>1338</v>
      </c>
      <c r="E163" s="670"/>
      <c r="F163" s="670"/>
      <c r="G163" s="670"/>
      <c r="H163" s="443" t="s">
        <v>314</v>
      </c>
      <c r="I163" s="500">
        <v>16</v>
      </c>
      <c r="J163" s="443" t="s">
        <v>314</v>
      </c>
      <c r="K163" s="447">
        <v>1</v>
      </c>
      <c r="L163" s="582">
        <f t="shared" si="11"/>
        <v>16</v>
      </c>
      <c r="M163" s="584" t="str">
        <f t="shared" si="12"/>
        <v>per each</v>
      </c>
      <c r="N163" s="447">
        <v>2</v>
      </c>
      <c r="O163" s="586">
        <f t="shared" si="13"/>
        <v>8</v>
      </c>
      <c r="P163" s="586">
        <f>IFERROR(L163/(((1+Econ_Ann_TA!$H$26)^N163-1)/(Econ_Ann_TA!$H$26*(1+Econ_Ann_TA!$H$26)^N163)),0)</f>
        <v>8.3617733990147833</v>
      </c>
      <c r="Q163" s="517" t="s">
        <v>1366</v>
      </c>
    </row>
    <row r="164" spans="4:17" s="348" customFormat="1" x14ac:dyDescent="0.2">
      <c r="D164" s="670" t="s">
        <v>1339</v>
      </c>
      <c r="E164" s="670"/>
      <c r="F164" s="670"/>
      <c r="G164" s="670"/>
      <c r="H164" s="443" t="s">
        <v>314</v>
      </c>
      <c r="I164" s="500">
        <v>5</v>
      </c>
      <c r="J164" s="443" t="s">
        <v>314</v>
      </c>
      <c r="K164" s="447">
        <v>1</v>
      </c>
      <c r="L164" s="582">
        <f t="shared" si="11"/>
        <v>5</v>
      </c>
      <c r="M164" s="584" t="str">
        <f t="shared" si="12"/>
        <v>per each</v>
      </c>
      <c r="N164" s="447">
        <v>3</v>
      </c>
      <c r="O164" s="586">
        <f t="shared" si="13"/>
        <v>1.6666666666666667</v>
      </c>
      <c r="P164" s="586">
        <f>IFERROR(L164/(((1+Econ_Ann_TA!$H$26)^N164-1)/(Econ_Ann_TA!$H$26*(1+Econ_Ann_TA!$H$26)^N164)),0)</f>
        <v>1.7676518166229902</v>
      </c>
      <c r="Q164" s="517" t="s">
        <v>1366</v>
      </c>
    </row>
    <row r="165" spans="4:17" s="348" customFormat="1" x14ac:dyDescent="0.2">
      <c r="D165" s="670" t="s">
        <v>871</v>
      </c>
      <c r="E165" s="670"/>
      <c r="F165" s="670"/>
      <c r="G165" s="670"/>
      <c r="H165" s="443" t="s">
        <v>837</v>
      </c>
      <c r="I165" s="500">
        <v>10.625</v>
      </c>
      <c r="J165" s="443" t="s">
        <v>837</v>
      </c>
      <c r="K165" s="447">
        <v>1</v>
      </c>
      <c r="L165" s="582">
        <f t="shared" si="11"/>
        <v>10.625</v>
      </c>
      <c r="M165" s="584" t="str">
        <f t="shared" si="12"/>
        <v>per apron</v>
      </c>
      <c r="N165" s="447">
        <v>9</v>
      </c>
      <c r="O165" s="586">
        <f t="shared" si="13"/>
        <v>1.1805555555555556</v>
      </c>
      <c r="P165" s="586">
        <f>IFERROR(L165/(((1+Econ_Ann_TA!$H$26)^N165-1)/(Econ_Ann_TA!$H$26*(1+Econ_Ann_TA!$H$26)^N165)),0)</f>
        <v>1.364609730817349</v>
      </c>
      <c r="Q165" s="517" t="s">
        <v>1366</v>
      </c>
    </row>
    <row r="166" spans="4:17" s="348" customFormat="1" x14ac:dyDescent="0.2">
      <c r="D166" s="670" t="s">
        <v>1340</v>
      </c>
      <c r="E166" s="670"/>
      <c r="F166" s="670"/>
      <c r="G166" s="670"/>
      <c r="H166" s="443" t="s">
        <v>314</v>
      </c>
      <c r="I166" s="500">
        <v>18</v>
      </c>
      <c r="J166" s="443" t="s">
        <v>314</v>
      </c>
      <c r="K166" s="447">
        <v>1</v>
      </c>
      <c r="L166" s="582">
        <f t="shared" si="11"/>
        <v>18</v>
      </c>
      <c r="M166" s="584" t="str">
        <f t="shared" si="12"/>
        <v>per each</v>
      </c>
      <c r="N166" s="447">
        <v>7</v>
      </c>
      <c r="O166" s="586">
        <f t="shared" si="13"/>
        <v>2.5714285714285716</v>
      </c>
      <c r="P166" s="586">
        <f>IFERROR(L166/(((1+Econ_Ann_TA!$H$26)^N166-1)/(Econ_Ann_TA!$H$26*(1+Econ_Ann_TA!$H$26)^N166)),0)</f>
        <v>2.8891143675768967</v>
      </c>
      <c r="Q166" s="517" t="s">
        <v>1366</v>
      </c>
    </row>
    <row r="167" spans="4:17" s="348" customFormat="1" x14ac:dyDescent="0.2">
      <c r="D167" s="670" t="s">
        <v>929</v>
      </c>
      <c r="E167" s="670"/>
      <c r="F167" s="670"/>
      <c r="G167" s="670"/>
      <c r="H167" s="443" t="s">
        <v>836</v>
      </c>
      <c r="I167" s="500">
        <v>106.25</v>
      </c>
      <c r="J167" s="443" t="s">
        <v>836</v>
      </c>
      <c r="K167" s="447">
        <v>1</v>
      </c>
      <c r="L167" s="582">
        <f t="shared" si="11"/>
        <v>106.25</v>
      </c>
      <c r="M167" s="584" t="str">
        <f t="shared" si="12"/>
        <v>per screen</v>
      </c>
      <c r="N167" s="447">
        <v>2</v>
      </c>
      <c r="O167" s="586">
        <f t="shared" si="13"/>
        <v>53.125</v>
      </c>
      <c r="P167" s="586">
        <f>IFERROR(L167/(((1+Econ_Ann_TA!$H$26)^N167-1)/(Econ_Ann_TA!$H$26*(1+Econ_Ann_TA!$H$26)^N167)),0)</f>
        <v>55.527401477832541</v>
      </c>
      <c r="Q167" s="517"/>
    </row>
    <row r="168" spans="4:17" s="348" customFormat="1" x14ac:dyDescent="0.2">
      <c r="D168" s="670" t="s">
        <v>1341</v>
      </c>
      <c r="E168" s="670"/>
      <c r="F168" s="670"/>
      <c r="G168" s="670"/>
      <c r="H168" s="443" t="s">
        <v>314</v>
      </c>
      <c r="I168" s="500">
        <v>215</v>
      </c>
      <c r="J168" s="443" t="s">
        <v>314</v>
      </c>
      <c r="K168" s="447">
        <v>1</v>
      </c>
      <c r="L168" s="582">
        <f t="shared" si="11"/>
        <v>215</v>
      </c>
      <c r="M168" s="584" t="str">
        <f t="shared" si="12"/>
        <v>per each</v>
      </c>
      <c r="N168" s="447">
        <v>4</v>
      </c>
      <c r="O168" s="586">
        <f t="shared" si="13"/>
        <v>53.75</v>
      </c>
      <c r="P168" s="586">
        <f>IFERROR(L168/(((1+Econ_Ann_TA!$H$26)^N168-1)/(Econ_Ann_TA!$H$26*(1+Econ_Ann_TA!$H$26)^N168)),0)</f>
        <v>57.840814716512753</v>
      </c>
      <c r="Q168" s="517" t="s">
        <v>1366</v>
      </c>
    </row>
    <row r="169" spans="4:17" s="348" customFormat="1" x14ac:dyDescent="0.2">
      <c r="D169" s="670" t="s">
        <v>1342</v>
      </c>
      <c r="E169" s="670"/>
      <c r="F169" s="670"/>
      <c r="G169" s="670"/>
      <c r="H169" s="443" t="s">
        <v>314</v>
      </c>
      <c r="I169" s="500">
        <v>195</v>
      </c>
      <c r="J169" s="443" t="s">
        <v>314</v>
      </c>
      <c r="K169" s="447">
        <v>1</v>
      </c>
      <c r="L169" s="582">
        <f t="shared" si="11"/>
        <v>195</v>
      </c>
      <c r="M169" s="584" t="str">
        <f t="shared" si="12"/>
        <v>per each</v>
      </c>
      <c r="N169" s="447">
        <v>4</v>
      </c>
      <c r="O169" s="586">
        <f t="shared" si="13"/>
        <v>48.75</v>
      </c>
      <c r="P169" s="586">
        <f>IFERROR(L169/(((1+Econ_Ann_TA!$H$26)^N169-1)/(Econ_Ann_TA!$H$26*(1+Econ_Ann_TA!$H$26)^N169)),0)</f>
        <v>52.460273812651103</v>
      </c>
      <c r="Q169" s="517"/>
    </row>
    <row r="170" spans="4:17" s="348" customFormat="1" x14ac:dyDescent="0.2">
      <c r="D170" s="663" t="s">
        <v>878</v>
      </c>
      <c r="E170" s="663"/>
      <c r="F170" s="663"/>
      <c r="G170" s="663"/>
      <c r="H170" s="444" t="s">
        <v>835</v>
      </c>
      <c r="I170" s="501">
        <v>125000</v>
      </c>
      <c r="J170" s="444" t="s">
        <v>835</v>
      </c>
      <c r="K170" s="448">
        <v>1</v>
      </c>
      <c r="L170" s="583">
        <f t="shared" si="11"/>
        <v>125000</v>
      </c>
      <c r="M170" s="585" t="str">
        <f t="shared" si="12"/>
        <v>per machine</v>
      </c>
      <c r="N170" s="448">
        <v>4</v>
      </c>
      <c r="O170" s="587">
        <f t="shared" si="13"/>
        <v>31250</v>
      </c>
      <c r="P170" s="587">
        <f>IFERROR(L170/(((1+Econ_Ann_TA!$H$26)^N170-1)/(Econ_Ann_TA!$H$26*(1+Econ_Ann_TA!$H$26)^N170)),0)</f>
        <v>33628.380649135324</v>
      </c>
      <c r="Q170" s="536"/>
    </row>
    <row r="171" spans="4:17" s="348" customFormat="1" x14ac:dyDescent="0.2">
      <c r="D171" s="670" t="s">
        <v>872</v>
      </c>
      <c r="E171" s="670"/>
      <c r="F171" s="670"/>
      <c r="G171" s="670"/>
      <c r="H171" s="443" t="s">
        <v>835</v>
      </c>
      <c r="I171" s="500">
        <v>625000</v>
      </c>
      <c r="J171" s="443" t="s">
        <v>835</v>
      </c>
      <c r="K171" s="447">
        <v>1</v>
      </c>
      <c r="L171" s="582">
        <f t="shared" si="11"/>
        <v>625000</v>
      </c>
      <c r="M171" s="584" t="str">
        <f t="shared" si="12"/>
        <v>per machine</v>
      </c>
      <c r="N171" s="447">
        <v>8</v>
      </c>
      <c r="O171" s="586">
        <f t="shared" si="13"/>
        <v>78125</v>
      </c>
      <c r="P171" s="586">
        <f>IFERROR(L171/(((1+Econ_Ann_TA!$H$26)^N171-1)/(Econ_Ann_TA!$H$26*(1+Econ_Ann_TA!$H$26)^N171)),0)</f>
        <v>89035.243017024535</v>
      </c>
      <c r="Q171" s="517"/>
    </row>
    <row r="172" spans="4:17" s="348" customFormat="1" x14ac:dyDescent="0.2">
      <c r="D172" s="670" t="s">
        <v>877</v>
      </c>
      <c r="E172" s="670"/>
      <c r="F172" s="670"/>
      <c r="G172" s="670"/>
      <c r="H172" s="443" t="s">
        <v>834</v>
      </c>
      <c r="I172" s="500">
        <v>93750</v>
      </c>
      <c r="J172" s="443" t="s">
        <v>834</v>
      </c>
      <c r="K172" s="447">
        <v>1</v>
      </c>
      <c r="L172" s="582">
        <f t="shared" si="11"/>
        <v>93750</v>
      </c>
      <c r="M172" s="584" t="str">
        <f t="shared" si="12"/>
        <v>per couch</v>
      </c>
      <c r="N172" s="447">
        <v>5</v>
      </c>
      <c r="O172" s="586">
        <f t="shared" si="13"/>
        <v>18750</v>
      </c>
      <c r="P172" s="586">
        <f>IFERROR(L172/(((1+Econ_Ann_TA!$H$26)^N172-1)/(Econ_Ann_TA!$H$26*(1+Econ_Ann_TA!$H$26)^N172)),0)</f>
        <v>20470.741068804018</v>
      </c>
      <c r="Q172" s="517"/>
    </row>
    <row r="173" spans="4:17" s="348" customFormat="1" x14ac:dyDescent="0.2">
      <c r="D173" s="670" t="s">
        <v>876</v>
      </c>
      <c r="E173" s="670"/>
      <c r="F173" s="670"/>
      <c r="G173" s="670"/>
      <c r="H173" s="443" t="s">
        <v>833</v>
      </c>
      <c r="I173" s="500">
        <v>2.1875</v>
      </c>
      <c r="J173" s="443" t="s">
        <v>833</v>
      </c>
      <c r="K173" s="447">
        <v>1</v>
      </c>
      <c r="L173" s="582">
        <f t="shared" si="11"/>
        <v>2.1875</v>
      </c>
      <c r="M173" s="584" t="str">
        <f t="shared" si="12"/>
        <v>per book</v>
      </c>
      <c r="N173" s="447">
        <v>9</v>
      </c>
      <c r="O173" s="586">
        <f t="shared" si="13"/>
        <v>0.24305555555555555</v>
      </c>
      <c r="P173" s="586">
        <f>IFERROR(L173/(((1+Econ_Ann_TA!$H$26)^N173-1)/(Econ_Ann_TA!$H$26*(1+Econ_Ann_TA!$H$26)^N173)),0)</f>
        <v>0.28094906222710125</v>
      </c>
      <c r="Q173" s="517"/>
    </row>
    <row r="174" spans="4:17" s="348" customFormat="1" x14ac:dyDescent="0.2">
      <c r="D174" s="663" t="s">
        <v>1343</v>
      </c>
      <c r="E174" s="663"/>
      <c r="F174" s="663"/>
      <c r="G174" s="663"/>
      <c r="H174" s="444" t="s">
        <v>314</v>
      </c>
      <c r="I174" s="501">
        <v>165</v>
      </c>
      <c r="J174" s="443" t="s">
        <v>314</v>
      </c>
      <c r="K174" s="447">
        <v>1</v>
      </c>
      <c r="L174" s="582">
        <f t="shared" si="11"/>
        <v>165</v>
      </c>
      <c r="M174" s="584" t="str">
        <f t="shared" si="12"/>
        <v>per each</v>
      </c>
      <c r="N174" s="447">
        <v>5</v>
      </c>
      <c r="O174" s="586">
        <f t="shared" si="13"/>
        <v>33</v>
      </c>
      <c r="P174" s="586">
        <f>IFERROR(L174/(((1+Econ_Ann_TA!$H$26)^N174-1)/(Econ_Ann_TA!$H$26*(1+Econ_Ann_TA!$H$26)^N174)),0)</f>
        <v>36.028504281095074</v>
      </c>
      <c r="Q174" s="517" t="s">
        <v>1366</v>
      </c>
    </row>
    <row r="175" spans="4:17" s="348" customFormat="1" x14ac:dyDescent="0.2">
      <c r="D175" s="670" t="s">
        <v>1344</v>
      </c>
      <c r="E175" s="670"/>
      <c r="F175" s="670"/>
      <c r="G175" s="670"/>
      <c r="H175" s="443" t="s">
        <v>314</v>
      </c>
      <c r="I175" s="500">
        <v>1990</v>
      </c>
      <c r="J175" s="443" t="s">
        <v>314</v>
      </c>
      <c r="K175" s="447">
        <v>1</v>
      </c>
      <c r="L175" s="582">
        <f t="shared" si="11"/>
        <v>1990</v>
      </c>
      <c r="M175" s="584" t="str">
        <f t="shared" si="12"/>
        <v>per each</v>
      </c>
      <c r="N175" s="447">
        <v>4</v>
      </c>
      <c r="O175" s="586">
        <f t="shared" si="13"/>
        <v>497.5</v>
      </c>
      <c r="P175" s="586">
        <f>IFERROR(L175/(((1+Econ_Ann_TA!$H$26)^N175-1)/(Econ_Ann_TA!$H$26*(1+Econ_Ann_TA!$H$26)^N175)),0)</f>
        <v>535.36381993423436</v>
      </c>
      <c r="Q175" s="517"/>
    </row>
    <row r="176" spans="4:17" s="348" customFormat="1" x14ac:dyDescent="0.2">
      <c r="D176" s="670" t="s">
        <v>875</v>
      </c>
      <c r="E176" s="670"/>
      <c r="F176" s="670"/>
      <c r="G176" s="670"/>
      <c r="H176" s="443" t="s">
        <v>831</v>
      </c>
      <c r="I176" s="500">
        <v>10</v>
      </c>
      <c r="J176" s="443" t="s">
        <v>831</v>
      </c>
      <c r="K176" s="447">
        <v>1</v>
      </c>
      <c r="L176" s="582">
        <f t="shared" si="11"/>
        <v>10</v>
      </c>
      <c r="M176" s="584" t="str">
        <f t="shared" si="12"/>
        <v>per rack</v>
      </c>
      <c r="N176" s="447">
        <v>2</v>
      </c>
      <c r="O176" s="586">
        <f t="shared" si="13"/>
        <v>5</v>
      </c>
      <c r="P176" s="586">
        <f>IFERROR(L176/(((1+Econ_Ann_TA!$H$26)^N176-1)/(Econ_Ann_TA!$H$26*(1+Econ_Ann_TA!$H$26)^N176)),0)</f>
        <v>5.2261083743842391</v>
      </c>
      <c r="Q176" s="517"/>
    </row>
    <row r="177" spans="4:17" s="348" customFormat="1" x14ac:dyDescent="0.2">
      <c r="D177" s="670" t="s">
        <v>930</v>
      </c>
      <c r="E177" s="670"/>
      <c r="F177" s="670"/>
      <c r="G177" s="670"/>
      <c r="H177" s="443" t="s">
        <v>832</v>
      </c>
      <c r="I177" s="500">
        <v>18.75</v>
      </c>
      <c r="J177" s="443" t="s">
        <v>832</v>
      </c>
      <c r="K177" s="447">
        <v>1</v>
      </c>
      <c r="L177" s="582">
        <f t="shared" si="11"/>
        <v>18.75</v>
      </c>
      <c r="M177" s="584" t="str">
        <f t="shared" si="12"/>
        <v>per speculum</v>
      </c>
      <c r="N177" s="447">
        <v>10</v>
      </c>
      <c r="O177" s="586">
        <f t="shared" si="13"/>
        <v>1.875</v>
      </c>
      <c r="P177" s="586">
        <f>IFERROR(L177/(((1+Econ_Ann_TA!$H$26)^N177-1)/(Econ_Ann_TA!$H$26*(1+Econ_Ann_TA!$H$26)^N177)),0)</f>
        <v>2.1980719988467428</v>
      </c>
      <c r="Q177" s="517"/>
    </row>
    <row r="178" spans="4:17" s="348" customFormat="1" x14ac:dyDescent="0.2">
      <c r="D178" s="670" t="s">
        <v>1345</v>
      </c>
      <c r="E178" s="670"/>
      <c r="F178" s="670"/>
      <c r="G178" s="670"/>
      <c r="H178" s="443" t="s">
        <v>314</v>
      </c>
      <c r="I178" s="500">
        <v>8.4809000000000001</v>
      </c>
      <c r="J178" s="443" t="s">
        <v>314</v>
      </c>
      <c r="K178" s="447">
        <v>1</v>
      </c>
      <c r="L178" s="582">
        <f t="shared" si="11"/>
        <v>8.4809000000000001</v>
      </c>
      <c r="M178" s="584" t="str">
        <f t="shared" si="12"/>
        <v>per each</v>
      </c>
      <c r="N178" s="447">
        <v>9</v>
      </c>
      <c r="O178" s="586">
        <f t="shared" si="13"/>
        <v>0.94232222222222228</v>
      </c>
      <c r="P178" s="586">
        <f>IFERROR(L178/(((1+Econ_Ann_TA!$H$26)^N178-1)/(Econ_Ann_TA!$H$26*(1+Econ_Ann_TA!$H$26)^N178)),0)</f>
        <v>1.0892346979848335</v>
      </c>
      <c r="Q178" s="517"/>
    </row>
    <row r="179" spans="4:17" s="348" customFormat="1" x14ac:dyDescent="0.2">
      <c r="D179" s="670" t="s">
        <v>1346</v>
      </c>
      <c r="E179" s="670"/>
      <c r="F179" s="670"/>
      <c r="G179" s="670"/>
      <c r="H179" s="443" t="s">
        <v>314</v>
      </c>
      <c r="I179" s="500">
        <v>8.4809000000000001</v>
      </c>
      <c r="J179" s="443" t="s">
        <v>314</v>
      </c>
      <c r="K179" s="447">
        <v>1</v>
      </c>
      <c r="L179" s="582">
        <f t="shared" si="11"/>
        <v>8.4809000000000001</v>
      </c>
      <c r="M179" s="584" t="str">
        <f t="shared" si="12"/>
        <v>per each</v>
      </c>
      <c r="N179" s="447">
        <v>8</v>
      </c>
      <c r="O179" s="586">
        <f t="shared" si="13"/>
        <v>1.0601125</v>
      </c>
      <c r="P179" s="586">
        <f>IFERROR(L179/(((1+Econ_Ann_TA!$H$26)^N179-1)/(Econ_Ann_TA!$H$26*(1+Econ_Ann_TA!$H$26)^N179)),0)</f>
        <v>1.2081583880049334</v>
      </c>
      <c r="Q179" s="517"/>
    </row>
    <row r="180" spans="4:17" s="348" customFormat="1" x14ac:dyDescent="0.2">
      <c r="D180" s="670" t="s">
        <v>1347</v>
      </c>
      <c r="E180" s="670"/>
      <c r="F180" s="670"/>
      <c r="G180" s="670"/>
      <c r="H180" s="443" t="s">
        <v>314</v>
      </c>
      <c r="I180" s="500">
        <v>14</v>
      </c>
      <c r="J180" s="443" t="s">
        <v>314</v>
      </c>
      <c r="K180" s="447">
        <v>1</v>
      </c>
      <c r="L180" s="582">
        <f t="shared" ref="L180:L206" si="14">I180/K180</f>
        <v>14</v>
      </c>
      <c r="M180" s="584" t="str">
        <f t="shared" ref="M180:M206" si="15">"per "&amp;J180</f>
        <v>per each</v>
      </c>
      <c r="N180" s="447">
        <v>6</v>
      </c>
      <c r="O180" s="586">
        <f t="shared" ref="O180:O206" si="16">IFERROR(L180/N180,0)</f>
        <v>2.3333333333333335</v>
      </c>
      <c r="P180" s="586">
        <f>IFERROR(L180/(((1+Econ_Ann_TA!$H$26)^N180-1)/(Econ_Ann_TA!$H$26*(1+Econ_Ann_TA!$H$26)^N180)),0)</f>
        <v>2.5843650063024817</v>
      </c>
      <c r="Q180" s="517" t="s">
        <v>1366</v>
      </c>
    </row>
    <row r="181" spans="4:17" s="348" customFormat="1" x14ac:dyDescent="0.2">
      <c r="D181" s="670" t="s">
        <v>1348</v>
      </c>
      <c r="E181" s="670"/>
      <c r="F181" s="670"/>
      <c r="G181" s="670"/>
      <c r="H181" s="443" t="s">
        <v>314</v>
      </c>
      <c r="I181" s="500">
        <v>14</v>
      </c>
      <c r="J181" s="443" t="s">
        <v>314</v>
      </c>
      <c r="K181" s="447">
        <v>1</v>
      </c>
      <c r="L181" s="582">
        <f t="shared" si="14"/>
        <v>14</v>
      </c>
      <c r="M181" s="584" t="str">
        <f t="shared" si="15"/>
        <v>per each</v>
      </c>
      <c r="N181" s="447">
        <v>6</v>
      </c>
      <c r="O181" s="586">
        <f t="shared" si="16"/>
        <v>2.3333333333333335</v>
      </c>
      <c r="P181" s="586">
        <f>IFERROR(L181/(((1+Econ_Ann_TA!$H$26)^N181-1)/(Econ_Ann_TA!$H$26*(1+Econ_Ann_TA!$H$26)^N181)),0)</f>
        <v>2.5843650063024817</v>
      </c>
      <c r="Q181" s="517" t="s">
        <v>1366</v>
      </c>
    </row>
    <row r="182" spans="4:17" s="348" customFormat="1" x14ac:dyDescent="0.2">
      <c r="D182" s="670" t="s">
        <v>1349</v>
      </c>
      <c r="E182" s="670"/>
      <c r="F182" s="670"/>
      <c r="G182" s="670"/>
      <c r="H182" s="443" t="s">
        <v>314</v>
      </c>
      <c r="I182" s="500">
        <v>14</v>
      </c>
      <c r="J182" s="443" t="s">
        <v>314</v>
      </c>
      <c r="K182" s="447">
        <v>1</v>
      </c>
      <c r="L182" s="582">
        <f t="shared" si="14"/>
        <v>14</v>
      </c>
      <c r="M182" s="584" t="str">
        <f t="shared" si="15"/>
        <v>per each</v>
      </c>
      <c r="N182" s="447">
        <v>3</v>
      </c>
      <c r="O182" s="586">
        <f t="shared" si="16"/>
        <v>4.666666666666667</v>
      </c>
      <c r="P182" s="586">
        <f>IFERROR(L182/(((1+Econ_Ann_TA!$H$26)^N182-1)/(Econ_Ann_TA!$H$26*(1+Econ_Ann_TA!$H$26)^N182)),0)</f>
        <v>4.9494250865443723</v>
      </c>
      <c r="Q182" s="517" t="s">
        <v>1366</v>
      </c>
    </row>
    <row r="183" spans="4:17" s="348" customFormat="1" x14ac:dyDescent="0.2">
      <c r="D183" s="670" t="s">
        <v>1350</v>
      </c>
      <c r="E183" s="670"/>
      <c r="F183" s="670"/>
      <c r="G183" s="670"/>
      <c r="H183" s="443" t="s">
        <v>314</v>
      </c>
      <c r="I183" s="500">
        <v>50</v>
      </c>
      <c r="J183" s="443" t="s">
        <v>314</v>
      </c>
      <c r="K183" s="447">
        <v>1</v>
      </c>
      <c r="L183" s="582">
        <f t="shared" si="14"/>
        <v>50</v>
      </c>
      <c r="M183" s="584" t="str">
        <f t="shared" si="15"/>
        <v>per each</v>
      </c>
      <c r="N183" s="447">
        <v>3</v>
      </c>
      <c r="O183" s="586">
        <f t="shared" si="16"/>
        <v>16.666666666666668</v>
      </c>
      <c r="P183" s="586">
        <f>IFERROR(L183/(((1+Econ_Ann_TA!$H$26)^N183-1)/(Econ_Ann_TA!$H$26*(1+Econ_Ann_TA!$H$26)^N183)),0)</f>
        <v>17.676518166229901</v>
      </c>
      <c r="Q183" s="517" t="s">
        <v>1366</v>
      </c>
    </row>
    <row r="184" spans="4:17" s="348" customFormat="1" x14ac:dyDescent="0.2">
      <c r="D184" s="670" t="s">
        <v>1351</v>
      </c>
      <c r="E184" s="670"/>
      <c r="F184" s="670"/>
      <c r="G184" s="670"/>
      <c r="H184" s="443" t="s">
        <v>314</v>
      </c>
      <c r="I184" s="500">
        <v>8.1560000000000006</v>
      </c>
      <c r="J184" s="443" t="s">
        <v>314</v>
      </c>
      <c r="K184" s="447">
        <v>1</v>
      </c>
      <c r="L184" s="582">
        <f t="shared" si="14"/>
        <v>8.1560000000000006</v>
      </c>
      <c r="M184" s="584" t="str">
        <f t="shared" si="15"/>
        <v>per each</v>
      </c>
      <c r="N184" s="447">
        <v>3</v>
      </c>
      <c r="O184" s="586">
        <f t="shared" si="16"/>
        <v>2.718666666666667</v>
      </c>
      <c r="P184" s="586">
        <f>IFERROR(L184/(((1+Econ_Ann_TA!$H$26)^N184-1)/(Econ_Ann_TA!$H$26*(1+Econ_Ann_TA!$H$26)^N184)),0)</f>
        <v>2.8833936432754217</v>
      </c>
      <c r="Q184" s="517"/>
    </row>
    <row r="185" spans="4:17" s="348" customFormat="1" x14ac:dyDescent="0.2">
      <c r="D185" s="670" t="s">
        <v>1352</v>
      </c>
      <c r="E185" s="670"/>
      <c r="F185" s="670"/>
      <c r="G185" s="670"/>
      <c r="H185" s="443" t="s">
        <v>314</v>
      </c>
      <c r="I185" s="500">
        <v>220</v>
      </c>
      <c r="J185" s="443" t="s">
        <v>314</v>
      </c>
      <c r="K185" s="447">
        <v>1</v>
      </c>
      <c r="L185" s="582">
        <f t="shared" si="14"/>
        <v>220</v>
      </c>
      <c r="M185" s="584" t="str">
        <f t="shared" si="15"/>
        <v>per each</v>
      </c>
      <c r="N185" s="447">
        <v>4</v>
      </c>
      <c r="O185" s="586">
        <f t="shared" si="16"/>
        <v>55</v>
      </c>
      <c r="P185" s="586">
        <f>IFERROR(L185/(((1+Econ_Ann_TA!$H$26)^N185-1)/(Econ_Ann_TA!$H$26*(1+Econ_Ann_TA!$H$26)^N185)),0)</f>
        <v>59.185949942478167</v>
      </c>
      <c r="Q185" s="517" t="s">
        <v>1366</v>
      </c>
    </row>
    <row r="186" spans="4:17" s="348" customFormat="1" x14ac:dyDescent="0.2">
      <c r="D186" s="670" t="s">
        <v>1353</v>
      </c>
      <c r="E186" s="670"/>
      <c r="F186" s="670"/>
      <c r="G186" s="670"/>
      <c r="H186" s="443" t="s">
        <v>314</v>
      </c>
      <c r="I186" s="500">
        <v>120</v>
      </c>
      <c r="J186" s="443" t="s">
        <v>314</v>
      </c>
      <c r="K186" s="447">
        <v>1</v>
      </c>
      <c r="L186" s="582">
        <f t="shared" si="14"/>
        <v>120</v>
      </c>
      <c r="M186" s="584" t="str">
        <f t="shared" si="15"/>
        <v>per each</v>
      </c>
      <c r="N186" s="447">
        <v>9</v>
      </c>
      <c r="O186" s="586">
        <f t="shared" si="16"/>
        <v>13.333333333333334</v>
      </c>
      <c r="P186" s="586">
        <f>IFERROR(L186/(((1+Econ_Ann_TA!$H$26)^N186-1)/(Econ_Ann_TA!$H$26*(1+Econ_Ann_TA!$H$26)^N186)),0)</f>
        <v>15.412062842172412</v>
      </c>
      <c r="Q186" s="517" t="s">
        <v>1366</v>
      </c>
    </row>
    <row r="187" spans="4:17" s="348" customFormat="1" x14ac:dyDescent="0.2">
      <c r="D187" s="670" t="s">
        <v>1354</v>
      </c>
      <c r="E187" s="670"/>
      <c r="F187" s="670"/>
      <c r="G187" s="670"/>
      <c r="H187" s="443" t="s">
        <v>314</v>
      </c>
      <c r="I187" s="500">
        <v>40</v>
      </c>
      <c r="J187" s="443" t="s">
        <v>314</v>
      </c>
      <c r="K187" s="447">
        <v>1</v>
      </c>
      <c r="L187" s="582">
        <f t="shared" si="14"/>
        <v>40</v>
      </c>
      <c r="M187" s="584" t="str">
        <f t="shared" si="15"/>
        <v>per each</v>
      </c>
      <c r="N187" s="447">
        <v>4</v>
      </c>
      <c r="O187" s="586">
        <f t="shared" si="16"/>
        <v>10</v>
      </c>
      <c r="P187" s="586">
        <f>IFERROR(L187/(((1+Econ_Ann_TA!$H$26)^N187-1)/(Econ_Ann_TA!$H$26*(1+Econ_Ann_TA!$H$26)^N187)),0)</f>
        <v>10.761081807723302</v>
      </c>
      <c r="Q187" s="517" t="s">
        <v>1366</v>
      </c>
    </row>
    <row r="188" spans="4:17" s="348" customFormat="1" x14ac:dyDescent="0.2">
      <c r="D188" s="670" t="s">
        <v>1355</v>
      </c>
      <c r="E188" s="670"/>
      <c r="F188" s="670"/>
      <c r="G188" s="670"/>
      <c r="H188" s="443" t="s">
        <v>314</v>
      </c>
      <c r="I188" s="500">
        <v>1189.78</v>
      </c>
      <c r="J188" s="443" t="s">
        <v>314</v>
      </c>
      <c r="K188" s="447">
        <v>1</v>
      </c>
      <c r="L188" s="582">
        <f t="shared" si="14"/>
        <v>1189.78</v>
      </c>
      <c r="M188" s="584" t="str">
        <f t="shared" si="15"/>
        <v>per each</v>
      </c>
      <c r="N188" s="447">
        <v>6</v>
      </c>
      <c r="O188" s="586">
        <f t="shared" si="16"/>
        <v>198.29666666666665</v>
      </c>
      <c r="P188" s="586">
        <f>IFERROR(L188/(((1+Econ_Ann_TA!$H$26)^N188-1)/(Econ_Ann_TA!$H$26*(1+Econ_Ann_TA!$H$26)^N188)),0)</f>
        <v>219.6304140856119</v>
      </c>
      <c r="Q188" s="517"/>
    </row>
    <row r="189" spans="4:17" s="348" customFormat="1" x14ac:dyDescent="0.2">
      <c r="D189" s="670" t="s">
        <v>1356</v>
      </c>
      <c r="E189" s="670"/>
      <c r="F189" s="670"/>
      <c r="G189" s="670"/>
      <c r="H189" s="443" t="s">
        <v>314</v>
      </c>
      <c r="I189" s="500">
        <v>200</v>
      </c>
      <c r="J189" s="443" t="s">
        <v>314</v>
      </c>
      <c r="K189" s="447">
        <v>1</v>
      </c>
      <c r="L189" s="582">
        <f t="shared" si="14"/>
        <v>200</v>
      </c>
      <c r="M189" s="584" t="str">
        <f t="shared" si="15"/>
        <v>per each</v>
      </c>
      <c r="N189" s="447">
        <v>3</v>
      </c>
      <c r="O189" s="586">
        <f t="shared" si="16"/>
        <v>66.666666666666671</v>
      </c>
      <c r="P189" s="586">
        <f>IFERROR(L189/(((1+Econ_Ann_TA!$H$26)^N189-1)/(Econ_Ann_TA!$H$26*(1+Econ_Ann_TA!$H$26)^N189)),0)</f>
        <v>70.706072664919603</v>
      </c>
      <c r="Q189" s="517" t="s">
        <v>1366</v>
      </c>
    </row>
    <row r="190" spans="4:17" s="348" customFormat="1" x14ac:dyDescent="0.2">
      <c r="D190" s="670" t="s">
        <v>1357</v>
      </c>
      <c r="E190" s="670"/>
      <c r="F190" s="670"/>
      <c r="G190" s="670"/>
      <c r="H190" s="443" t="s">
        <v>314</v>
      </c>
      <c r="I190" s="500">
        <v>4.9939999999999998</v>
      </c>
      <c r="J190" s="443" t="s">
        <v>314</v>
      </c>
      <c r="K190" s="447">
        <v>1</v>
      </c>
      <c r="L190" s="582">
        <f t="shared" si="14"/>
        <v>4.9939999999999998</v>
      </c>
      <c r="M190" s="584" t="str">
        <f t="shared" si="15"/>
        <v>per each</v>
      </c>
      <c r="N190" s="447">
        <v>4</v>
      </c>
      <c r="O190" s="586">
        <f t="shared" si="16"/>
        <v>1.2484999999999999</v>
      </c>
      <c r="P190" s="586">
        <f>IFERROR(L190/(((1+Econ_Ann_TA!$H$26)^N190-1)/(Econ_Ann_TA!$H$26*(1+Econ_Ann_TA!$H$26)^N190)),0)</f>
        <v>1.3435210636942543</v>
      </c>
      <c r="Q190" s="517"/>
    </row>
    <row r="191" spans="4:17" s="348" customFormat="1" x14ac:dyDescent="0.2">
      <c r="D191" s="670" t="s">
        <v>1358</v>
      </c>
      <c r="E191" s="670"/>
      <c r="F191" s="670"/>
      <c r="G191" s="670"/>
      <c r="H191" s="443" t="s">
        <v>314</v>
      </c>
      <c r="I191" s="500">
        <v>39.595100000000002</v>
      </c>
      <c r="J191" s="443" t="s">
        <v>314</v>
      </c>
      <c r="K191" s="447">
        <v>1</v>
      </c>
      <c r="L191" s="582">
        <f t="shared" si="14"/>
        <v>39.595100000000002</v>
      </c>
      <c r="M191" s="584" t="str">
        <f t="shared" si="15"/>
        <v>per each</v>
      </c>
      <c r="N191" s="447">
        <v>9</v>
      </c>
      <c r="O191" s="586">
        <f t="shared" si="16"/>
        <v>4.3994555555555559</v>
      </c>
      <c r="P191" s="586">
        <f>IFERROR(L191/(((1+Econ_Ann_TA!$H$26)^N191-1)/(Econ_Ann_TA!$H$26*(1+Econ_Ann_TA!$H$26)^N191)),0)</f>
        <v>5.0853514120175074</v>
      </c>
      <c r="Q191" s="517"/>
    </row>
    <row r="192" spans="4:17" s="348" customFormat="1" x14ac:dyDescent="0.2">
      <c r="D192" s="670" t="s">
        <v>1359</v>
      </c>
      <c r="E192" s="670"/>
      <c r="F192" s="670"/>
      <c r="G192" s="670"/>
      <c r="H192" s="443" t="s">
        <v>314</v>
      </c>
      <c r="I192" s="500">
        <v>30</v>
      </c>
      <c r="J192" s="443" t="s">
        <v>314</v>
      </c>
      <c r="K192" s="447">
        <v>1</v>
      </c>
      <c r="L192" s="582">
        <f t="shared" si="14"/>
        <v>30</v>
      </c>
      <c r="M192" s="584" t="str">
        <f t="shared" si="15"/>
        <v>per each</v>
      </c>
      <c r="N192" s="447">
        <v>7</v>
      </c>
      <c r="O192" s="586">
        <f t="shared" si="16"/>
        <v>4.2857142857142856</v>
      </c>
      <c r="P192" s="586">
        <f>IFERROR(L192/(((1+Econ_Ann_TA!$H$26)^N192-1)/(Econ_Ann_TA!$H$26*(1+Econ_Ann_TA!$H$26)^N192)),0)</f>
        <v>4.8151906126281609</v>
      </c>
      <c r="Q192" s="517" t="s">
        <v>1366</v>
      </c>
    </row>
    <row r="193" spans="3:17" s="348" customFormat="1" x14ac:dyDescent="0.2">
      <c r="D193" s="670" t="s">
        <v>873</v>
      </c>
      <c r="E193" s="670"/>
      <c r="F193" s="670"/>
      <c r="G193" s="670"/>
      <c r="H193" s="443" t="s">
        <v>830</v>
      </c>
      <c r="I193" s="500">
        <v>875</v>
      </c>
      <c r="J193" s="443" t="s">
        <v>830</v>
      </c>
      <c r="K193" s="447">
        <v>1</v>
      </c>
      <c r="L193" s="582">
        <f t="shared" si="14"/>
        <v>875</v>
      </c>
      <c r="M193" s="584" t="str">
        <f t="shared" si="15"/>
        <v>per dilator</v>
      </c>
      <c r="N193" s="447">
        <v>3</v>
      </c>
      <c r="O193" s="586">
        <f t="shared" si="16"/>
        <v>291.66666666666669</v>
      </c>
      <c r="P193" s="586">
        <f>IFERROR(L193/(((1+Econ_Ann_TA!$H$26)^N193-1)/(Econ_Ann_TA!$H$26*(1+Econ_Ann_TA!$H$26)^N193)),0)</f>
        <v>309.3390679090233</v>
      </c>
      <c r="Q193" s="517"/>
    </row>
    <row r="194" spans="3:17" s="348" customFormat="1" x14ac:dyDescent="0.2">
      <c r="D194" s="670" t="s">
        <v>1360</v>
      </c>
      <c r="E194" s="670"/>
      <c r="F194" s="670"/>
      <c r="G194" s="670"/>
      <c r="H194" s="443" t="s">
        <v>314</v>
      </c>
      <c r="I194" s="500">
        <v>46</v>
      </c>
      <c r="J194" s="443" t="s">
        <v>314</v>
      </c>
      <c r="K194" s="447">
        <v>1</v>
      </c>
      <c r="L194" s="582">
        <f t="shared" si="14"/>
        <v>46</v>
      </c>
      <c r="M194" s="584" t="str">
        <f t="shared" si="15"/>
        <v>per each</v>
      </c>
      <c r="N194" s="447">
        <v>9</v>
      </c>
      <c r="O194" s="586">
        <f t="shared" si="16"/>
        <v>5.1111111111111107</v>
      </c>
      <c r="P194" s="586">
        <f>IFERROR(L194/(((1+Econ_Ann_TA!$H$26)^N194-1)/(Econ_Ann_TA!$H$26*(1+Econ_Ann_TA!$H$26)^N194)),0)</f>
        <v>5.9079574228327578</v>
      </c>
      <c r="Q194" s="517" t="s">
        <v>1366</v>
      </c>
    </row>
    <row r="195" spans="3:17" s="348" customFormat="1" x14ac:dyDescent="0.2">
      <c r="D195" s="670" t="s">
        <v>874</v>
      </c>
      <c r="E195" s="670"/>
      <c r="F195" s="670"/>
      <c r="G195" s="670"/>
      <c r="H195" s="443" t="s">
        <v>829</v>
      </c>
      <c r="I195" s="500">
        <v>43.75</v>
      </c>
      <c r="J195" s="443" t="s">
        <v>829</v>
      </c>
      <c r="K195" s="447">
        <v>1</v>
      </c>
      <c r="L195" s="582">
        <f t="shared" si="14"/>
        <v>43.75</v>
      </c>
      <c r="M195" s="584" t="str">
        <f t="shared" si="15"/>
        <v>per probe</v>
      </c>
      <c r="N195" s="447">
        <v>9</v>
      </c>
      <c r="O195" s="586">
        <f t="shared" si="16"/>
        <v>4.8611111111111107</v>
      </c>
      <c r="P195" s="586">
        <f>IFERROR(L195/(((1+Econ_Ann_TA!$H$26)^N195-1)/(Econ_Ann_TA!$H$26*(1+Econ_Ann_TA!$H$26)^N195)),0)</f>
        <v>5.6189812445420255</v>
      </c>
      <c r="Q195" s="517"/>
    </row>
    <row r="196" spans="3:17" s="348" customFormat="1" x14ac:dyDescent="0.2">
      <c r="D196" s="670" t="s">
        <v>1361</v>
      </c>
      <c r="E196" s="670"/>
      <c r="F196" s="670"/>
      <c r="G196" s="670"/>
      <c r="H196" s="443" t="s">
        <v>1181</v>
      </c>
      <c r="I196" s="500">
        <v>0</v>
      </c>
      <c r="J196" s="443" t="s">
        <v>1181</v>
      </c>
      <c r="K196" s="447">
        <v>1</v>
      </c>
      <c r="L196" s="582">
        <f t="shared" si="14"/>
        <v>0</v>
      </c>
      <c r="M196" s="584" t="str">
        <f t="shared" si="15"/>
        <v>per SKU</v>
      </c>
      <c r="N196" s="447">
        <v>1</v>
      </c>
      <c r="O196" s="586">
        <f t="shared" si="16"/>
        <v>0</v>
      </c>
      <c r="P196" s="586">
        <f>IFERROR(L196/(((1+Econ_Ann_TA!$H$26)^N196-1)/(Econ_Ann_TA!$H$26*(1+Econ_Ann_TA!$H$26)^N196)),0)</f>
        <v>0</v>
      </c>
      <c r="Q196" s="517"/>
    </row>
    <row r="197" spans="3:17" s="348" customFormat="1" x14ac:dyDescent="0.2">
      <c r="D197" s="670" t="s">
        <v>1362</v>
      </c>
      <c r="E197" s="670"/>
      <c r="F197" s="670"/>
      <c r="G197" s="670"/>
      <c r="H197" s="443" t="s">
        <v>1181</v>
      </c>
      <c r="I197" s="500">
        <v>0</v>
      </c>
      <c r="J197" s="443" t="s">
        <v>1181</v>
      </c>
      <c r="K197" s="447">
        <v>1</v>
      </c>
      <c r="L197" s="582">
        <f t="shared" si="14"/>
        <v>0</v>
      </c>
      <c r="M197" s="584" t="str">
        <f t="shared" si="15"/>
        <v>per SKU</v>
      </c>
      <c r="N197" s="447">
        <v>1</v>
      </c>
      <c r="O197" s="586">
        <f t="shared" si="16"/>
        <v>0</v>
      </c>
      <c r="P197" s="586">
        <f>IFERROR(L197/(((1+Econ_Ann_TA!$H$26)^N197-1)/(Econ_Ann_TA!$H$26*(1+Econ_Ann_TA!$H$26)^N197)),0)</f>
        <v>0</v>
      </c>
      <c r="Q197" s="517"/>
    </row>
    <row r="198" spans="3:17" s="348" customFormat="1" x14ac:dyDescent="0.2">
      <c r="D198" s="670" t="s">
        <v>1363</v>
      </c>
      <c r="E198" s="670"/>
      <c r="F198" s="670"/>
      <c r="G198" s="670"/>
      <c r="H198" s="443" t="s">
        <v>1181</v>
      </c>
      <c r="I198" s="500">
        <v>0</v>
      </c>
      <c r="J198" s="443" t="s">
        <v>1181</v>
      </c>
      <c r="K198" s="447">
        <v>1</v>
      </c>
      <c r="L198" s="582">
        <f t="shared" si="14"/>
        <v>0</v>
      </c>
      <c r="M198" s="584" t="str">
        <f t="shared" si="15"/>
        <v>per SKU</v>
      </c>
      <c r="N198" s="447">
        <v>1</v>
      </c>
      <c r="O198" s="586">
        <f t="shared" si="16"/>
        <v>0</v>
      </c>
      <c r="P198" s="586">
        <f>IFERROR(L198/(((1+Econ_Ann_TA!$H$26)^N198-1)/(Econ_Ann_TA!$H$26*(1+Econ_Ann_TA!$H$26)^N198)),0)</f>
        <v>0</v>
      </c>
      <c r="Q198" s="517"/>
    </row>
    <row r="199" spans="3:17" s="348" customFormat="1" x14ac:dyDescent="0.2">
      <c r="D199" s="670" t="s">
        <v>1364</v>
      </c>
      <c r="E199" s="670"/>
      <c r="F199" s="670"/>
      <c r="G199" s="670"/>
      <c r="H199" s="443" t="s">
        <v>1181</v>
      </c>
      <c r="I199" s="500">
        <v>0</v>
      </c>
      <c r="J199" s="443" t="s">
        <v>1181</v>
      </c>
      <c r="K199" s="447">
        <v>1</v>
      </c>
      <c r="L199" s="582">
        <f t="shared" si="14"/>
        <v>0</v>
      </c>
      <c r="M199" s="584" t="str">
        <f t="shared" si="15"/>
        <v>per SKU</v>
      </c>
      <c r="N199" s="447">
        <v>1</v>
      </c>
      <c r="O199" s="586">
        <f t="shared" si="16"/>
        <v>0</v>
      </c>
      <c r="P199" s="586">
        <f>IFERROR(L199/(((1+Econ_Ann_TA!$H$26)^N199-1)/(Econ_Ann_TA!$H$26*(1+Econ_Ann_TA!$H$26)^N199)),0)</f>
        <v>0</v>
      </c>
      <c r="Q199" s="517"/>
    </row>
    <row r="200" spans="3:17" s="348" customFormat="1" x14ac:dyDescent="0.2">
      <c r="D200" s="670" t="s">
        <v>1365</v>
      </c>
      <c r="E200" s="670"/>
      <c r="F200" s="670"/>
      <c r="G200" s="670"/>
      <c r="H200" s="443" t="s">
        <v>1181</v>
      </c>
      <c r="I200" s="500">
        <v>0</v>
      </c>
      <c r="J200" s="443" t="s">
        <v>1181</v>
      </c>
      <c r="K200" s="447">
        <v>1</v>
      </c>
      <c r="L200" s="582">
        <f t="shared" si="14"/>
        <v>0</v>
      </c>
      <c r="M200" s="584" t="str">
        <f t="shared" si="15"/>
        <v>per SKU</v>
      </c>
      <c r="N200" s="447">
        <v>1</v>
      </c>
      <c r="O200" s="586">
        <f t="shared" si="16"/>
        <v>0</v>
      </c>
      <c r="P200" s="586">
        <f>IFERROR(L200/(((1+Econ_Ann_TA!$H$26)^N200-1)/(Econ_Ann_TA!$H$26*(1+Econ_Ann_TA!$H$26)^N200)),0)</f>
        <v>0</v>
      </c>
      <c r="Q200" s="517"/>
    </row>
    <row r="201" spans="3:17" s="348" customFormat="1" x14ac:dyDescent="0.2">
      <c r="D201" s="670" t="s">
        <v>1655</v>
      </c>
      <c r="E201" s="670"/>
      <c r="F201" s="670"/>
      <c r="G201" s="670"/>
      <c r="H201" s="443" t="s">
        <v>1181</v>
      </c>
      <c r="I201" s="500">
        <v>0</v>
      </c>
      <c r="J201" s="443" t="s">
        <v>1181</v>
      </c>
      <c r="K201" s="447">
        <v>1</v>
      </c>
      <c r="L201" s="582">
        <f t="shared" si="14"/>
        <v>0</v>
      </c>
      <c r="M201" s="584" t="str">
        <f t="shared" si="15"/>
        <v>per SKU</v>
      </c>
      <c r="N201" s="447">
        <v>1</v>
      </c>
      <c r="O201" s="586">
        <f t="shared" si="16"/>
        <v>0</v>
      </c>
      <c r="P201" s="586">
        <f>IFERROR(L201/(((1+Econ_Ann_TA!$H$26)^N201-1)/(Econ_Ann_TA!$H$26*(1+Econ_Ann_TA!$H$26)^N201)),0)</f>
        <v>0</v>
      </c>
      <c r="Q201" s="517"/>
    </row>
    <row r="202" spans="3:17" s="348" customFormat="1" x14ac:dyDescent="0.2">
      <c r="D202" s="670" t="s">
        <v>1725</v>
      </c>
      <c r="E202" s="670"/>
      <c r="F202" s="670"/>
      <c r="G202" s="670"/>
      <c r="H202" s="443" t="s">
        <v>1181</v>
      </c>
      <c r="I202" s="500">
        <v>0</v>
      </c>
      <c r="J202" s="443" t="s">
        <v>1181</v>
      </c>
      <c r="K202" s="447">
        <v>1</v>
      </c>
      <c r="L202" s="582">
        <f t="shared" si="14"/>
        <v>0</v>
      </c>
      <c r="M202" s="584" t="str">
        <f t="shared" si="15"/>
        <v>per SKU</v>
      </c>
      <c r="N202" s="447">
        <v>1</v>
      </c>
      <c r="O202" s="586">
        <f t="shared" si="16"/>
        <v>0</v>
      </c>
      <c r="P202" s="586">
        <f>IFERROR(L202/(((1+Econ_Ann_TA!$H$26)^N202-1)/(Econ_Ann_TA!$H$26*(1+Econ_Ann_TA!$H$26)^N202)),0)</f>
        <v>0</v>
      </c>
      <c r="Q202" s="517"/>
    </row>
    <row r="203" spans="3:17" s="348" customFormat="1" x14ac:dyDescent="0.2">
      <c r="D203" s="670" t="s">
        <v>1726</v>
      </c>
      <c r="E203" s="670"/>
      <c r="F203" s="670"/>
      <c r="G203" s="670"/>
      <c r="H203" s="443" t="s">
        <v>1181</v>
      </c>
      <c r="I203" s="500">
        <v>0</v>
      </c>
      <c r="J203" s="443" t="s">
        <v>1181</v>
      </c>
      <c r="K203" s="447">
        <v>1</v>
      </c>
      <c r="L203" s="582">
        <f t="shared" si="14"/>
        <v>0</v>
      </c>
      <c r="M203" s="584" t="str">
        <f t="shared" si="15"/>
        <v>per SKU</v>
      </c>
      <c r="N203" s="447">
        <v>1</v>
      </c>
      <c r="O203" s="586">
        <f t="shared" si="16"/>
        <v>0</v>
      </c>
      <c r="P203" s="586">
        <f>IFERROR(L203/(((1+Econ_Ann_TA!$H$26)^N203-1)/(Econ_Ann_TA!$H$26*(1+Econ_Ann_TA!$H$26)^N203)),0)</f>
        <v>0</v>
      </c>
      <c r="Q203" s="517"/>
    </row>
    <row r="204" spans="3:17" s="348" customFormat="1" x14ac:dyDescent="0.2">
      <c r="D204" s="670" t="s">
        <v>1727</v>
      </c>
      <c r="E204" s="670"/>
      <c r="F204" s="670"/>
      <c r="G204" s="670"/>
      <c r="H204" s="443" t="s">
        <v>1181</v>
      </c>
      <c r="I204" s="500">
        <v>0</v>
      </c>
      <c r="J204" s="443" t="s">
        <v>1181</v>
      </c>
      <c r="K204" s="447">
        <v>1</v>
      </c>
      <c r="L204" s="582">
        <f t="shared" si="14"/>
        <v>0</v>
      </c>
      <c r="M204" s="584" t="str">
        <f t="shared" si="15"/>
        <v>per SKU</v>
      </c>
      <c r="N204" s="447">
        <v>1</v>
      </c>
      <c r="O204" s="586">
        <f t="shared" si="16"/>
        <v>0</v>
      </c>
      <c r="P204" s="586">
        <f>IFERROR(L204/(((1+Econ_Ann_TA!$H$26)^N204-1)/(Econ_Ann_TA!$H$26*(1+Econ_Ann_TA!$H$26)^N204)),0)</f>
        <v>0</v>
      </c>
      <c r="Q204" s="517"/>
    </row>
    <row r="205" spans="3:17" s="348" customFormat="1" x14ac:dyDescent="0.2">
      <c r="D205" s="670" t="s">
        <v>1728</v>
      </c>
      <c r="E205" s="670"/>
      <c r="F205" s="670"/>
      <c r="G205" s="670"/>
      <c r="H205" s="443" t="s">
        <v>1181</v>
      </c>
      <c r="I205" s="500">
        <v>0</v>
      </c>
      <c r="J205" s="443" t="s">
        <v>1181</v>
      </c>
      <c r="K205" s="447">
        <v>1</v>
      </c>
      <c r="L205" s="582">
        <f t="shared" si="14"/>
        <v>0</v>
      </c>
      <c r="M205" s="584" t="str">
        <f t="shared" si="15"/>
        <v>per SKU</v>
      </c>
      <c r="N205" s="447">
        <v>1</v>
      </c>
      <c r="O205" s="586">
        <f t="shared" si="16"/>
        <v>0</v>
      </c>
      <c r="P205" s="586">
        <f>IFERROR(L205/(((1+Econ_Ann_TA!$H$26)^N205-1)/(Econ_Ann_TA!$H$26*(1+Econ_Ann_TA!$H$26)^N205)),0)</f>
        <v>0</v>
      </c>
      <c r="Q205" s="517"/>
    </row>
    <row r="206" spans="3:17" s="348" customFormat="1" x14ac:dyDescent="0.2">
      <c r="D206" s="670" t="s">
        <v>1729</v>
      </c>
      <c r="E206" s="670"/>
      <c r="F206" s="670"/>
      <c r="G206" s="670"/>
      <c r="H206" s="443" t="s">
        <v>1181</v>
      </c>
      <c r="I206" s="500">
        <v>0</v>
      </c>
      <c r="J206" s="443" t="s">
        <v>1181</v>
      </c>
      <c r="K206" s="447">
        <v>1</v>
      </c>
      <c r="L206" s="582">
        <f t="shared" si="14"/>
        <v>0</v>
      </c>
      <c r="M206" s="584" t="str">
        <f t="shared" si="15"/>
        <v>per SKU</v>
      </c>
      <c r="N206" s="447">
        <v>1</v>
      </c>
      <c r="O206" s="586">
        <f t="shared" si="16"/>
        <v>0</v>
      </c>
      <c r="P206" s="586">
        <f>IFERROR(L206/(((1+Econ_Ann_TA!$H$26)^N206-1)/(Econ_Ann_TA!$H$26*(1+Econ_Ann_TA!$H$26)^N206)),0)</f>
        <v>0</v>
      </c>
      <c r="Q206" s="517"/>
    </row>
    <row r="207" spans="3:17" s="348" customFormat="1" x14ac:dyDescent="0.2"/>
    <row r="208" spans="3:17" s="348" customFormat="1" ht="15.75" x14ac:dyDescent="0.2">
      <c r="C208" s="664" t="s">
        <v>1743</v>
      </c>
    </row>
    <row r="209" spans="1:16" s="348" customFormat="1" ht="38.25" x14ac:dyDescent="0.2">
      <c r="D209" s="667" t="s">
        <v>398</v>
      </c>
      <c r="H209" s="676" t="s">
        <v>840</v>
      </c>
      <c r="I209" s="676" t="s">
        <v>971</v>
      </c>
      <c r="J209" s="676" t="s">
        <v>970</v>
      </c>
      <c r="K209" s="676" t="s">
        <v>818</v>
      </c>
      <c r="L209" s="365" t="str">
        <f>"Cost Per Supply Unit ("&amp;$G$10&amp;"/SU)"</f>
        <v>Cost Per Supply Unit (USD/SU)</v>
      </c>
      <c r="M209" s="671" t="s">
        <v>1775</v>
      </c>
      <c r="N209" s="802" t="s">
        <v>648</v>
      </c>
      <c r="O209" s="803"/>
      <c r="P209" s="803"/>
    </row>
    <row r="210" spans="1:16" s="348" customFormat="1" x14ac:dyDescent="0.2">
      <c r="A210" s="440"/>
      <c r="D210" s="768" t="s">
        <v>1257</v>
      </c>
      <c r="E210" s="768"/>
      <c r="F210" s="768"/>
      <c r="G210" s="670"/>
      <c r="H210" s="443" t="s">
        <v>1181</v>
      </c>
      <c r="I210" s="445">
        <v>0</v>
      </c>
      <c r="J210" s="443" t="s">
        <v>1183</v>
      </c>
      <c r="K210" s="447">
        <v>0</v>
      </c>
      <c r="L210" s="449">
        <f t="shared" ref="L210:L241" si="17">IFERROR(I210/K210,0)</f>
        <v>0</v>
      </c>
      <c r="M210" s="588" t="str">
        <f t="shared" ref="M210:M241" si="18">"per "&amp;J210</f>
        <v>per SU</v>
      </c>
      <c r="N210" s="768"/>
      <c r="O210" s="768"/>
      <c r="P210" s="768"/>
    </row>
    <row r="211" spans="1:16" s="348" customFormat="1" x14ac:dyDescent="0.2">
      <c r="A211" s="440"/>
      <c r="D211" s="768" t="s">
        <v>1368</v>
      </c>
      <c r="E211" s="768"/>
      <c r="F211" s="768"/>
      <c r="G211" s="670"/>
      <c r="H211" s="443" t="s">
        <v>1464</v>
      </c>
      <c r="I211" s="445">
        <v>92.89</v>
      </c>
      <c r="J211" s="443" t="s">
        <v>314</v>
      </c>
      <c r="K211" s="447">
        <v>500</v>
      </c>
      <c r="L211" s="449">
        <f t="shared" si="17"/>
        <v>0.18578</v>
      </c>
      <c r="M211" s="588" t="str">
        <f t="shared" si="18"/>
        <v>per each</v>
      </c>
      <c r="N211" s="768"/>
      <c r="O211" s="768"/>
      <c r="P211" s="768"/>
    </row>
    <row r="212" spans="1:16" s="348" customFormat="1" x14ac:dyDescent="0.2">
      <c r="A212" s="440"/>
      <c r="D212" s="768" t="s">
        <v>1369</v>
      </c>
      <c r="E212" s="768"/>
      <c r="F212" s="768"/>
      <c r="G212" s="670"/>
      <c r="H212" s="443" t="s">
        <v>1465</v>
      </c>
      <c r="I212" s="445">
        <v>19.224106655010399</v>
      </c>
      <c r="J212" s="443" t="s">
        <v>334</v>
      </c>
      <c r="K212" s="447">
        <v>1000</v>
      </c>
      <c r="L212" s="449">
        <f t="shared" si="17"/>
        <v>1.9224106655010398E-2</v>
      </c>
      <c r="M212" s="588" t="str">
        <f t="shared" si="18"/>
        <v>per mililiter</v>
      </c>
      <c r="N212" s="768"/>
      <c r="O212" s="768"/>
      <c r="P212" s="768"/>
    </row>
    <row r="213" spans="1:16" s="348" customFormat="1" x14ac:dyDescent="0.2">
      <c r="A213" s="440"/>
      <c r="D213" s="820" t="s">
        <v>1370</v>
      </c>
      <c r="E213" s="821"/>
      <c r="F213" s="821"/>
      <c r="G213" s="670"/>
      <c r="H213" s="443" t="s">
        <v>1465</v>
      </c>
      <c r="I213" s="445">
        <v>19.224106655010399</v>
      </c>
      <c r="J213" s="443" t="s">
        <v>334</v>
      </c>
      <c r="K213" s="447">
        <v>1000</v>
      </c>
      <c r="L213" s="449">
        <f t="shared" si="17"/>
        <v>1.9224106655010398E-2</v>
      </c>
      <c r="M213" s="588" t="str">
        <f t="shared" si="18"/>
        <v>per mililiter</v>
      </c>
      <c r="N213" s="768"/>
      <c r="O213" s="768"/>
      <c r="P213" s="768"/>
    </row>
    <row r="214" spans="1:16" s="348" customFormat="1" x14ac:dyDescent="0.2">
      <c r="A214" s="440"/>
      <c r="D214" s="768" t="s">
        <v>1371</v>
      </c>
      <c r="E214" s="768"/>
      <c r="F214" s="768"/>
      <c r="G214" s="670"/>
      <c r="H214" s="443" t="s">
        <v>1465</v>
      </c>
      <c r="I214" s="445">
        <v>15.2988744399519</v>
      </c>
      <c r="J214" s="443" t="s">
        <v>334</v>
      </c>
      <c r="K214" s="447">
        <v>1000</v>
      </c>
      <c r="L214" s="449">
        <f t="shared" si="17"/>
        <v>1.52988744399519E-2</v>
      </c>
      <c r="M214" s="588" t="str">
        <f t="shared" si="18"/>
        <v>per mililiter</v>
      </c>
      <c r="N214" s="768"/>
      <c r="O214" s="768"/>
      <c r="P214" s="768"/>
    </row>
    <row r="215" spans="1:16" s="348" customFormat="1" x14ac:dyDescent="0.2">
      <c r="A215" s="440"/>
      <c r="D215" s="768" t="s">
        <v>1372</v>
      </c>
      <c r="E215" s="768"/>
      <c r="F215" s="768"/>
      <c r="G215" s="670"/>
      <c r="H215" s="443" t="s">
        <v>1465</v>
      </c>
      <c r="I215" s="445">
        <v>14.773952573489201</v>
      </c>
      <c r="J215" s="443" t="s">
        <v>334</v>
      </c>
      <c r="K215" s="447">
        <v>1000</v>
      </c>
      <c r="L215" s="449">
        <f t="shared" si="17"/>
        <v>1.47739525734892E-2</v>
      </c>
      <c r="M215" s="588" t="str">
        <f t="shared" si="18"/>
        <v>per mililiter</v>
      </c>
      <c r="N215" s="768"/>
      <c r="O215" s="768"/>
      <c r="P215" s="768"/>
    </row>
    <row r="216" spans="1:16" s="348" customFormat="1" x14ac:dyDescent="0.2">
      <c r="A216" s="440"/>
      <c r="D216" s="820" t="s">
        <v>1373</v>
      </c>
      <c r="E216" s="821"/>
      <c r="F216" s="821"/>
      <c r="G216" s="670"/>
      <c r="H216" s="443" t="s">
        <v>1466</v>
      </c>
      <c r="I216" s="445">
        <v>3.4</v>
      </c>
      <c r="J216" s="443" t="s">
        <v>317</v>
      </c>
      <c r="K216" s="447">
        <v>100</v>
      </c>
      <c r="L216" s="449">
        <f t="shared" si="17"/>
        <v>3.4000000000000002E-2</v>
      </c>
      <c r="M216" s="588" t="str">
        <f t="shared" si="18"/>
        <v>per centilitre</v>
      </c>
      <c r="N216" s="768" t="s">
        <v>1563</v>
      </c>
      <c r="O216" s="768"/>
      <c r="P216" s="768"/>
    </row>
    <row r="217" spans="1:16" s="348" customFormat="1" x14ac:dyDescent="0.2">
      <c r="A217" s="440"/>
      <c r="D217" s="768" t="s">
        <v>879</v>
      </c>
      <c r="E217" s="768"/>
      <c r="F217" s="768"/>
      <c r="G217" s="670"/>
      <c r="H217" s="443" t="s">
        <v>1467</v>
      </c>
      <c r="I217" s="445">
        <v>8.75</v>
      </c>
      <c r="J217" s="443" t="s">
        <v>317</v>
      </c>
      <c r="K217" s="447">
        <v>250</v>
      </c>
      <c r="L217" s="449">
        <f t="shared" si="17"/>
        <v>3.5000000000000003E-2</v>
      </c>
      <c r="M217" s="588" t="str">
        <f t="shared" si="18"/>
        <v>per centilitre</v>
      </c>
      <c r="N217" s="768"/>
      <c r="O217" s="768"/>
      <c r="P217" s="768"/>
    </row>
    <row r="218" spans="1:16" s="348" customFormat="1" x14ac:dyDescent="0.2">
      <c r="A218" s="440"/>
      <c r="D218" s="820" t="s">
        <v>883</v>
      </c>
      <c r="E218" s="821"/>
      <c r="F218" s="821"/>
      <c r="G218" s="670"/>
      <c r="H218" s="443" t="s">
        <v>1467</v>
      </c>
      <c r="I218" s="445">
        <v>20.625</v>
      </c>
      <c r="J218" s="443" t="s">
        <v>317</v>
      </c>
      <c r="K218" s="447">
        <v>250</v>
      </c>
      <c r="L218" s="449">
        <f t="shared" si="17"/>
        <v>8.2500000000000004E-2</v>
      </c>
      <c r="M218" s="588" t="str">
        <f t="shared" si="18"/>
        <v>per centilitre</v>
      </c>
      <c r="N218" s="768"/>
      <c r="O218" s="768"/>
      <c r="P218" s="768"/>
    </row>
    <row r="219" spans="1:16" s="348" customFormat="1" x14ac:dyDescent="0.2">
      <c r="A219" s="440"/>
      <c r="D219" s="768" t="s">
        <v>1374</v>
      </c>
      <c r="E219" s="768"/>
      <c r="F219" s="768"/>
      <c r="G219" s="670"/>
      <c r="H219" s="443" t="s">
        <v>1468</v>
      </c>
      <c r="I219" s="445">
        <v>44.125300000000003</v>
      </c>
      <c r="J219" s="443" t="s">
        <v>317</v>
      </c>
      <c r="K219" s="447">
        <v>1000</v>
      </c>
      <c r="L219" s="449">
        <f t="shared" si="17"/>
        <v>4.4125300000000006E-2</v>
      </c>
      <c r="M219" s="588" t="str">
        <f t="shared" si="18"/>
        <v>per centilitre</v>
      </c>
      <c r="N219" s="768" t="s">
        <v>1563</v>
      </c>
      <c r="O219" s="768"/>
      <c r="P219" s="768"/>
    </row>
    <row r="220" spans="1:16" s="348" customFormat="1" x14ac:dyDescent="0.2">
      <c r="A220" s="440"/>
      <c r="D220" s="768" t="s">
        <v>1375</v>
      </c>
      <c r="E220" s="768"/>
      <c r="F220" s="768"/>
      <c r="G220" s="670"/>
      <c r="H220" s="443">
        <v>1000</v>
      </c>
      <c r="I220" s="445">
        <v>7.3106999999999998</v>
      </c>
      <c r="J220" s="443" t="s">
        <v>1540</v>
      </c>
      <c r="K220" s="447">
        <v>1000</v>
      </c>
      <c r="L220" s="449">
        <f t="shared" si="17"/>
        <v>7.3106999999999998E-3</v>
      </c>
      <c r="M220" s="588" t="str">
        <f t="shared" si="18"/>
        <v>per 25 mg</v>
      </c>
      <c r="N220" s="768" t="s">
        <v>1563</v>
      </c>
      <c r="O220" s="768"/>
      <c r="P220" s="768"/>
    </row>
    <row r="221" spans="1:16" s="348" customFormat="1" x14ac:dyDescent="0.2">
      <c r="A221" s="440"/>
      <c r="D221" s="768" t="s">
        <v>884</v>
      </c>
      <c r="E221" s="768"/>
      <c r="F221" s="768"/>
      <c r="G221" s="670"/>
      <c r="H221" s="443" t="s">
        <v>1469</v>
      </c>
      <c r="I221" s="445">
        <v>0.9375</v>
      </c>
      <c r="J221" s="443" t="s">
        <v>314</v>
      </c>
      <c r="K221" s="447">
        <v>500</v>
      </c>
      <c r="L221" s="449">
        <f t="shared" si="17"/>
        <v>1.8749999999999999E-3</v>
      </c>
      <c r="M221" s="588" t="str">
        <f t="shared" si="18"/>
        <v>per each</v>
      </c>
      <c r="N221" s="768"/>
      <c r="O221" s="768"/>
      <c r="P221" s="768"/>
    </row>
    <row r="222" spans="1:16" s="348" customFormat="1" x14ac:dyDescent="0.2">
      <c r="A222" s="440"/>
      <c r="D222" s="820" t="s">
        <v>1376</v>
      </c>
      <c r="E222" s="821"/>
      <c r="F222" s="821"/>
      <c r="G222" s="670"/>
      <c r="H222" s="443" t="s">
        <v>1470</v>
      </c>
      <c r="I222" s="445">
        <v>225.56</v>
      </c>
      <c r="J222" s="443" t="s">
        <v>334</v>
      </c>
      <c r="K222" s="447">
        <v>11352</v>
      </c>
      <c r="L222" s="449">
        <f t="shared" si="17"/>
        <v>1.9869626497533474E-2</v>
      </c>
      <c r="M222" s="588" t="str">
        <f t="shared" si="18"/>
        <v>per mililiter</v>
      </c>
      <c r="N222" s="768"/>
      <c r="O222" s="768"/>
      <c r="P222" s="768"/>
    </row>
    <row r="223" spans="1:16" s="348" customFormat="1" x14ac:dyDescent="0.2">
      <c r="A223" s="441"/>
      <c r="D223" s="760" t="s">
        <v>1377</v>
      </c>
      <c r="E223" s="763"/>
      <c r="F223" s="764"/>
      <c r="G223" s="670"/>
      <c r="H223" s="443" t="s">
        <v>1471</v>
      </c>
      <c r="I223" s="445">
        <v>525.71799999999996</v>
      </c>
      <c r="J223" s="443" t="s">
        <v>322</v>
      </c>
      <c r="K223" s="447">
        <v>500</v>
      </c>
      <c r="L223" s="449">
        <f t="shared" si="17"/>
        <v>1.0514359999999998</v>
      </c>
      <c r="M223" s="588" t="str">
        <f t="shared" si="18"/>
        <v>per tablet</v>
      </c>
      <c r="N223" s="768" t="s">
        <v>1563</v>
      </c>
      <c r="O223" s="768"/>
      <c r="P223" s="768"/>
    </row>
    <row r="224" spans="1:16" s="348" customFormat="1" x14ac:dyDescent="0.2">
      <c r="A224" s="441"/>
      <c r="D224" s="760" t="s">
        <v>1378</v>
      </c>
      <c r="E224" s="763"/>
      <c r="F224" s="764"/>
      <c r="G224" s="670"/>
      <c r="H224" s="443" t="s">
        <v>1472</v>
      </c>
      <c r="I224" s="445">
        <v>3.865251885039886</v>
      </c>
      <c r="J224" s="443" t="s">
        <v>322</v>
      </c>
      <c r="K224" s="447">
        <v>100</v>
      </c>
      <c r="L224" s="449">
        <f t="shared" si="17"/>
        <v>3.8652518850398859E-2</v>
      </c>
      <c r="M224" s="588" t="str">
        <f t="shared" si="18"/>
        <v>per tablet</v>
      </c>
      <c r="N224" s="768"/>
      <c r="O224" s="768"/>
      <c r="P224" s="768"/>
    </row>
    <row r="225" spans="1:16" s="348" customFormat="1" x14ac:dyDescent="0.2">
      <c r="A225" s="441"/>
      <c r="D225" s="760" t="s">
        <v>1379</v>
      </c>
      <c r="E225" s="818"/>
      <c r="F225" s="819"/>
      <c r="G225" s="670"/>
      <c r="H225" s="443" t="s">
        <v>1473</v>
      </c>
      <c r="I225" s="445">
        <v>0.77305037700797719</v>
      </c>
      <c r="J225" s="443" t="s">
        <v>322</v>
      </c>
      <c r="K225" s="447">
        <v>1</v>
      </c>
      <c r="L225" s="449">
        <f t="shared" si="17"/>
        <v>0.77305037700797719</v>
      </c>
      <c r="M225" s="588" t="str">
        <f t="shared" si="18"/>
        <v>per tablet</v>
      </c>
      <c r="N225" s="768"/>
      <c r="O225" s="768"/>
      <c r="P225" s="768"/>
    </row>
    <row r="226" spans="1:16" s="348" customFormat="1" x14ac:dyDescent="0.2">
      <c r="A226" s="441"/>
      <c r="D226" s="808" t="s">
        <v>1662</v>
      </c>
      <c r="E226" s="816"/>
      <c r="F226" s="817"/>
      <c r="G226" s="663"/>
      <c r="H226" s="444" t="s">
        <v>1474</v>
      </c>
      <c r="I226" s="446">
        <v>0</v>
      </c>
      <c r="J226" s="443" t="s">
        <v>1183</v>
      </c>
      <c r="K226" s="447">
        <v>0</v>
      </c>
      <c r="L226" s="449">
        <f t="shared" si="17"/>
        <v>0</v>
      </c>
      <c r="M226" s="588" t="str">
        <f t="shared" si="18"/>
        <v>per SU</v>
      </c>
      <c r="N226" s="768"/>
      <c r="O226" s="768"/>
      <c r="P226" s="768"/>
    </row>
    <row r="227" spans="1:16" s="348" customFormat="1" x14ac:dyDescent="0.2">
      <c r="A227" s="441"/>
      <c r="D227" s="760" t="s">
        <v>1380</v>
      </c>
      <c r="E227" s="818"/>
      <c r="F227" s="819"/>
      <c r="G227" s="670"/>
      <c r="H227" s="443" t="s">
        <v>314</v>
      </c>
      <c r="I227" s="445">
        <v>45</v>
      </c>
      <c r="J227" s="443" t="s">
        <v>314</v>
      </c>
      <c r="K227" s="447">
        <v>5</v>
      </c>
      <c r="L227" s="449">
        <f t="shared" si="17"/>
        <v>9</v>
      </c>
      <c r="M227" s="588" t="str">
        <f t="shared" si="18"/>
        <v>per each</v>
      </c>
      <c r="N227" s="768"/>
      <c r="O227" s="768"/>
      <c r="P227" s="768"/>
    </row>
    <row r="228" spans="1:16" s="348" customFormat="1" x14ac:dyDescent="0.2">
      <c r="A228" s="441"/>
      <c r="D228" s="760" t="s">
        <v>1382</v>
      </c>
      <c r="E228" s="818"/>
      <c r="F228" s="819"/>
      <c r="G228" s="670"/>
      <c r="H228" s="443">
        <v>100</v>
      </c>
      <c r="I228" s="445">
        <v>4.33</v>
      </c>
      <c r="J228" s="443" t="s">
        <v>1541</v>
      </c>
      <c r="K228" s="447">
        <v>100</v>
      </c>
      <c r="L228" s="449">
        <f t="shared" si="17"/>
        <v>4.3299999999999998E-2</v>
      </c>
      <c r="M228" s="588" t="str">
        <f t="shared" si="18"/>
        <v>per sheet use</v>
      </c>
      <c r="N228" s="768" t="s">
        <v>1563</v>
      </c>
      <c r="O228" s="768"/>
      <c r="P228" s="768"/>
    </row>
    <row r="229" spans="1:16" s="348" customFormat="1" x14ac:dyDescent="0.2">
      <c r="A229" s="441"/>
      <c r="D229" s="760" t="s">
        <v>880</v>
      </c>
      <c r="E229" s="818"/>
      <c r="F229" s="819"/>
      <c r="G229" s="670"/>
      <c r="H229" s="443" t="s">
        <v>1475</v>
      </c>
      <c r="I229" s="445">
        <v>6.25</v>
      </c>
      <c r="J229" s="443" t="s">
        <v>318</v>
      </c>
      <c r="K229" s="447">
        <v>100</v>
      </c>
      <c r="L229" s="449">
        <f t="shared" si="17"/>
        <v>6.25E-2</v>
      </c>
      <c r="M229" s="588" t="str">
        <f t="shared" si="18"/>
        <v>per 1 use</v>
      </c>
      <c r="N229" s="768"/>
      <c r="O229" s="768"/>
      <c r="P229" s="768"/>
    </row>
    <row r="230" spans="1:16" s="348" customFormat="1" x14ac:dyDescent="0.2">
      <c r="A230" s="441"/>
      <c r="D230" s="760" t="s">
        <v>1383</v>
      </c>
      <c r="E230" s="818"/>
      <c r="F230" s="819"/>
      <c r="G230" s="670"/>
      <c r="H230" s="443">
        <v>100</v>
      </c>
      <c r="I230" s="445">
        <v>23.498699999999999</v>
      </c>
      <c r="J230" s="443" t="s">
        <v>1542</v>
      </c>
      <c r="K230" s="447">
        <v>100</v>
      </c>
      <c r="L230" s="449">
        <f t="shared" si="17"/>
        <v>0.234987</v>
      </c>
      <c r="M230" s="588" t="str">
        <f t="shared" si="18"/>
        <v>per liner</v>
      </c>
      <c r="N230" s="768" t="s">
        <v>1563</v>
      </c>
      <c r="O230" s="768"/>
      <c r="P230" s="768"/>
    </row>
    <row r="231" spans="1:16" s="348" customFormat="1" x14ac:dyDescent="0.2">
      <c r="A231" s="441"/>
      <c r="D231" s="760" t="s">
        <v>1384</v>
      </c>
      <c r="E231" s="818"/>
      <c r="F231" s="819"/>
      <c r="G231" s="670"/>
      <c r="H231" s="443" t="s">
        <v>1476</v>
      </c>
      <c r="I231" s="445">
        <v>1.7</v>
      </c>
      <c r="J231" s="443" t="s">
        <v>334</v>
      </c>
      <c r="K231" s="447">
        <v>750</v>
      </c>
      <c r="L231" s="449">
        <f t="shared" si="17"/>
        <v>2.2666666666666664E-3</v>
      </c>
      <c r="M231" s="588" t="str">
        <f t="shared" si="18"/>
        <v>per mililiter</v>
      </c>
      <c r="N231" s="768"/>
      <c r="O231" s="768"/>
      <c r="P231" s="768"/>
    </row>
    <row r="232" spans="1:16" s="348" customFormat="1" x14ac:dyDescent="0.2">
      <c r="A232" s="441"/>
      <c r="D232" s="760" t="s">
        <v>1385</v>
      </c>
      <c r="E232" s="818"/>
      <c r="F232" s="819"/>
      <c r="G232" s="670"/>
      <c r="H232" s="443" t="s">
        <v>1477</v>
      </c>
      <c r="I232" s="445">
        <v>1.1801988853677201</v>
      </c>
      <c r="J232" s="443" t="s">
        <v>334</v>
      </c>
      <c r="K232" s="447">
        <v>750</v>
      </c>
      <c r="L232" s="449">
        <f t="shared" si="17"/>
        <v>1.5735985138236267E-3</v>
      </c>
      <c r="M232" s="588" t="str">
        <f t="shared" si="18"/>
        <v>per mililiter</v>
      </c>
      <c r="N232" s="768"/>
      <c r="O232" s="768"/>
      <c r="P232" s="768"/>
    </row>
    <row r="233" spans="1:16" s="348" customFormat="1" x14ac:dyDescent="0.2">
      <c r="A233" s="441"/>
      <c r="D233" s="760" t="s">
        <v>1386</v>
      </c>
      <c r="E233" s="763"/>
      <c r="F233" s="764"/>
      <c r="G233" s="670"/>
      <c r="H233" s="443" t="s">
        <v>1478</v>
      </c>
      <c r="I233" s="445">
        <v>1.1399999999999999</v>
      </c>
      <c r="J233" s="443" t="s">
        <v>1511</v>
      </c>
      <c r="K233" s="447">
        <v>5</v>
      </c>
      <c r="L233" s="449">
        <f t="shared" si="17"/>
        <v>0.22799999999999998</v>
      </c>
      <c r="M233" s="588" t="str">
        <f t="shared" si="18"/>
        <v>per tube</v>
      </c>
      <c r="N233" s="768"/>
      <c r="O233" s="768"/>
      <c r="P233" s="768"/>
    </row>
    <row r="234" spans="1:16" s="348" customFormat="1" x14ac:dyDescent="0.2">
      <c r="A234" s="441"/>
      <c r="D234" s="760" t="s">
        <v>886</v>
      </c>
      <c r="E234" s="763"/>
      <c r="F234" s="764"/>
      <c r="G234" s="670"/>
      <c r="H234" s="443" t="s">
        <v>319</v>
      </c>
      <c r="I234" s="445">
        <v>8.75</v>
      </c>
      <c r="J234" s="443" t="s">
        <v>319</v>
      </c>
      <c r="K234" s="447">
        <v>10</v>
      </c>
      <c r="L234" s="449">
        <f t="shared" si="17"/>
        <v>0.875</v>
      </c>
      <c r="M234" s="588" t="str">
        <f t="shared" si="18"/>
        <v>per 1 catheter set</v>
      </c>
      <c r="N234" s="768"/>
      <c r="O234" s="768"/>
      <c r="P234" s="768"/>
    </row>
    <row r="235" spans="1:16" s="348" customFormat="1" x14ac:dyDescent="0.2">
      <c r="A235" s="441"/>
      <c r="D235" s="760" t="s">
        <v>1387</v>
      </c>
      <c r="E235" s="763"/>
      <c r="F235" s="764"/>
      <c r="G235" s="670"/>
      <c r="H235" s="443" t="s">
        <v>1479</v>
      </c>
      <c r="I235" s="445">
        <v>1.1399999999999999</v>
      </c>
      <c r="J235" s="443" t="s">
        <v>1543</v>
      </c>
      <c r="K235" s="447">
        <v>100</v>
      </c>
      <c r="L235" s="449">
        <f t="shared" si="17"/>
        <v>1.1399999999999999E-2</v>
      </c>
      <c r="M235" s="588" t="str">
        <f t="shared" si="18"/>
        <v>per brush</v>
      </c>
      <c r="N235" s="768"/>
      <c r="O235" s="768"/>
      <c r="P235" s="768"/>
    </row>
    <row r="236" spans="1:16" s="348" customFormat="1" x14ac:dyDescent="0.2">
      <c r="A236" s="441"/>
      <c r="D236" s="760" t="s">
        <v>1388</v>
      </c>
      <c r="E236" s="818"/>
      <c r="F236" s="819"/>
      <c r="G236" s="670"/>
      <c r="H236" s="443" t="s">
        <v>1480</v>
      </c>
      <c r="I236" s="445">
        <v>46</v>
      </c>
      <c r="J236" s="443" t="s">
        <v>334</v>
      </c>
      <c r="K236" s="447">
        <v>10000</v>
      </c>
      <c r="L236" s="449">
        <f t="shared" si="17"/>
        <v>4.5999999999999999E-3</v>
      </c>
      <c r="M236" s="588" t="str">
        <f t="shared" si="18"/>
        <v>per mililiter</v>
      </c>
      <c r="N236" s="768" t="s">
        <v>1563</v>
      </c>
      <c r="O236" s="768"/>
      <c r="P236" s="768"/>
    </row>
    <row r="237" spans="1:16" s="348" customFormat="1" x14ac:dyDescent="0.2">
      <c r="A237" s="440"/>
      <c r="D237" s="768" t="s">
        <v>887</v>
      </c>
      <c r="E237" s="768"/>
      <c r="F237" s="768"/>
      <c r="G237" s="670"/>
      <c r="H237" s="443" t="s">
        <v>1481</v>
      </c>
      <c r="I237" s="445">
        <v>6.875</v>
      </c>
      <c r="J237" s="443" t="s">
        <v>317</v>
      </c>
      <c r="K237" s="447">
        <v>500</v>
      </c>
      <c r="L237" s="449">
        <f t="shared" si="17"/>
        <v>1.375E-2</v>
      </c>
      <c r="M237" s="588" t="str">
        <f t="shared" si="18"/>
        <v>per centilitre</v>
      </c>
      <c r="N237" s="768"/>
      <c r="O237" s="768"/>
      <c r="P237" s="768"/>
    </row>
    <row r="238" spans="1:16" s="348" customFormat="1" x14ac:dyDescent="0.2">
      <c r="A238" s="440"/>
      <c r="D238" s="768" t="s">
        <v>1389</v>
      </c>
      <c r="E238" s="768"/>
      <c r="F238" s="768"/>
      <c r="G238" s="670"/>
      <c r="H238" s="443" t="s">
        <v>1482</v>
      </c>
      <c r="I238" s="445">
        <v>9.6606000000000005</v>
      </c>
      <c r="J238" s="443" t="s">
        <v>334</v>
      </c>
      <c r="K238" s="447">
        <v>5000</v>
      </c>
      <c r="L238" s="449">
        <f t="shared" si="17"/>
        <v>1.9321200000000001E-3</v>
      </c>
      <c r="M238" s="588" t="str">
        <f t="shared" si="18"/>
        <v>per mililiter</v>
      </c>
      <c r="N238" s="768" t="s">
        <v>1563</v>
      </c>
      <c r="O238" s="768"/>
      <c r="P238" s="768"/>
    </row>
    <row r="239" spans="1:16" s="348" customFormat="1" x14ac:dyDescent="0.2">
      <c r="A239" s="440"/>
      <c r="D239" s="768" t="s">
        <v>888</v>
      </c>
      <c r="E239" s="768"/>
      <c r="F239" s="768"/>
      <c r="G239" s="670"/>
      <c r="H239" s="443" t="s">
        <v>1483</v>
      </c>
      <c r="I239" s="445">
        <v>14.0625</v>
      </c>
      <c r="J239" s="443" t="s">
        <v>317</v>
      </c>
      <c r="K239" s="447">
        <v>100</v>
      </c>
      <c r="L239" s="449">
        <f t="shared" si="17"/>
        <v>0.140625</v>
      </c>
      <c r="M239" s="588" t="str">
        <f t="shared" si="18"/>
        <v>per centilitre</v>
      </c>
      <c r="N239" s="768"/>
      <c r="O239" s="768"/>
      <c r="P239" s="768"/>
    </row>
    <row r="240" spans="1:16" s="348" customFormat="1" x14ac:dyDescent="0.2">
      <c r="A240" s="440"/>
      <c r="D240" s="768" t="s">
        <v>1390</v>
      </c>
      <c r="E240" s="768"/>
      <c r="F240" s="768"/>
      <c r="G240" s="670"/>
      <c r="H240" s="443" t="s">
        <v>1472</v>
      </c>
      <c r="I240" s="445">
        <v>3.4291683968965141</v>
      </c>
      <c r="J240" s="443" t="s">
        <v>322</v>
      </c>
      <c r="K240" s="447">
        <v>100</v>
      </c>
      <c r="L240" s="449">
        <f t="shared" si="17"/>
        <v>3.4291683968965141E-2</v>
      </c>
      <c r="M240" s="588" t="str">
        <f t="shared" si="18"/>
        <v>per tablet</v>
      </c>
      <c r="N240" s="768"/>
      <c r="O240" s="768"/>
      <c r="P240" s="768"/>
    </row>
    <row r="241" spans="1:16" s="348" customFormat="1" x14ac:dyDescent="0.2">
      <c r="A241" s="440"/>
      <c r="D241" s="820" t="s">
        <v>1391</v>
      </c>
      <c r="E241" s="821"/>
      <c r="F241" s="821"/>
      <c r="G241" s="670"/>
      <c r="H241" s="443">
        <v>100</v>
      </c>
      <c r="I241" s="445">
        <v>1.2272000000000001</v>
      </c>
      <c r="J241" s="443" t="s">
        <v>322</v>
      </c>
      <c r="K241" s="447">
        <v>250</v>
      </c>
      <c r="L241" s="449">
        <f t="shared" si="17"/>
        <v>4.9088000000000005E-3</v>
      </c>
      <c r="M241" s="588" t="str">
        <f t="shared" si="18"/>
        <v>per tablet</v>
      </c>
      <c r="N241" s="768" t="s">
        <v>1563</v>
      </c>
      <c r="O241" s="768"/>
      <c r="P241" s="768"/>
    </row>
    <row r="242" spans="1:16" s="348" customFormat="1" x14ac:dyDescent="0.2">
      <c r="A242" s="440"/>
      <c r="D242" s="768" t="s">
        <v>1392</v>
      </c>
      <c r="E242" s="768"/>
      <c r="F242" s="768"/>
      <c r="G242" s="670"/>
      <c r="H242" s="443" t="s">
        <v>1484</v>
      </c>
      <c r="I242" s="445">
        <v>14</v>
      </c>
      <c r="J242" s="443" t="s">
        <v>1484</v>
      </c>
      <c r="K242" s="447">
        <v>1</v>
      </c>
      <c r="L242" s="449">
        <f t="shared" ref="L242:L273" si="19">IFERROR(I242/K242,0)</f>
        <v>14</v>
      </c>
      <c r="M242" s="588" t="str">
        <f t="shared" ref="M242:M273" si="20">"per "&amp;J242</f>
        <v>per vial</v>
      </c>
      <c r="N242" s="768" t="s">
        <v>1563</v>
      </c>
      <c r="O242" s="768"/>
      <c r="P242" s="768"/>
    </row>
    <row r="243" spans="1:16" s="348" customFormat="1" x14ac:dyDescent="0.2">
      <c r="A243" s="440"/>
      <c r="D243" s="820" t="s">
        <v>889</v>
      </c>
      <c r="E243" s="821"/>
      <c r="F243" s="821"/>
      <c r="G243" s="670"/>
      <c r="H243" s="443" t="s">
        <v>1485</v>
      </c>
      <c r="I243" s="445">
        <v>15.63</v>
      </c>
      <c r="J243" s="443" t="s">
        <v>320</v>
      </c>
      <c r="K243" s="447">
        <v>1</v>
      </c>
      <c r="L243" s="449">
        <f t="shared" si="19"/>
        <v>15.63</v>
      </c>
      <c r="M243" s="588" t="str">
        <f t="shared" si="20"/>
        <v>per 50 mg vial</v>
      </c>
      <c r="N243" s="768"/>
      <c r="O243" s="768"/>
      <c r="P243" s="768"/>
    </row>
    <row r="244" spans="1:16" s="348" customFormat="1" x14ac:dyDescent="0.2">
      <c r="A244" s="440"/>
      <c r="D244" s="768" t="s">
        <v>1393</v>
      </c>
      <c r="E244" s="768"/>
      <c r="F244" s="768"/>
      <c r="G244" s="670"/>
      <c r="H244" s="443" t="s">
        <v>820</v>
      </c>
      <c r="I244" s="445">
        <v>7343.4597311769203</v>
      </c>
      <c r="J244" s="443" t="s">
        <v>820</v>
      </c>
      <c r="K244" s="447">
        <v>3500</v>
      </c>
      <c r="L244" s="449">
        <f t="shared" si="19"/>
        <v>2.0981313517648346</v>
      </c>
      <c r="M244" s="588" t="str">
        <f t="shared" si="20"/>
        <v>per kit</v>
      </c>
      <c r="N244" s="768"/>
      <c r="O244" s="768"/>
      <c r="P244" s="768"/>
    </row>
    <row r="245" spans="1:16" s="348" customFormat="1" x14ac:dyDescent="0.2">
      <c r="A245" s="440"/>
      <c r="D245" s="820" t="s">
        <v>890</v>
      </c>
      <c r="E245" s="821"/>
      <c r="F245" s="821"/>
      <c r="G245" s="670"/>
      <c r="H245" s="443" t="s">
        <v>1486</v>
      </c>
      <c r="I245" s="445">
        <v>50</v>
      </c>
      <c r="J245" s="443" t="s">
        <v>314</v>
      </c>
      <c r="K245" s="447">
        <v>20</v>
      </c>
      <c r="L245" s="449">
        <f t="shared" si="19"/>
        <v>2.5</v>
      </c>
      <c r="M245" s="588" t="str">
        <f t="shared" si="20"/>
        <v>per each</v>
      </c>
      <c r="N245" s="768"/>
      <c r="O245" s="768"/>
      <c r="P245" s="768"/>
    </row>
    <row r="246" spans="1:16" s="348" customFormat="1" x14ac:dyDescent="0.2">
      <c r="A246" s="441"/>
      <c r="D246" s="760" t="s">
        <v>891</v>
      </c>
      <c r="E246" s="763"/>
      <c r="F246" s="764"/>
      <c r="G246" s="670"/>
      <c r="H246" s="443" t="s">
        <v>314</v>
      </c>
      <c r="I246" s="445">
        <v>0.3125</v>
      </c>
      <c r="J246" s="443" t="s">
        <v>314</v>
      </c>
      <c r="K246" s="447">
        <v>1</v>
      </c>
      <c r="L246" s="449">
        <f t="shared" si="19"/>
        <v>0.3125</v>
      </c>
      <c r="M246" s="588" t="str">
        <f t="shared" si="20"/>
        <v>per each</v>
      </c>
      <c r="N246" s="768"/>
      <c r="O246" s="768"/>
      <c r="P246" s="768"/>
    </row>
    <row r="247" spans="1:16" s="348" customFormat="1" x14ac:dyDescent="0.2">
      <c r="A247" s="441"/>
      <c r="D247" s="760" t="s">
        <v>1394</v>
      </c>
      <c r="E247" s="763"/>
      <c r="F247" s="764"/>
      <c r="G247" s="670"/>
      <c r="H247" s="443">
        <v>7200</v>
      </c>
      <c r="I247" s="445">
        <v>93.211500000000001</v>
      </c>
      <c r="J247" s="443" t="s">
        <v>314</v>
      </c>
      <c r="K247" s="447">
        <v>7200</v>
      </c>
      <c r="L247" s="449">
        <f t="shared" si="19"/>
        <v>1.2946041666666666E-2</v>
      </c>
      <c r="M247" s="588" t="str">
        <f t="shared" si="20"/>
        <v>per each</v>
      </c>
      <c r="N247" s="768" t="s">
        <v>1563</v>
      </c>
      <c r="O247" s="768"/>
      <c r="P247" s="768"/>
    </row>
    <row r="248" spans="1:16" s="348" customFormat="1" x14ac:dyDescent="0.2">
      <c r="A248" s="441"/>
      <c r="D248" s="760" t="s">
        <v>1395</v>
      </c>
      <c r="E248" s="763"/>
      <c r="F248" s="764"/>
      <c r="G248" s="670"/>
      <c r="H248" s="443" t="s">
        <v>1487</v>
      </c>
      <c r="I248" s="445">
        <v>1.02</v>
      </c>
      <c r="J248" s="443" t="s">
        <v>1488</v>
      </c>
      <c r="K248" s="447">
        <v>100</v>
      </c>
      <c r="L248" s="449">
        <f t="shared" si="19"/>
        <v>1.0200000000000001E-2</v>
      </c>
      <c r="M248" s="588" t="str">
        <f t="shared" si="20"/>
        <v>per swab</v>
      </c>
      <c r="N248" s="768"/>
      <c r="O248" s="768"/>
      <c r="P248" s="768"/>
    </row>
    <row r="249" spans="1:16" s="348" customFormat="1" x14ac:dyDescent="0.2">
      <c r="A249" s="441"/>
      <c r="D249" s="760" t="s">
        <v>892</v>
      </c>
      <c r="E249" s="763"/>
      <c r="F249" s="764"/>
      <c r="G249" s="670"/>
      <c r="H249" s="443" t="s">
        <v>314</v>
      </c>
      <c r="I249" s="445">
        <v>2.75E-2</v>
      </c>
      <c r="J249" s="443" t="s">
        <v>314</v>
      </c>
      <c r="K249" s="447">
        <v>1</v>
      </c>
      <c r="L249" s="449">
        <f t="shared" si="19"/>
        <v>2.75E-2</v>
      </c>
      <c r="M249" s="588" t="str">
        <f t="shared" si="20"/>
        <v>per each</v>
      </c>
      <c r="N249" s="768"/>
      <c r="O249" s="768"/>
      <c r="P249" s="768"/>
    </row>
    <row r="250" spans="1:16" s="348" customFormat="1" x14ac:dyDescent="0.2">
      <c r="A250" s="441"/>
      <c r="D250" s="760" t="s">
        <v>1396</v>
      </c>
      <c r="E250" s="763"/>
      <c r="F250" s="764"/>
      <c r="G250" s="670"/>
      <c r="H250" s="443" t="s">
        <v>1488</v>
      </c>
      <c r="I250" s="445">
        <v>3.4619167304119798</v>
      </c>
      <c r="J250" s="443" t="s">
        <v>1488</v>
      </c>
      <c r="K250" s="447">
        <v>500</v>
      </c>
      <c r="L250" s="449">
        <f t="shared" si="19"/>
        <v>6.9238334608239596E-3</v>
      </c>
      <c r="M250" s="588" t="str">
        <f t="shared" si="20"/>
        <v>per swab</v>
      </c>
      <c r="N250" s="768"/>
      <c r="O250" s="768"/>
      <c r="P250" s="768"/>
    </row>
    <row r="251" spans="1:16" s="348" customFormat="1" x14ac:dyDescent="0.2">
      <c r="A251" s="441"/>
      <c r="D251" s="760" t="s">
        <v>1397</v>
      </c>
      <c r="E251" s="763"/>
      <c r="F251" s="764"/>
      <c r="G251" s="670"/>
      <c r="H251" s="443" t="s">
        <v>1489</v>
      </c>
      <c r="I251" s="445">
        <v>3.56</v>
      </c>
      <c r="J251" s="443" t="s">
        <v>1544</v>
      </c>
      <c r="K251" s="447">
        <v>500</v>
      </c>
      <c r="L251" s="449">
        <f t="shared" si="19"/>
        <v>7.1200000000000005E-3</v>
      </c>
      <c r="M251" s="588" t="str">
        <f t="shared" si="20"/>
        <v>per 1/100 roll</v>
      </c>
      <c r="N251" s="768" t="s">
        <v>1563</v>
      </c>
      <c r="O251" s="768"/>
      <c r="P251" s="768"/>
    </row>
    <row r="252" spans="1:16" s="348" customFormat="1" x14ac:dyDescent="0.2">
      <c r="A252" s="441"/>
      <c r="D252" s="760" t="s">
        <v>893</v>
      </c>
      <c r="E252" s="763"/>
      <c r="F252" s="764"/>
      <c r="G252" s="670"/>
      <c r="H252" s="443" t="s">
        <v>1490</v>
      </c>
      <c r="I252" s="445">
        <v>1.5</v>
      </c>
      <c r="J252" s="443" t="s">
        <v>321</v>
      </c>
      <c r="K252" s="447">
        <v>500</v>
      </c>
      <c r="L252" s="449">
        <f t="shared" si="19"/>
        <v>3.0000000000000001E-3</v>
      </c>
      <c r="M252" s="588" t="str">
        <f t="shared" si="20"/>
        <v>per 1 gram</v>
      </c>
      <c r="N252" s="768"/>
      <c r="O252" s="768"/>
      <c r="P252" s="768"/>
    </row>
    <row r="253" spans="1:16" s="348" customFormat="1" x14ac:dyDescent="0.2">
      <c r="A253" s="441"/>
      <c r="D253" s="760" t="s">
        <v>1837</v>
      </c>
      <c r="E253" s="818"/>
      <c r="F253" s="819"/>
      <c r="G253" s="670"/>
      <c r="H253" s="443" t="s">
        <v>1838</v>
      </c>
      <c r="I253" s="445">
        <v>0.25</v>
      </c>
      <c r="J253" s="443" t="s">
        <v>1838</v>
      </c>
      <c r="K253" s="447">
        <v>1</v>
      </c>
      <c r="L253" s="449">
        <f t="shared" si="19"/>
        <v>0.25</v>
      </c>
      <c r="M253" s="588" t="str">
        <f t="shared" si="20"/>
        <v>per 4mg</v>
      </c>
      <c r="N253" s="760"/>
      <c r="O253" s="818"/>
      <c r="P253" s="819"/>
    </row>
    <row r="254" spans="1:16" s="348" customFormat="1" x14ac:dyDescent="0.2">
      <c r="A254" s="441"/>
      <c r="D254" s="760" t="s">
        <v>1398</v>
      </c>
      <c r="E254" s="763"/>
      <c r="F254" s="764"/>
      <c r="G254" s="670"/>
      <c r="H254" s="443">
        <v>100</v>
      </c>
      <c r="I254" s="445">
        <v>0.33939999999999998</v>
      </c>
      <c r="J254" s="443" t="s">
        <v>322</v>
      </c>
      <c r="K254" s="447">
        <v>100</v>
      </c>
      <c r="L254" s="449">
        <f t="shared" si="19"/>
        <v>3.3939999999999999E-3</v>
      </c>
      <c r="M254" s="588" t="str">
        <f t="shared" si="20"/>
        <v>per tablet</v>
      </c>
      <c r="N254" s="768" t="s">
        <v>1563</v>
      </c>
      <c r="O254" s="768"/>
      <c r="P254" s="768"/>
    </row>
    <row r="255" spans="1:16" s="348" customFormat="1" x14ac:dyDescent="0.2">
      <c r="A255" s="441"/>
      <c r="D255" s="760" t="s">
        <v>894</v>
      </c>
      <c r="E255" s="763"/>
      <c r="F255" s="764"/>
      <c r="G255" s="670"/>
      <c r="H255" s="443" t="s">
        <v>322</v>
      </c>
      <c r="I255" s="445">
        <v>1.5625</v>
      </c>
      <c r="J255" s="443" t="s">
        <v>322</v>
      </c>
      <c r="K255" s="447">
        <v>1</v>
      </c>
      <c r="L255" s="449">
        <f t="shared" si="19"/>
        <v>1.5625</v>
      </c>
      <c r="M255" s="588" t="str">
        <f t="shared" si="20"/>
        <v>per tablet</v>
      </c>
      <c r="N255" s="768"/>
      <c r="O255" s="768"/>
      <c r="P255" s="768"/>
    </row>
    <row r="256" spans="1:16" s="348" customFormat="1" x14ac:dyDescent="0.2">
      <c r="A256" s="441"/>
      <c r="D256" s="760" t="s">
        <v>1399</v>
      </c>
      <c r="E256" s="763"/>
      <c r="F256" s="764"/>
      <c r="G256" s="670"/>
      <c r="H256" s="443" t="s">
        <v>1491</v>
      </c>
      <c r="I256" s="445">
        <v>0.57999999999999996</v>
      </c>
      <c r="J256" s="443" t="s">
        <v>334</v>
      </c>
      <c r="K256" s="447">
        <v>2500</v>
      </c>
      <c r="L256" s="449">
        <f t="shared" si="19"/>
        <v>2.3199999999999997E-4</v>
      </c>
      <c r="M256" s="588" t="str">
        <f t="shared" si="20"/>
        <v>per mililiter</v>
      </c>
      <c r="N256" s="768" t="s">
        <v>1706</v>
      </c>
      <c r="O256" s="768"/>
      <c r="P256" s="768"/>
    </row>
    <row r="257" spans="1:16" s="348" customFormat="1" x14ac:dyDescent="0.2">
      <c r="A257" s="441"/>
      <c r="D257" s="760" t="s">
        <v>1400</v>
      </c>
      <c r="E257" s="763"/>
      <c r="F257" s="764"/>
      <c r="G257" s="670"/>
      <c r="H257" s="443" t="s">
        <v>1492</v>
      </c>
      <c r="I257" s="445">
        <v>4.7360944159108298</v>
      </c>
      <c r="J257" s="443" t="s">
        <v>334</v>
      </c>
      <c r="K257" s="447">
        <v>20000</v>
      </c>
      <c r="L257" s="449">
        <f t="shared" si="19"/>
        <v>2.3680472079554149E-4</v>
      </c>
      <c r="M257" s="588" t="str">
        <f t="shared" si="20"/>
        <v>per mililiter</v>
      </c>
      <c r="N257" s="768"/>
      <c r="O257" s="768"/>
      <c r="P257" s="768"/>
    </row>
    <row r="258" spans="1:16" s="348" customFormat="1" x14ac:dyDescent="0.2">
      <c r="A258" s="441"/>
      <c r="D258" s="760" t="s">
        <v>1401</v>
      </c>
      <c r="E258" s="763"/>
      <c r="F258" s="764"/>
      <c r="G258" s="670"/>
      <c r="H258" s="443">
        <v>100</v>
      </c>
      <c r="I258" s="445">
        <v>10</v>
      </c>
      <c r="J258" s="443" t="s">
        <v>322</v>
      </c>
      <c r="K258" s="447">
        <v>100</v>
      </c>
      <c r="L258" s="449">
        <f t="shared" si="19"/>
        <v>0.1</v>
      </c>
      <c r="M258" s="588" t="str">
        <f t="shared" si="20"/>
        <v>per tablet</v>
      </c>
      <c r="N258" s="768" t="s">
        <v>1563</v>
      </c>
      <c r="O258" s="768"/>
      <c r="P258" s="768"/>
    </row>
    <row r="259" spans="1:16" s="348" customFormat="1" x14ac:dyDescent="0.2">
      <c r="A259" s="441"/>
      <c r="D259" s="760" t="s">
        <v>895</v>
      </c>
      <c r="E259" s="763"/>
      <c r="F259" s="764"/>
      <c r="G259" s="670"/>
      <c r="H259" s="443" t="s">
        <v>322</v>
      </c>
      <c r="I259" s="445">
        <v>0.625</v>
      </c>
      <c r="J259" s="443" t="s">
        <v>322</v>
      </c>
      <c r="K259" s="447">
        <v>1</v>
      </c>
      <c r="L259" s="449">
        <f t="shared" si="19"/>
        <v>0.625</v>
      </c>
      <c r="M259" s="588" t="str">
        <f t="shared" si="20"/>
        <v>per tablet</v>
      </c>
      <c r="N259" s="768"/>
      <c r="O259" s="768"/>
      <c r="P259" s="768"/>
    </row>
    <row r="260" spans="1:16" s="348" customFormat="1" x14ac:dyDescent="0.2">
      <c r="A260" s="442"/>
      <c r="D260" s="808" t="s">
        <v>1839</v>
      </c>
      <c r="E260" s="809"/>
      <c r="F260" s="810"/>
      <c r="G260" s="663"/>
      <c r="H260" s="444" t="s">
        <v>1181</v>
      </c>
      <c r="I260" s="446">
        <v>0</v>
      </c>
      <c r="J260" s="444" t="s">
        <v>1183</v>
      </c>
      <c r="K260" s="448">
        <v>0</v>
      </c>
      <c r="L260" s="450">
        <f t="shared" si="19"/>
        <v>0</v>
      </c>
      <c r="M260" s="589" t="str">
        <f t="shared" si="20"/>
        <v>per SU</v>
      </c>
      <c r="N260" s="808"/>
      <c r="O260" s="809"/>
      <c r="P260" s="810"/>
    </row>
    <row r="261" spans="1:16" s="348" customFormat="1" x14ac:dyDescent="0.2">
      <c r="A261" s="441"/>
      <c r="D261" s="760" t="s">
        <v>1402</v>
      </c>
      <c r="E261" s="763"/>
      <c r="F261" s="764"/>
      <c r="G261" s="670"/>
      <c r="H261" s="443" t="s">
        <v>1465</v>
      </c>
      <c r="I261" s="445">
        <v>6.5566604742651098</v>
      </c>
      <c r="J261" s="443" t="s">
        <v>334</v>
      </c>
      <c r="K261" s="447">
        <v>1000</v>
      </c>
      <c r="L261" s="449">
        <f t="shared" si="19"/>
        <v>6.5566604742651096E-3</v>
      </c>
      <c r="M261" s="588" t="str">
        <f t="shared" si="20"/>
        <v>per mililiter</v>
      </c>
      <c r="N261" s="768"/>
      <c r="O261" s="768"/>
      <c r="P261" s="768"/>
    </row>
    <row r="262" spans="1:16" s="348" customFormat="1" x14ac:dyDescent="0.2">
      <c r="A262" s="441"/>
      <c r="D262" s="760" t="s">
        <v>1403</v>
      </c>
      <c r="E262" s="763"/>
      <c r="F262" s="764"/>
      <c r="G262" s="670"/>
      <c r="H262" s="443" t="s">
        <v>1493</v>
      </c>
      <c r="I262" s="445">
        <v>872.58489999999995</v>
      </c>
      <c r="J262" s="443" t="s">
        <v>334</v>
      </c>
      <c r="K262" s="447">
        <v>2500</v>
      </c>
      <c r="L262" s="449">
        <f t="shared" si="19"/>
        <v>0.34903395999999998</v>
      </c>
      <c r="M262" s="588" t="str">
        <f t="shared" si="20"/>
        <v>per mililiter</v>
      </c>
      <c r="N262" s="768" t="s">
        <v>1563</v>
      </c>
      <c r="O262" s="768"/>
      <c r="P262" s="768"/>
    </row>
    <row r="263" spans="1:16" s="348" customFormat="1" x14ac:dyDescent="0.2">
      <c r="A263" s="441"/>
      <c r="D263" s="760" t="s">
        <v>896</v>
      </c>
      <c r="E263" s="763"/>
      <c r="F263" s="764"/>
      <c r="G263" s="670"/>
      <c r="H263" s="443" t="s">
        <v>1467</v>
      </c>
      <c r="I263" s="445">
        <v>7.5</v>
      </c>
      <c r="J263" s="443" t="s">
        <v>317</v>
      </c>
      <c r="K263" s="447">
        <v>250</v>
      </c>
      <c r="L263" s="449">
        <f t="shared" si="19"/>
        <v>0.03</v>
      </c>
      <c r="M263" s="588" t="str">
        <f t="shared" si="20"/>
        <v>per centilitre</v>
      </c>
      <c r="N263" s="768"/>
      <c r="O263" s="768"/>
      <c r="P263" s="768"/>
    </row>
    <row r="264" spans="1:16" s="348" customFormat="1" x14ac:dyDescent="0.2">
      <c r="A264" s="442"/>
      <c r="D264" s="808" t="s">
        <v>1840</v>
      </c>
      <c r="E264" s="809"/>
      <c r="F264" s="810"/>
      <c r="G264" s="663"/>
      <c r="H264" s="444" t="s">
        <v>1841</v>
      </c>
      <c r="I264" s="446">
        <v>0.5</v>
      </c>
      <c r="J264" s="444" t="s">
        <v>1841</v>
      </c>
      <c r="K264" s="448">
        <v>1</v>
      </c>
      <c r="L264" s="450">
        <f t="shared" si="19"/>
        <v>0.5</v>
      </c>
      <c r="M264" s="589" t="str">
        <f t="shared" si="20"/>
        <v>per 20mg</v>
      </c>
      <c r="N264" s="808"/>
      <c r="O264" s="809"/>
      <c r="P264" s="810"/>
    </row>
    <row r="265" spans="1:16" s="348" customFormat="1" x14ac:dyDescent="0.2">
      <c r="A265" s="441"/>
      <c r="D265" s="760" t="s">
        <v>1404</v>
      </c>
      <c r="E265" s="763"/>
      <c r="F265" s="764"/>
      <c r="G265" s="670"/>
      <c r="H265" s="443" t="s">
        <v>1494</v>
      </c>
      <c r="I265" s="445">
        <v>349.68855862747199</v>
      </c>
      <c r="J265" s="443" t="s">
        <v>1513</v>
      </c>
      <c r="K265" s="447">
        <v>1656</v>
      </c>
      <c r="L265" s="449">
        <f t="shared" si="19"/>
        <v>0.21116458854315942</v>
      </c>
      <c r="M265" s="588" t="str">
        <f t="shared" si="20"/>
        <v>per litre</v>
      </c>
      <c r="N265" s="768"/>
      <c r="O265" s="768"/>
      <c r="P265" s="768"/>
    </row>
    <row r="266" spans="1:16" s="348" customFormat="1" x14ac:dyDescent="0.2">
      <c r="A266" s="441"/>
      <c r="D266" s="760" t="s">
        <v>1405</v>
      </c>
      <c r="E266" s="763"/>
      <c r="F266" s="764"/>
      <c r="G266" s="670"/>
      <c r="H266" s="443" t="s">
        <v>1495</v>
      </c>
      <c r="I266" s="445">
        <v>560</v>
      </c>
      <c r="J266" s="443" t="s">
        <v>1545</v>
      </c>
      <c r="K266" s="447">
        <v>15</v>
      </c>
      <c r="L266" s="449">
        <f t="shared" si="19"/>
        <v>37.333333333333336</v>
      </c>
      <c r="M266" s="588" t="str">
        <f t="shared" si="20"/>
        <v>per application</v>
      </c>
      <c r="N266" s="768" t="s">
        <v>1563</v>
      </c>
      <c r="O266" s="768"/>
      <c r="P266" s="768"/>
    </row>
    <row r="267" spans="1:16" s="348" customFormat="1" x14ac:dyDescent="0.2">
      <c r="A267" s="441"/>
      <c r="D267" s="760" t="s">
        <v>881</v>
      </c>
      <c r="E267" s="763"/>
      <c r="F267" s="764"/>
      <c r="G267" s="670"/>
      <c r="H267" s="443" t="s">
        <v>1496</v>
      </c>
      <c r="I267" s="445">
        <v>25</v>
      </c>
      <c r="J267" s="443" t="s">
        <v>323</v>
      </c>
      <c r="K267" s="447">
        <v>15</v>
      </c>
      <c r="L267" s="449">
        <f t="shared" si="19"/>
        <v>1.6666666666666667</v>
      </c>
      <c r="M267" s="588" t="str">
        <f t="shared" si="20"/>
        <v>per 1/15th of a cylinder</v>
      </c>
      <c r="N267" s="768"/>
      <c r="O267" s="768"/>
      <c r="P267" s="768"/>
    </row>
    <row r="268" spans="1:16" s="348" customFormat="1" x14ac:dyDescent="0.2">
      <c r="A268" s="441"/>
      <c r="D268" s="760" t="s">
        <v>1406</v>
      </c>
      <c r="E268" s="763"/>
      <c r="F268" s="764"/>
      <c r="G268" s="670"/>
      <c r="H268" s="443" t="s">
        <v>1497</v>
      </c>
      <c r="I268" s="445">
        <v>12.2390995519615</v>
      </c>
      <c r="J268" s="443" t="s">
        <v>1546</v>
      </c>
      <c r="K268" s="447">
        <v>1000</v>
      </c>
      <c r="L268" s="449">
        <f t="shared" si="19"/>
        <v>1.2239099551961501E-2</v>
      </c>
      <c r="M268" s="588" t="str">
        <f t="shared" si="20"/>
        <v>per piece</v>
      </c>
      <c r="N268" s="768"/>
      <c r="O268" s="768"/>
      <c r="P268" s="768"/>
    </row>
    <row r="269" spans="1:16" s="348" customFormat="1" x14ac:dyDescent="0.2">
      <c r="A269" s="441"/>
      <c r="D269" s="760" t="s">
        <v>885</v>
      </c>
      <c r="E269" s="763"/>
      <c r="F269" s="764"/>
      <c r="G269" s="670"/>
      <c r="H269" s="443" t="s">
        <v>1498</v>
      </c>
      <c r="I269" s="445">
        <v>3.75</v>
      </c>
      <c r="J269" s="443" t="s">
        <v>314</v>
      </c>
      <c r="K269" s="447">
        <v>12</v>
      </c>
      <c r="L269" s="449">
        <f t="shared" si="19"/>
        <v>0.3125</v>
      </c>
      <c r="M269" s="588" t="str">
        <f t="shared" si="20"/>
        <v>per each</v>
      </c>
      <c r="N269" s="768"/>
      <c r="O269" s="768"/>
      <c r="P269" s="768"/>
    </row>
    <row r="270" spans="1:16" s="348" customFormat="1" x14ac:dyDescent="0.2">
      <c r="A270" s="441"/>
      <c r="D270" s="760" t="s">
        <v>1407</v>
      </c>
      <c r="E270" s="763"/>
      <c r="F270" s="764"/>
      <c r="G270" s="670"/>
      <c r="H270" s="443">
        <v>100</v>
      </c>
      <c r="I270" s="445">
        <v>1.3407</v>
      </c>
      <c r="J270" s="443" t="s">
        <v>1547</v>
      </c>
      <c r="K270" s="447">
        <v>200</v>
      </c>
      <c r="L270" s="449">
        <f t="shared" si="19"/>
        <v>6.7035000000000003E-3</v>
      </c>
      <c r="M270" s="588" t="str">
        <f t="shared" si="20"/>
        <v>per 1/2 roll</v>
      </c>
      <c r="N270" s="768" t="s">
        <v>1563</v>
      </c>
      <c r="O270" s="768"/>
      <c r="P270" s="768"/>
    </row>
    <row r="271" spans="1:16" s="348" customFormat="1" x14ac:dyDescent="0.2">
      <c r="A271" s="441"/>
      <c r="D271" s="760" t="s">
        <v>897</v>
      </c>
      <c r="E271" s="763"/>
      <c r="F271" s="764"/>
      <c r="G271" s="670"/>
      <c r="H271" s="443" t="s">
        <v>1499</v>
      </c>
      <c r="I271" s="445">
        <v>12.5</v>
      </c>
      <c r="J271" s="443" t="s">
        <v>324</v>
      </c>
      <c r="K271" s="447">
        <v>100</v>
      </c>
      <c r="L271" s="449">
        <f t="shared" si="19"/>
        <v>0.125</v>
      </c>
      <c r="M271" s="588" t="str">
        <f t="shared" si="20"/>
        <v>per 1/100 of roll</v>
      </c>
      <c r="N271" s="768"/>
      <c r="O271" s="768"/>
      <c r="P271" s="768"/>
    </row>
    <row r="272" spans="1:16" s="348" customFormat="1" x14ac:dyDescent="0.2">
      <c r="A272" s="441"/>
      <c r="D272" s="760" t="s">
        <v>1408</v>
      </c>
      <c r="E272" s="763"/>
      <c r="F272" s="764"/>
      <c r="G272" s="670"/>
      <c r="H272" s="443">
        <v>100</v>
      </c>
      <c r="I272" s="445">
        <v>4.7962999999999996</v>
      </c>
      <c r="J272" s="443" t="s">
        <v>1500</v>
      </c>
      <c r="K272" s="447">
        <v>100</v>
      </c>
      <c r="L272" s="449">
        <f t="shared" si="19"/>
        <v>4.7962999999999999E-2</v>
      </c>
      <c r="M272" s="588" t="str">
        <f t="shared" si="20"/>
        <v>per roll</v>
      </c>
      <c r="N272" s="768" t="s">
        <v>1563</v>
      </c>
      <c r="O272" s="768"/>
      <c r="P272" s="768"/>
    </row>
    <row r="273" spans="1:16" s="348" customFormat="1" x14ac:dyDescent="0.2">
      <c r="A273" s="441"/>
      <c r="D273" s="760" t="s">
        <v>898</v>
      </c>
      <c r="E273" s="763"/>
      <c r="F273" s="764"/>
      <c r="G273" s="670"/>
      <c r="H273" s="443" t="s">
        <v>1500</v>
      </c>
      <c r="I273" s="445">
        <v>12.5</v>
      </c>
      <c r="J273" s="443" t="s">
        <v>324</v>
      </c>
      <c r="K273" s="447">
        <v>100</v>
      </c>
      <c r="L273" s="449">
        <f t="shared" si="19"/>
        <v>0.125</v>
      </c>
      <c r="M273" s="588" t="str">
        <f t="shared" si="20"/>
        <v>per 1/100 of roll</v>
      </c>
      <c r="N273" s="768"/>
      <c r="O273" s="768"/>
      <c r="P273" s="768"/>
    </row>
    <row r="274" spans="1:16" s="348" customFormat="1" x14ac:dyDescent="0.2">
      <c r="A274" s="441"/>
      <c r="D274" s="760" t="s">
        <v>1409</v>
      </c>
      <c r="E274" s="763"/>
      <c r="F274" s="764"/>
      <c r="G274" s="670"/>
      <c r="H274" s="443" t="s">
        <v>1501</v>
      </c>
      <c r="I274" s="445">
        <v>5.24532837941209</v>
      </c>
      <c r="J274" s="443" t="s">
        <v>1548</v>
      </c>
      <c r="K274" s="447">
        <v>50</v>
      </c>
      <c r="L274" s="449">
        <f t="shared" ref="L274:L305" si="21">IFERROR(I274/K274,0)</f>
        <v>0.10490656758824179</v>
      </c>
      <c r="M274" s="588" t="str">
        <f t="shared" ref="M274:M305" si="22">"per "&amp;J274</f>
        <v>per pair</v>
      </c>
      <c r="N274" s="768"/>
      <c r="O274" s="768"/>
      <c r="P274" s="768"/>
    </row>
    <row r="275" spans="1:16" s="348" customFormat="1" x14ac:dyDescent="0.2">
      <c r="A275" s="441"/>
      <c r="D275" s="760" t="s">
        <v>1410</v>
      </c>
      <c r="E275" s="763"/>
      <c r="F275" s="764"/>
      <c r="G275" s="670"/>
      <c r="H275" s="443" t="s">
        <v>1502</v>
      </c>
      <c r="I275" s="445">
        <v>7.2</v>
      </c>
      <c r="J275" s="443" t="s">
        <v>314</v>
      </c>
      <c r="K275" s="447">
        <v>100</v>
      </c>
      <c r="L275" s="449">
        <f t="shared" si="21"/>
        <v>7.2000000000000008E-2</v>
      </c>
      <c r="M275" s="588" t="str">
        <f t="shared" si="22"/>
        <v>per each</v>
      </c>
      <c r="N275" s="768" t="s">
        <v>1563</v>
      </c>
      <c r="O275" s="768"/>
      <c r="P275" s="768"/>
    </row>
    <row r="276" spans="1:16" s="348" customFormat="1" x14ac:dyDescent="0.2">
      <c r="A276" s="441"/>
      <c r="D276" s="760" t="s">
        <v>899</v>
      </c>
      <c r="E276" s="763"/>
      <c r="F276" s="764"/>
      <c r="G276" s="670"/>
      <c r="H276" s="443" t="s">
        <v>1503</v>
      </c>
      <c r="I276" s="445">
        <v>4.2699999999999996</v>
      </c>
      <c r="J276" s="443" t="s">
        <v>314</v>
      </c>
      <c r="K276" s="447">
        <v>100</v>
      </c>
      <c r="L276" s="449">
        <f t="shared" si="21"/>
        <v>4.2699999999999995E-2</v>
      </c>
      <c r="M276" s="588" t="str">
        <f t="shared" si="22"/>
        <v>per each</v>
      </c>
      <c r="N276" s="768"/>
      <c r="O276" s="768"/>
      <c r="P276" s="768"/>
    </row>
    <row r="277" spans="1:16" s="348" customFormat="1" x14ac:dyDescent="0.2">
      <c r="A277" s="441"/>
      <c r="D277" s="760" t="s">
        <v>882</v>
      </c>
      <c r="E277" s="763"/>
      <c r="F277" s="764"/>
      <c r="G277" s="670"/>
      <c r="H277" s="443" t="s">
        <v>1504</v>
      </c>
      <c r="I277" s="445">
        <v>46.25</v>
      </c>
      <c r="J277" s="443" t="s">
        <v>314</v>
      </c>
      <c r="K277" s="447">
        <v>50</v>
      </c>
      <c r="L277" s="449">
        <f t="shared" si="21"/>
        <v>0.92500000000000004</v>
      </c>
      <c r="M277" s="588" t="str">
        <f t="shared" si="22"/>
        <v>per each</v>
      </c>
      <c r="N277" s="768"/>
      <c r="O277" s="768"/>
      <c r="P277" s="768"/>
    </row>
    <row r="278" spans="1:16" s="348" customFormat="1" x14ac:dyDescent="0.2">
      <c r="A278" s="441"/>
      <c r="D278" s="760" t="s">
        <v>1411</v>
      </c>
      <c r="E278" s="763"/>
      <c r="F278" s="764"/>
      <c r="G278" s="670"/>
      <c r="H278" s="443">
        <v>50</v>
      </c>
      <c r="I278" s="445">
        <v>10.966100000000001</v>
      </c>
      <c r="J278" s="443" t="s">
        <v>314</v>
      </c>
      <c r="K278" s="447">
        <v>50</v>
      </c>
      <c r="L278" s="449">
        <f t="shared" si="21"/>
        <v>0.21932200000000002</v>
      </c>
      <c r="M278" s="588" t="str">
        <f t="shared" si="22"/>
        <v>per each</v>
      </c>
      <c r="N278" s="768" t="s">
        <v>1563</v>
      </c>
      <c r="O278" s="768"/>
      <c r="P278" s="768"/>
    </row>
    <row r="279" spans="1:16" s="348" customFormat="1" x14ac:dyDescent="0.2">
      <c r="A279" s="441"/>
      <c r="D279" s="808" t="s">
        <v>1663</v>
      </c>
      <c r="E279" s="816"/>
      <c r="F279" s="817"/>
      <c r="G279" s="663"/>
      <c r="H279" s="444" t="s">
        <v>1505</v>
      </c>
      <c r="I279" s="446"/>
      <c r="J279" s="443" t="s">
        <v>1664</v>
      </c>
      <c r="K279" s="448">
        <v>0</v>
      </c>
      <c r="L279" s="449">
        <f t="shared" si="21"/>
        <v>0</v>
      </c>
      <c r="M279" s="588" t="str">
        <f t="shared" si="22"/>
        <v>per millilitre</v>
      </c>
      <c r="N279" s="768"/>
      <c r="O279" s="768"/>
      <c r="P279" s="768"/>
    </row>
    <row r="280" spans="1:16" s="348" customFormat="1" x14ac:dyDescent="0.2">
      <c r="A280" s="441"/>
      <c r="D280" s="760" t="s">
        <v>1412</v>
      </c>
      <c r="E280" s="763"/>
      <c r="F280" s="764"/>
      <c r="G280" s="670"/>
      <c r="H280" s="443">
        <v>100</v>
      </c>
      <c r="I280" s="445">
        <v>13.0548</v>
      </c>
      <c r="J280" s="443" t="s">
        <v>1549</v>
      </c>
      <c r="K280" s="447">
        <v>100</v>
      </c>
      <c r="L280" s="449">
        <f t="shared" si="21"/>
        <v>0.130548</v>
      </c>
      <c r="M280" s="588" t="str">
        <f t="shared" si="22"/>
        <v>per canula</v>
      </c>
      <c r="N280" s="768" t="s">
        <v>1563</v>
      </c>
      <c r="O280" s="768"/>
      <c r="P280" s="768"/>
    </row>
    <row r="281" spans="1:16" s="348" customFormat="1" x14ac:dyDescent="0.2">
      <c r="A281" s="441"/>
      <c r="D281" s="760" t="s">
        <v>900</v>
      </c>
      <c r="E281" s="763"/>
      <c r="F281" s="764"/>
      <c r="G281" s="670"/>
      <c r="H281" s="443" t="s">
        <v>1506</v>
      </c>
      <c r="I281" s="445">
        <v>8.125</v>
      </c>
      <c r="J281" s="443" t="s">
        <v>314</v>
      </c>
      <c r="K281" s="447">
        <v>50</v>
      </c>
      <c r="L281" s="449">
        <f t="shared" si="21"/>
        <v>0.16250000000000001</v>
      </c>
      <c r="M281" s="588" t="str">
        <f t="shared" si="22"/>
        <v>per each</v>
      </c>
      <c r="N281" s="768"/>
      <c r="O281" s="768"/>
      <c r="P281" s="768"/>
    </row>
    <row r="282" spans="1:16" s="348" customFormat="1" x14ac:dyDescent="0.2">
      <c r="A282" s="441"/>
      <c r="D282" s="760" t="s">
        <v>901</v>
      </c>
      <c r="E282" s="763"/>
      <c r="F282" s="764"/>
      <c r="G282" s="670"/>
      <c r="H282" s="443" t="s">
        <v>1507</v>
      </c>
      <c r="I282" s="445">
        <v>3.75</v>
      </c>
      <c r="J282" s="443" t="s">
        <v>325</v>
      </c>
      <c r="K282" s="447">
        <v>25</v>
      </c>
      <c r="L282" s="449">
        <f t="shared" si="21"/>
        <v>0.15</v>
      </c>
      <c r="M282" s="588" t="str">
        <f t="shared" si="22"/>
        <v>per set</v>
      </c>
      <c r="N282" s="768"/>
      <c r="O282" s="768"/>
      <c r="P282" s="768"/>
    </row>
    <row r="283" spans="1:16" s="348" customFormat="1" x14ac:dyDescent="0.2">
      <c r="A283" s="442"/>
      <c r="D283" s="808" t="s">
        <v>1843</v>
      </c>
      <c r="E283" s="809"/>
      <c r="F283" s="810"/>
      <c r="G283" s="663"/>
      <c r="H283" s="444" t="s">
        <v>1181</v>
      </c>
      <c r="I283" s="446">
        <v>0</v>
      </c>
      <c r="J283" s="444" t="s">
        <v>1183</v>
      </c>
      <c r="K283" s="448">
        <v>0</v>
      </c>
      <c r="L283" s="450">
        <f t="shared" si="21"/>
        <v>0</v>
      </c>
      <c r="M283" s="589" t="str">
        <f t="shared" si="22"/>
        <v>per SU</v>
      </c>
      <c r="N283" s="808"/>
      <c r="O283" s="809"/>
      <c r="P283" s="810"/>
    </row>
    <row r="284" spans="1:16" s="348" customFormat="1" x14ac:dyDescent="0.2">
      <c r="A284" s="441"/>
      <c r="D284" s="760" t="s">
        <v>1413</v>
      </c>
      <c r="E284" s="763"/>
      <c r="F284" s="764"/>
      <c r="G284" s="670"/>
      <c r="H284" s="443">
        <v>25</v>
      </c>
      <c r="I284" s="445">
        <v>3.0026000000000002</v>
      </c>
      <c r="J284" s="443" t="s">
        <v>325</v>
      </c>
      <c r="K284" s="447">
        <v>25</v>
      </c>
      <c r="L284" s="449">
        <f t="shared" si="21"/>
        <v>0.120104</v>
      </c>
      <c r="M284" s="588" t="str">
        <f t="shared" si="22"/>
        <v>per set</v>
      </c>
      <c r="N284" s="768"/>
      <c r="O284" s="768"/>
      <c r="P284" s="768"/>
    </row>
    <row r="285" spans="1:16" s="348" customFormat="1" x14ac:dyDescent="0.2">
      <c r="A285" s="441"/>
      <c r="D285" s="760" t="s">
        <v>902</v>
      </c>
      <c r="E285" s="763"/>
      <c r="F285" s="764"/>
      <c r="G285" s="670"/>
      <c r="H285" s="443" t="s">
        <v>1508</v>
      </c>
      <c r="I285" s="445">
        <v>0.9375</v>
      </c>
      <c r="J285" s="443" t="s">
        <v>325</v>
      </c>
      <c r="K285" s="447">
        <v>1</v>
      </c>
      <c r="L285" s="449">
        <f t="shared" si="21"/>
        <v>0.9375</v>
      </c>
      <c r="M285" s="588" t="str">
        <f t="shared" si="22"/>
        <v>per set</v>
      </c>
      <c r="N285" s="768"/>
      <c r="O285" s="768"/>
      <c r="P285" s="768"/>
    </row>
    <row r="286" spans="1:16" s="348" customFormat="1" x14ac:dyDescent="0.2">
      <c r="A286" s="442"/>
      <c r="D286" s="808" t="s">
        <v>1414</v>
      </c>
      <c r="E286" s="816"/>
      <c r="F286" s="817"/>
      <c r="G286" s="663"/>
      <c r="H286" s="444" t="s">
        <v>1509</v>
      </c>
      <c r="I286" s="446">
        <v>0</v>
      </c>
      <c r="J286" s="444" t="s">
        <v>1183</v>
      </c>
      <c r="K286" s="448">
        <v>0</v>
      </c>
      <c r="L286" s="450">
        <f t="shared" si="21"/>
        <v>0</v>
      </c>
      <c r="M286" s="588" t="str">
        <f t="shared" si="22"/>
        <v>per SU</v>
      </c>
      <c r="N286" s="804" t="s">
        <v>1563</v>
      </c>
      <c r="O286" s="804"/>
      <c r="P286" s="804"/>
    </row>
    <row r="287" spans="1:16" s="348" customFormat="1" x14ac:dyDescent="0.2">
      <c r="A287" s="441"/>
      <c r="D287" s="760" t="s">
        <v>1415</v>
      </c>
      <c r="E287" s="763"/>
      <c r="F287" s="764"/>
      <c r="G287" s="670"/>
      <c r="H287" s="443">
        <v>1</v>
      </c>
      <c r="I287" s="445">
        <v>1.4</v>
      </c>
      <c r="J287" s="443" t="s">
        <v>1545</v>
      </c>
      <c r="K287" s="447">
        <v>100</v>
      </c>
      <c r="L287" s="449">
        <f t="shared" si="21"/>
        <v>1.3999999999999999E-2</v>
      </c>
      <c r="M287" s="588" t="str">
        <f t="shared" si="22"/>
        <v>per application</v>
      </c>
      <c r="N287" s="768" t="s">
        <v>1563</v>
      </c>
      <c r="O287" s="768"/>
      <c r="P287" s="768"/>
    </row>
    <row r="288" spans="1:16" s="348" customFormat="1" x14ac:dyDescent="0.2">
      <c r="A288" s="441"/>
      <c r="D288" s="760" t="s">
        <v>903</v>
      </c>
      <c r="E288" s="763"/>
      <c r="F288" s="764"/>
      <c r="G288" s="670"/>
      <c r="H288" s="443" t="s">
        <v>1510</v>
      </c>
      <c r="I288" s="445">
        <v>8.4375</v>
      </c>
      <c r="J288" s="443" t="s">
        <v>326</v>
      </c>
      <c r="K288" s="447">
        <v>100</v>
      </c>
      <c r="L288" s="449">
        <f t="shared" si="21"/>
        <v>8.4375000000000006E-2</v>
      </c>
      <c r="M288" s="588" t="str">
        <f t="shared" si="22"/>
        <v>per 1/100 of tube</v>
      </c>
      <c r="N288" s="768"/>
      <c r="O288" s="768"/>
      <c r="P288" s="768"/>
    </row>
    <row r="289" spans="1:16" s="348" customFormat="1" x14ac:dyDescent="0.2">
      <c r="A289" s="441"/>
      <c r="D289" s="760" t="s">
        <v>1416</v>
      </c>
      <c r="E289" s="763"/>
      <c r="F289" s="764"/>
      <c r="G289" s="670"/>
      <c r="H289" s="443" t="s">
        <v>1511</v>
      </c>
      <c r="I289" s="445">
        <v>4.5</v>
      </c>
      <c r="J289" s="443" t="s">
        <v>1550</v>
      </c>
      <c r="K289" s="447">
        <v>100</v>
      </c>
      <c r="L289" s="449">
        <f t="shared" si="21"/>
        <v>4.4999999999999998E-2</v>
      </c>
      <c r="M289" s="588" t="str">
        <f t="shared" si="22"/>
        <v>per 1 application</v>
      </c>
      <c r="N289" s="768"/>
      <c r="O289" s="768"/>
      <c r="P289" s="768"/>
    </row>
    <row r="290" spans="1:16" s="348" customFormat="1" x14ac:dyDescent="0.2">
      <c r="A290" s="441"/>
      <c r="D290" s="760" t="s">
        <v>1417</v>
      </c>
      <c r="E290" s="763"/>
      <c r="F290" s="764"/>
      <c r="G290" s="670"/>
      <c r="H290" s="443">
        <v>1</v>
      </c>
      <c r="I290" s="445">
        <v>3.125E-2</v>
      </c>
      <c r="J290" s="443" t="s">
        <v>327</v>
      </c>
      <c r="K290" s="447">
        <v>1</v>
      </c>
      <c r="L290" s="449">
        <f t="shared" si="21"/>
        <v>3.125E-2</v>
      </c>
      <c r="M290" s="588" t="str">
        <f t="shared" si="22"/>
        <v>per label</v>
      </c>
      <c r="N290" s="768"/>
      <c r="O290" s="768"/>
      <c r="P290" s="768"/>
    </row>
    <row r="291" spans="1:16" s="348" customFormat="1" x14ac:dyDescent="0.2">
      <c r="A291" s="441"/>
      <c r="D291" s="760" t="s">
        <v>1418</v>
      </c>
      <c r="E291" s="763"/>
      <c r="F291" s="764"/>
      <c r="G291" s="670"/>
      <c r="H291" s="443" t="s">
        <v>1512</v>
      </c>
      <c r="I291" s="445">
        <v>1.3349491858813245</v>
      </c>
      <c r="J291" s="443" t="s">
        <v>1551</v>
      </c>
      <c r="K291" s="447">
        <v>20</v>
      </c>
      <c r="L291" s="449">
        <f t="shared" si="21"/>
        <v>6.6747459294066225E-2</v>
      </c>
      <c r="M291" s="588" t="str">
        <f t="shared" si="22"/>
        <v>per mililitre</v>
      </c>
      <c r="N291" s="768"/>
      <c r="O291" s="768"/>
      <c r="P291" s="768"/>
    </row>
    <row r="292" spans="1:16" s="348" customFormat="1" x14ac:dyDescent="0.2">
      <c r="A292" s="442"/>
      <c r="D292" s="808" t="s">
        <v>1714</v>
      </c>
      <c r="E292" s="809"/>
      <c r="F292" s="810"/>
      <c r="G292" s="663"/>
      <c r="H292" s="444" t="s">
        <v>1715</v>
      </c>
      <c r="I292" s="446">
        <v>45</v>
      </c>
      <c r="J292" s="444" t="s">
        <v>1716</v>
      </c>
      <c r="K292" s="448">
        <v>50</v>
      </c>
      <c r="L292" s="450">
        <f t="shared" si="21"/>
        <v>0.9</v>
      </c>
      <c r="M292" s="588" t="str">
        <f t="shared" si="22"/>
        <v>per unknown</v>
      </c>
      <c r="N292" s="804" t="s">
        <v>1836</v>
      </c>
      <c r="O292" s="804"/>
      <c r="P292" s="804"/>
    </row>
    <row r="293" spans="1:16" s="348" customFormat="1" x14ac:dyDescent="0.2">
      <c r="A293" s="441"/>
      <c r="D293" s="760" t="s">
        <v>904</v>
      </c>
      <c r="E293" s="763"/>
      <c r="F293" s="764"/>
      <c r="G293" s="670"/>
      <c r="H293" s="443" t="s">
        <v>1513</v>
      </c>
      <c r="I293" s="445">
        <v>13.75</v>
      </c>
      <c r="J293" s="443" t="s">
        <v>317</v>
      </c>
      <c r="K293" s="447">
        <v>100</v>
      </c>
      <c r="L293" s="449">
        <f t="shared" si="21"/>
        <v>0.13750000000000001</v>
      </c>
      <c r="M293" s="588" t="str">
        <f t="shared" si="22"/>
        <v>per centilitre</v>
      </c>
      <c r="N293" s="768"/>
      <c r="O293" s="768"/>
      <c r="P293" s="768"/>
    </row>
    <row r="294" spans="1:16" s="348" customFormat="1" x14ac:dyDescent="0.2">
      <c r="A294" s="441"/>
      <c r="D294" s="760" t="s">
        <v>1419</v>
      </c>
      <c r="E294" s="763"/>
      <c r="F294" s="764"/>
      <c r="G294" s="670"/>
      <c r="H294" s="443" t="s">
        <v>1514</v>
      </c>
      <c r="I294" s="445">
        <v>2.7097147852693699</v>
      </c>
      <c r="J294" s="443" t="s">
        <v>334</v>
      </c>
      <c r="K294" s="447">
        <v>5000</v>
      </c>
      <c r="L294" s="449">
        <f t="shared" si="21"/>
        <v>5.4194295705387399E-4</v>
      </c>
      <c r="M294" s="588" t="str">
        <f t="shared" si="22"/>
        <v>per mililiter</v>
      </c>
      <c r="N294" s="768"/>
      <c r="O294" s="768"/>
      <c r="P294" s="768"/>
    </row>
    <row r="295" spans="1:16" s="348" customFormat="1" x14ac:dyDescent="0.2">
      <c r="A295" s="441"/>
      <c r="D295" s="760" t="s">
        <v>1420</v>
      </c>
      <c r="E295" s="763"/>
      <c r="F295" s="764"/>
      <c r="G295" s="670"/>
      <c r="H295" s="443" t="s">
        <v>1465</v>
      </c>
      <c r="I295" s="445">
        <v>12.6215714129603</v>
      </c>
      <c r="J295" s="443" t="s">
        <v>334</v>
      </c>
      <c r="K295" s="447">
        <v>1000</v>
      </c>
      <c r="L295" s="449">
        <f t="shared" si="21"/>
        <v>1.2621571412960299E-2</v>
      </c>
      <c r="M295" s="588" t="str">
        <f t="shared" si="22"/>
        <v>per mililiter</v>
      </c>
      <c r="N295" s="768"/>
      <c r="O295" s="768"/>
      <c r="P295" s="768"/>
    </row>
    <row r="296" spans="1:16" s="348" customFormat="1" x14ac:dyDescent="0.2">
      <c r="A296" s="441"/>
      <c r="D296" s="808" t="s">
        <v>1845</v>
      </c>
      <c r="E296" s="809"/>
      <c r="F296" s="810"/>
      <c r="G296" s="663"/>
      <c r="H296" s="444" t="s">
        <v>1846</v>
      </c>
      <c r="I296" s="446">
        <v>0</v>
      </c>
      <c r="J296" s="444" t="s">
        <v>1183</v>
      </c>
      <c r="K296" s="448">
        <v>0</v>
      </c>
      <c r="L296" s="449">
        <f t="shared" si="21"/>
        <v>0</v>
      </c>
      <c r="M296" s="588" t="str">
        <f t="shared" si="22"/>
        <v>per SU</v>
      </c>
      <c r="N296" s="760"/>
      <c r="O296" s="818"/>
      <c r="P296" s="819"/>
    </row>
    <row r="297" spans="1:16" s="348" customFormat="1" x14ac:dyDescent="0.2">
      <c r="A297" s="441"/>
      <c r="D297" s="760" t="s">
        <v>1421</v>
      </c>
      <c r="E297" s="763"/>
      <c r="F297" s="764"/>
      <c r="G297" s="670"/>
      <c r="H297" s="443">
        <v>1000</v>
      </c>
      <c r="I297" s="445">
        <v>3.7858999999999998</v>
      </c>
      <c r="J297" s="443" t="s">
        <v>322</v>
      </c>
      <c r="K297" s="447">
        <v>1000</v>
      </c>
      <c r="L297" s="449">
        <f t="shared" si="21"/>
        <v>3.7859E-3</v>
      </c>
      <c r="M297" s="588" t="str">
        <f t="shared" si="22"/>
        <v>per tablet</v>
      </c>
      <c r="N297" s="768" t="s">
        <v>1563</v>
      </c>
      <c r="O297" s="768"/>
      <c r="P297" s="768"/>
    </row>
    <row r="298" spans="1:16" s="348" customFormat="1" x14ac:dyDescent="0.2">
      <c r="A298" s="441"/>
      <c r="D298" s="760" t="s">
        <v>1422</v>
      </c>
      <c r="E298" s="763"/>
      <c r="F298" s="764"/>
      <c r="G298" s="670"/>
      <c r="H298" s="443" t="s">
        <v>1515</v>
      </c>
      <c r="I298" s="445">
        <v>3.9235056278002407</v>
      </c>
      <c r="J298" s="443" t="s">
        <v>322</v>
      </c>
      <c r="K298" s="447">
        <v>1000</v>
      </c>
      <c r="L298" s="449">
        <f t="shared" si="21"/>
        <v>3.9235056278002405E-3</v>
      </c>
      <c r="M298" s="588" t="str">
        <f t="shared" si="22"/>
        <v>per tablet</v>
      </c>
      <c r="N298" s="768"/>
      <c r="O298" s="768"/>
      <c r="P298" s="768"/>
    </row>
    <row r="299" spans="1:16" s="348" customFormat="1" x14ac:dyDescent="0.2">
      <c r="A299" s="441"/>
      <c r="D299" s="760" t="s">
        <v>1423</v>
      </c>
      <c r="E299" s="763"/>
      <c r="F299" s="764"/>
      <c r="G299" s="670"/>
      <c r="H299" s="443" t="s">
        <v>1473</v>
      </c>
      <c r="I299" s="445">
        <v>7.847011255600481E-3</v>
      </c>
      <c r="J299" s="443" t="s">
        <v>322</v>
      </c>
      <c r="K299" s="447">
        <v>1</v>
      </c>
      <c r="L299" s="449">
        <f t="shared" si="21"/>
        <v>7.847011255600481E-3</v>
      </c>
      <c r="M299" s="588" t="str">
        <f t="shared" si="22"/>
        <v>per tablet</v>
      </c>
      <c r="N299" s="768"/>
      <c r="O299" s="768"/>
      <c r="P299" s="768"/>
    </row>
    <row r="300" spans="1:16" s="348" customFormat="1" x14ac:dyDescent="0.2">
      <c r="A300" s="441"/>
      <c r="D300" s="760" t="s">
        <v>905</v>
      </c>
      <c r="E300" s="763"/>
      <c r="F300" s="764"/>
      <c r="G300" s="670"/>
      <c r="H300" s="443" t="s">
        <v>322</v>
      </c>
      <c r="I300" s="445">
        <v>18.75</v>
      </c>
      <c r="J300" s="443" t="s">
        <v>328</v>
      </c>
      <c r="K300" s="447">
        <v>1</v>
      </c>
      <c r="L300" s="449">
        <f t="shared" si="21"/>
        <v>18.75</v>
      </c>
      <c r="M300" s="588" t="str">
        <f t="shared" si="22"/>
        <v>per 10mg</v>
      </c>
      <c r="N300" s="768"/>
      <c r="O300" s="768"/>
      <c r="P300" s="768"/>
    </row>
    <row r="301" spans="1:16" s="348" customFormat="1" x14ac:dyDescent="0.2">
      <c r="A301" s="441"/>
      <c r="D301" s="760" t="s">
        <v>1424</v>
      </c>
      <c r="E301" s="763"/>
      <c r="F301" s="764"/>
      <c r="G301" s="670"/>
      <c r="H301" s="443" t="s">
        <v>1484</v>
      </c>
      <c r="I301" s="445">
        <v>27.5</v>
      </c>
      <c r="J301" s="443" t="s">
        <v>1484</v>
      </c>
      <c r="K301" s="447">
        <v>1</v>
      </c>
      <c r="L301" s="449">
        <f t="shared" si="21"/>
        <v>27.5</v>
      </c>
      <c r="M301" s="588" t="str">
        <f t="shared" si="22"/>
        <v>per vial</v>
      </c>
      <c r="N301" s="768" t="s">
        <v>1563</v>
      </c>
      <c r="O301" s="768"/>
      <c r="P301" s="768"/>
    </row>
    <row r="302" spans="1:16" s="348" customFormat="1" x14ac:dyDescent="0.2">
      <c r="A302" s="441"/>
      <c r="D302" s="760" t="s">
        <v>1425</v>
      </c>
      <c r="E302" s="763"/>
      <c r="F302" s="764"/>
      <c r="G302" s="670"/>
      <c r="H302" s="443" t="s">
        <v>1516</v>
      </c>
      <c r="I302" s="445">
        <v>185</v>
      </c>
      <c r="J302" s="443" t="s">
        <v>334</v>
      </c>
      <c r="K302" s="447">
        <v>450</v>
      </c>
      <c r="L302" s="449">
        <f t="shared" si="21"/>
        <v>0.41111111111111109</v>
      </c>
      <c r="M302" s="588" t="str">
        <f t="shared" si="22"/>
        <v>per mililiter</v>
      </c>
      <c r="N302" s="768"/>
      <c r="O302" s="768"/>
      <c r="P302" s="768"/>
    </row>
    <row r="303" spans="1:16" s="348" customFormat="1" ht="45.75" customHeight="1" x14ac:dyDescent="0.2">
      <c r="A303" s="441"/>
      <c r="D303" s="808" t="s">
        <v>1658</v>
      </c>
      <c r="E303" s="809"/>
      <c r="F303" s="810"/>
      <c r="G303" s="663"/>
      <c r="H303" s="444" t="s">
        <v>1659</v>
      </c>
      <c r="I303" s="446">
        <v>303.8</v>
      </c>
      <c r="J303" s="444" t="s">
        <v>1545</v>
      </c>
      <c r="K303" s="448">
        <v>30</v>
      </c>
      <c r="L303" s="449">
        <f t="shared" si="21"/>
        <v>10.126666666666667</v>
      </c>
      <c r="M303" s="588" t="str">
        <f t="shared" si="22"/>
        <v>per application</v>
      </c>
      <c r="N303" s="804" t="s">
        <v>1797</v>
      </c>
      <c r="O303" s="804"/>
      <c r="P303" s="804"/>
    </row>
    <row r="304" spans="1:16" s="348" customFormat="1" x14ac:dyDescent="0.2">
      <c r="A304" s="441"/>
      <c r="D304" s="760" t="s">
        <v>1426</v>
      </c>
      <c r="E304" s="763"/>
      <c r="F304" s="764"/>
      <c r="G304" s="670"/>
      <c r="H304" s="443" t="s">
        <v>1517</v>
      </c>
      <c r="I304" s="445">
        <v>13.6</v>
      </c>
      <c r="J304" s="443" t="s">
        <v>322</v>
      </c>
      <c r="K304" s="447">
        <v>60</v>
      </c>
      <c r="L304" s="449">
        <f t="shared" si="21"/>
        <v>0.22666666666666666</v>
      </c>
      <c r="M304" s="588" t="str">
        <f t="shared" si="22"/>
        <v>per tablet</v>
      </c>
      <c r="N304" s="768" t="s">
        <v>1563</v>
      </c>
      <c r="O304" s="768"/>
      <c r="P304" s="768"/>
    </row>
    <row r="305" spans="1:16" s="348" customFormat="1" x14ac:dyDescent="0.2">
      <c r="A305" s="441"/>
      <c r="D305" s="760" t="s">
        <v>924</v>
      </c>
      <c r="E305" s="763"/>
      <c r="F305" s="764"/>
      <c r="G305" s="670"/>
      <c r="H305" s="443" t="s">
        <v>322</v>
      </c>
      <c r="I305" s="445">
        <v>3.5625</v>
      </c>
      <c r="J305" s="443" t="s">
        <v>328</v>
      </c>
      <c r="K305" s="447">
        <v>1</v>
      </c>
      <c r="L305" s="449">
        <f t="shared" si="21"/>
        <v>3.5625</v>
      </c>
      <c r="M305" s="588" t="str">
        <f t="shared" si="22"/>
        <v>per 10mg</v>
      </c>
      <c r="N305" s="768"/>
      <c r="O305" s="768"/>
      <c r="P305" s="768"/>
    </row>
    <row r="306" spans="1:16" s="348" customFormat="1" x14ac:dyDescent="0.2">
      <c r="A306" s="441"/>
      <c r="D306" s="760" t="s">
        <v>1427</v>
      </c>
      <c r="E306" s="763"/>
      <c r="F306" s="764"/>
      <c r="G306" s="670"/>
      <c r="H306" s="443" t="s">
        <v>1518</v>
      </c>
      <c r="I306" s="445">
        <v>2.6</v>
      </c>
      <c r="J306" s="443" t="s">
        <v>1552</v>
      </c>
      <c r="K306" s="447">
        <v>40</v>
      </c>
      <c r="L306" s="449">
        <f t="shared" ref="L306:L337" si="23">IFERROR(I306/K306,0)</f>
        <v>6.5000000000000002E-2</v>
      </c>
      <c r="M306" s="588" t="str">
        <f t="shared" ref="M306:M337" si="24">"per "&amp;J306</f>
        <v>per metre</v>
      </c>
      <c r="N306" s="768" t="s">
        <v>1563</v>
      </c>
      <c r="O306" s="768"/>
      <c r="P306" s="768"/>
    </row>
    <row r="307" spans="1:16" s="348" customFormat="1" x14ac:dyDescent="0.2">
      <c r="A307" s="441"/>
      <c r="D307" s="760" t="s">
        <v>923</v>
      </c>
      <c r="E307" s="763"/>
      <c r="F307" s="764"/>
      <c r="G307" s="670"/>
      <c r="H307" s="443" t="s">
        <v>1519</v>
      </c>
      <c r="I307" s="445">
        <v>1.0625</v>
      </c>
      <c r="J307" s="443" t="s">
        <v>329</v>
      </c>
      <c r="K307" s="447">
        <v>12</v>
      </c>
      <c r="L307" s="449">
        <f t="shared" si="23"/>
        <v>8.8541666666666671E-2</v>
      </c>
      <c r="M307" s="588" t="str">
        <f t="shared" si="24"/>
        <v>per one piece</v>
      </c>
      <c r="N307" s="768"/>
      <c r="O307" s="768"/>
      <c r="P307" s="768"/>
    </row>
    <row r="308" spans="1:16" s="348" customFormat="1" x14ac:dyDescent="0.2">
      <c r="A308" s="441"/>
      <c r="D308" s="760" t="s">
        <v>1428</v>
      </c>
      <c r="E308" s="763"/>
      <c r="F308" s="764"/>
      <c r="G308" s="670"/>
      <c r="H308" s="443">
        <v>50</v>
      </c>
      <c r="I308" s="445">
        <v>62.010399999999997</v>
      </c>
      <c r="J308" s="443" t="s">
        <v>1553</v>
      </c>
      <c r="K308" s="447">
        <v>50</v>
      </c>
      <c r="L308" s="449">
        <f t="shared" si="23"/>
        <v>1.240208</v>
      </c>
      <c r="M308" s="588" t="str">
        <f t="shared" si="24"/>
        <v>per needle</v>
      </c>
      <c r="N308" s="768" t="s">
        <v>1563</v>
      </c>
      <c r="O308" s="768"/>
      <c r="P308" s="768"/>
    </row>
    <row r="309" spans="1:16" s="348" customFormat="1" x14ac:dyDescent="0.2">
      <c r="A309" s="441"/>
      <c r="D309" s="760" t="s">
        <v>922</v>
      </c>
      <c r="E309" s="763"/>
      <c r="F309" s="764"/>
      <c r="G309" s="670"/>
      <c r="H309" s="443" t="s">
        <v>1506</v>
      </c>
      <c r="I309" s="445">
        <v>45.625</v>
      </c>
      <c r="J309" s="443" t="s">
        <v>329</v>
      </c>
      <c r="K309" s="447">
        <v>50</v>
      </c>
      <c r="L309" s="449">
        <f t="shared" si="23"/>
        <v>0.91249999999999998</v>
      </c>
      <c r="M309" s="588" t="str">
        <f t="shared" si="24"/>
        <v>per one piece</v>
      </c>
      <c r="N309" s="768"/>
      <c r="O309" s="768"/>
      <c r="P309" s="768"/>
    </row>
    <row r="310" spans="1:16" s="348" customFormat="1" x14ac:dyDescent="0.2">
      <c r="A310" s="441"/>
      <c r="D310" s="760" t="s">
        <v>1429</v>
      </c>
      <c r="E310" s="763"/>
      <c r="F310" s="764"/>
      <c r="G310" s="670"/>
      <c r="H310" s="443" t="s">
        <v>1503</v>
      </c>
      <c r="I310" s="445">
        <v>30.91</v>
      </c>
      <c r="J310" s="443" t="s">
        <v>1553</v>
      </c>
      <c r="K310" s="447">
        <v>100</v>
      </c>
      <c r="L310" s="449">
        <f t="shared" si="23"/>
        <v>0.30909999999999999</v>
      </c>
      <c r="M310" s="588" t="str">
        <f t="shared" si="24"/>
        <v>per needle</v>
      </c>
      <c r="N310" s="768" t="s">
        <v>1563</v>
      </c>
      <c r="O310" s="768"/>
      <c r="P310" s="768"/>
    </row>
    <row r="311" spans="1:16" s="348" customFormat="1" x14ac:dyDescent="0.2">
      <c r="A311" s="442"/>
      <c r="D311" s="808" t="s">
        <v>1430</v>
      </c>
      <c r="E311" s="816"/>
      <c r="F311" s="817"/>
      <c r="G311" s="663"/>
      <c r="H311" s="444" t="s">
        <v>1520</v>
      </c>
      <c r="I311" s="446">
        <v>0</v>
      </c>
      <c r="J311" s="444" t="s">
        <v>1183</v>
      </c>
      <c r="K311" s="448">
        <v>0</v>
      </c>
      <c r="L311" s="450">
        <f t="shared" si="23"/>
        <v>0</v>
      </c>
      <c r="M311" s="588" t="str">
        <f t="shared" si="24"/>
        <v>per SU</v>
      </c>
      <c r="N311" s="804"/>
      <c r="O311" s="804"/>
      <c r="P311" s="804"/>
    </row>
    <row r="312" spans="1:16" s="348" customFormat="1" x14ac:dyDescent="0.2">
      <c r="A312" s="441"/>
      <c r="D312" s="760" t="s">
        <v>1431</v>
      </c>
      <c r="E312" s="763"/>
      <c r="F312" s="764"/>
      <c r="G312" s="670"/>
      <c r="H312" s="443" t="s">
        <v>1521</v>
      </c>
      <c r="I312" s="445">
        <v>0.4205310894984155</v>
      </c>
      <c r="J312" s="443" t="s">
        <v>334</v>
      </c>
      <c r="K312" s="447">
        <v>500</v>
      </c>
      <c r="L312" s="449">
        <f t="shared" si="23"/>
        <v>8.4106217899683098E-4</v>
      </c>
      <c r="M312" s="588" t="str">
        <f t="shared" si="24"/>
        <v>per mililiter</v>
      </c>
      <c r="N312" s="768"/>
      <c r="O312" s="768"/>
      <c r="P312" s="768"/>
    </row>
    <row r="313" spans="1:16" s="348" customFormat="1" x14ac:dyDescent="0.2">
      <c r="A313" s="441"/>
      <c r="D313" s="808" t="s">
        <v>1851</v>
      </c>
      <c r="E313" s="809"/>
      <c r="F313" s="810"/>
      <c r="G313" s="663"/>
      <c r="H313" s="444" t="s">
        <v>1483</v>
      </c>
      <c r="I313" s="446"/>
      <c r="J313" s="444" t="s">
        <v>1853</v>
      </c>
      <c r="K313" s="448">
        <v>1</v>
      </c>
      <c r="L313" s="449">
        <f t="shared" si="23"/>
        <v>0</v>
      </c>
      <c r="M313" s="588" t="str">
        <f t="shared" si="24"/>
        <v>per 1 litre</v>
      </c>
      <c r="N313" s="760"/>
      <c r="O313" s="818"/>
      <c r="P313" s="819"/>
    </row>
    <row r="314" spans="1:16" s="348" customFormat="1" x14ac:dyDescent="0.2">
      <c r="A314" s="441"/>
      <c r="D314" s="760" t="s">
        <v>1432</v>
      </c>
      <c r="E314" s="763"/>
      <c r="F314" s="764"/>
      <c r="G314" s="670"/>
      <c r="H314" s="443" t="s">
        <v>1472</v>
      </c>
      <c r="I314" s="445">
        <v>2.9588372855425638</v>
      </c>
      <c r="J314" s="443" t="s">
        <v>322</v>
      </c>
      <c r="K314" s="447">
        <v>100</v>
      </c>
      <c r="L314" s="449">
        <f t="shared" si="23"/>
        <v>2.9588372855425638E-2</v>
      </c>
      <c r="M314" s="588" t="str">
        <f t="shared" si="24"/>
        <v>per tablet</v>
      </c>
      <c r="N314" s="768"/>
      <c r="O314" s="768"/>
      <c r="P314" s="768"/>
    </row>
    <row r="315" spans="1:16" s="348" customFormat="1" x14ac:dyDescent="0.2">
      <c r="A315" s="441"/>
      <c r="D315" s="760" t="s">
        <v>1852</v>
      </c>
      <c r="E315" s="818"/>
      <c r="F315" s="819"/>
      <c r="G315" s="670"/>
      <c r="H315" s="443" t="s">
        <v>1181</v>
      </c>
      <c r="I315" s="446">
        <v>0</v>
      </c>
      <c r="J315" s="443" t="s">
        <v>1183</v>
      </c>
      <c r="K315" s="447">
        <v>1</v>
      </c>
      <c r="L315" s="449">
        <f t="shared" si="23"/>
        <v>0</v>
      </c>
      <c r="M315" s="588" t="str">
        <f t="shared" si="24"/>
        <v>per SU</v>
      </c>
      <c r="N315" s="760"/>
      <c r="O315" s="818"/>
      <c r="P315" s="819"/>
    </row>
    <row r="316" spans="1:16" s="348" customFormat="1" x14ac:dyDescent="0.2">
      <c r="A316" s="441"/>
      <c r="D316" s="760" t="s">
        <v>1855</v>
      </c>
      <c r="E316" s="818"/>
      <c r="F316" s="819"/>
      <c r="G316" s="670"/>
      <c r="H316" s="443" t="s">
        <v>1538</v>
      </c>
      <c r="I316" s="445">
        <v>9</v>
      </c>
      <c r="J316" s="443" t="s">
        <v>322</v>
      </c>
      <c r="K316" s="447">
        <v>1</v>
      </c>
      <c r="L316" s="449">
        <f t="shared" si="23"/>
        <v>9</v>
      </c>
      <c r="M316" s="588" t="str">
        <f t="shared" si="24"/>
        <v>per tablet</v>
      </c>
      <c r="N316" s="760"/>
      <c r="O316" s="818"/>
      <c r="P316" s="819"/>
    </row>
    <row r="317" spans="1:16" s="348" customFormat="1" x14ac:dyDescent="0.2">
      <c r="A317" s="451"/>
      <c r="D317" s="804" t="s">
        <v>1433</v>
      </c>
      <c r="E317" s="804"/>
      <c r="F317" s="804"/>
      <c r="G317" s="663"/>
      <c r="H317" s="444"/>
      <c r="I317" s="446">
        <v>0</v>
      </c>
      <c r="J317" s="444" t="s">
        <v>1183</v>
      </c>
      <c r="K317" s="448">
        <v>0</v>
      </c>
      <c r="L317" s="450">
        <f t="shared" si="23"/>
        <v>0</v>
      </c>
      <c r="M317" s="588" t="str">
        <f t="shared" si="24"/>
        <v>per SU</v>
      </c>
      <c r="N317" s="804"/>
      <c r="O317" s="804"/>
      <c r="P317" s="804"/>
    </row>
    <row r="318" spans="1:16" s="348" customFormat="1" x14ac:dyDescent="0.2">
      <c r="A318" s="441"/>
      <c r="D318" s="760" t="s">
        <v>1848</v>
      </c>
      <c r="E318" s="818"/>
      <c r="F318" s="819"/>
      <c r="G318" s="670"/>
      <c r="H318" s="443" t="s">
        <v>1181</v>
      </c>
      <c r="I318" s="445">
        <v>0</v>
      </c>
      <c r="J318" s="443" t="s">
        <v>1183</v>
      </c>
      <c r="K318" s="447">
        <v>0</v>
      </c>
      <c r="L318" s="449">
        <f t="shared" si="23"/>
        <v>0</v>
      </c>
      <c r="M318" s="588" t="str">
        <f t="shared" si="24"/>
        <v>per SU</v>
      </c>
      <c r="N318" s="760"/>
      <c r="O318" s="818"/>
      <c r="P318" s="819"/>
    </row>
    <row r="319" spans="1:16" s="348" customFormat="1" x14ac:dyDescent="0.2">
      <c r="A319" s="451"/>
      <c r="D319" s="826" t="s">
        <v>1434</v>
      </c>
      <c r="E319" s="827"/>
      <c r="F319" s="827"/>
      <c r="G319" s="663"/>
      <c r="H319" s="444"/>
      <c r="I319" s="446">
        <v>0</v>
      </c>
      <c r="J319" s="444" t="s">
        <v>1183</v>
      </c>
      <c r="K319" s="448">
        <v>0</v>
      </c>
      <c r="L319" s="450">
        <f t="shared" si="23"/>
        <v>0</v>
      </c>
      <c r="M319" s="588" t="str">
        <f t="shared" si="24"/>
        <v>per SU</v>
      </c>
      <c r="N319" s="804"/>
      <c r="O319" s="804"/>
      <c r="P319" s="804"/>
    </row>
    <row r="320" spans="1:16" s="348" customFormat="1" x14ac:dyDescent="0.2">
      <c r="A320" s="451"/>
      <c r="D320" s="804" t="s">
        <v>1435</v>
      </c>
      <c r="E320" s="804"/>
      <c r="F320" s="804"/>
      <c r="G320" s="663"/>
      <c r="H320" s="444" t="s">
        <v>314</v>
      </c>
      <c r="I320" s="446">
        <v>0</v>
      </c>
      <c r="J320" s="444" t="s">
        <v>1183</v>
      </c>
      <c r="K320" s="448">
        <v>0</v>
      </c>
      <c r="L320" s="450">
        <f t="shared" si="23"/>
        <v>0</v>
      </c>
      <c r="M320" s="588" t="str">
        <f t="shared" si="24"/>
        <v>per SU</v>
      </c>
      <c r="N320" s="804"/>
      <c r="O320" s="804"/>
      <c r="P320" s="804"/>
    </row>
    <row r="321" spans="1:16" s="348" customFormat="1" x14ac:dyDescent="0.2">
      <c r="A321" s="451"/>
      <c r="D321" s="804" t="s">
        <v>1436</v>
      </c>
      <c r="E321" s="804"/>
      <c r="F321" s="804"/>
      <c r="G321" s="663"/>
      <c r="H321" s="444" t="s">
        <v>1522</v>
      </c>
      <c r="I321" s="446">
        <v>0</v>
      </c>
      <c r="J321" s="444" t="s">
        <v>1183</v>
      </c>
      <c r="K321" s="448">
        <v>0</v>
      </c>
      <c r="L321" s="450">
        <f t="shared" si="23"/>
        <v>0</v>
      </c>
      <c r="M321" s="588" t="str">
        <f t="shared" si="24"/>
        <v>per SU</v>
      </c>
      <c r="N321" s="804"/>
      <c r="O321" s="804"/>
      <c r="P321" s="804"/>
    </row>
    <row r="322" spans="1:16" s="348" customFormat="1" x14ac:dyDescent="0.2">
      <c r="A322" s="440"/>
      <c r="D322" s="768" t="s">
        <v>1437</v>
      </c>
      <c r="E322" s="768"/>
      <c r="F322" s="768"/>
      <c r="G322" s="670"/>
      <c r="H322" s="443" t="s">
        <v>1473</v>
      </c>
      <c r="I322" s="445">
        <v>1.1203409463446619E-2</v>
      </c>
      <c r="J322" s="443" t="s">
        <v>322</v>
      </c>
      <c r="K322" s="447">
        <v>1</v>
      </c>
      <c r="L322" s="449">
        <f t="shared" si="23"/>
        <v>1.1203409463446619E-2</v>
      </c>
      <c r="M322" s="588" t="str">
        <f t="shared" si="24"/>
        <v>per tablet</v>
      </c>
      <c r="N322" s="768"/>
      <c r="O322" s="768"/>
      <c r="P322" s="768"/>
    </row>
    <row r="323" spans="1:16" s="348" customFormat="1" x14ac:dyDescent="0.2">
      <c r="A323" s="440"/>
      <c r="D323" s="768" t="s">
        <v>1856</v>
      </c>
      <c r="E323" s="768"/>
      <c r="F323" s="768"/>
      <c r="G323" s="670"/>
      <c r="H323" s="443">
        <v>1000</v>
      </c>
      <c r="I323" s="445">
        <v>2.0888</v>
      </c>
      <c r="J323" s="443" t="s">
        <v>322</v>
      </c>
      <c r="K323" s="447">
        <v>1000</v>
      </c>
      <c r="L323" s="449">
        <f t="shared" si="23"/>
        <v>2.0888E-3</v>
      </c>
      <c r="M323" s="588" t="str">
        <f t="shared" si="24"/>
        <v>per tablet</v>
      </c>
      <c r="N323" s="768"/>
      <c r="O323" s="768"/>
      <c r="P323" s="768"/>
    </row>
    <row r="324" spans="1:16" s="348" customFormat="1" x14ac:dyDescent="0.2">
      <c r="A324" s="441"/>
      <c r="D324" s="760" t="s">
        <v>921</v>
      </c>
      <c r="E324" s="763"/>
      <c r="F324" s="764"/>
      <c r="G324" s="670"/>
      <c r="H324" s="443" t="s">
        <v>1515</v>
      </c>
      <c r="I324" s="445">
        <v>4.5625</v>
      </c>
      <c r="J324" s="443" t="s">
        <v>330</v>
      </c>
      <c r="K324" s="447">
        <v>1000</v>
      </c>
      <c r="L324" s="449">
        <f t="shared" si="23"/>
        <v>4.5624999999999997E-3</v>
      </c>
      <c r="M324" s="588" t="str">
        <f t="shared" si="24"/>
        <v>per one tablet</v>
      </c>
      <c r="N324" s="768"/>
      <c r="O324" s="768"/>
      <c r="P324" s="768"/>
    </row>
    <row r="325" spans="1:16" s="348" customFormat="1" x14ac:dyDescent="0.2">
      <c r="A325" s="441"/>
      <c r="D325" s="760" t="s">
        <v>1438</v>
      </c>
      <c r="E325" s="763"/>
      <c r="F325" s="764"/>
      <c r="G325" s="670"/>
      <c r="H325" s="443" t="s">
        <v>1472</v>
      </c>
      <c r="I325" s="445">
        <v>0.56017047317233093</v>
      </c>
      <c r="J325" s="443" t="s">
        <v>322</v>
      </c>
      <c r="K325" s="447">
        <v>100</v>
      </c>
      <c r="L325" s="449">
        <f t="shared" si="23"/>
        <v>5.6017047317233094E-3</v>
      </c>
      <c r="M325" s="588" t="str">
        <f t="shared" si="24"/>
        <v>per tablet</v>
      </c>
      <c r="N325" s="768"/>
      <c r="O325" s="768"/>
      <c r="P325" s="768"/>
    </row>
    <row r="326" spans="1:16" s="348" customFormat="1" x14ac:dyDescent="0.2">
      <c r="A326" s="441"/>
      <c r="D326" s="760" t="s">
        <v>1439</v>
      </c>
      <c r="E326" s="763"/>
      <c r="F326" s="764"/>
      <c r="G326" s="670"/>
      <c r="H326" s="443" t="s">
        <v>1523</v>
      </c>
      <c r="I326" s="445">
        <v>0.31</v>
      </c>
      <c r="J326" s="443">
        <v>1</v>
      </c>
      <c r="K326" s="447">
        <v>1</v>
      </c>
      <c r="L326" s="449">
        <f t="shared" si="23"/>
        <v>0.31</v>
      </c>
      <c r="M326" s="588" t="str">
        <f t="shared" si="24"/>
        <v>per 1</v>
      </c>
      <c r="N326" s="768"/>
      <c r="O326" s="768"/>
      <c r="P326" s="768"/>
    </row>
    <row r="327" spans="1:16" s="348" customFormat="1" x14ac:dyDescent="0.2">
      <c r="A327" s="441"/>
      <c r="D327" s="760" t="s">
        <v>1440</v>
      </c>
      <c r="E327" s="763"/>
      <c r="F327" s="764"/>
      <c r="G327" s="670"/>
      <c r="H327" s="443" t="s">
        <v>331</v>
      </c>
      <c r="I327" s="445">
        <v>0.625</v>
      </c>
      <c r="J327" s="443" t="s">
        <v>331</v>
      </c>
      <c r="K327" s="447">
        <v>1</v>
      </c>
      <c r="L327" s="449">
        <f t="shared" si="23"/>
        <v>0.625</v>
      </c>
      <c r="M327" s="588" t="str">
        <f t="shared" si="24"/>
        <v>per card</v>
      </c>
      <c r="N327" s="768"/>
      <c r="O327" s="768"/>
      <c r="P327" s="768"/>
    </row>
    <row r="328" spans="1:16" s="348" customFormat="1" x14ac:dyDescent="0.2">
      <c r="A328" s="441"/>
      <c r="D328" s="760" t="s">
        <v>920</v>
      </c>
      <c r="E328" s="763"/>
      <c r="F328" s="764"/>
      <c r="G328" s="670"/>
      <c r="H328" s="443" t="s">
        <v>1524</v>
      </c>
      <c r="I328" s="445">
        <v>2.25</v>
      </c>
      <c r="J328" s="443" t="s">
        <v>314</v>
      </c>
      <c r="K328" s="447">
        <v>12</v>
      </c>
      <c r="L328" s="449">
        <f t="shared" si="23"/>
        <v>0.1875</v>
      </c>
      <c r="M328" s="588" t="str">
        <f t="shared" si="24"/>
        <v>per each</v>
      </c>
      <c r="N328" s="768"/>
      <c r="O328" s="768"/>
      <c r="P328" s="768"/>
    </row>
    <row r="329" spans="1:16" s="348" customFormat="1" x14ac:dyDescent="0.2">
      <c r="A329" s="441"/>
      <c r="D329" s="760" t="s">
        <v>919</v>
      </c>
      <c r="E329" s="763"/>
      <c r="F329" s="764"/>
      <c r="G329" s="670"/>
      <c r="H329" s="443" t="s">
        <v>332</v>
      </c>
      <c r="I329" s="445">
        <v>0.5625</v>
      </c>
      <c r="J329" s="443" t="s">
        <v>332</v>
      </c>
      <c r="K329" s="447">
        <v>1</v>
      </c>
      <c r="L329" s="449">
        <f t="shared" si="23"/>
        <v>0.5625</v>
      </c>
      <c r="M329" s="588" t="str">
        <f t="shared" si="24"/>
        <v>per 100ml vial</v>
      </c>
      <c r="N329" s="768"/>
      <c r="O329" s="768"/>
      <c r="P329" s="768"/>
    </row>
    <row r="330" spans="1:16" s="348" customFormat="1" x14ac:dyDescent="0.2">
      <c r="A330" s="441"/>
      <c r="D330" s="760" t="s">
        <v>918</v>
      </c>
      <c r="E330" s="763"/>
      <c r="F330" s="764"/>
      <c r="G330" s="670"/>
      <c r="H330" s="443" t="s">
        <v>1525</v>
      </c>
      <c r="I330" s="445">
        <v>9.375</v>
      </c>
      <c r="J330" s="443">
        <v>1</v>
      </c>
      <c r="K330" s="447">
        <v>1000</v>
      </c>
      <c r="L330" s="449">
        <f t="shared" si="23"/>
        <v>9.3749999999999997E-3</v>
      </c>
      <c r="M330" s="588" t="str">
        <f t="shared" si="24"/>
        <v>per 1</v>
      </c>
      <c r="N330" s="768"/>
      <c r="O330" s="768"/>
      <c r="P330" s="768"/>
    </row>
    <row r="331" spans="1:16" s="348" customFormat="1" x14ac:dyDescent="0.2">
      <c r="A331" s="441"/>
      <c r="D331" s="760" t="s">
        <v>917</v>
      </c>
      <c r="E331" s="763"/>
      <c r="F331" s="764"/>
      <c r="G331" s="670"/>
      <c r="H331" s="443" t="s">
        <v>1526</v>
      </c>
      <c r="I331" s="445">
        <v>7.5</v>
      </c>
      <c r="J331" s="443" t="s">
        <v>318</v>
      </c>
      <c r="K331" s="447">
        <v>100</v>
      </c>
      <c r="L331" s="449">
        <f t="shared" si="23"/>
        <v>7.4999999999999997E-2</v>
      </c>
      <c r="M331" s="588" t="str">
        <f t="shared" si="24"/>
        <v>per 1 use</v>
      </c>
      <c r="N331" s="768"/>
      <c r="O331" s="768"/>
      <c r="P331" s="768"/>
    </row>
    <row r="332" spans="1:16" s="348" customFormat="1" x14ac:dyDescent="0.2">
      <c r="A332" s="441"/>
      <c r="D332" s="760" t="s">
        <v>916</v>
      </c>
      <c r="E332" s="763"/>
      <c r="F332" s="764"/>
      <c r="G332" s="670"/>
      <c r="H332" s="443" t="s">
        <v>1526</v>
      </c>
      <c r="I332" s="445">
        <v>0.625</v>
      </c>
      <c r="J332" s="443" t="s">
        <v>318</v>
      </c>
      <c r="K332" s="447">
        <v>100</v>
      </c>
      <c r="L332" s="449">
        <f t="shared" si="23"/>
        <v>6.2500000000000003E-3</v>
      </c>
      <c r="M332" s="588" t="str">
        <f t="shared" si="24"/>
        <v>per 1 use</v>
      </c>
      <c r="N332" s="768"/>
      <c r="O332" s="768"/>
      <c r="P332" s="768"/>
    </row>
    <row r="333" spans="1:16" s="348" customFormat="1" x14ac:dyDescent="0.2">
      <c r="A333" s="441"/>
      <c r="D333" s="760" t="s">
        <v>1441</v>
      </c>
      <c r="E333" s="763"/>
      <c r="F333" s="764"/>
      <c r="G333" s="670"/>
      <c r="H333" s="443">
        <v>100</v>
      </c>
      <c r="I333" s="445">
        <v>14.3749</v>
      </c>
      <c r="J333" s="443" t="s">
        <v>944</v>
      </c>
      <c r="K333" s="447">
        <v>100</v>
      </c>
      <c r="L333" s="449">
        <f t="shared" si="23"/>
        <v>0.14374900000000002</v>
      </c>
      <c r="M333" s="588" t="str">
        <f t="shared" si="24"/>
        <v>per test</v>
      </c>
      <c r="N333" s="768" t="s">
        <v>1563</v>
      </c>
      <c r="O333" s="768"/>
      <c r="P333" s="768"/>
    </row>
    <row r="334" spans="1:16" s="348" customFormat="1" x14ac:dyDescent="0.2">
      <c r="A334" s="441"/>
      <c r="D334" s="760" t="s">
        <v>915</v>
      </c>
      <c r="E334" s="763"/>
      <c r="F334" s="764"/>
      <c r="G334" s="670"/>
      <c r="H334" s="443" t="s">
        <v>1527</v>
      </c>
      <c r="I334" s="445">
        <v>3.75</v>
      </c>
      <c r="J334" s="443" t="s">
        <v>333</v>
      </c>
      <c r="K334" s="447">
        <v>25</v>
      </c>
      <c r="L334" s="449">
        <f t="shared" si="23"/>
        <v>0.15</v>
      </c>
      <c r="M334" s="588" t="str">
        <f t="shared" si="24"/>
        <v>per one strip</v>
      </c>
      <c r="N334" s="768"/>
      <c r="O334" s="768"/>
      <c r="P334" s="768"/>
    </row>
    <row r="335" spans="1:16" s="348" customFormat="1" x14ac:dyDescent="0.2">
      <c r="A335" s="441"/>
      <c r="D335" s="760" t="s">
        <v>1442</v>
      </c>
      <c r="E335" s="763"/>
      <c r="F335" s="764"/>
      <c r="G335" s="670"/>
      <c r="H335" s="443" t="s">
        <v>1528</v>
      </c>
      <c r="I335" s="445">
        <v>0</v>
      </c>
      <c r="J335" s="443" t="s">
        <v>1183</v>
      </c>
      <c r="K335" s="447">
        <v>0</v>
      </c>
      <c r="L335" s="449">
        <f t="shared" si="23"/>
        <v>0</v>
      </c>
      <c r="M335" s="588" t="str">
        <f t="shared" si="24"/>
        <v>per SU</v>
      </c>
      <c r="N335" s="768" t="s">
        <v>1563</v>
      </c>
      <c r="O335" s="768"/>
      <c r="P335" s="768"/>
    </row>
    <row r="336" spans="1:16" s="348" customFormat="1" x14ac:dyDescent="0.2">
      <c r="A336" s="441"/>
      <c r="D336" s="760" t="s">
        <v>914</v>
      </c>
      <c r="E336" s="763"/>
      <c r="F336" s="764"/>
      <c r="G336" s="670"/>
      <c r="H336" s="443" t="s">
        <v>1525</v>
      </c>
      <c r="I336" s="445">
        <v>9.375</v>
      </c>
      <c r="J336" s="443">
        <v>1</v>
      </c>
      <c r="K336" s="447">
        <v>1000</v>
      </c>
      <c r="L336" s="449">
        <f t="shared" si="23"/>
        <v>9.3749999999999997E-3</v>
      </c>
      <c r="M336" s="588" t="str">
        <f t="shared" si="24"/>
        <v>per 1</v>
      </c>
      <c r="N336" s="768"/>
      <c r="O336" s="768"/>
      <c r="P336" s="768"/>
    </row>
    <row r="337" spans="1:16" s="348" customFormat="1" x14ac:dyDescent="0.2">
      <c r="A337" s="441"/>
      <c r="D337" s="760" t="s">
        <v>1443</v>
      </c>
      <c r="E337" s="763"/>
      <c r="F337" s="764"/>
      <c r="G337" s="670"/>
      <c r="H337" s="443" t="s">
        <v>1478</v>
      </c>
      <c r="I337" s="445">
        <v>45</v>
      </c>
      <c r="J337" s="443" t="s">
        <v>1546</v>
      </c>
      <c r="K337" s="447">
        <v>5</v>
      </c>
      <c r="L337" s="449">
        <f t="shared" si="23"/>
        <v>9</v>
      </c>
      <c r="M337" s="588" t="str">
        <f t="shared" si="24"/>
        <v>per piece</v>
      </c>
      <c r="N337" s="768"/>
      <c r="O337" s="768"/>
      <c r="P337" s="768"/>
    </row>
    <row r="338" spans="1:16" s="348" customFormat="1" x14ac:dyDescent="0.2">
      <c r="A338" s="441"/>
      <c r="D338" s="760" t="s">
        <v>1444</v>
      </c>
      <c r="E338" s="763"/>
      <c r="F338" s="764"/>
      <c r="G338" s="670"/>
      <c r="H338" s="443">
        <v>12</v>
      </c>
      <c r="I338" s="445">
        <v>9.8695000000000004</v>
      </c>
      <c r="J338" s="443" t="s">
        <v>1554</v>
      </c>
      <c r="K338" s="447">
        <v>12</v>
      </c>
      <c r="L338" s="449">
        <f t="shared" ref="L338:L369" si="25">IFERROR(I338/K338,0)</f>
        <v>0.8224583333333334</v>
      </c>
      <c r="M338" s="588" t="str">
        <f t="shared" ref="M338:M369" si="26">"per "&amp;J338</f>
        <v>per bag</v>
      </c>
      <c r="N338" s="768" t="s">
        <v>1563</v>
      </c>
      <c r="O338" s="768"/>
      <c r="P338" s="768"/>
    </row>
    <row r="339" spans="1:16" s="348" customFormat="1" x14ac:dyDescent="0.2">
      <c r="A339" s="441"/>
      <c r="D339" s="760" t="s">
        <v>913</v>
      </c>
      <c r="E339" s="763"/>
      <c r="F339" s="764"/>
      <c r="G339" s="670"/>
      <c r="H339" s="443" t="s">
        <v>1529</v>
      </c>
      <c r="I339" s="445">
        <v>1.875</v>
      </c>
      <c r="J339" s="443" t="s">
        <v>334</v>
      </c>
      <c r="K339" s="447">
        <v>1000</v>
      </c>
      <c r="L339" s="449">
        <f t="shared" si="25"/>
        <v>1.8749999999999999E-3</v>
      </c>
      <c r="M339" s="588" t="str">
        <f t="shared" si="26"/>
        <v>per mililiter</v>
      </c>
      <c r="N339" s="768"/>
      <c r="O339" s="768"/>
      <c r="P339" s="768"/>
    </row>
    <row r="340" spans="1:16" s="348" customFormat="1" x14ac:dyDescent="0.2">
      <c r="A340" s="441"/>
      <c r="D340" s="760" t="s">
        <v>1445</v>
      </c>
      <c r="E340" s="763"/>
      <c r="F340" s="764"/>
      <c r="G340" s="670"/>
      <c r="H340" s="443">
        <v>10</v>
      </c>
      <c r="I340" s="445">
        <v>1.91</v>
      </c>
      <c r="J340" s="443" t="s">
        <v>1555</v>
      </c>
      <c r="K340" s="447">
        <v>10</v>
      </c>
      <c r="L340" s="449">
        <f t="shared" si="25"/>
        <v>0.191</v>
      </c>
      <c r="M340" s="588" t="str">
        <f t="shared" si="26"/>
        <v>per pad</v>
      </c>
      <c r="N340" s="768" t="s">
        <v>1563</v>
      </c>
      <c r="O340" s="768"/>
      <c r="P340" s="768"/>
    </row>
    <row r="341" spans="1:16" s="348" customFormat="1" x14ac:dyDescent="0.2">
      <c r="A341" s="441"/>
      <c r="D341" s="760" t="s">
        <v>1446</v>
      </c>
      <c r="E341" s="763"/>
      <c r="F341" s="764"/>
      <c r="G341" s="670"/>
      <c r="H341" s="443" t="s">
        <v>1530</v>
      </c>
      <c r="I341" s="445">
        <v>1.2501365970932139</v>
      </c>
      <c r="J341" s="443" t="s">
        <v>1546</v>
      </c>
      <c r="K341" s="447">
        <v>90</v>
      </c>
      <c r="L341" s="449">
        <f t="shared" si="25"/>
        <v>1.3890406634369043E-2</v>
      </c>
      <c r="M341" s="588" t="str">
        <f t="shared" si="26"/>
        <v>per piece</v>
      </c>
      <c r="N341" s="768"/>
      <c r="O341" s="768"/>
      <c r="P341" s="768"/>
    </row>
    <row r="342" spans="1:16" s="348" customFormat="1" x14ac:dyDescent="0.2">
      <c r="A342" s="441"/>
      <c r="D342" s="760" t="s">
        <v>1447</v>
      </c>
      <c r="E342" s="763"/>
      <c r="F342" s="764"/>
      <c r="G342" s="670"/>
      <c r="H342" s="443" t="s">
        <v>1531</v>
      </c>
      <c r="I342" s="445">
        <v>1.31</v>
      </c>
      <c r="J342" s="443" t="s">
        <v>321</v>
      </c>
      <c r="K342" s="447">
        <v>500</v>
      </c>
      <c r="L342" s="449">
        <f t="shared" si="25"/>
        <v>2.6199999999999999E-3</v>
      </c>
      <c r="M342" s="588" t="str">
        <f t="shared" si="26"/>
        <v>per 1 gram</v>
      </c>
      <c r="N342" s="768"/>
      <c r="O342" s="768"/>
      <c r="P342" s="768"/>
    </row>
    <row r="343" spans="1:16" s="348" customFormat="1" x14ac:dyDescent="0.2">
      <c r="A343" s="442"/>
      <c r="D343" s="808" t="s">
        <v>1448</v>
      </c>
      <c r="E343" s="816"/>
      <c r="F343" s="817"/>
      <c r="G343" s="663"/>
      <c r="H343" s="444"/>
      <c r="I343" s="446">
        <v>5.6</v>
      </c>
      <c r="J343" s="444" t="s">
        <v>1556</v>
      </c>
      <c r="K343" s="448">
        <v>1000</v>
      </c>
      <c r="L343" s="450">
        <f t="shared" si="25"/>
        <v>5.5999999999999999E-3</v>
      </c>
      <c r="M343" s="588" t="str">
        <f t="shared" si="26"/>
        <v>per uses</v>
      </c>
      <c r="N343" s="804" t="s">
        <v>1563</v>
      </c>
      <c r="O343" s="804"/>
      <c r="P343" s="804"/>
    </row>
    <row r="344" spans="1:16" s="348" customFormat="1" x14ac:dyDescent="0.2">
      <c r="A344" s="441"/>
      <c r="D344" s="760" t="s">
        <v>912</v>
      </c>
      <c r="E344" s="763"/>
      <c r="F344" s="764"/>
      <c r="G344" s="670"/>
      <c r="H344" s="443" t="s">
        <v>1532</v>
      </c>
      <c r="I344" s="445">
        <v>0.6875</v>
      </c>
      <c r="J344" s="443" t="s">
        <v>335</v>
      </c>
      <c r="K344" s="447">
        <v>25</v>
      </c>
      <c r="L344" s="449">
        <f t="shared" si="25"/>
        <v>2.75E-2</v>
      </c>
      <c r="M344" s="588" t="str">
        <f t="shared" si="26"/>
        <v>per 1/25th</v>
      </c>
      <c r="N344" s="768"/>
      <c r="O344" s="768"/>
      <c r="P344" s="768"/>
    </row>
    <row r="345" spans="1:16" s="348" customFormat="1" x14ac:dyDescent="0.2">
      <c r="A345" s="441"/>
      <c r="D345" s="760" t="s">
        <v>1449</v>
      </c>
      <c r="E345" s="763"/>
      <c r="F345" s="764"/>
      <c r="G345" s="670"/>
      <c r="H345" s="443" t="s">
        <v>1533</v>
      </c>
      <c r="I345" s="445">
        <v>161.75</v>
      </c>
      <c r="J345" s="443" t="s">
        <v>1546</v>
      </c>
      <c r="K345" s="447">
        <v>500</v>
      </c>
      <c r="L345" s="449">
        <f t="shared" si="25"/>
        <v>0.32350000000000001</v>
      </c>
      <c r="M345" s="588" t="str">
        <f t="shared" si="26"/>
        <v>per piece</v>
      </c>
      <c r="N345" s="768"/>
      <c r="O345" s="768"/>
      <c r="P345" s="768"/>
    </row>
    <row r="346" spans="1:16" s="348" customFormat="1" x14ac:dyDescent="0.2">
      <c r="A346" s="441"/>
      <c r="D346" s="760" t="s">
        <v>911</v>
      </c>
      <c r="E346" s="763"/>
      <c r="F346" s="764"/>
      <c r="G346" s="670"/>
      <c r="H346" s="443" t="s">
        <v>1534</v>
      </c>
      <c r="I346" s="445">
        <v>6.25E-2</v>
      </c>
      <c r="J346" s="443" t="s">
        <v>336</v>
      </c>
      <c r="K346" s="447">
        <v>1</v>
      </c>
      <c r="L346" s="449">
        <f t="shared" si="25"/>
        <v>6.25E-2</v>
      </c>
      <c r="M346" s="588" t="str">
        <f t="shared" si="26"/>
        <v>per cup with lid</v>
      </c>
      <c r="N346" s="768"/>
      <c r="O346" s="768"/>
      <c r="P346" s="768"/>
    </row>
    <row r="347" spans="1:16" s="348" customFormat="1" x14ac:dyDescent="0.2">
      <c r="A347" s="441"/>
      <c r="D347" s="760" t="s">
        <v>1450</v>
      </c>
      <c r="E347" s="763"/>
      <c r="F347" s="764"/>
      <c r="G347" s="670"/>
      <c r="H347" s="443">
        <v>10</v>
      </c>
      <c r="I347" s="445">
        <v>1.0705</v>
      </c>
      <c r="J347" s="443" t="s">
        <v>837</v>
      </c>
      <c r="K347" s="447">
        <v>10</v>
      </c>
      <c r="L347" s="449">
        <f t="shared" si="25"/>
        <v>0.10705000000000001</v>
      </c>
      <c r="M347" s="588" t="str">
        <f t="shared" si="26"/>
        <v>per apron</v>
      </c>
      <c r="N347" s="768" t="s">
        <v>1563</v>
      </c>
      <c r="O347" s="768"/>
      <c r="P347" s="768"/>
    </row>
    <row r="348" spans="1:16" s="348" customFormat="1" x14ac:dyDescent="0.2">
      <c r="A348" s="441"/>
      <c r="D348" s="760" t="s">
        <v>1451</v>
      </c>
      <c r="E348" s="763"/>
      <c r="F348" s="764"/>
      <c r="G348" s="670"/>
      <c r="H348" s="443" t="s">
        <v>1535</v>
      </c>
      <c r="I348" s="445">
        <v>0</v>
      </c>
      <c r="J348" s="443" t="s">
        <v>1183</v>
      </c>
      <c r="K348" s="447">
        <v>0</v>
      </c>
      <c r="L348" s="449">
        <f t="shared" si="25"/>
        <v>0</v>
      </c>
      <c r="M348" s="588" t="str">
        <f t="shared" si="26"/>
        <v>per SU</v>
      </c>
      <c r="N348" s="768" t="s">
        <v>1563</v>
      </c>
      <c r="O348" s="768"/>
      <c r="P348" s="768"/>
    </row>
    <row r="349" spans="1:16" s="348" customFormat="1" x14ac:dyDescent="0.2">
      <c r="A349" s="441"/>
      <c r="D349" s="760" t="s">
        <v>1452</v>
      </c>
      <c r="E349" s="763"/>
      <c r="F349" s="764"/>
      <c r="G349" s="670"/>
      <c r="H349" s="443">
        <v>100</v>
      </c>
      <c r="I349" s="445">
        <v>1.9599</v>
      </c>
      <c r="J349" s="443" t="s">
        <v>1557</v>
      </c>
      <c r="K349" s="447">
        <v>100</v>
      </c>
      <c r="L349" s="449">
        <f t="shared" si="25"/>
        <v>1.9598999999999998E-2</v>
      </c>
      <c r="M349" s="588" t="str">
        <f t="shared" si="26"/>
        <v>per syringe</v>
      </c>
      <c r="N349" s="768" t="s">
        <v>1563</v>
      </c>
      <c r="O349" s="768"/>
      <c r="P349" s="768"/>
    </row>
    <row r="350" spans="1:16" s="348" customFormat="1" x14ac:dyDescent="0.2">
      <c r="A350" s="441"/>
      <c r="D350" s="760" t="s">
        <v>1453</v>
      </c>
      <c r="E350" s="763"/>
      <c r="F350" s="764"/>
      <c r="G350" s="670"/>
      <c r="H350" s="443" t="s">
        <v>1479</v>
      </c>
      <c r="I350" s="445">
        <v>6.4910938695224569</v>
      </c>
      <c r="J350" s="443" t="s">
        <v>1557</v>
      </c>
      <c r="K350" s="447">
        <v>100</v>
      </c>
      <c r="L350" s="449">
        <f t="shared" si="25"/>
        <v>6.4910938695224574E-2</v>
      </c>
      <c r="M350" s="588" t="str">
        <f t="shared" si="26"/>
        <v>per syringe</v>
      </c>
      <c r="N350" s="768"/>
      <c r="O350" s="768"/>
      <c r="P350" s="768"/>
    </row>
    <row r="351" spans="1:16" s="348" customFormat="1" x14ac:dyDescent="0.2">
      <c r="A351" s="441"/>
      <c r="D351" s="760" t="s">
        <v>1454</v>
      </c>
      <c r="E351" s="763"/>
      <c r="F351" s="764"/>
      <c r="G351" s="670"/>
      <c r="H351" s="443">
        <v>100</v>
      </c>
      <c r="I351" s="445">
        <v>2.4020999999999999</v>
      </c>
      <c r="J351" s="443" t="s">
        <v>1558</v>
      </c>
      <c r="K351" s="447">
        <v>100</v>
      </c>
      <c r="L351" s="449">
        <f t="shared" si="25"/>
        <v>2.4021000000000001E-2</v>
      </c>
      <c r="M351" s="588" t="str">
        <f t="shared" si="26"/>
        <v>per syringe w/needle</v>
      </c>
      <c r="N351" s="768" t="s">
        <v>1563</v>
      </c>
      <c r="O351" s="768"/>
      <c r="P351" s="768"/>
    </row>
    <row r="352" spans="1:16" s="348" customFormat="1" x14ac:dyDescent="0.2">
      <c r="A352" s="441"/>
      <c r="D352" s="760" t="s">
        <v>1455</v>
      </c>
      <c r="E352" s="763"/>
      <c r="F352" s="764"/>
      <c r="G352" s="670"/>
      <c r="H352" s="443">
        <v>100</v>
      </c>
      <c r="I352" s="445">
        <v>1.4752000000000001</v>
      </c>
      <c r="J352" s="443" t="s">
        <v>1558</v>
      </c>
      <c r="K352" s="447">
        <v>100</v>
      </c>
      <c r="L352" s="449">
        <f t="shared" si="25"/>
        <v>1.4752000000000001E-2</v>
      </c>
      <c r="M352" s="588" t="str">
        <f t="shared" si="26"/>
        <v>per syringe w/needle</v>
      </c>
      <c r="N352" s="768" t="s">
        <v>1563</v>
      </c>
      <c r="O352" s="768"/>
      <c r="P352" s="768"/>
    </row>
    <row r="353" spans="1:16" s="348" customFormat="1" x14ac:dyDescent="0.2">
      <c r="A353" s="441"/>
      <c r="D353" s="760" t="s">
        <v>910</v>
      </c>
      <c r="E353" s="763"/>
      <c r="F353" s="764"/>
      <c r="G353" s="670"/>
      <c r="H353" s="443" t="s">
        <v>1502</v>
      </c>
      <c r="I353" s="445">
        <v>6.25</v>
      </c>
      <c r="J353" s="443" t="s">
        <v>329</v>
      </c>
      <c r="K353" s="447">
        <v>100</v>
      </c>
      <c r="L353" s="449">
        <f t="shared" si="25"/>
        <v>6.25E-2</v>
      </c>
      <c r="M353" s="588" t="str">
        <f t="shared" si="26"/>
        <v>per one piece</v>
      </c>
      <c r="N353" s="768"/>
      <c r="O353" s="768"/>
      <c r="P353" s="768"/>
    </row>
    <row r="354" spans="1:16" s="348" customFormat="1" x14ac:dyDescent="0.2">
      <c r="A354" s="441"/>
      <c r="D354" s="760" t="s">
        <v>909</v>
      </c>
      <c r="E354" s="763"/>
      <c r="F354" s="764"/>
      <c r="G354" s="670"/>
      <c r="H354" s="443" t="s">
        <v>1502</v>
      </c>
      <c r="I354" s="445">
        <v>4.375</v>
      </c>
      <c r="J354" s="443" t="s">
        <v>337</v>
      </c>
      <c r="K354" s="447">
        <v>100</v>
      </c>
      <c r="L354" s="449">
        <f t="shared" si="25"/>
        <v>4.3749999999999997E-2</v>
      </c>
      <c r="M354" s="588" t="str">
        <f t="shared" si="26"/>
        <v>per 1 syringe with needle</v>
      </c>
      <c r="N354" s="768" t="s">
        <v>1563</v>
      </c>
      <c r="O354" s="768"/>
      <c r="P354" s="768"/>
    </row>
    <row r="355" spans="1:16" s="348" customFormat="1" x14ac:dyDescent="0.2">
      <c r="A355" s="441"/>
      <c r="D355" s="808" t="s">
        <v>1656</v>
      </c>
      <c r="E355" s="809"/>
      <c r="F355" s="810"/>
      <c r="G355" s="663"/>
      <c r="H355" s="444" t="s">
        <v>1502</v>
      </c>
      <c r="I355" s="446">
        <v>48.2</v>
      </c>
      <c r="J355" s="443" t="s">
        <v>1657</v>
      </c>
      <c r="K355" s="447">
        <v>100</v>
      </c>
      <c r="L355" s="449">
        <f t="shared" si="25"/>
        <v>0.48200000000000004</v>
      </c>
      <c r="M355" s="588" t="str">
        <f t="shared" si="26"/>
        <v>per one syringe</v>
      </c>
      <c r="N355" s="768"/>
      <c r="O355" s="768"/>
      <c r="P355" s="768"/>
    </row>
    <row r="356" spans="1:16" s="348" customFormat="1" x14ac:dyDescent="0.2">
      <c r="A356" s="442"/>
      <c r="D356" s="808" t="s">
        <v>1456</v>
      </c>
      <c r="E356" s="816"/>
      <c r="F356" s="817"/>
      <c r="G356" s="663"/>
      <c r="H356" s="444" t="s">
        <v>1536</v>
      </c>
      <c r="I356" s="446">
        <v>0</v>
      </c>
      <c r="J356" s="444" t="s">
        <v>1183</v>
      </c>
      <c r="K356" s="448">
        <v>0</v>
      </c>
      <c r="L356" s="450">
        <f t="shared" si="25"/>
        <v>0</v>
      </c>
      <c r="M356" s="588" t="str">
        <f t="shared" si="26"/>
        <v>per SU</v>
      </c>
      <c r="N356" s="804" t="s">
        <v>1563</v>
      </c>
      <c r="O356" s="804"/>
      <c r="P356" s="804"/>
    </row>
    <row r="357" spans="1:16" s="348" customFormat="1" x14ac:dyDescent="0.2">
      <c r="A357" s="441"/>
      <c r="D357" s="760" t="s">
        <v>1457</v>
      </c>
      <c r="E357" s="763"/>
      <c r="F357" s="764"/>
      <c r="G357" s="670"/>
      <c r="H357" s="443">
        <v>20</v>
      </c>
      <c r="I357" s="445">
        <v>8.4</v>
      </c>
      <c r="J357" s="443" t="s">
        <v>1559</v>
      </c>
      <c r="K357" s="447">
        <v>1000</v>
      </c>
      <c r="L357" s="449">
        <f t="shared" si="25"/>
        <v>8.4000000000000012E-3</v>
      </c>
      <c r="M357" s="588" t="str">
        <f t="shared" si="26"/>
        <v>per 10 sheets</v>
      </c>
      <c r="N357" s="768" t="s">
        <v>1563</v>
      </c>
      <c r="O357" s="768"/>
      <c r="P357" s="768"/>
    </row>
    <row r="358" spans="1:16" s="348" customFormat="1" x14ac:dyDescent="0.2">
      <c r="A358" s="441"/>
      <c r="D358" s="760" t="s">
        <v>1458</v>
      </c>
      <c r="E358" s="763"/>
      <c r="F358" s="764"/>
      <c r="G358" s="670"/>
      <c r="H358" s="443">
        <v>100</v>
      </c>
      <c r="I358" s="445">
        <v>1.0829</v>
      </c>
      <c r="J358" s="443" t="s">
        <v>322</v>
      </c>
      <c r="K358" s="447">
        <v>100</v>
      </c>
      <c r="L358" s="449">
        <f t="shared" si="25"/>
        <v>1.0829E-2</v>
      </c>
      <c r="M358" s="588" t="str">
        <f t="shared" si="26"/>
        <v>per tablet</v>
      </c>
      <c r="N358" s="768" t="s">
        <v>1563</v>
      </c>
      <c r="O358" s="768"/>
      <c r="P358" s="768"/>
    </row>
    <row r="359" spans="1:16" s="348" customFormat="1" x14ac:dyDescent="0.2">
      <c r="A359" s="441"/>
      <c r="D359" s="760" t="s">
        <v>908</v>
      </c>
      <c r="E359" s="763"/>
      <c r="F359" s="764"/>
      <c r="G359" s="670"/>
      <c r="H359" s="443" t="s">
        <v>1537</v>
      </c>
      <c r="I359" s="445">
        <v>5.7750000000000004</v>
      </c>
      <c r="J359" s="443" t="s">
        <v>330</v>
      </c>
      <c r="K359" s="447">
        <v>100</v>
      </c>
      <c r="L359" s="449">
        <f t="shared" si="25"/>
        <v>5.7750000000000003E-2</v>
      </c>
      <c r="M359" s="588" t="str">
        <f t="shared" si="26"/>
        <v>per one tablet</v>
      </c>
      <c r="N359" s="768"/>
      <c r="O359" s="768"/>
      <c r="P359" s="768"/>
    </row>
    <row r="360" spans="1:16" s="348" customFormat="1" x14ac:dyDescent="0.2">
      <c r="A360" s="441"/>
      <c r="D360" s="760" t="s">
        <v>1459</v>
      </c>
      <c r="E360" s="763"/>
      <c r="F360" s="764"/>
      <c r="G360" s="670"/>
      <c r="H360" s="443"/>
      <c r="I360" s="445">
        <v>0</v>
      </c>
      <c r="J360" s="443" t="s">
        <v>1183</v>
      </c>
      <c r="K360" s="447">
        <v>0</v>
      </c>
      <c r="L360" s="449">
        <f t="shared" si="25"/>
        <v>0</v>
      </c>
      <c r="M360" s="588" t="str">
        <f t="shared" si="26"/>
        <v>per SU</v>
      </c>
      <c r="N360" s="768" t="s">
        <v>1563</v>
      </c>
      <c r="O360" s="768"/>
      <c r="P360" s="768"/>
    </row>
    <row r="361" spans="1:16" s="348" customFormat="1" x14ac:dyDescent="0.2">
      <c r="A361" s="442"/>
      <c r="D361" s="808" t="s">
        <v>1460</v>
      </c>
      <c r="E361" s="816"/>
      <c r="F361" s="817"/>
      <c r="G361" s="663"/>
      <c r="H361" s="444">
        <v>100</v>
      </c>
      <c r="I361" s="446">
        <v>25.979099999999999</v>
      </c>
      <c r="J361" s="444" t="s">
        <v>1554</v>
      </c>
      <c r="K361" s="448">
        <v>100</v>
      </c>
      <c r="L361" s="450">
        <f t="shared" si="25"/>
        <v>0.25979099999999999</v>
      </c>
      <c r="M361" s="588" t="str">
        <f t="shared" si="26"/>
        <v>per bag</v>
      </c>
      <c r="N361" s="804" t="s">
        <v>1563</v>
      </c>
      <c r="O361" s="804"/>
      <c r="P361" s="804"/>
    </row>
    <row r="362" spans="1:16" s="348" customFormat="1" x14ac:dyDescent="0.2">
      <c r="A362" s="441"/>
      <c r="D362" s="760" t="s">
        <v>907</v>
      </c>
      <c r="E362" s="763"/>
      <c r="F362" s="764"/>
      <c r="G362" s="670"/>
      <c r="H362" s="443" t="s">
        <v>1538</v>
      </c>
      <c r="I362" s="445">
        <v>2.125</v>
      </c>
      <c r="J362" s="443" t="s">
        <v>338</v>
      </c>
      <c r="K362" s="447">
        <v>10</v>
      </c>
      <c r="L362" s="449">
        <f t="shared" si="25"/>
        <v>0.21249999999999999</v>
      </c>
      <c r="M362" s="588" t="str">
        <f t="shared" si="26"/>
        <v>per one bag</v>
      </c>
      <c r="N362" s="768"/>
      <c r="O362" s="768"/>
      <c r="P362" s="768"/>
    </row>
    <row r="363" spans="1:16" s="348" customFormat="1" x14ac:dyDescent="0.2">
      <c r="A363" s="441"/>
      <c r="D363" s="760" t="s">
        <v>1461</v>
      </c>
      <c r="E363" s="763"/>
      <c r="F363" s="764"/>
      <c r="G363" s="670"/>
      <c r="H363" s="443" t="s">
        <v>1539</v>
      </c>
      <c r="I363" s="445">
        <v>3</v>
      </c>
      <c r="J363" s="443" t="s">
        <v>1560</v>
      </c>
      <c r="K363" s="447">
        <v>1000</v>
      </c>
      <c r="L363" s="449">
        <f t="shared" si="25"/>
        <v>3.0000000000000001E-3</v>
      </c>
      <c r="M363" s="588" t="str">
        <f t="shared" si="26"/>
        <v>per gram</v>
      </c>
      <c r="N363" s="768" t="s">
        <v>1563</v>
      </c>
      <c r="O363" s="768"/>
      <c r="P363" s="768"/>
    </row>
    <row r="364" spans="1:16" s="348" customFormat="1" x14ac:dyDescent="0.2">
      <c r="A364" s="441"/>
      <c r="D364" s="760" t="s">
        <v>1462</v>
      </c>
      <c r="E364" s="763"/>
      <c r="F364" s="764"/>
      <c r="G364" s="670"/>
      <c r="H364" s="443" t="s">
        <v>1478</v>
      </c>
      <c r="I364" s="445">
        <v>45</v>
      </c>
      <c r="J364" s="443" t="s">
        <v>1561</v>
      </c>
      <c r="K364" s="447">
        <v>5</v>
      </c>
      <c r="L364" s="449">
        <f t="shared" si="25"/>
        <v>9</v>
      </c>
      <c r="M364" s="588" t="str">
        <f t="shared" si="26"/>
        <v>per electrode</v>
      </c>
      <c r="N364" s="768"/>
      <c r="O364" s="768"/>
      <c r="P364" s="768"/>
    </row>
    <row r="365" spans="1:16" s="348" customFormat="1" x14ac:dyDescent="0.2">
      <c r="A365" s="441"/>
      <c r="D365" s="760" t="s">
        <v>1463</v>
      </c>
      <c r="E365" s="763"/>
      <c r="F365" s="764"/>
      <c r="G365" s="670"/>
      <c r="H365" s="443">
        <v>1000</v>
      </c>
      <c r="I365" s="445">
        <v>2.0051999999999999</v>
      </c>
      <c r="J365" s="443" t="s">
        <v>1562</v>
      </c>
      <c r="K365" s="447">
        <v>1000</v>
      </c>
      <c r="L365" s="449">
        <f t="shared" si="25"/>
        <v>2.0052E-3</v>
      </c>
      <c r="M365" s="588" t="str">
        <f t="shared" si="26"/>
        <v>per stick</v>
      </c>
      <c r="N365" s="768" t="s">
        <v>1563</v>
      </c>
      <c r="O365" s="768"/>
      <c r="P365" s="768"/>
    </row>
    <row r="366" spans="1:16" s="348" customFormat="1" x14ac:dyDescent="0.2">
      <c r="A366" s="441"/>
      <c r="D366" s="760" t="s">
        <v>906</v>
      </c>
      <c r="E366" s="763"/>
      <c r="F366" s="764"/>
      <c r="G366" s="670"/>
      <c r="H366" s="443" t="s">
        <v>339</v>
      </c>
      <c r="I366" s="445">
        <v>1.25</v>
      </c>
      <c r="J366" s="443" t="s">
        <v>340</v>
      </c>
      <c r="K366" s="447">
        <v>100</v>
      </c>
      <c r="L366" s="449">
        <f t="shared" si="25"/>
        <v>1.2500000000000001E-2</v>
      </c>
      <c r="M366" s="588" t="str">
        <f t="shared" si="26"/>
        <v>per one stick</v>
      </c>
      <c r="N366" s="768"/>
      <c r="O366" s="768"/>
      <c r="P366" s="768"/>
    </row>
    <row r="367" spans="1:16" s="348" customFormat="1" x14ac:dyDescent="0.2">
      <c r="A367" s="441"/>
      <c r="D367" s="760" t="s">
        <v>1842</v>
      </c>
      <c r="E367" s="763"/>
      <c r="F367" s="764"/>
      <c r="G367" s="670"/>
      <c r="H367" s="443" t="s">
        <v>1181</v>
      </c>
      <c r="I367" s="445">
        <v>0</v>
      </c>
      <c r="J367" s="443" t="s">
        <v>1183</v>
      </c>
      <c r="K367" s="447">
        <v>0</v>
      </c>
      <c r="L367" s="449">
        <f t="shared" si="25"/>
        <v>0</v>
      </c>
      <c r="M367" s="588" t="str">
        <f t="shared" si="26"/>
        <v>per SU</v>
      </c>
      <c r="N367" s="768"/>
      <c r="O367" s="768"/>
      <c r="P367" s="768"/>
    </row>
    <row r="368" spans="1:16" s="348" customFormat="1" x14ac:dyDescent="0.2">
      <c r="A368" s="441"/>
      <c r="D368" s="760" t="s">
        <v>1844</v>
      </c>
      <c r="E368" s="763"/>
      <c r="F368" s="764"/>
      <c r="G368" s="670"/>
      <c r="H368" s="443" t="s">
        <v>1181</v>
      </c>
      <c r="I368" s="445">
        <v>0</v>
      </c>
      <c r="J368" s="443" t="s">
        <v>1183</v>
      </c>
      <c r="K368" s="447">
        <v>0</v>
      </c>
      <c r="L368" s="449">
        <f t="shared" si="25"/>
        <v>0</v>
      </c>
      <c r="M368" s="588" t="str">
        <f t="shared" si="26"/>
        <v>per SU</v>
      </c>
      <c r="N368" s="768"/>
      <c r="O368" s="768"/>
      <c r="P368" s="768"/>
    </row>
    <row r="369" spans="1:16" s="348" customFormat="1" x14ac:dyDescent="0.2">
      <c r="A369" s="441"/>
      <c r="D369" s="760" t="s">
        <v>1847</v>
      </c>
      <c r="E369" s="763"/>
      <c r="F369" s="764"/>
      <c r="G369" s="670"/>
      <c r="H369" s="443" t="s">
        <v>1181</v>
      </c>
      <c r="I369" s="445">
        <v>0</v>
      </c>
      <c r="J369" s="443" t="s">
        <v>1183</v>
      </c>
      <c r="K369" s="447">
        <v>0</v>
      </c>
      <c r="L369" s="449">
        <f t="shared" si="25"/>
        <v>0</v>
      </c>
      <c r="M369" s="588" t="str">
        <f t="shared" si="26"/>
        <v>per SU</v>
      </c>
      <c r="N369" s="768"/>
      <c r="O369" s="768"/>
      <c r="P369" s="768"/>
    </row>
    <row r="370" spans="1:16" s="348" customFormat="1" x14ac:dyDescent="0.2">
      <c r="A370" s="441"/>
      <c r="D370" s="760" t="s">
        <v>1849</v>
      </c>
      <c r="E370" s="763"/>
      <c r="F370" s="764"/>
      <c r="G370" s="670"/>
      <c r="H370" s="443" t="s">
        <v>1181</v>
      </c>
      <c r="I370" s="445">
        <v>0</v>
      </c>
      <c r="J370" s="443" t="s">
        <v>1183</v>
      </c>
      <c r="K370" s="447">
        <v>0</v>
      </c>
      <c r="L370" s="449">
        <f t="shared" ref="L370:L376" si="27">IFERROR(I370/K370,0)</f>
        <v>0</v>
      </c>
      <c r="M370" s="588" t="str">
        <f t="shared" ref="M370:M376" si="28">"per "&amp;J370</f>
        <v>per SU</v>
      </c>
      <c r="N370" s="768"/>
      <c r="O370" s="768"/>
      <c r="P370" s="768"/>
    </row>
    <row r="371" spans="1:16" s="348" customFormat="1" x14ac:dyDescent="0.2">
      <c r="A371" s="441"/>
      <c r="D371" s="760" t="s">
        <v>1850</v>
      </c>
      <c r="E371" s="763"/>
      <c r="F371" s="764"/>
      <c r="G371" s="670"/>
      <c r="H371" s="443" t="s">
        <v>1181</v>
      </c>
      <c r="I371" s="445">
        <v>0</v>
      </c>
      <c r="J371" s="443" t="s">
        <v>1183</v>
      </c>
      <c r="K371" s="447">
        <v>0</v>
      </c>
      <c r="L371" s="449">
        <f t="shared" si="27"/>
        <v>0</v>
      </c>
      <c r="M371" s="588" t="str">
        <f t="shared" si="28"/>
        <v>per SU</v>
      </c>
      <c r="N371" s="768"/>
      <c r="O371" s="768"/>
      <c r="P371" s="768"/>
    </row>
    <row r="372" spans="1:16" s="348" customFormat="1" x14ac:dyDescent="0.2">
      <c r="A372" s="441"/>
      <c r="D372" s="760" t="s">
        <v>1854</v>
      </c>
      <c r="E372" s="763"/>
      <c r="F372" s="764"/>
      <c r="G372" s="670"/>
      <c r="H372" s="443" t="s">
        <v>1181</v>
      </c>
      <c r="I372" s="445">
        <v>0</v>
      </c>
      <c r="J372" s="443" t="s">
        <v>1183</v>
      </c>
      <c r="K372" s="447">
        <v>0</v>
      </c>
      <c r="L372" s="449">
        <f t="shared" si="27"/>
        <v>0</v>
      </c>
      <c r="M372" s="588" t="str">
        <f t="shared" si="28"/>
        <v>per SU</v>
      </c>
      <c r="N372" s="768"/>
      <c r="O372" s="768"/>
      <c r="P372" s="768"/>
    </row>
    <row r="373" spans="1:16" s="348" customFormat="1" x14ac:dyDescent="0.2">
      <c r="A373" s="441"/>
      <c r="D373" s="760" t="s">
        <v>1210</v>
      </c>
      <c r="E373" s="763" t="s">
        <v>1210</v>
      </c>
      <c r="F373" s="764" t="s">
        <v>1210</v>
      </c>
      <c r="G373" s="670"/>
      <c r="H373" s="443" t="s">
        <v>1181</v>
      </c>
      <c r="I373" s="445">
        <v>0</v>
      </c>
      <c r="J373" s="443" t="s">
        <v>1183</v>
      </c>
      <c r="K373" s="447">
        <v>0</v>
      </c>
      <c r="L373" s="449">
        <f t="shared" si="27"/>
        <v>0</v>
      </c>
      <c r="M373" s="588" t="str">
        <f t="shared" si="28"/>
        <v>per SU</v>
      </c>
      <c r="N373" s="768"/>
      <c r="O373" s="768"/>
      <c r="P373" s="768"/>
    </row>
    <row r="374" spans="1:16" s="348" customFormat="1" x14ac:dyDescent="0.2">
      <c r="A374" s="441"/>
      <c r="D374" s="760" t="s">
        <v>1210</v>
      </c>
      <c r="E374" s="763" t="s">
        <v>1210</v>
      </c>
      <c r="F374" s="764" t="s">
        <v>1210</v>
      </c>
      <c r="G374" s="670"/>
      <c r="H374" s="443" t="s">
        <v>1181</v>
      </c>
      <c r="I374" s="445">
        <v>0</v>
      </c>
      <c r="J374" s="443" t="s">
        <v>1183</v>
      </c>
      <c r="K374" s="447">
        <v>0</v>
      </c>
      <c r="L374" s="449">
        <f t="shared" si="27"/>
        <v>0</v>
      </c>
      <c r="M374" s="588" t="str">
        <f t="shared" si="28"/>
        <v>per SU</v>
      </c>
      <c r="N374" s="768"/>
      <c r="O374" s="768"/>
      <c r="P374" s="768"/>
    </row>
    <row r="375" spans="1:16" s="348" customFormat="1" x14ac:dyDescent="0.2">
      <c r="A375" s="441"/>
      <c r="D375" s="760" t="s">
        <v>1210</v>
      </c>
      <c r="E375" s="763" t="s">
        <v>1210</v>
      </c>
      <c r="F375" s="764" t="s">
        <v>1210</v>
      </c>
      <c r="G375" s="670"/>
      <c r="H375" s="443" t="s">
        <v>1181</v>
      </c>
      <c r="I375" s="445">
        <v>0</v>
      </c>
      <c r="J375" s="443" t="s">
        <v>1183</v>
      </c>
      <c r="K375" s="447">
        <v>0</v>
      </c>
      <c r="L375" s="449">
        <f t="shared" si="27"/>
        <v>0</v>
      </c>
      <c r="M375" s="588" t="str">
        <f t="shared" si="28"/>
        <v>per SU</v>
      </c>
      <c r="N375" s="768"/>
      <c r="O375" s="768"/>
      <c r="P375" s="768"/>
    </row>
    <row r="376" spans="1:16" s="348" customFormat="1" x14ac:dyDescent="0.2">
      <c r="A376" s="441"/>
      <c r="D376" s="760" t="s">
        <v>1210</v>
      </c>
      <c r="E376" s="763" t="s">
        <v>1210</v>
      </c>
      <c r="F376" s="764" t="s">
        <v>1210</v>
      </c>
      <c r="G376" s="670"/>
      <c r="H376" s="443" t="s">
        <v>1181</v>
      </c>
      <c r="I376" s="445"/>
      <c r="J376" s="443" t="s">
        <v>1183</v>
      </c>
      <c r="K376" s="447">
        <v>0</v>
      </c>
      <c r="L376" s="449">
        <f t="shared" si="27"/>
        <v>0</v>
      </c>
      <c r="M376" s="588" t="str">
        <f t="shared" si="28"/>
        <v>per SU</v>
      </c>
      <c r="N376" s="768"/>
      <c r="O376" s="768"/>
      <c r="P376" s="768"/>
    </row>
    <row r="377" spans="1:16" s="348" customFormat="1" x14ac:dyDescent="0.2"/>
    <row r="378" spans="1:16" s="348" customFormat="1" ht="15.75" x14ac:dyDescent="0.2">
      <c r="C378" s="664" t="s">
        <v>1744</v>
      </c>
    </row>
    <row r="379" spans="1:16" s="348" customFormat="1" x14ac:dyDescent="0.2"/>
    <row r="380" spans="1:16" s="348" customFormat="1" ht="38.25" x14ac:dyDescent="0.2">
      <c r="D380" s="667" t="s">
        <v>399</v>
      </c>
      <c r="H380" s="676" t="s">
        <v>842</v>
      </c>
      <c r="I380" s="676" t="s">
        <v>971</v>
      </c>
      <c r="J380" s="676" t="s">
        <v>970</v>
      </c>
      <c r="K380" s="676" t="s">
        <v>818</v>
      </c>
      <c r="L380" s="365" t="str">
        <f>"Cost Per Unit ("&amp;$G$10&amp;"/SU)"</f>
        <v>Cost Per Unit (USD/SU)</v>
      </c>
      <c r="M380" s="671" t="s">
        <v>1775</v>
      </c>
      <c r="N380" s="802" t="s">
        <v>648</v>
      </c>
      <c r="O380" s="803"/>
      <c r="P380" s="803"/>
    </row>
    <row r="381" spans="1:16" s="348" customFormat="1" x14ac:dyDescent="0.2">
      <c r="D381" s="805" t="s">
        <v>1257</v>
      </c>
      <c r="E381" s="811"/>
      <c r="F381" s="812"/>
      <c r="G381" s="661"/>
      <c r="H381" s="281" t="s">
        <v>1181</v>
      </c>
      <c r="I381" s="370">
        <v>0</v>
      </c>
      <c r="J381" s="185" t="s">
        <v>1183</v>
      </c>
      <c r="K381" s="186">
        <v>1</v>
      </c>
      <c r="L381" s="665">
        <f t="shared" ref="L381:L413" si="29">IFERROR(I381/K381,0)</f>
        <v>0</v>
      </c>
      <c r="M381" s="678" t="str">
        <f t="shared" ref="M381:M413" si="30">"per "&amp;J381</f>
        <v>per SU</v>
      </c>
      <c r="N381" s="723"/>
      <c r="O381" s="723"/>
      <c r="P381" s="723"/>
    </row>
    <row r="382" spans="1:16" s="348" customFormat="1" x14ac:dyDescent="0.2">
      <c r="D382" s="805" t="s">
        <v>1564</v>
      </c>
      <c r="E382" s="811"/>
      <c r="F382" s="812"/>
      <c r="G382" s="661"/>
      <c r="H382" s="281" t="s">
        <v>1572</v>
      </c>
      <c r="I382" s="370">
        <v>10.45</v>
      </c>
      <c r="J382" s="185" t="s">
        <v>1615</v>
      </c>
      <c r="K382" s="186">
        <v>1</v>
      </c>
      <c r="L382" s="665">
        <f t="shared" si="29"/>
        <v>10.45</v>
      </c>
      <c r="M382" s="678" t="str">
        <f t="shared" si="30"/>
        <v>per 1 test &amp; report</v>
      </c>
      <c r="N382" s="723" t="s">
        <v>1796</v>
      </c>
      <c r="O382" s="723"/>
      <c r="P382" s="723"/>
    </row>
    <row r="383" spans="1:16" s="348" customFormat="1" x14ac:dyDescent="0.2">
      <c r="D383" s="805" t="s">
        <v>932</v>
      </c>
      <c r="E383" s="811"/>
      <c r="F383" s="812"/>
      <c r="G383" s="661"/>
      <c r="H383" s="281" t="s">
        <v>944</v>
      </c>
      <c r="I383" s="370">
        <v>21.875</v>
      </c>
      <c r="J383" s="185" t="s">
        <v>366</v>
      </c>
      <c r="K383" s="186">
        <v>1</v>
      </c>
      <c r="L383" s="665">
        <f t="shared" si="29"/>
        <v>21.875</v>
      </c>
      <c r="M383" s="678" t="str">
        <f t="shared" si="30"/>
        <v>per 1 test</v>
      </c>
      <c r="N383" s="723"/>
      <c r="O383" s="723"/>
      <c r="P383" s="723"/>
    </row>
    <row r="384" spans="1:16" s="348" customFormat="1" x14ac:dyDescent="0.2">
      <c r="D384" s="805" t="s">
        <v>939</v>
      </c>
      <c r="E384" s="811"/>
      <c r="F384" s="812"/>
      <c r="G384" s="661"/>
      <c r="H384" s="281" t="s">
        <v>944</v>
      </c>
      <c r="I384" s="370">
        <v>1.25</v>
      </c>
      <c r="J384" s="185" t="s">
        <v>369</v>
      </c>
      <c r="K384" s="186">
        <v>1</v>
      </c>
      <c r="L384" s="665">
        <f t="shared" si="29"/>
        <v>1.25</v>
      </c>
      <c r="M384" s="678" t="str">
        <f t="shared" si="30"/>
        <v>per 1 blood slide</v>
      </c>
      <c r="N384" s="723"/>
      <c r="O384" s="723"/>
      <c r="P384" s="723"/>
    </row>
    <row r="385" spans="4:16" s="348" customFormat="1" x14ac:dyDescent="0.2">
      <c r="D385" s="805" t="s">
        <v>941</v>
      </c>
      <c r="E385" s="811"/>
      <c r="F385" s="812"/>
      <c r="G385" s="661"/>
      <c r="H385" s="281" t="s">
        <v>944</v>
      </c>
      <c r="I385" s="370">
        <v>5</v>
      </c>
      <c r="J385" s="185" t="s">
        <v>366</v>
      </c>
      <c r="K385" s="186">
        <v>1</v>
      </c>
      <c r="L385" s="665">
        <f t="shared" si="29"/>
        <v>5</v>
      </c>
      <c r="M385" s="678" t="str">
        <f t="shared" si="30"/>
        <v>per 1 test</v>
      </c>
      <c r="N385" s="723"/>
      <c r="O385" s="723"/>
      <c r="P385" s="723"/>
    </row>
    <row r="386" spans="4:16" s="348" customFormat="1" x14ac:dyDescent="0.2">
      <c r="D386" s="805" t="s">
        <v>1565</v>
      </c>
      <c r="E386" s="811"/>
      <c r="F386" s="812"/>
      <c r="G386" s="661"/>
      <c r="H386" s="281" t="s">
        <v>946</v>
      </c>
      <c r="I386" s="370">
        <v>1.67</v>
      </c>
      <c r="J386" s="185" t="s">
        <v>1183</v>
      </c>
      <c r="K386" s="186">
        <v>1</v>
      </c>
      <c r="L386" s="665">
        <f t="shared" si="29"/>
        <v>1.67</v>
      </c>
      <c r="M386" s="678" t="str">
        <f t="shared" si="30"/>
        <v>per SU</v>
      </c>
      <c r="N386" s="723"/>
      <c r="O386" s="723"/>
      <c r="P386" s="723"/>
    </row>
    <row r="387" spans="4:16" s="348" customFormat="1" x14ac:dyDescent="0.2">
      <c r="D387" s="805" t="s">
        <v>935</v>
      </c>
      <c r="E387" s="811"/>
      <c r="F387" s="812"/>
      <c r="G387" s="661"/>
      <c r="H387" s="281" t="s">
        <v>946</v>
      </c>
      <c r="I387" s="370">
        <v>3.75</v>
      </c>
      <c r="J387" s="185" t="s">
        <v>368</v>
      </c>
      <c r="K387" s="186">
        <v>1</v>
      </c>
      <c r="L387" s="665">
        <f t="shared" si="29"/>
        <v>3.75</v>
      </c>
      <c r="M387" s="678" t="str">
        <f t="shared" si="30"/>
        <v>per 1 x-ray</v>
      </c>
      <c r="N387" s="723"/>
      <c r="O387" s="723"/>
      <c r="P387" s="723"/>
    </row>
    <row r="388" spans="4:16" s="348" customFormat="1" x14ac:dyDescent="0.2">
      <c r="D388" s="805" t="s">
        <v>1566</v>
      </c>
      <c r="E388" s="811"/>
      <c r="F388" s="812"/>
      <c r="G388" s="661"/>
      <c r="H388" s="281" t="s">
        <v>944</v>
      </c>
      <c r="I388" s="370">
        <v>2.5</v>
      </c>
      <c r="J388" s="185" t="s">
        <v>1183</v>
      </c>
      <c r="K388" s="186">
        <v>1</v>
      </c>
      <c r="L388" s="665">
        <f t="shared" si="29"/>
        <v>2.5</v>
      </c>
      <c r="M388" s="678" t="str">
        <f t="shared" si="30"/>
        <v>per SU</v>
      </c>
      <c r="N388" s="723"/>
      <c r="O388" s="723"/>
      <c r="P388" s="723"/>
    </row>
    <row r="389" spans="4:16" s="348" customFormat="1" x14ac:dyDescent="0.2">
      <c r="D389" s="805" t="s">
        <v>933</v>
      </c>
      <c r="E389" s="811"/>
      <c r="F389" s="812"/>
      <c r="G389" s="661"/>
      <c r="H389" s="281" t="s">
        <v>944</v>
      </c>
      <c r="I389" s="370">
        <v>6.25</v>
      </c>
      <c r="J389" s="185" t="s">
        <v>366</v>
      </c>
      <c r="K389" s="186">
        <v>1</v>
      </c>
      <c r="L389" s="665">
        <f t="shared" si="29"/>
        <v>6.25</v>
      </c>
      <c r="M389" s="678" t="str">
        <f t="shared" si="30"/>
        <v>per 1 test</v>
      </c>
      <c r="N389" s="723"/>
      <c r="O389" s="723"/>
      <c r="P389" s="723"/>
    </row>
    <row r="390" spans="4:16" s="348" customFormat="1" x14ac:dyDescent="0.2">
      <c r="D390" s="805" t="s">
        <v>937</v>
      </c>
      <c r="E390" s="811"/>
      <c r="F390" s="812"/>
      <c r="G390" s="661"/>
      <c r="H390" s="281" t="s">
        <v>947</v>
      </c>
      <c r="I390" s="370">
        <v>1.875</v>
      </c>
      <c r="J390" s="185" t="s">
        <v>366</v>
      </c>
      <c r="K390" s="186">
        <v>1</v>
      </c>
      <c r="L390" s="665">
        <f t="shared" si="29"/>
        <v>1.875</v>
      </c>
      <c r="M390" s="678" t="str">
        <f t="shared" si="30"/>
        <v>per 1 test</v>
      </c>
      <c r="N390" s="723"/>
      <c r="O390" s="723"/>
      <c r="P390" s="723"/>
    </row>
    <row r="391" spans="4:16" s="348" customFormat="1" x14ac:dyDescent="0.2">
      <c r="D391" s="805" t="s">
        <v>938</v>
      </c>
      <c r="E391" s="811"/>
      <c r="F391" s="812"/>
      <c r="G391" s="661"/>
      <c r="H391" s="281" t="s">
        <v>944</v>
      </c>
      <c r="I391" s="370">
        <v>0.625</v>
      </c>
      <c r="J391" s="185" t="s">
        <v>366</v>
      </c>
      <c r="K391" s="186">
        <v>1</v>
      </c>
      <c r="L391" s="665">
        <f t="shared" si="29"/>
        <v>0.625</v>
      </c>
      <c r="M391" s="678" t="str">
        <f t="shared" si="30"/>
        <v>per 1 test</v>
      </c>
      <c r="N391" s="723"/>
      <c r="O391" s="723"/>
      <c r="P391" s="723"/>
    </row>
    <row r="392" spans="4:16" s="348" customFormat="1" x14ac:dyDescent="0.2">
      <c r="D392" s="805" t="s">
        <v>931</v>
      </c>
      <c r="E392" s="811"/>
      <c r="F392" s="812"/>
      <c r="G392" s="661"/>
      <c r="H392" s="281" t="s">
        <v>392</v>
      </c>
      <c r="I392" s="370">
        <v>31.25</v>
      </c>
      <c r="J392" s="185" t="s">
        <v>366</v>
      </c>
      <c r="K392" s="186">
        <v>1</v>
      </c>
      <c r="L392" s="665">
        <f t="shared" si="29"/>
        <v>31.25</v>
      </c>
      <c r="M392" s="678" t="str">
        <f t="shared" si="30"/>
        <v>per 1 test</v>
      </c>
      <c r="N392" s="723"/>
      <c r="O392" s="723"/>
      <c r="P392" s="723"/>
    </row>
    <row r="393" spans="4:16" s="348" customFormat="1" ht="25.5" x14ac:dyDescent="0.2">
      <c r="D393" s="805" t="s">
        <v>943</v>
      </c>
      <c r="E393" s="811"/>
      <c r="F393" s="812"/>
      <c r="G393" s="661"/>
      <c r="H393" s="281" t="s">
        <v>371</v>
      </c>
      <c r="I393" s="370">
        <v>12.5</v>
      </c>
      <c r="J393" s="185" t="s">
        <v>814</v>
      </c>
      <c r="K393" s="186">
        <v>1</v>
      </c>
      <c r="L393" s="665">
        <f t="shared" si="29"/>
        <v>12.5</v>
      </c>
      <c r="M393" s="678" t="str">
        <f t="shared" si="30"/>
        <v>per 1 homecare day</v>
      </c>
      <c r="N393" s="723"/>
      <c r="O393" s="723"/>
      <c r="P393" s="723"/>
    </row>
    <row r="394" spans="4:16" s="348" customFormat="1" x14ac:dyDescent="0.2">
      <c r="D394" s="805" t="s">
        <v>942</v>
      </c>
      <c r="E394" s="811"/>
      <c r="F394" s="812"/>
      <c r="G394" s="661"/>
      <c r="H394" s="281" t="s">
        <v>370</v>
      </c>
      <c r="I394" s="370">
        <v>18.75</v>
      </c>
      <c r="J394" s="185" t="s">
        <v>813</v>
      </c>
      <c r="K394" s="186">
        <v>1</v>
      </c>
      <c r="L394" s="665">
        <f t="shared" si="29"/>
        <v>18.75</v>
      </c>
      <c r="M394" s="678" t="str">
        <f t="shared" si="30"/>
        <v>per 1 bed day</v>
      </c>
      <c r="N394" s="723"/>
      <c r="O394" s="723"/>
      <c r="P394" s="723"/>
    </row>
    <row r="395" spans="4:16" s="348" customFormat="1" x14ac:dyDescent="0.2">
      <c r="D395" s="805" t="s">
        <v>1567</v>
      </c>
      <c r="E395" s="811"/>
      <c r="F395" s="812"/>
      <c r="G395" s="661"/>
      <c r="H395" s="281" t="s">
        <v>1573</v>
      </c>
      <c r="I395" s="370">
        <v>135.77000000000001</v>
      </c>
      <c r="J395" s="185" t="s">
        <v>1183</v>
      </c>
      <c r="K395" s="186">
        <v>1</v>
      </c>
      <c r="L395" s="665">
        <f t="shared" si="29"/>
        <v>135.77000000000001</v>
      </c>
      <c r="M395" s="678" t="str">
        <f t="shared" si="30"/>
        <v>per SU</v>
      </c>
      <c r="N395" s="723"/>
      <c r="O395" s="723"/>
      <c r="P395" s="723"/>
    </row>
    <row r="396" spans="4:16" s="348" customFormat="1" x14ac:dyDescent="0.2">
      <c r="D396" s="805" t="s">
        <v>1568</v>
      </c>
      <c r="E396" s="811"/>
      <c r="F396" s="812"/>
      <c r="G396" s="661"/>
      <c r="H396" s="281" t="s">
        <v>1573</v>
      </c>
      <c r="I396" s="370">
        <v>62.66</v>
      </c>
      <c r="J396" s="185" t="s">
        <v>1183</v>
      </c>
      <c r="K396" s="186">
        <v>1</v>
      </c>
      <c r="L396" s="665">
        <f t="shared" si="29"/>
        <v>62.66</v>
      </c>
      <c r="M396" s="678" t="str">
        <f t="shared" si="30"/>
        <v>per SU</v>
      </c>
      <c r="N396" s="723"/>
      <c r="O396" s="723"/>
      <c r="P396" s="723"/>
    </row>
    <row r="397" spans="4:16" s="348" customFormat="1" x14ac:dyDescent="0.2">
      <c r="D397" s="805" t="s">
        <v>1569</v>
      </c>
      <c r="E397" s="811"/>
      <c r="F397" s="812"/>
      <c r="G397" s="661"/>
      <c r="H397" s="281" t="s">
        <v>944</v>
      </c>
      <c r="I397" s="370">
        <v>6.67</v>
      </c>
      <c r="J397" s="185" t="s">
        <v>1183</v>
      </c>
      <c r="K397" s="186">
        <v>1</v>
      </c>
      <c r="L397" s="665">
        <f t="shared" si="29"/>
        <v>6.67</v>
      </c>
      <c r="M397" s="678" t="str">
        <f t="shared" si="30"/>
        <v>per SU</v>
      </c>
      <c r="N397" s="723"/>
      <c r="O397" s="723"/>
      <c r="P397" s="723"/>
    </row>
    <row r="398" spans="4:16" s="348" customFormat="1" x14ac:dyDescent="0.2">
      <c r="D398" s="805" t="s">
        <v>936</v>
      </c>
      <c r="E398" s="811"/>
      <c r="F398" s="812"/>
      <c r="G398" s="661"/>
      <c r="H398" s="281" t="s">
        <v>946</v>
      </c>
      <c r="I398" s="370">
        <v>3.75</v>
      </c>
      <c r="J398" s="185" t="s">
        <v>368</v>
      </c>
      <c r="K398" s="186">
        <v>1</v>
      </c>
      <c r="L398" s="665">
        <f t="shared" si="29"/>
        <v>3.75</v>
      </c>
      <c r="M398" s="678" t="str">
        <f t="shared" si="30"/>
        <v>per 1 x-ray</v>
      </c>
      <c r="N398" s="723"/>
      <c r="O398" s="723"/>
      <c r="P398" s="723"/>
    </row>
    <row r="399" spans="4:16" s="348" customFormat="1" x14ac:dyDescent="0.2">
      <c r="D399" s="805" t="s">
        <v>1570</v>
      </c>
      <c r="E399" s="811"/>
      <c r="F399" s="812"/>
      <c r="G399" s="661"/>
      <c r="H399" s="281" t="s">
        <v>944</v>
      </c>
      <c r="I399" s="370">
        <v>3.33</v>
      </c>
      <c r="J399" s="185" t="s">
        <v>1183</v>
      </c>
      <c r="K399" s="186">
        <v>1</v>
      </c>
      <c r="L399" s="665">
        <f t="shared" si="29"/>
        <v>3.33</v>
      </c>
      <c r="M399" s="678" t="str">
        <f t="shared" si="30"/>
        <v>per SU</v>
      </c>
      <c r="N399" s="723"/>
      <c r="O399" s="723"/>
      <c r="P399" s="723"/>
    </row>
    <row r="400" spans="4:16" s="348" customFormat="1" x14ac:dyDescent="0.2">
      <c r="D400" s="805" t="s">
        <v>1571</v>
      </c>
      <c r="E400" s="811"/>
      <c r="F400" s="812"/>
      <c r="G400" s="661"/>
      <c r="H400" s="281" t="s">
        <v>944</v>
      </c>
      <c r="I400" s="370">
        <v>4.17</v>
      </c>
      <c r="J400" s="185" t="s">
        <v>1183</v>
      </c>
      <c r="K400" s="186">
        <v>1</v>
      </c>
      <c r="L400" s="665">
        <f t="shared" si="29"/>
        <v>4.17</v>
      </c>
      <c r="M400" s="678" t="str">
        <f t="shared" si="30"/>
        <v>per SU</v>
      </c>
      <c r="N400" s="723"/>
      <c r="O400" s="723"/>
      <c r="P400" s="723"/>
    </row>
    <row r="401" spans="4:16" s="348" customFormat="1" x14ac:dyDescent="0.2">
      <c r="D401" s="805" t="s">
        <v>934</v>
      </c>
      <c r="E401" s="811"/>
      <c r="F401" s="812"/>
      <c r="G401" s="661"/>
      <c r="H401" s="281" t="s">
        <v>945</v>
      </c>
      <c r="I401" s="370">
        <v>15.625</v>
      </c>
      <c r="J401" s="185" t="s">
        <v>367</v>
      </c>
      <c r="K401" s="186">
        <v>1</v>
      </c>
      <c r="L401" s="665">
        <f t="shared" si="29"/>
        <v>15.625</v>
      </c>
      <c r="M401" s="678" t="str">
        <f t="shared" si="30"/>
        <v>per 1 ultrasound</v>
      </c>
      <c r="N401" s="723"/>
      <c r="O401" s="723"/>
      <c r="P401" s="723"/>
    </row>
    <row r="402" spans="4:16" s="348" customFormat="1" x14ac:dyDescent="0.2">
      <c r="D402" s="805" t="s">
        <v>940</v>
      </c>
      <c r="E402" s="811"/>
      <c r="F402" s="812"/>
      <c r="G402" s="661"/>
      <c r="H402" s="281" t="s">
        <v>944</v>
      </c>
      <c r="I402" s="370">
        <v>2.5</v>
      </c>
      <c r="J402" s="185" t="s">
        <v>366</v>
      </c>
      <c r="K402" s="186">
        <v>1</v>
      </c>
      <c r="L402" s="665">
        <f t="shared" si="29"/>
        <v>2.5</v>
      </c>
      <c r="M402" s="678" t="str">
        <f t="shared" si="30"/>
        <v>per 1 test</v>
      </c>
      <c r="N402" s="723"/>
      <c r="O402" s="723"/>
      <c r="P402" s="723"/>
    </row>
    <row r="403" spans="4:16" s="348" customFormat="1" x14ac:dyDescent="0.2">
      <c r="D403" s="805" t="s">
        <v>1616</v>
      </c>
      <c r="E403" s="806"/>
      <c r="F403" s="807"/>
      <c r="G403" s="661"/>
      <c r="H403" s="281" t="s">
        <v>1181</v>
      </c>
      <c r="I403" s="370">
        <v>0</v>
      </c>
      <c r="J403" s="185" t="s">
        <v>1183</v>
      </c>
      <c r="K403" s="186">
        <v>1</v>
      </c>
      <c r="L403" s="665">
        <f t="shared" si="29"/>
        <v>0</v>
      </c>
      <c r="M403" s="678" t="str">
        <f t="shared" si="30"/>
        <v>per SU</v>
      </c>
      <c r="N403" s="723"/>
      <c r="O403" s="723"/>
      <c r="P403" s="723"/>
    </row>
    <row r="404" spans="4:16" s="348" customFormat="1" x14ac:dyDescent="0.2">
      <c r="D404" s="805" t="s">
        <v>1617</v>
      </c>
      <c r="E404" s="806"/>
      <c r="F404" s="807"/>
      <c r="G404" s="661"/>
      <c r="H404" s="281" t="s">
        <v>1181</v>
      </c>
      <c r="I404" s="370">
        <v>0</v>
      </c>
      <c r="J404" s="185" t="s">
        <v>1183</v>
      </c>
      <c r="K404" s="186">
        <v>1</v>
      </c>
      <c r="L404" s="665">
        <f t="shared" si="29"/>
        <v>0</v>
      </c>
      <c r="M404" s="678" t="str">
        <f t="shared" si="30"/>
        <v>per SU</v>
      </c>
      <c r="N404" s="723"/>
      <c r="O404" s="723"/>
      <c r="P404" s="723"/>
    </row>
    <row r="405" spans="4:16" s="348" customFormat="1" x14ac:dyDescent="0.2">
      <c r="D405" s="805" t="s">
        <v>1618</v>
      </c>
      <c r="E405" s="806"/>
      <c r="F405" s="807"/>
      <c r="G405" s="661"/>
      <c r="H405" s="281" t="s">
        <v>1181</v>
      </c>
      <c r="I405" s="370">
        <v>0</v>
      </c>
      <c r="J405" s="185" t="s">
        <v>1183</v>
      </c>
      <c r="K405" s="186">
        <v>1</v>
      </c>
      <c r="L405" s="665">
        <f t="shared" si="29"/>
        <v>0</v>
      </c>
      <c r="M405" s="678" t="str">
        <f t="shared" si="30"/>
        <v>per SU</v>
      </c>
      <c r="N405" s="723"/>
      <c r="O405" s="723"/>
      <c r="P405" s="723"/>
    </row>
    <row r="406" spans="4:16" s="348" customFormat="1" x14ac:dyDescent="0.2">
      <c r="D406" s="805" t="s">
        <v>1619</v>
      </c>
      <c r="E406" s="806"/>
      <c r="F406" s="807"/>
      <c r="G406" s="661"/>
      <c r="H406" s="281" t="s">
        <v>1181</v>
      </c>
      <c r="I406" s="370">
        <v>0</v>
      </c>
      <c r="J406" s="185" t="s">
        <v>1183</v>
      </c>
      <c r="K406" s="186">
        <v>1</v>
      </c>
      <c r="L406" s="665">
        <f t="shared" si="29"/>
        <v>0</v>
      </c>
      <c r="M406" s="678" t="str">
        <f t="shared" si="30"/>
        <v>per SU</v>
      </c>
      <c r="N406" s="723"/>
      <c r="O406" s="723"/>
      <c r="P406" s="723"/>
    </row>
    <row r="407" spans="4:16" s="348" customFormat="1" x14ac:dyDescent="0.2">
      <c r="D407" s="805" t="s">
        <v>1620</v>
      </c>
      <c r="E407" s="806"/>
      <c r="F407" s="807"/>
      <c r="G407" s="661"/>
      <c r="H407" s="281" t="s">
        <v>1181</v>
      </c>
      <c r="I407" s="370">
        <v>0</v>
      </c>
      <c r="J407" s="185" t="s">
        <v>1183</v>
      </c>
      <c r="K407" s="186">
        <v>1</v>
      </c>
      <c r="L407" s="665">
        <f t="shared" si="29"/>
        <v>0</v>
      </c>
      <c r="M407" s="678" t="str">
        <f t="shared" si="30"/>
        <v>per SU</v>
      </c>
      <c r="N407" s="723"/>
      <c r="O407" s="723"/>
      <c r="P407" s="723"/>
    </row>
    <row r="408" spans="4:16" s="348" customFormat="1" x14ac:dyDescent="0.2">
      <c r="D408" s="805" t="s">
        <v>1621</v>
      </c>
      <c r="E408" s="806"/>
      <c r="F408" s="807"/>
      <c r="G408" s="661"/>
      <c r="H408" s="281" t="s">
        <v>1181</v>
      </c>
      <c r="I408" s="370">
        <v>0</v>
      </c>
      <c r="J408" s="185" t="s">
        <v>1183</v>
      </c>
      <c r="K408" s="186">
        <v>1</v>
      </c>
      <c r="L408" s="665">
        <f t="shared" si="29"/>
        <v>0</v>
      </c>
      <c r="M408" s="678" t="str">
        <f t="shared" si="30"/>
        <v>per SU</v>
      </c>
      <c r="N408" s="723"/>
      <c r="O408" s="723"/>
      <c r="P408" s="723"/>
    </row>
    <row r="409" spans="4:16" s="348" customFormat="1" x14ac:dyDescent="0.2">
      <c r="D409" s="805" t="s">
        <v>1622</v>
      </c>
      <c r="E409" s="806"/>
      <c r="F409" s="807"/>
      <c r="G409" s="661"/>
      <c r="H409" s="281" t="s">
        <v>1181</v>
      </c>
      <c r="I409" s="370">
        <v>0</v>
      </c>
      <c r="J409" s="185" t="s">
        <v>1183</v>
      </c>
      <c r="K409" s="186">
        <v>1</v>
      </c>
      <c r="L409" s="665">
        <f t="shared" si="29"/>
        <v>0</v>
      </c>
      <c r="M409" s="678" t="str">
        <f t="shared" si="30"/>
        <v>per SU</v>
      </c>
      <c r="N409" s="723"/>
      <c r="O409" s="723"/>
      <c r="P409" s="723"/>
    </row>
    <row r="410" spans="4:16" s="348" customFormat="1" x14ac:dyDescent="0.2">
      <c r="D410" s="805" t="s">
        <v>1623</v>
      </c>
      <c r="E410" s="806"/>
      <c r="F410" s="807"/>
      <c r="G410" s="661"/>
      <c r="H410" s="281" t="s">
        <v>1181</v>
      </c>
      <c r="I410" s="370">
        <v>0</v>
      </c>
      <c r="J410" s="185" t="s">
        <v>1183</v>
      </c>
      <c r="K410" s="186">
        <v>1</v>
      </c>
      <c r="L410" s="665">
        <f t="shared" si="29"/>
        <v>0</v>
      </c>
      <c r="M410" s="678" t="str">
        <f t="shared" si="30"/>
        <v>per SU</v>
      </c>
      <c r="N410" s="723"/>
      <c r="O410" s="723"/>
      <c r="P410" s="723"/>
    </row>
    <row r="411" spans="4:16" s="348" customFormat="1" x14ac:dyDescent="0.2">
      <c r="D411" s="805" t="s">
        <v>1624</v>
      </c>
      <c r="E411" s="806"/>
      <c r="F411" s="807"/>
      <c r="G411" s="661"/>
      <c r="H411" s="281" t="s">
        <v>1181</v>
      </c>
      <c r="I411" s="370">
        <v>0</v>
      </c>
      <c r="J411" s="185" t="s">
        <v>1183</v>
      </c>
      <c r="K411" s="186">
        <v>1</v>
      </c>
      <c r="L411" s="665">
        <f t="shared" si="29"/>
        <v>0</v>
      </c>
      <c r="M411" s="678" t="str">
        <f t="shared" si="30"/>
        <v>per SU</v>
      </c>
      <c r="N411" s="723"/>
      <c r="O411" s="723"/>
      <c r="P411" s="723"/>
    </row>
    <row r="412" spans="4:16" s="348" customFormat="1" x14ac:dyDescent="0.2">
      <c r="D412" s="805" t="s">
        <v>1625</v>
      </c>
      <c r="E412" s="806"/>
      <c r="F412" s="807"/>
      <c r="G412" s="661"/>
      <c r="H412" s="281" t="s">
        <v>1181</v>
      </c>
      <c r="I412" s="370">
        <v>0</v>
      </c>
      <c r="J412" s="185" t="s">
        <v>1183</v>
      </c>
      <c r="K412" s="186">
        <v>1</v>
      </c>
      <c r="L412" s="665">
        <f t="shared" si="29"/>
        <v>0</v>
      </c>
      <c r="M412" s="678" t="str">
        <f t="shared" si="30"/>
        <v>per SU</v>
      </c>
      <c r="N412" s="723"/>
      <c r="O412" s="723"/>
      <c r="P412" s="723"/>
    </row>
    <row r="413" spans="4:16" s="348" customFormat="1" x14ac:dyDescent="0.2">
      <c r="D413" s="805" t="s">
        <v>1614</v>
      </c>
      <c r="E413" s="811"/>
      <c r="F413" s="812"/>
      <c r="G413" s="661"/>
      <c r="H413" s="281" t="s">
        <v>1614</v>
      </c>
      <c r="I413" s="370">
        <v>0</v>
      </c>
      <c r="J413" s="185" t="s">
        <v>1183</v>
      </c>
      <c r="K413" s="186">
        <v>1</v>
      </c>
      <c r="L413" s="665">
        <f t="shared" si="29"/>
        <v>0</v>
      </c>
      <c r="M413" s="678" t="str">
        <f t="shared" si="30"/>
        <v>per SU</v>
      </c>
      <c r="N413" s="723"/>
      <c r="O413" s="723"/>
      <c r="P413" s="723"/>
    </row>
    <row r="414" spans="4:16" s="348" customFormat="1" x14ac:dyDescent="0.2"/>
    <row r="415" spans="4:16" s="348" customFormat="1" x14ac:dyDescent="0.2"/>
    <row r="416" spans="4:16" s="348" customFormat="1" outlineLevel="2" x14ac:dyDescent="0.2">
      <c r="D416" s="671" t="s">
        <v>312</v>
      </c>
      <c r="G416" s="130">
        <f>IF(ISERROR(MATCH(G10,Econ_Ann_TA!$D$13:$D$14,0)),1,0)</f>
        <v>0</v>
      </c>
    </row>
    <row r="417" spans="2:14" s="348" customFormat="1" x14ac:dyDescent="0.2">
      <c r="D417" s="671" t="s">
        <v>23</v>
      </c>
      <c r="G417" s="131">
        <f>IF(ISERROR(SUM(G416)),1,MIN(SUM(G416),1))</f>
        <v>0</v>
      </c>
    </row>
    <row r="418" spans="2:14" s="348" customFormat="1" x14ac:dyDescent="0.2"/>
    <row r="419" spans="2:14" s="348" customFormat="1" x14ac:dyDescent="0.2">
      <c r="B419" s="671" t="s">
        <v>1763</v>
      </c>
    </row>
    <row r="420" spans="2:14" s="348" customFormat="1" ht="15.75" outlineLevel="1" x14ac:dyDescent="0.2">
      <c r="C420" s="664" t="s">
        <v>841</v>
      </c>
    </row>
    <row r="421" spans="2:14" s="348" customFormat="1" outlineLevel="1" x14ac:dyDescent="0.2"/>
    <row r="422" spans="2:14" s="348" customFormat="1" ht="15" customHeight="1" outlineLevel="1" x14ac:dyDescent="0.2">
      <c r="F422" s="742" t="s">
        <v>286</v>
      </c>
      <c r="G422" s="743"/>
      <c r="H422" s="743"/>
      <c r="I422" s="742" t="s">
        <v>395</v>
      </c>
      <c r="J422" s="743"/>
      <c r="K422" s="743"/>
      <c r="L422" s="828" t="s">
        <v>1609</v>
      </c>
      <c r="M422" s="829"/>
      <c r="N422" s="830"/>
    </row>
    <row r="423" spans="2:14" s="348" customFormat="1" ht="15" outlineLevel="1" x14ac:dyDescent="0.2">
      <c r="F423" s="112" t="s">
        <v>280</v>
      </c>
      <c r="G423" s="667" t="s">
        <v>281</v>
      </c>
      <c r="H423" s="113" t="s">
        <v>282</v>
      </c>
      <c r="I423" s="667" t="s">
        <v>283</v>
      </c>
      <c r="J423" s="667" t="s">
        <v>284</v>
      </c>
      <c r="K423" s="488" t="s">
        <v>285</v>
      </c>
      <c r="L423" s="531" t="s">
        <v>1605</v>
      </c>
      <c r="M423" s="531" t="s">
        <v>1607</v>
      </c>
      <c r="N423" s="532" t="s">
        <v>1608</v>
      </c>
    </row>
    <row r="424" spans="2:14" s="348" customFormat="1" ht="25.5" outlineLevel="1" x14ac:dyDescent="0.2">
      <c r="F424" s="128" t="str">
        <f>Labels_BA!D16</f>
        <v>Central Referral Hospital</v>
      </c>
      <c r="G424" s="129" t="str">
        <f>Labels_BA!E16</f>
        <v>Provincial Hospital</v>
      </c>
      <c r="H424" s="129" t="str">
        <f>Labels_BA!F16</f>
        <v>District Hospital</v>
      </c>
      <c r="I424" s="128" t="str">
        <f>Labels_BA!G16</f>
        <v>Fixed Health Clinic</v>
      </c>
      <c r="J424" s="129" t="str">
        <f>Labels_BA!H16</f>
        <v>PCI Mobile Health Team</v>
      </c>
      <c r="K424" s="129" t="str">
        <f>Labels_BA!I16</f>
        <v>Gov't Mobile Health Team (Hospital)</v>
      </c>
      <c r="L424" s="534" t="str">
        <f>Labels_BA!J16</f>
        <v>CIDRZ Mobile Health Team</v>
      </c>
      <c r="M424" s="533" t="str">
        <f>Labels_BA!L16</f>
        <v>Facility Type 9</v>
      </c>
      <c r="N424" s="535" t="str">
        <f>Labels_BA!M16</f>
        <v>Facility Type 10</v>
      </c>
    </row>
  </sheetData>
  <sheetProtection password="F0F4" sheet="1" scenarios="1"/>
  <sortState ref="D108:F108">
    <sortCondition ref="D108"/>
  </sortState>
  <mergeCells count="533">
    <mergeCell ref="D398:F398"/>
    <mergeCell ref="N389:P389"/>
    <mergeCell ref="N390:P390"/>
    <mergeCell ref="D253:F253"/>
    <mergeCell ref="N253:P253"/>
    <mergeCell ref="D260:F260"/>
    <mergeCell ref="N260:P260"/>
    <mergeCell ref="D264:F264"/>
    <mergeCell ref="N264:P264"/>
    <mergeCell ref="D283:F283"/>
    <mergeCell ref="N283:P283"/>
    <mergeCell ref="D296:F296"/>
    <mergeCell ref="N296:P296"/>
    <mergeCell ref="D313:F313"/>
    <mergeCell ref="N313:P313"/>
    <mergeCell ref="D318:F318"/>
    <mergeCell ref="N318:P318"/>
    <mergeCell ref="D315:F315"/>
    <mergeCell ref="N315:P315"/>
    <mergeCell ref="D316:F316"/>
    <mergeCell ref="N316:P316"/>
    <mergeCell ref="N333:P333"/>
    <mergeCell ref="N334:P334"/>
    <mergeCell ref="D266:F266"/>
    <mergeCell ref="D341:F341"/>
    <mergeCell ref="L422:N422"/>
    <mergeCell ref="I422:K422"/>
    <mergeCell ref="D395:F395"/>
    <mergeCell ref="D396:F396"/>
    <mergeCell ref="D405:F405"/>
    <mergeCell ref="D386:F386"/>
    <mergeCell ref="D385:F385"/>
    <mergeCell ref="D384:F384"/>
    <mergeCell ref="D383:F383"/>
    <mergeCell ref="D401:F401"/>
    <mergeCell ref="D402:F402"/>
    <mergeCell ref="D399:F399"/>
    <mergeCell ref="D400:F400"/>
    <mergeCell ref="D413:F413"/>
    <mergeCell ref="F422:H422"/>
    <mergeCell ref="D392:F392"/>
    <mergeCell ref="D391:F391"/>
    <mergeCell ref="D390:F390"/>
    <mergeCell ref="D389:F389"/>
    <mergeCell ref="D388:F388"/>
    <mergeCell ref="D387:F387"/>
    <mergeCell ref="N388:P388"/>
    <mergeCell ref="D397:F397"/>
    <mergeCell ref="D235:F235"/>
    <mergeCell ref="D228:F228"/>
    <mergeCell ref="D223:F223"/>
    <mergeCell ref="D227:F227"/>
    <mergeCell ref="D230:F230"/>
    <mergeCell ref="D229:F229"/>
    <mergeCell ref="D234:F234"/>
    <mergeCell ref="D220:F220"/>
    <mergeCell ref="D221:F221"/>
    <mergeCell ref="D222:F222"/>
    <mergeCell ref="D236:F236"/>
    <mergeCell ref="D270:F270"/>
    <mergeCell ref="D246:F246"/>
    <mergeCell ref="D394:F394"/>
    <mergeCell ref="D393:F393"/>
    <mergeCell ref="D372:F372"/>
    <mergeCell ref="D371:F371"/>
    <mergeCell ref="D346:F346"/>
    <mergeCell ref="D344:F344"/>
    <mergeCell ref="D343:F343"/>
    <mergeCell ref="D382:F382"/>
    <mergeCell ref="D239:F239"/>
    <mergeCell ref="D237:F237"/>
    <mergeCell ref="D238:F238"/>
    <mergeCell ref="D254:F254"/>
    <mergeCell ref="D250:F250"/>
    <mergeCell ref="D281:F281"/>
    <mergeCell ref="D280:F280"/>
    <mergeCell ref="D279:F279"/>
    <mergeCell ref="D278:F278"/>
    <mergeCell ref="D334:F334"/>
    <mergeCell ref="D333:F333"/>
    <mergeCell ref="D332:F332"/>
    <mergeCell ref="D331:F331"/>
    <mergeCell ref="D70:F70"/>
    <mergeCell ref="D210:F210"/>
    <mergeCell ref="D211:F211"/>
    <mergeCell ref="D212:F212"/>
    <mergeCell ref="D214:F214"/>
    <mergeCell ref="D218:F218"/>
    <mergeCell ref="D219:F219"/>
    <mergeCell ref="D217:F217"/>
    <mergeCell ref="D71:F71"/>
    <mergeCell ref="D72:F72"/>
    <mergeCell ref="D73:F73"/>
    <mergeCell ref="D74:F74"/>
    <mergeCell ref="D75:F75"/>
    <mergeCell ref="D215:F215"/>
    <mergeCell ref="D213:F213"/>
    <mergeCell ref="D216:F216"/>
    <mergeCell ref="D277:F277"/>
    <mergeCell ref="D245:F245"/>
    <mergeCell ref="D242:F242"/>
    <mergeCell ref="D243:F243"/>
    <mergeCell ref="D276:F276"/>
    <mergeCell ref="D275:F275"/>
    <mergeCell ref="D274:F274"/>
    <mergeCell ref="D273:F273"/>
    <mergeCell ref="D244:F244"/>
    <mergeCell ref="D272:F272"/>
    <mergeCell ref="D271:F271"/>
    <mergeCell ref="D249:F249"/>
    <mergeCell ref="D259:F259"/>
    <mergeCell ref="D258:F258"/>
    <mergeCell ref="D257:F257"/>
    <mergeCell ref="D256:F256"/>
    <mergeCell ref="D255:F255"/>
    <mergeCell ref="D269:F269"/>
    <mergeCell ref="D268:F268"/>
    <mergeCell ref="D267:F267"/>
    <mergeCell ref="D265:F265"/>
    <mergeCell ref="D20:F20"/>
    <mergeCell ref="D15:F15"/>
    <mergeCell ref="D16:F16"/>
    <mergeCell ref="D24:F24"/>
    <mergeCell ref="D40:F40"/>
    <mergeCell ref="D374:F374"/>
    <mergeCell ref="D370:F370"/>
    <mergeCell ref="D356:F356"/>
    <mergeCell ref="D354:F354"/>
    <mergeCell ref="D353:F353"/>
    <mergeCell ref="D352:F352"/>
    <mergeCell ref="D351:F351"/>
    <mergeCell ref="D369:F369"/>
    <mergeCell ref="D364:F364"/>
    <mergeCell ref="D362:F362"/>
    <mergeCell ref="D361:F361"/>
    <mergeCell ref="D360:F360"/>
    <mergeCell ref="D319:F319"/>
    <mergeCell ref="D320:F320"/>
    <mergeCell ref="D321:F321"/>
    <mergeCell ref="D322:F322"/>
    <mergeCell ref="D323:F323"/>
    <mergeCell ref="D329:F329"/>
    <mergeCell ref="D325:F325"/>
    <mergeCell ref="O19:Q19"/>
    <mergeCell ref="O20:Q20"/>
    <mergeCell ref="O21:Q21"/>
    <mergeCell ref="O22:Q22"/>
    <mergeCell ref="O23:Q23"/>
    <mergeCell ref="B3:F3"/>
    <mergeCell ref="D65:F65"/>
    <mergeCell ref="D64:F64"/>
    <mergeCell ref="D63:F63"/>
    <mergeCell ref="D53:F53"/>
    <mergeCell ref="D52:F52"/>
    <mergeCell ref="D23:F23"/>
    <mergeCell ref="D29:F29"/>
    <mergeCell ref="D30:F30"/>
    <mergeCell ref="D31:F31"/>
    <mergeCell ref="D14:F14"/>
    <mergeCell ref="D17:F17"/>
    <mergeCell ref="D19:F19"/>
    <mergeCell ref="D22:F22"/>
    <mergeCell ref="D46:F46"/>
    <mergeCell ref="D47:F47"/>
    <mergeCell ref="D49:F49"/>
    <mergeCell ref="D50:F50"/>
    <mergeCell ref="D21:F21"/>
    <mergeCell ref="D33:F33"/>
    <mergeCell ref="D39:F39"/>
    <mergeCell ref="D54:F54"/>
    <mergeCell ref="D48:F48"/>
    <mergeCell ref="D28:F28"/>
    <mergeCell ref="D27:F27"/>
    <mergeCell ref="D25:F25"/>
    <mergeCell ref="O33:Q33"/>
    <mergeCell ref="O34:Q34"/>
    <mergeCell ref="O35:Q35"/>
    <mergeCell ref="O36:Q36"/>
    <mergeCell ref="O37:Q37"/>
    <mergeCell ref="O38:Q38"/>
    <mergeCell ref="D34:F34"/>
    <mergeCell ref="D32:F32"/>
    <mergeCell ref="D37:F37"/>
    <mergeCell ref="D36:F36"/>
    <mergeCell ref="D38:F38"/>
    <mergeCell ref="D35:F35"/>
    <mergeCell ref="D26:F26"/>
    <mergeCell ref="O39:Q39"/>
    <mergeCell ref="N255:P255"/>
    <mergeCell ref="N256:P256"/>
    <mergeCell ref="N257:P257"/>
    <mergeCell ref="N258:P258"/>
    <mergeCell ref="D247:F247"/>
    <mergeCell ref="D41:F41"/>
    <mergeCell ref="D57:F57"/>
    <mergeCell ref="D58:F58"/>
    <mergeCell ref="D59:F59"/>
    <mergeCell ref="D60:F60"/>
    <mergeCell ref="D61:F61"/>
    <mergeCell ref="D55:F55"/>
    <mergeCell ref="D56:F56"/>
    <mergeCell ref="D66:F66"/>
    <mergeCell ref="D233:F233"/>
    <mergeCell ref="D232:F232"/>
    <mergeCell ref="D231:F231"/>
    <mergeCell ref="D226:F226"/>
    <mergeCell ref="D225:F225"/>
    <mergeCell ref="D224:F224"/>
    <mergeCell ref="D241:F241"/>
    <mergeCell ref="D240:F240"/>
    <mergeCell ref="D68:F68"/>
    <mergeCell ref="D69:F69"/>
    <mergeCell ref="D289:F289"/>
    <mergeCell ref="N259:P259"/>
    <mergeCell ref="D263:F263"/>
    <mergeCell ref="D262:F262"/>
    <mergeCell ref="D261:F261"/>
    <mergeCell ref="D62:F62"/>
    <mergeCell ref="D44:F44"/>
    <mergeCell ref="D43:F43"/>
    <mergeCell ref="D42:F42"/>
    <mergeCell ref="D67:F67"/>
    <mergeCell ref="N265:P265"/>
    <mergeCell ref="N266:P266"/>
    <mergeCell ref="N267:P267"/>
    <mergeCell ref="N268:P268"/>
    <mergeCell ref="D252:F252"/>
    <mergeCell ref="D251:F251"/>
    <mergeCell ref="N261:P261"/>
    <mergeCell ref="N262:P262"/>
    <mergeCell ref="N263:P263"/>
    <mergeCell ref="N249:P249"/>
    <mergeCell ref="N250:P250"/>
    <mergeCell ref="N251:P251"/>
    <mergeCell ref="N252:P252"/>
    <mergeCell ref="N254:P254"/>
    <mergeCell ref="D330:F330"/>
    <mergeCell ref="D328:F328"/>
    <mergeCell ref="D327:F327"/>
    <mergeCell ref="D326:F326"/>
    <mergeCell ref="N342:P342"/>
    <mergeCell ref="N343:P343"/>
    <mergeCell ref="N344:P344"/>
    <mergeCell ref="N269:P269"/>
    <mergeCell ref="D76:F76"/>
    <mergeCell ref="D314:F314"/>
    <mergeCell ref="D312:F312"/>
    <mergeCell ref="D311:F311"/>
    <mergeCell ref="D310:F310"/>
    <mergeCell ref="D309:F309"/>
    <mergeCell ref="D308:F308"/>
    <mergeCell ref="D307:F307"/>
    <mergeCell ref="D306:F306"/>
    <mergeCell ref="D286:F286"/>
    <mergeCell ref="D285:F285"/>
    <mergeCell ref="D284:F284"/>
    <mergeCell ref="D77:F77"/>
    <mergeCell ref="D282:F282"/>
    <mergeCell ref="D292:F292"/>
    <mergeCell ref="D305:F305"/>
    <mergeCell ref="D381:F381"/>
    <mergeCell ref="D350:F350"/>
    <mergeCell ref="D345:F345"/>
    <mergeCell ref="D340:F340"/>
    <mergeCell ref="D335:F335"/>
    <mergeCell ref="D349:F349"/>
    <mergeCell ref="D348:F348"/>
    <mergeCell ref="D347:F347"/>
    <mergeCell ref="D376:F376"/>
    <mergeCell ref="D375:F375"/>
    <mergeCell ref="D363:F363"/>
    <mergeCell ref="D373:F373"/>
    <mergeCell ref="D339:F339"/>
    <mergeCell ref="D338:F338"/>
    <mergeCell ref="D337:F337"/>
    <mergeCell ref="D336:F336"/>
    <mergeCell ref="D368:F368"/>
    <mergeCell ref="D367:F367"/>
    <mergeCell ref="D366:F366"/>
    <mergeCell ref="D365:F365"/>
    <mergeCell ref="D359:F359"/>
    <mergeCell ref="D358:F358"/>
    <mergeCell ref="D357:F357"/>
    <mergeCell ref="D342:F342"/>
    <mergeCell ref="D291:F291"/>
    <mergeCell ref="D290:F290"/>
    <mergeCell ref="D300:F300"/>
    <mergeCell ref="D299:F299"/>
    <mergeCell ref="D298:F298"/>
    <mergeCell ref="D297:F297"/>
    <mergeCell ref="N299:P299"/>
    <mergeCell ref="N300:P300"/>
    <mergeCell ref="D324:F324"/>
    <mergeCell ref="N301:P301"/>
    <mergeCell ref="D304:F304"/>
    <mergeCell ref="D302:F302"/>
    <mergeCell ref="D317:F317"/>
    <mergeCell ref="D301:F301"/>
    <mergeCell ref="D295:F295"/>
    <mergeCell ref="N302:P302"/>
    <mergeCell ref="N303:P303"/>
    <mergeCell ref="N304:P304"/>
    <mergeCell ref="N305:P305"/>
    <mergeCell ref="N306:P306"/>
    <mergeCell ref="N307:P307"/>
    <mergeCell ref="N308:P308"/>
    <mergeCell ref="N309:P309"/>
    <mergeCell ref="N310:P310"/>
    <mergeCell ref="O13:Q13"/>
    <mergeCell ref="O14:Q14"/>
    <mergeCell ref="O15:Q15"/>
    <mergeCell ref="O16:Q16"/>
    <mergeCell ref="O17:Q17"/>
    <mergeCell ref="O18:Q18"/>
    <mergeCell ref="D412:F412"/>
    <mergeCell ref="D18:F18"/>
    <mergeCell ref="D51:F51"/>
    <mergeCell ref="D407:F407"/>
    <mergeCell ref="D408:F408"/>
    <mergeCell ref="D409:F409"/>
    <mergeCell ref="D410:F410"/>
    <mergeCell ref="D411:F411"/>
    <mergeCell ref="D403:F403"/>
    <mergeCell ref="D404:F404"/>
    <mergeCell ref="D406:F406"/>
    <mergeCell ref="D355:F355"/>
    <mergeCell ref="D303:F303"/>
    <mergeCell ref="D288:F288"/>
    <mergeCell ref="D287:F287"/>
    <mergeCell ref="D248:F248"/>
    <mergeCell ref="D294:F294"/>
    <mergeCell ref="D293:F293"/>
    <mergeCell ref="N209:P209"/>
    <mergeCell ref="N210:P210"/>
    <mergeCell ref="N211:P211"/>
    <mergeCell ref="N212:P212"/>
    <mergeCell ref="O70:Q70"/>
    <mergeCell ref="O71:Q71"/>
    <mergeCell ref="O72:Q72"/>
    <mergeCell ref="O73:Q73"/>
    <mergeCell ref="O74:Q74"/>
    <mergeCell ref="O75:Q75"/>
    <mergeCell ref="O76:Q76"/>
    <mergeCell ref="O77:Q77"/>
    <mergeCell ref="N213:P213"/>
    <mergeCell ref="N214:P214"/>
    <mergeCell ref="N215:P215"/>
    <mergeCell ref="N216:P216"/>
    <mergeCell ref="N217:P217"/>
    <mergeCell ref="N218:P218"/>
    <mergeCell ref="N219:P219"/>
    <mergeCell ref="N220:P220"/>
    <mergeCell ref="N221:P221"/>
    <mergeCell ref="N222:P222"/>
    <mergeCell ref="N223:P223"/>
    <mergeCell ref="N224:P224"/>
    <mergeCell ref="N225:P225"/>
    <mergeCell ref="N226:P226"/>
    <mergeCell ref="N227:P227"/>
    <mergeCell ref="N228:P228"/>
    <mergeCell ref="N229:P229"/>
    <mergeCell ref="N230:P230"/>
    <mergeCell ref="N231:P231"/>
    <mergeCell ref="N232:P232"/>
    <mergeCell ref="N233:P233"/>
    <mergeCell ref="N234:P234"/>
    <mergeCell ref="N235:P235"/>
    <mergeCell ref="N236:P236"/>
    <mergeCell ref="N237:P237"/>
    <mergeCell ref="N238:P238"/>
    <mergeCell ref="N239:P239"/>
    <mergeCell ref="N240:P240"/>
    <mergeCell ref="N241:P241"/>
    <mergeCell ref="N242:P242"/>
    <mergeCell ref="N243:P243"/>
    <mergeCell ref="N244:P244"/>
    <mergeCell ref="N245:P245"/>
    <mergeCell ref="N246:P246"/>
    <mergeCell ref="N247:P247"/>
    <mergeCell ref="N248:P248"/>
    <mergeCell ref="N270:P270"/>
    <mergeCell ref="N271:P271"/>
    <mergeCell ref="N272:P272"/>
    <mergeCell ref="N273:P273"/>
    <mergeCell ref="N274:P274"/>
    <mergeCell ref="N275:P275"/>
    <mergeCell ref="N276:P276"/>
    <mergeCell ref="N277:P277"/>
    <mergeCell ref="N278:P278"/>
    <mergeCell ref="N279:P279"/>
    <mergeCell ref="N280:P280"/>
    <mergeCell ref="N281:P281"/>
    <mergeCell ref="N282:P282"/>
    <mergeCell ref="N284:P284"/>
    <mergeCell ref="N285:P285"/>
    <mergeCell ref="N286:P286"/>
    <mergeCell ref="N287:P287"/>
    <mergeCell ref="N288:P288"/>
    <mergeCell ref="N289:P289"/>
    <mergeCell ref="N290:P290"/>
    <mergeCell ref="N291:P291"/>
    <mergeCell ref="N292:P292"/>
    <mergeCell ref="N293:P293"/>
    <mergeCell ref="N294:P294"/>
    <mergeCell ref="N295:P295"/>
    <mergeCell ref="N297:P297"/>
    <mergeCell ref="N298:P298"/>
    <mergeCell ref="N311:P311"/>
    <mergeCell ref="N312:P312"/>
    <mergeCell ref="N314:P314"/>
    <mergeCell ref="N317:P317"/>
    <mergeCell ref="N319:P319"/>
    <mergeCell ref="N320:P320"/>
    <mergeCell ref="N321:P321"/>
    <mergeCell ref="N322:P322"/>
    <mergeCell ref="N323:P323"/>
    <mergeCell ref="N324:P324"/>
    <mergeCell ref="N325:P325"/>
    <mergeCell ref="N326:P326"/>
    <mergeCell ref="N327:P327"/>
    <mergeCell ref="N328:P328"/>
    <mergeCell ref="N329:P329"/>
    <mergeCell ref="N330:P330"/>
    <mergeCell ref="N331:P331"/>
    <mergeCell ref="N332:P332"/>
    <mergeCell ref="N335:P335"/>
    <mergeCell ref="N336:P336"/>
    <mergeCell ref="N337:P337"/>
    <mergeCell ref="N338:P338"/>
    <mergeCell ref="N339:P339"/>
    <mergeCell ref="N340:P340"/>
    <mergeCell ref="N341:P341"/>
    <mergeCell ref="N356:P356"/>
    <mergeCell ref="N357:P357"/>
    <mergeCell ref="N355:P355"/>
    <mergeCell ref="N346:P346"/>
    <mergeCell ref="N347:P347"/>
    <mergeCell ref="N348:P348"/>
    <mergeCell ref="N349:P349"/>
    <mergeCell ref="N350:P350"/>
    <mergeCell ref="N351:P351"/>
    <mergeCell ref="N352:P352"/>
    <mergeCell ref="N353:P353"/>
    <mergeCell ref="N354:P354"/>
    <mergeCell ref="N345:P345"/>
    <mergeCell ref="N358:P358"/>
    <mergeCell ref="N359:P359"/>
    <mergeCell ref="N360:P360"/>
    <mergeCell ref="N361:P361"/>
    <mergeCell ref="N362:P362"/>
    <mergeCell ref="N363:P363"/>
    <mergeCell ref="N364:P364"/>
    <mergeCell ref="N365:P365"/>
    <mergeCell ref="N366:P366"/>
    <mergeCell ref="N367:P367"/>
    <mergeCell ref="N368:P368"/>
    <mergeCell ref="N369:P369"/>
    <mergeCell ref="N370:P370"/>
    <mergeCell ref="N371:P371"/>
    <mergeCell ref="N372:P372"/>
    <mergeCell ref="N373:P373"/>
    <mergeCell ref="N374:P374"/>
    <mergeCell ref="N375:P375"/>
    <mergeCell ref="N376:P376"/>
    <mergeCell ref="N380:P380"/>
    <mergeCell ref="N381:P381"/>
    <mergeCell ref="N382:P382"/>
    <mergeCell ref="N383:P383"/>
    <mergeCell ref="N384:P384"/>
    <mergeCell ref="N385:P385"/>
    <mergeCell ref="N386:P386"/>
    <mergeCell ref="N387:P387"/>
    <mergeCell ref="N391:P391"/>
    <mergeCell ref="N392:P392"/>
    <mergeCell ref="N393:P393"/>
    <mergeCell ref="N394:P394"/>
    <mergeCell ref="N395:P395"/>
    <mergeCell ref="N396:P396"/>
    <mergeCell ref="N397:P397"/>
    <mergeCell ref="N398:P398"/>
    <mergeCell ref="N399:P399"/>
    <mergeCell ref="N400:P400"/>
    <mergeCell ref="N401:P401"/>
    <mergeCell ref="N402:P402"/>
    <mergeCell ref="N403:P403"/>
    <mergeCell ref="N404:P404"/>
    <mergeCell ref="N405:P405"/>
    <mergeCell ref="N406:P406"/>
    <mergeCell ref="N407:P407"/>
    <mergeCell ref="N408:P408"/>
    <mergeCell ref="N409:P409"/>
    <mergeCell ref="N410:P410"/>
    <mergeCell ref="N411:P411"/>
    <mergeCell ref="N412:P412"/>
    <mergeCell ref="N413:P413"/>
    <mergeCell ref="O47:Q47"/>
    <mergeCell ref="O48:Q48"/>
    <mergeCell ref="O49:Q49"/>
    <mergeCell ref="O50:Q50"/>
    <mergeCell ref="O51:Q51"/>
    <mergeCell ref="O52:Q52"/>
    <mergeCell ref="O53:Q53"/>
    <mergeCell ref="O54:Q54"/>
    <mergeCell ref="O55:Q55"/>
    <mergeCell ref="O56:Q56"/>
    <mergeCell ref="O57:Q57"/>
    <mergeCell ref="O58:Q58"/>
    <mergeCell ref="O59:Q59"/>
    <mergeCell ref="O60:Q60"/>
    <mergeCell ref="O61:Q61"/>
    <mergeCell ref="O62:Q62"/>
    <mergeCell ref="O63:Q63"/>
    <mergeCell ref="O64:Q64"/>
    <mergeCell ref="O65:Q65"/>
    <mergeCell ref="O66:Q66"/>
    <mergeCell ref="O67:Q67"/>
    <mergeCell ref="O68:Q68"/>
    <mergeCell ref="O69:Q69"/>
    <mergeCell ref="O40:Q40"/>
    <mergeCell ref="O41:Q41"/>
    <mergeCell ref="O42:Q42"/>
    <mergeCell ref="O43:Q43"/>
    <mergeCell ref="O44:Q44"/>
    <mergeCell ref="O46:Q46"/>
    <mergeCell ref="O24:Q24"/>
    <mergeCell ref="O25:Q25"/>
    <mergeCell ref="O26:Q26"/>
    <mergeCell ref="O27:Q27"/>
    <mergeCell ref="O28:Q28"/>
    <mergeCell ref="O29:Q29"/>
    <mergeCell ref="O30:Q30"/>
    <mergeCell ref="O31:Q31"/>
    <mergeCell ref="O32:Q32"/>
  </mergeCells>
  <conditionalFormatting sqref="G416">
    <cfRule type="cellIs" dxfId="113" priority="1" operator="notEqual">
      <formula>0</formula>
    </cfRule>
  </conditionalFormatting>
  <conditionalFormatting sqref="G417">
    <cfRule type="cellIs" dxfId="112" priority="2" operator="notEqual">
      <formula>0</formula>
    </cfRule>
  </conditionalFormatting>
  <dataValidations count="5">
    <dataValidation type="decimal" operator="greaterThanOrEqual" allowBlank="1" showDropDown="1" showErrorMessage="1" errorTitle="Invalid Assumption" error="Assumption must be a value greater than or equal to zero." sqref="I381:I413 I14:I44 I47:I77 K84:K206 K14:K44 K47:K77 I84:I206 K381:K413 I317:I376 I210:I315 K210:K315 K317:K376">
      <formula1>0</formula1>
    </dataValidation>
    <dataValidation type="list" allowBlank="1" showInputMessage="1" showErrorMessage="1" sqref="G10">
      <formula1>LU_Price_Curr</formula1>
    </dataValidation>
    <dataValidation type="decimal" operator="greaterThanOrEqual" allowBlank="1" showDropDown="1" showErrorMessage="1" errorTitle="Invalid Assumption" error="Assumption must be a value greater than or equal to zero." sqref="N84:N206">
      <formula1>1</formula1>
    </dataValidation>
    <dataValidation type="decimal" operator="greaterThanOrEqual" allowBlank="1" showDropDown="1" showErrorMessage="1" errorTitle="Invalid Assumption" error="Assumption must be a value greater than or equal to zero." sqref="I316">
      <formula1>0</formula1>
    </dataValidation>
    <dataValidation type="decimal" operator="greaterThanOrEqual" allowBlank="1" showDropDown="1" showErrorMessage="1" errorTitle="Invalid Assumption" error="Assumption must be a value greater than or equal to zero." sqref="K316">
      <formula1>0</formula1>
    </dataValidation>
  </dataValidations>
  <hyperlinks>
    <hyperlink ref="A4" location="$B$5" tooltip="Go to Top of Sheet" display="$B$5"/>
    <hyperlink ref="D11" location="HL_Price_Curr_Options" tooltip="Click to follow hyperlink." display="HL_Price_Curr_Options"/>
    <hyperlink ref="C4" location="HL_Sheet_Main_38" tooltip="Go to Next Sheet" display="HL_Sheet_Main_38"/>
    <hyperlink ref="B4" location="HL_Sheet_Main_40" tooltip="Go to Previous Sheet" display="HL_Sheet_Main_40"/>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autoPageBreaks="0" fitToPage="1"/>
  </sheetPr>
  <dimension ref="A1:P20"/>
  <sheetViews>
    <sheetView showGridLines="0" zoomScaleNormal="100" workbookViewId="0">
      <selection activeCell="C11" sqref="C11"/>
    </sheetView>
  </sheetViews>
  <sheetFormatPr defaultColWidth="11.7109375" defaultRowHeight="12.75" x14ac:dyDescent="0.2"/>
  <cols>
    <col min="3" max="6" width="3.7109375" customWidth="1"/>
  </cols>
  <sheetData>
    <row r="1" spans="1:16" x14ac:dyDescent="0.2">
      <c r="A1" s="420"/>
    </row>
    <row r="5" spans="1:16" ht="13.5" thickBot="1" x14ac:dyDescent="0.25">
      <c r="K5" s="194" t="s">
        <v>655</v>
      </c>
      <c r="L5" s="322"/>
      <c r="M5" s="322"/>
      <c r="N5" s="322"/>
    </row>
    <row r="6" spans="1:16" ht="39" thickBot="1" x14ac:dyDescent="0.25">
      <c r="K6" s="279" t="str">
        <f>HL_Total_Costs_Total_Financial_Costs</f>
        <v>Total Financial Costs (USD)</v>
      </c>
      <c r="L6" s="209">
        <f ca="1">HL_Serv_Fin_Costs_Total_Includes_Capex+HL_Sum_Tbls_Total_Fin_NonService</f>
        <v>13201802.623103442</v>
      </c>
      <c r="M6" s="280" t="str">
        <f>HL_Total_Costs_Total_Economic_Costs</f>
        <v>Total Economic Costs (USD)</v>
      </c>
      <c r="N6" s="210">
        <f ca="1">HL_Serv_Total_SD_Econ_Incl_Capex_Annualized+HL_Sum_Tbls_Non_Serv_Del_Econ</f>
        <v>16051507.479505146</v>
      </c>
    </row>
    <row r="7" spans="1:16" ht="26.25" thickBot="1" x14ac:dyDescent="0.25">
      <c r="K7" s="206" t="str">
        <f>Serv_Total_Nmbr_Svcs_1</f>
        <v>Total # Screening</v>
      </c>
      <c r="L7" s="207" t="str">
        <f>Serv_Total_Nmbr_Svcs_2</f>
        <v>Total # Diagnostic</v>
      </c>
      <c r="M7" s="207" t="str">
        <f>Serv_Total_Nmbr_Svcs_3</f>
        <v>Total # PreCxCa</v>
      </c>
      <c r="N7" s="208" t="str">
        <f>Serv_Total_Nmbr_Svcs_4</f>
        <v>Total # CxCa</v>
      </c>
    </row>
    <row r="8" spans="1:16" ht="13.5" thickBot="1" x14ac:dyDescent="0.25">
      <c r="K8" s="202">
        <f ca="1">Serv_Tot_Nmbr_Svcs_1</f>
        <v>509112</v>
      </c>
      <c r="L8" s="203">
        <f ca="1">Serv_Tot_Nmbr_Svcs_2</f>
        <v>2550</v>
      </c>
      <c r="M8" s="204">
        <f ca="1">Serv_Tot_Nmbr_Svcs_3</f>
        <v>67278</v>
      </c>
      <c r="N8" s="205">
        <f ca="1">Serv_Tot_Nmbr_Svcs_4</f>
        <v>5006</v>
      </c>
    </row>
    <row r="9" spans="1:16" ht="23.25" x14ac:dyDescent="0.2">
      <c r="C9" s="32" t="s">
        <v>601</v>
      </c>
      <c r="K9" s="322"/>
      <c r="L9" s="322"/>
      <c r="M9" s="322"/>
      <c r="N9" s="322"/>
    </row>
    <row r="10" spans="1:16" ht="21" x14ac:dyDescent="0.2">
      <c r="C10" s="35" t="s">
        <v>1880</v>
      </c>
      <c r="K10" s="703" t="str">
        <f>"Go to "&amp;HL_TOC_48</f>
        <v>Go to Introduction and Recurrent Costs ( Excludes Service Delivery Capital Expenditures)</v>
      </c>
      <c r="L10" s="703"/>
      <c r="M10" s="703"/>
      <c r="N10" s="703"/>
    </row>
    <row r="11" spans="1:16" ht="18.75" x14ac:dyDescent="0.2">
      <c r="C11" s="36" t="str">
        <f>Model_Name</f>
        <v>Zambia C4P* - Screening &amp; Treatment Tool</v>
      </c>
    </row>
    <row r="12" spans="1:16" x14ac:dyDescent="0.2">
      <c r="C12" s="702" t="s">
        <v>2</v>
      </c>
      <c r="D12" s="702"/>
      <c r="E12" s="702"/>
      <c r="F12" s="702"/>
      <c r="G12" s="702"/>
      <c r="M12" s="47"/>
      <c r="N12" s="47"/>
      <c r="O12" s="47"/>
      <c r="P12" s="47"/>
    </row>
    <row r="13" spans="1:16" x14ac:dyDescent="0.2">
      <c r="C13" s="50" t="s">
        <v>6</v>
      </c>
      <c r="D13" s="46" t="s">
        <v>7</v>
      </c>
      <c r="M13" s="47"/>
      <c r="N13" s="47"/>
      <c r="O13" s="47"/>
      <c r="P13" s="47"/>
    </row>
    <row r="14" spans="1:16" x14ac:dyDescent="0.2">
      <c r="M14" s="47"/>
      <c r="N14" s="47"/>
      <c r="O14" s="47"/>
      <c r="P14" s="47"/>
    </row>
    <row r="15" spans="1:16" x14ac:dyDescent="0.2">
      <c r="M15" s="47"/>
      <c r="N15" s="47"/>
      <c r="O15" s="47"/>
      <c r="P15" s="47"/>
    </row>
    <row r="16" spans="1:16" x14ac:dyDescent="0.2">
      <c r="M16" s="47"/>
      <c r="N16" s="47"/>
      <c r="O16" s="47"/>
      <c r="P16" s="47"/>
    </row>
    <row r="17" spans="3:16" ht="15" x14ac:dyDescent="0.2">
      <c r="C17" s="54" t="s">
        <v>10</v>
      </c>
      <c r="M17" s="47"/>
      <c r="N17" s="47"/>
      <c r="O17" s="47"/>
      <c r="P17" s="47"/>
    </row>
    <row r="18" spans="3:16" x14ac:dyDescent="0.2">
      <c r="C18" s="89" t="s">
        <v>843</v>
      </c>
    </row>
    <row r="19" spans="3:16" x14ac:dyDescent="0.2">
      <c r="C19" s="89" t="s">
        <v>844</v>
      </c>
    </row>
    <row r="20" spans="3:16" x14ac:dyDescent="0.2">
      <c r="C20" s="89" t="s">
        <v>845</v>
      </c>
    </row>
  </sheetData>
  <mergeCells count="2">
    <mergeCell ref="C12:G12"/>
    <mergeCell ref="K10:N10"/>
  </mergeCells>
  <hyperlinks>
    <hyperlink ref="D13" location="HL_Sheet_Main_14" tooltip="Go to Next Sheet" display="HL_Sheet_Main_14"/>
    <hyperlink ref="C13" location="HL_Sheet_Main_48" tooltip="Go to Previous Sheet" display="HL_Sheet_Main_48"/>
    <hyperlink ref="K10" location="HL_TOC_48" tooltip="Go to Total Costs - By Cost Type (Introduction and Recurrent) - excludes Service Delivery Capital Expenditures" display="HL_TOC_48"/>
    <hyperlink ref="C12"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tabColor rgb="FFFFC000"/>
    <pageSetUpPr autoPageBreaks="0"/>
  </sheetPr>
  <dimension ref="A1:U524"/>
  <sheetViews>
    <sheetView showGridLines="0" zoomScaleNormal="100" workbookViewId="0">
      <pane ySplit="4" topLeftCell="A7" activePane="bottomLeft" state="frozen"/>
      <selection activeCell="N513" sqref="N513"/>
      <selection pane="bottomLeft" activeCell="G21" sqref="G21"/>
    </sheetView>
  </sheetViews>
  <sheetFormatPr defaultColWidth="11.7109375" defaultRowHeight="12.75" outlineLevelRow="4" outlineLevelCol="2" x14ac:dyDescent="0.2"/>
  <cols>
    <col min="1" max="2" width="3.7109375" style="105" customWidth="1"/>
    <col min="3" max="3" width="3.42578125" style="105" customWidth="1"/>
    <col min="4" max="5" width="3.7109375" style="105" customWidth="1"/>
    <col min="6" max="6" width="11.7109375" style="105"/>
    <col min="7" max="7" width="39.42578125" style="105" customWidth="1"/>
    <col min="8" max="8" width="9.140625" style="105" customWidth="1"/>
    <col min="9" max="9" width="9.28515625" style="105" customWidth="1"/>
    <col min="10" max="15" width="15.7109375" style="105" customWidth="1"/>
    <col min="16" max="20" width="11.7109375" style="105"/>
    <col min="21" max="21" width="11.7109375" style="105" customWidth="1" outlineLevel="2"/>
    <col min="22" max="16384" width="11.7109375" style="105"/>
  </cols>
  <sheetData>
    <row r="1" spans="1:10" ht="23.25" x14ac:dyDescent="0.2">
      <c r="A1" s="321"/>
      <c r="B1" s="106" t="s">
        <v>622</v>
      </c>
    </row>
    <row r="2" spans="1:10" ht="18.75" x14ac:dyDescent="0.2">
      <c r="B2" s="107" t="str">
        <f>Model_Name</f>
        <v>Zambia C4P* - Screening &amp; Treatment Tool</v>
      </c>
    </row>
    <row r="3" spans="1:10" x14ac:dyDescent="0.2">
      <c r="B3" s="722" t="s">
        <v>2</v>
      </c>
      <c r="C3" s="722"/>
      <c r="D3" s="722"/>
      <c r="E3" s="722"/>
      <c r="F3" s="722"/>
    </row>
    <row r="4" spans="1:10" x14ac:dyDescent="0.2">
      <c r="A4" s="108" t="s">
        <v>4</v>
      </c>
      <c r="B4" s="109" t="s">
        <v>6</v>
      </c>
      <c r="C4" s="353" t="s">
        <v>7</v>
      </c>
      <c r="D4" s="354" t="s">
        <v>27</v>
      </c>
      <c r="E4" s="355" t="s">
        <v>28</v>
      </c>
      <c r="F4" s="356" t="s">
        <v>29</v>
      </c>
    </row>
    <row r="5" spans="1:10" s="348" customFormat="1" x14ac:dyDescent="0.2"/>
    <row r="6" spans="1:10" s="348" customFormat="1" x14ac:dyDescent="0.2"/>
    <row r="7" spans="1:10" s="348" customFormat="1" ht="18.75" x14ac:dyDescent="0.2">
      <c r="B7" s="115" t="str">
        <f>G9&amp;" - Assumptions"</f>
        <v>Visual Inspection with Acetic Acid - Assumptions</v>
      </c>
    </row>
    <row r="8" spans="1:10" s="348" customFormat="1" x14ac:dyDescent="0.2"/>
    <row r="9" spans="1:10" s="348" customFormat="1" x14ac:dyDescent="0.2">
      <c r="C9" s="671" t="s">
        <v>77</v>
      </c>
      <c r="G9" s="723" t="s">
        <v>78</v>
      </c>
      <c r="H9" s="723"/>
      <c r="I9" s="723"/>
      <c r="J9" s="723"/>
    </row>
    <row r="10" spans="1:10" s="348" customFormat="1" x14ac:dyDescent="0.2">
      <c r="C10" s="671" t="s">
        <v>79</v>
      </c>
      <c r="G10" s="721" t="s">
        <v>80</v>
      </c>
      <c r="H10" s="721"/>
      <c r="I10" s="721"/>
      <c r="J10" s="721"/>
    </row>
    <row r="11" spans="1:10" s="348" customFormat="1" x14ac:dyDescent="0.2"/>
    <row r="12" spans="1:10" s="348" customFormat="1" x14ac:dyDescent="0.2">
      <c r="C12" s="678" t="str">
        <f>"Proportion of All Screening Performed by "&amp;G10</f>
        <v>Proportion of All Screening Performed by VIA</v>
      </c>
      <c r="J12" s="123">
        <f>IFERROR(INDEX($J$15:$J$15,MATCH($G$10,$C$15:$C$15,0)),0)</f>
        <v>1</v>
      </c>
    </row>
    <row r="13" spans="1:10" s="348" customFormat="1" hidden="1" outlineLevel="2" x14ac:dyDescent="0.2"/>
    <row r="14" spans="1:10" s="348" customFormat="1" ht="15" hidden="1" outlineLevel="2" x14ac:dyDescent="0.2">
      <c r="C14" s="667" t="s">
        <v>274</v>
      </c>
    </row>
    <row r="15" spans="1:10" s="348" customFormat="1" hidden="1" outlineLevel="2" x14ac:dyDescent="0.2">
      <c r="C15" s="668" t="str">
        <f>Reg_Pop_Ann_TA!D26</f>
        <v>VIA</v>
      </c>
      <c r="J15" s="122">
        <f>Reg_Pop_Ann_TA!H26</f>
        <v>1</v>
      </c>
    </row>
    <row r="16" spans="1:10" s="348" customFormat="1" collapsed="1" x14ac:dyDescent="0.2"/>
    <row r="17" spans="2:16" s="348" customFormat="1" x14ac:dyDescent="0.2"/>
    <row r="18" spans="2:16" s="348" customFormat="1" ht="15.75" x14ac:dyDescent="0.2">
      <c r="B18" s="124" t="str">
        <f>"Annual Capacity per Individual Facility Type - "&amp;Screen_Code1</f>
        <v>Annual Capacity per Individual Facility Type - VIA</v>
      </c>
    </row>
    <row r="19" spans="2:16" s="348" customFormat="1" x14ac:dyDescent="0.2"/>
    <row r="20" spans="2:16" s="348" customFormat="1" ht="47.25" customHeight="1" x14ac:dyDescent="0.2">
      <c r="F20" s="671" t="s">
        <v>1752</v>
      </c>
      <c r="H20" s="676" t="s">
        <v>1746</v>
      </c>
      <c r="I20" s="676" t="s">
        <v>1747</v>
      </c>
      <c r="J20" s="676" t="s">
        <v>1749</v>
      </c>
      <c r="K20" s="676" t="s">
        <v>1748</v>
      </c>
      <c r="L20" s="676" t="s">
        <v>1750</v>
      </c>
      <c r="N20" s="800" t="s">
        <v>1759</v>
      </c>
      <c r="O20" s="801"/>
      <c r="P20" s="801"/>
    </row>
    <row r="21" spans="2:16" s="348" customFormat="1" x14ac:dyDescent="0.2">
      <c r="G21" s="668" t="str">
        <f>Labels_BA!D16</f>
        <v>Central Referral Hospital</v>
      </c>
      <c r="H21" s="494">
        <v>156</v>
      </c>
      <c r="I21" s="494">
        <v>6.5</v>
      </c>
      <c r="J21" s="494">
        <v>60</v>
      </c>
      <c r="K21" s="494">
        <v>26</v>
      </c>
      <c r="L21" s="487">
        <f>IFERROR((H21*I21*J21)/K21,0)</f>
        <v>2340</v>
      </c>
      <c r="N21" s="721" t="s">
        <v>1784</v>
      </c>
      <c r="O21" s="721"/>
      <c r="P21" s="721"/>
    </row>
    <row r="22" spans="2:16" s="348" customFormat="1" x14ac:dyDescent="0.2">
      <c r="G22" s="668" t="str">
        <f>Labels_BA!E16</f>
        <v>Provincial Hospital</v>
      </c>
      <c r="H22" s="494">
        <v>156</v>
      </c>
      <c r="I22" s="494">
        <v>6.5</v>
      </c>
      <c r="J22" s="494">
        <v>60</v>
      </c>
      <c r="K22" s="494">
        <v>26</v>
      </c>
      <c r="L22" s="487">
        <f>IFERROR((H22*I22*J22)/K22,0)</f>
        <v>2340</v>
      </c>
      <c r="N22" s="721" t="s">
        <v>1925</v>
      </c>
      <c r="O22" s="721"/>
      <c r="P22" s="721"/>
    </row>
    <row r="23" spans="2:16" s="348" customFormat="1" x14ac:dyDescent="0.2">
      <c r="G23" s="668" t="str">
        <f>Labels_BA!F16</f>
        <v>District Hospital</v>
      </c>
      <c r="H23" s="494">
        <v>156</v>
      </c>
      <c r="I23" s="494">
        <v>6.5</v>
      </c>
      <c r="J23" s="494">
        <v>60</v>
      </c>
      <c r="K23" s="494">
        <v>26</v>
      </c>
      <c r="L23" s="487">
        <f>(H23*I23*J23)/K23</f>
        <v>2340</v>
      </c>
      <c r="N23" s="831"/>
      <c r="O23" s="831"/>
      <c r="P23" s="831"/>
    </row>
    <row r="24" spans="2:16" s="348" customFormat="1" x14ac:dyDescent="0.2"/>
    <row r="25" spans="2:16" s="348" customFormat="1" ht="33.75" customHeight="1" x14ac:dyDescent="0.2">
      <c r="F25" s="671" t="s">
        <v>1751</v>
      </c>
    </row>
    <row r="26" spans="2:16" s="348" customFormat="1" ht="36" customHeight="1" x14ac:dyDescent="0.2">
      <c r="G26" s="668" t="str">
        <f>Labels_BA!G16</f>
        <v>Fixed Health Clinic</v>
      </c>
      <c r="H26" s="494">
        <v>156</v>
      </c>
      <c r="I26" s="494">
        <v>6.5</v>
      </c>
      <c r="J26" s="494">
        <v>60</v>
      </c>
      <c r="K26" s="494">
        <v>26</v>
      </c>
      <c r="L26" s="487">
        <f>IFERROR((H26*I26*J26)/K26,0)</f>
        <v>2340</v>
      </c>
      <c r="N26" s="737" t="s">
        <v>1784</v>
      </c>
      <c r="O26" s="738"/>
      <c r="P26" s="739"/>
    </row>
    <row r="27" spans="2:16" s="348" customFormat="1" ht="36.75" customHeight="1" x14ac:dyDescent="0.2">
      <c r="G27" s="668" t="str">
        <f>Labels_BA!H16</f>
        <v>PCI Mobile Health Team</v>
      </c>
      <c r="H27" s="494">
        <v>240</v>
      </c>
      <c r="I27" s="494">
        <v>8</v>
      </c>
      <c r="J27" s="494">
        <v>60</v>
      </c>
      <c r="K27" s="494">
        <v>26</v>
      </c>
      <c r="L27" s="487">
        <f>IFERROR((H27*I27*J27)/K27,0)</f>
        <v>4430.7692307692305</v>
      </c>
      <c r="N27" s="737" t="s">
        <v>1922</v>
      </c>
      <c r="O27" s="738"/>
      <c r="P27" s="739"/>
    </row>
    <row r="28" spans="2:16" s="348" customFormat="1" ht="31.5" customHeight="1" x14ac:dyDescent="0.2">
      <c r="G28" s="668" t="str">
        <f>Labels_BA!I16</f>
        <v>Gov't Mobile Health Team (Hospital)</v>
      </c>
      <c r="H28" s="494">
        <v>20</v>
      </c>
      <c r="I28" s="494">
        <v>12</v>
      </c>
      <c r="J28" s="494">
        <v>60</v>
      </c>
      <c r="K28" s="494">
        <v>26</v>
      </c>
      <c r="L28" s="487">
        <f>(H28*I28*J28)/K28</f>
        <v>553.84615384615381</v>
      </c>
      <c r="N28" s="737" t="s">
        <v>1923</v>
      </c>
      <c r="O28" s="738"/>
      <c r="P28" s="739"/>
    </row>
    <row r="29" spans="2:16" s="348" customFormat="1" ht="31.5" customHeight="1" x14ac:dyDescent="0.2">
      <c r="G29" s="668" t="str">
        <f>Labels_BA!J16</f>
        <v>CIDRZ Mobile Health Team</v>
      </c>
      <c r="H29" s="494"/>
      <c r="I29" s="494"/>
      <c r="J29" s="494"/>
      <c r="K29" s="494"/>
      <c r="L29" s="487">
        <f>IFERROR((H29*I29*J29)/K29,0)</f>
        <v>0</v>
      </c>
      <c r="N29" s="737" t="s">
        <v>1790</v>
      </c>
      <c r="O29" s="738"/>
      <c r="P29" s="739"/>
    </row>
    <row r="30" spans="2:16" s="348" customFormat="1" ht="23.25" customHeight="1" x14ac:dyDescent="0.2">
      <c r="G30" s="668" t="str">
        <f>Labels_BA!K16</f>
        <v>Facility Type 8</v>
      </c>
      <c r="H30" s="494"/>
      <c r="I30" s="494"/>
      <c r="J30" s="494"/>
      <c r="K30" s="494"/>
      <c r="L30" s="487">
        <f>IFERROR((H30*I30*J30)/K30,0)</f>
        <v>0</v>
      </c>
      <c r="N30" s="737"/>
      <c r="O30" s="738"/>
      <c r="P30" s="739"/>
    </row>
    <row r="31" spans="2:16" s="348" customFormat="1" ht="27.75" customHeight="1" x14ac:dyDescent="0.2">
      <c r="G31" s="668" t="str">
        <f>Labels_BA!L16</f>
        <v>Facility Type 9</v>
      </c>
      <c r="H31" s="494"/>
      <c r="I31" s="494"/>
      <c r="J31" s="494"/>
      <c r="K31" s="494"/>
      <c r="L31" s="487">
        <f>IFERROR((H31*I31*J31)/K31,0)</f>
        <v>0</v>
      </c>
      <c r="N31" s="737"/>
      <c r="O31" s="738"/>
      <c r="P31" s="739"/>
    </row>
    <row r="32" spans="2:16" s="348" customFormat="1" ht="38.25" customHeight="1" x14ac:dyDescent="0.2">
      <c r="G32" s="668" t="str">
        <f>Labels_BA!M16</f>
        <v>Facility Type 10</v>
      </c>
      <c r="H32" s="494"/>
      <c r="I32" s="494"/>
      <c r="J32" s="494"/>
      <c r="K32" s="494"/>
      <c r="L32" s="487">
        <f>IFERROR((H32*I32*J32)/K32,0)</f>
        <v>0</v>
      </c>
      <c r="N32" s="737"/>
      <c r="O32" s="738"/>
      <c r="P32" s="739"/>
    </row>
    <row r="33" spans="2:14" s="348" customFormat="1" x14ac:dyDescent="0.2"/>
    <row r="34" spans="2:14" s="348" customFormat="1" x14ac:dyDescent="0.2"/>
    <row r="35" spans="2:14" s="348" customFormat="1" ht="15.75" x14ac:dyDescent="0.2">
      <c r="B35" s="124" t="str">
        <f>"Service Requirements and Costs for "&amp;G10&amp;""</f>
        <v>Service Requirements and Costs for VIA</v>
      </c>
    </row>
    <row r="36" spans="2:14" s="348" customFormat="1" x14ac:dyDescent="0.2"/>
    <row r="37" spans="2:14" s="348" customFormat="1" ht="15.75" x14ac:dyDescent="0.2">
      <c r="C37" s="664" t="s">
        <v>1696</v>
      </c>
    </row>
    <row r="38" spans="2:14" s="348" customFormat="1" x14ac:dyDescent="0.2">
      <c r="J38" s="678" t="str">
        <f>"Estimated Cost ("&amp;I157&amp;")"</f>
        <v>Estimated Cost (USD)</v>
      </c>
      <c r="K38" s="671" t="s">
        <v>847</v>
      </c>
    </row>
    <row r="39" spans="2:14" s="348" customFormat="1" x14ac:dyDescent="0.2">
      <c r="D39" s="846" t="s">
        <v>1576</v>
      </c>
      <c r="E39" s="847"/>
      <c r="F39" s="847"/>
      <c r="G39" s="847"/>
      <c r="H39" s="847"/>
      <c r="I39" s="848"/>
      <c r="J39" s="372">
        <v>5100</v>
      </c>
      <c r="K39" s="737" t="s">
        <v>1366</v>
      </c>
      <c r="L39" s="738"/>
      <c r="M39" s="738"/>
      <c r="N39" s="739"/>
    </row>
    <row r="40" spans="2:14" s="348" customFormat="1" x14ac:dyDescent="0.2">
      <c r="D40" s="846" t="s">
        <v>1577</v>
      </c>
      <c r="E40" s="847"/>
      <c r="F40" s="847"/>
      <c r="G40" s="847"/>
      <c r="H40" s="847"/>
      <c r="I40" s="848"/>
      <c r="J40" s="372">
        <v>2</v>
      </c>
      <c r="K40" s="737" t="s">
        <v>1366</v>
      </c>
      <c r="L40" s="738"/>
      <c r="M40" s="738"/>
      <c r="N40" s="739"/>
    </row>
    <row r="41" spans="2:14" s="348" customFormat="1" x14ac:dyDescent="0.2">
      <c r="D41" s="846" t="s">
        <v>1578</v>
      </c>
      <c r="E41" s="847"/>
      <c r="F41" s="847"/>
      <c r="G41" s="847"/>
      <c r="H41" s="847"/>
      <c r="I41" s="848"/>
      <c r="J41" s="372">
        <v>40</v>
      </c>
      <c r="K41" s="737" t="s">
        <v>1366</v>
      </c>
      <c r="L41" s="738"/>
      <c r="M41" s="738"/>
      <c r="N41" s="739"/>
    </row>
    <row r="42" spans="2:14" s="348" customFormat="1" x14ac:dyDescent="0.2">
      <c r="D42" s="846" t="s">
        <v>1579</v>
      </c>
      <c r="E42" s="847"/>
      <c r="F42" s="847"/>
      <c r="G42" s="847"/>
      <c r="H42" s="847"/>
      <c r="I42" s="848"/>
      <c r="J42" s="372">
        <v>80</v>
      </c>
      <c r="K42" s="737" t="s">
        <v>1366</v>
      </c>
      <c r="L42" s="738"/>
      <c r="M42" s="738"/>
      <c r="N42" s="739"/>
    </row>
    <row r="43" spans="2:14" s="348" customFormat="1" x14ac:dyDescent="0.2">
      <c r="D43" s="846" t="s">
        <v>1580</v>
      </c>
      <c r="E43" s="847"/>
      <c r="F43" s="847"/>
      <c r="G43" s="847"/>
      <c r="H43" s="847"/>
      <c r="I43" s="848"/>
      <c r="J43" s="372">
        <v>1100</v>
      </c>
      <c r="K43" s="737" t="s">
        <v>1366</v>
      </c>
      <c r="L43" s="738"/>
      <c r="M43" s="738"/>
      <c r="N43" s="739"/>
    </row>
    <row r="44" spans="2:14" s="348" customFormat="1" x14ac:dyDescent="0.2">
      <c r="D44" s="846" t="s">
        <v>1581</v>
      </c>
      <c r="E44" s="847"/>
      <c r="F44" s="847"/>
      <c r="G44" s="847"/>
      <c r="H44" s="847"/>
      <c r="I44" s="848"/>
      <c r="J44" s="372">
        <v>700</v>
      </c>
      <c r="K44" s="737" t="s">
        <v>1366</v>
      </c>
      <c r="L44" s="738"/>
      <c r="M44" s="738"/>
      <c r="N44" s="739"/>
    </row>
    <row r="45" spans="2:14" s="348" customFormat="1" x14ac:dyDescent="0.2">
      <c r="D45" s="846" t="s">
        <v>1582</v>
      </c>
      <c r="E45" s="847"/>
      <c r="F45" s="847"/>
      <c r="G45" s="847"/>
      <c r="H45" s="847"/>
      <c r="I45" s="848"/>
      <c r="J45" s="372">
        <v>446.5</v>
      </c>
      <c r="K45" s="737" t="s">
        <v>1366</v>
      </c>
      <c r="L45" s="738"/>
      <c r="M45" s="738"/>
      <c r="N45" s="739"/>
    </row>
    <row r="46" spans="2:14" s="348" customFormat="1" x14ac:dyDescent="0.2">
      <c r="D46" s="846" t="s">
        <v>1707</v>
      </c>
      <c r="E46" s="847"/>
      <c r="F46" s="847"/>
      <c r="G46" s="847"/>
      <c r="H46" s="847"/>
      <c r="I46" s="848"/>
      <c r="J46" s="372">
        <v>295</v>
      </c>
      <c r="K46" s="737" t="s">
        <v>1366</v>
      </c>
      <c r="L46" s="738"/>
      <c r="M46" s="738"/>
      <c r="N46" s="739"/>
    </row>
    <row r="47" spans="2:14" s="348" customFormat="1" x14ac:dyDescent="0.2">
      <c r="D47" s="846" t="s">
        <v>1584</v>
      </c>
      <c r="E47" s="847"/>
      <c r="F47" s="847"/>
      <c r="G47" s="847"/>
      <c r="H47" s="847"/>
      <c r="I47" s="848"/>
      <c r="J47" s="372">
        <v>100</v>
      </c>
      <c r="K47" s="737" t="s">
        <v>1366</v>
      </c>
      <c r="L47" s="738"/>
      <c r="M47" s="738"/>
      <c r="N47" s="739"/>
    </row>
    <row r="48" spans="2:14" s="348" customFormat="1" x14ac:dyDescent="0.2">
      <c r="D48" s="846" t="s">
        <v>1585</v>
      </c>
      <c r="E48" s="847"/>
      <c r="F48" s="847"/>
      <c r="G48" s="847"/>
      <c r="H48" s="847"/>
      <c r="I48" s="848"/>
      <c r="J48" s="372">
        <v>150</v>
      </c>
      <c r="K48" s="737" t="s">
        <v>1366</v>
      </c>
      <c r="L48" s="738"/>
      <c r="M48" s="738"/>
      <c r="N48" s="739"/>
    </row>
    <row r="49" spans="3:21" s="348" customFormat="1" x14ac:dyDescent="0.2">
      <c r="D49" s="846" t="s">
        <v>1586</v>
      </c>
      <c r="E49" s="847"/>
      <c r="F49" s="847"/>
      <c r="G49" s="847"/>
      <c r="H49" s="847"/>
      <c r="I49" s="848"/>
      <c r="J49" s="372">
        <v>160</v>
      </c>
      <c r="K49" s="737" t="s">
        <v>1366</v>
      </c>
      <c r="L49" s="738"/>
      <c r="M49" s="738"/>
      <c r="N49" s="739"/>
    </row>
    <row r="50" spans="3:21" s="348" customFormat="1" x14ac:dyDescent="0.2">
      <c r="D50" s="846" t="s">
        <v>1587</v>
      </c>
      <c r="E50" s="847"/>
      <c r="F50" s="847"/>
      <c r="G50" s="847"/>
      <c r="H50" s="847"/>
      <c r="I50" s="848"/>
      <c r="J50" s="372">
        <v>16</v>
      </c>
      <c r="K50" s="737" t="s">
        <v>1366</v>
      </c>
      <c r="L50" s="738"/>
      <c r="M50" s="738"/>
      <c r="N50" s="739"/>
    </row>
    <row r="51" spans="3:21" s="348" customFormat="1" x14ac:dyDescent="0.2">
      <c r="D51" s="846" t="s">
        <v>1588</v>
      </c>
      <c r="E51" s="847"/>
      <c r="F51" s="847"/>
      <c r="G51" s="847"/>
      <c r="H51" s="847"/>
      <c r="I51" s="848"/>
      <c r="J51" s="372">
        <v>220</v>
      </c>
      <c r="K51" s="737" t="s">
        <v>1366</v>
      </c>
      <c r="L51" s="738"/>
      <c r="M51" s="738"/>
      <c r="N51" s="739"/>
    </row>
    <row r="52" spans="3:21" s="348" customFormat="1" x14ac:dyDescent="0.2">
      <c r="D52" s="846" t="s">
        <v>1589</v>
      </c>
      <c r="E52" s="847"/>
      <c r="F52" s="847"/>
      <c r="G52" s="847"/>
      <c r="H52" s="847"/>
      <c r="I52" s="848"/>
      <c r="J52" s="372">
        <v>40</v>
      </c>
      <c r="K52" s="737" t="s">
        <v>1366</v>
      </c>
      <c r="L52" s="738"/>
      <c r="M52" s="738"/>
      <c r="N52" s="739"/>
    </row>
    <row r="53" spans="3:21" s="348" customFormat="1" x14ac:dyDescent="0.2">
      <c r="D53" s="846" t="s">
        <v>1590</v>
      </c>
      <c r="E53" s="847"/>
      <c r="F53" s="847"/>
      <c r="G53" s="847"/>
      <c r="H53" s="847"/>
      <c r="I53" s="848"/>
      <c r="J53" s="372">
        <v>36.36</v>
      </c>
      <c r="K53" s="737" t="s">
        <v>1366</v>
      </c>
      <c r="L53" s="738"/>
      <c r="M53" s="738"/>
      <c r="N53" s="739"/>
    </row>
    <row r="54" spans="3:21" s="348" customFormat="1" x14ac:dyDescent="0.2">
      <c r="D54" s="853" t="s">
        <v>1708</v>
      </c>
      <c r="E54" s="854"/>
      <c r="F54" s="854"/>
      <c r="G54" s="854"/>
      <c r="H54" s="854"/>
      <c r="I54" s="855"/>
      <c r="J54" s="548">
        <v>4</v>
      </c>
      <c r="K54" s="737" t="s">
        <v>1366</v>
      </c>
      <c r="L54" s="738"/>
      <c r="M54" s="738"/>
      <c r="N54" s="739"/>
    </row>
    <row r="55" spans="3:21" s="348" customFormat="1" x14ac:dyDescent="0.2">
      <c r="D55" s="853" t="s">
        <v>1709</v>
      </c>
      <c r="E55" s="854"/>
      <c r="F55" s="854"/>
      <c r="G55" s="854"/>
      <c r="H55" s="854"/>
      <c r="I55" s="855"/>
      <c r="J55" s="548">
        <v>83</v>
      </c>
      <c r="K55" s="737" t="s">
        <v>1710</v>
      </c>
      <c r="L55" s="738"/>
      <c r="M55" s="738"/>
      <c r="N55" s="739"/>
    </row>
    <row r="56" spans="3:21" s="348" customFormat="1" x14ac:dyDescent="0.2">
      <c r="D56" s="853"/>
      <c r="E56" s="854"/>
      <c r="F56" s="854"/>
      <c r="G56" s="854"/>
      <c r="H56" s="854"/>
      <c r="I56" s="855"/>
      <c r="J56" s="548">
        <v>0</v>
      </c>
      <c r="K56" s="737"/>
      <c r="L56" s="738"/>
      <c r="M56" s="738"/>
      <c r="N56" s="739"/>
    </row>
    <row r="57" spans="3:21" s="348" customFormat="1" x14ac:dyDescent="0.2"/>
    <row r="58" spans="3:21" s="348" customFormat="1" x14ac:dyDescent="0.2"/>
    <row r="59" spans="3:21" s="348" customFormat="1" x14ac:dyDescent="0.2"/>
    <row r="60" spans="3:21" s="348" customFormat="1" ht="15.75" x14ac:dyDescent="0.2">
      <c r="C60" s="124" t="str">
        <f>"Personnel Required for "&amp;G10&amp;""</f>
        <v>Personnel Required for VIA</v>
      </c>
    </row>
    <row r="61" spans="3:21" s="348" customFormat="1" x14ac:dyDescent="0.2"/>
    <row r="62" spans="3:21" s="348" customFormat="1" ht="15" x14ac:dyDescent="0.2">
      <c r="J62" s="849" t="str">
        <f>"Cost Per Minute ("&amp;I157&amp;")"</f>
        <v>Cost Per Minute (USD)</v>
      </c>
      <c r="K62" s="772" t="s">
        <v>112</v>
      </c>
      <c r="L62" s="773"/>
      <c r="M62" s="773"/>
      <c r="N62" s="851" t="str">
        <f>"Cost ("&amp;I157&amp;")"</f>
        <v>Cost (USD)</v>
      </c>
    </row>
    <row r="63" spans="3:21" s="348" customFormat="1" ht="30" x14ac:dyDescent="0.2">
      <c r="D63" s="524" t="str">
        <f>F20</f>
        <v>Fixed Hospital Sites</v>
      </c>
      <c r="J63" s="850"/>
      <c r="K63" s="159" t="s">
        <v>109</v>
      </c>
      <c r="L63" s="159" t="s">
        <v>110</v>
      </c>
      <c r="M63" s="159" t="s">
        <v>1801</v>
      </c>
      <c r="N63" s="852"/>
      <c r="U63" s="671" t="s">
        <v>312</v>
      </c>
    </row>
    <row r="64" spans="3:21" s="348" customFormat="1" x14ac:dyDescent="0.2">
      <c r="D64" s="721" t="s">
        <v>1276</v>
      </c>
      <c r="E64" s="721"/>
      <c r="F64" s="721"/>
      <c r="G64" s="721"/>
      <c r="J64" s="549">
        <f>IFERROR(INDEX($L$160:$L$190,MATCH(D64,LU_Screen_Pers_Hosp,0)),0)</f>
        <v>5.7114882506527402E-2</v>
      </c>
      <c r="K64" s="187">
        <v>9</v>
      </c>
      <c r="L64" s="188">
        <v>7</v>
      </c>
      <c r="M64" s="250">
        <v>10</v>
      </c>
      <c r="N64" s="550">
        <f>J64*SUM(K64:M64)</f>
        <v>1.4849869451697124</v>
      </c>
      <c r="U64" s="119">
        <f>IF(AND(ISERROR(MATCH(D64,LU_Screen_Pers_Hosp,0)),SUM(K64:M64)),1,0)</f>
        <v>0</v>
      </c>
    </row>
    <row r="65" spans="4:21" s="348" customFormat="1" x14ac:dyDescent="0.2">
      <c r="D65" s="721"/>
      <c r="E65" s="721"/>
      <c r="F65" s="721"/>
      <c r="G65" s="721"/>
      <c r="J65" s="551">
        <f>IFERROR(INDEX($L$160:$L$190,MATCH(D65,LU_Screen_Pers_Hosp,0)),0)</f>
        <v>0</v>
      </c>
      <c r="K65" s="189">
        <v>0</v>
      </c>
      <c r="L65" s="190">
        <v>0</v>
      </c>
      <c r="M65" s="577"/>
      <c r="N65" s="135">
        <f>J65*SUM(K65:M65)</f>
        <v>0</v>
      </c>
      <c r="U65" s="119">
        <f>IF(AND(ISERROR(MATCH(D65,LU_Screen_Pers_Hosp,0)),SUM(K65:M65)),1,0)</f>
        <v>0</v>
      </c>
    </row>
    <row r="66" spans="4:21" s="348" customFormat="1" ht="15" x14ac:dyDescent="0.2">
      <c r="D66" s="782" t="s">
        <v>1891</v>
      </c>
      <c r="E66" s="783"/>
      <c r="F66" s="783"/>
      <c r="G66" s="783"/>
      <c r="J66" s="672"/>
      <c r="K66" s="832"/>
      <c r="L66" s="833"/>
      <c r="M66" s="834"/>
      <c r="N66" s="136">
        <f>SUM(N64:N65)</f>
        <v>1.4849869451697124</v>
      </c>
      <c r="U66" s="672"/>
    </row>
    <row r="67" spans="4:21" s="348" customFormat="1" ht="15" x14ac:dyDescent="0.2">
      <c r="D67" s="667" t="s">
        <v>949</v>
      </c>
      <c r="K67" s="671" t="s">
        <v>950</v>
      </c>
    </row>
    <row r="68" spans="4:21" s="348" customFormat="1" x14ac:dyDescent="0.2">
      <c r="D68" s="721" t="s">
        <v>1574</v>
      </c>
      <c r="E68" s="721"/>
      <c r="F68" s="721"/>
      <c r="G68" s="721"/>
      <c r="H68" s="721"/>
      <c r="I68" s="721"/>
      <c r="K68" s="721" t="s">
        <v>1574</v>
      </c>
      <c r="L68" s="721"/>
      <c r="M68" s="721"/>
      <c r="N68" s="721"/>
      <c r="O68" s="721"/>
      <c r="P68" s="721"/>
    </row>
    <row r="69" spans="4:21" s="348" customFormat="1" x14ac:dyDescent="0.2">
      <c r="D69" s="721" t="s">
        <v>1575</v>
      </c>
      <c r="E69" s="721"/>
      <c r="F69" s="721"/>
      <c r="G69" s="721"/>
      <c r="H69" s="721"/>
      <c r="I69" s="721"/>
      <c r="K69" s="721" t="s">
        <v>1575</v>
      </c>
      <c r="L69" s="721"/>
      <c r="M69" s="721"/>
      <c r="N69" s="721"/>
      <c r="O69" s="721"/>
      <c r="P69" s="721"/>
    </row>
    <row r="70" spans="4:21" s="348" customFormat="1" x14ac:dyDescent="0.2">
      <c r="D70" s="721" t="s">
        <v>1784</v>
      </c>
      <c r="E70" s="721"/>
      <c r="F70" s="721"/>
      <c r="G70" s="721"/>
      <c r="H70" s="721"/>
      <c r="I70" s="721"/>
      <c r="K70" s="721" t="s">
        <v>1785</v>
      </c>
      <c r="L70" s="721"/>
      <c r="M70" s="721"/>
      <c r="N70" s="721"/>
      <c r="O70" s="721"/>
      <c r="P70" s="721"/>
    </row>
    <row r="71" spans="4:21" s="348" customFormat="1" x14ac:dyDescent="0.2">
      <c r="D71" s="721" t="s">
        <v>1783</v>
      </c>
      <c r="E71" s="721"/>
      <c r="F71" s="721"/>
      <c r="G71" s="721"/>
      <c r="H71" s="721"/>
      <c r="I71" s="721"/>
      <c r="K71" s="721" t="s">
        <v>1802</v>
      </c>
      <c r="L71" s="721"/>
      <c r="M71" s="721"/>
      <c r="N71" s="721"/>
      <c r="O71" s="721"/>
      <c r="P71" s="721"/>
    </row>
    <row r="72" spans="4:21" s="348" customFormat="1" x14ac:dyDescent="0.2"/>
    <row r="73" spans="4:21" s="348" customFormat="1" ht="15" x14ac:dyDescent="0.2">
      <c r="J73" s="849" t="str">
        <f>"Cost Per Minute ("&amp;I157&amp;")"</f>
        <v>Cost Per Minute (USD)</v>
      </c>
      <c r="K73" s="772" t="s">
        <v>112</v>
      </c>
      <c r="L73" s="773"/>
      <c r="M73" s="773"/>
      <c r="N73" s="851" t="str">
        <f>"Cost ("&amp;I157&amp;")"</f>
        <v>Cost (USD)</v>
      </c>
    </row>
    <row r="74" spans="4:21" s="348" customFormat="1" ht="30" x14ac:dyDescent="0.2">
      <c r="D74" s="669" t="str">
        <f>F25</f>
        <v>Other Facility Types</v>
      </c>
      <c r="J74" s="850"/>
      <c r="K74" s="159" t="s">
        <v>109</v>
      </c>
      <c r="L74" s="159" t="s">
        <v>110</v>
      </c>
      <c r="M74" s="159" t="s">
        <v>111</v>
      </c>
      <c r="N74" s="852"/>
      <c r="U74" s="671" t="s">
        <v>312</v>
      </c>
    </row>
    <row r="75" spans="4:21" s="348" customFormat="1" x14ac:dyDescent="0.2">
      <c r="D75" s="721" t="s">
        <v>1276</v>
      </c>
      <c r="E75" s="721"/>
      <c r="F75" s="721"/>
      <c r="G75" s="721"/>
      <c r="J75" s="549">
        <f>IFERROR(INDEX($L$193:$L$223,MATCH(D75,LU_Screen_Pers_Oth,0)),0)</f>
        <v>5.7114882506527402E-2</v>
      </c>
      <c r="K75" s="187">
        <v>9</v>
      </c>
      <c r="L75" s="188">
        <v>7</v>
      </c>
      <c r="M75" s="250">
        <v>10</v>
      </c>
      <c r="N75" s="550">
        <f>J75*SUM(K75:M75)</f>
        <v>1.4849869451697124</v>
      </c>
      <c r="U75" s="119">
        <f>IF(AND(ISERROR(MATCH(D75,LU_Screen_Pers_Oth,0)),SUM(K75:M75)),1,0)</f>
        <v>0</v>
      </c>
    </row>
    <row r="76" spans="4:21" s="348" customFormat="1" x14ac:dyDescent="0.2">
      <c r="D76" s="721"/>
      <c r="E76" s="721"/>
      <c r="F76" s="721"/>
      <c r="G76" s="721"/>
      <c r="J76" s="551">
        <f>IFERROR(INDEX($L$193:$L$223,MATCH(D76,LU_Screen_Pers_Oth,0)),0)</f>
        <v>0</v>
      </c>
      <c r="K76" s="189">
        <v>0</v>
      </c>
      <c r="L76" s="190">
        <v>0</v>
      </c>
      <c r="M76" s="552">
        <v>0</v>
      </c>
      <c r="N76" s="135">
        <f>J76*SUM(K76:M76)</f>
        <v>0</v>
      </c>
      <c r="U76" s="119">
        <f>IF(AND(ISERROR(MATCH(D76,LU_Screen_Pers_Oth,0)),SUM(K76:M76)),1,0)</f>
        <v>0</v>
      </c>
    </row>
    <row r="77" spans="4:21" s="348" customFormat="1" ht="15" x14ac:dyDescent="0.2">
      <c r="D77" s="782" t="s">
        <v>1890</v>
      </c>
      <c r="E77" s="783"/>
      <c r="F77" s="783"/>
      <c r="G77" s="783"/>
      <c r="J77" s="672"/>
      <c r="K77" s="832"/>
      <c r="L77" s="833"/>
      <c r="M77" s="834"/>
      <c r="N77" s="136">
        <f>SUM(N75:N76)</f>
        <v>1.4849869451697124</v>
      </c>
      <c r="U77" s="672"/>
    </row>
    <row r="78" spans="4:21" s="348" customFormat="1" x14ac:dyDescent="0.2"/>
    <row r="79" spans="4:21" s="348" customFormat="1" ht="15" x14ac:dyDescent="0.2">
      <c r="D79" s="667" t="s">
        <v>949</v>
      </c>
      <c r="K79" s="671" t="s">
        <v>950</v>
      </c>
    </row>
    <row r="80" spans="4:21" s="348" customFormat="1" x14ac:dyDescent="0.2">
      <c r="D80" s="721" t="s">
        <v>1574</v>
      </c>
      <c r="E80" s="721"/>
      <c r="F80" s="721"/>
      <c r="G80" s="721"/>
      <c r="H80" s="721"/>
      <c r="I80" s="721"/>
      <c r="K80" s="721" t="s">
        <v>1574</v>
      </c>
      <c r="L80" s="721"/>
      <c r="M80" s="721"/>
      <c r="N80" s="721"/>
      <c r="O80" s="721"/>
      <c r="P80" s="721"/>
    </row>
    <row r="81" spans="3:21" s="348" customFormat="1" x14ac:dyDescent="0.2">
      <c r="D81" s="721" t="s">
        <v>1575</v>
      </c>
      <c r="E81" s="721"/>
      <c r="F81" s="721"/>
      <c r="G81" s="721"/>
      <c r="H81" s="721"/>
      <c r="I81" s="721"/>
      <c r="K81" s="721" t="s">
        <v>1575</v>
      </c>
      <c r="L81" s="721"/>
      <c r="M81" s="721"/>
      <c r="N81" s="721"/>
      <c r="O81" s="721"/>
      <c r="P81" s="721"/>
    </row>
    <row r="82" spans="3:21" s="348" customFormat="1" x14ac:dyDescent="0.2">
      <c r="D82" s="721" t="s">
        <v>1784</v>
      </c>
      <c r="E82" s="721"/>
      <c r="F82" s="721"/>
      <c r="G82" s="721"/>
      <c r="H82" s="721"/>
      <c r="I82" s="721"/>
      <c r="K82" s="721" t="s">
        <v>1785</v>
      </c>
      <c r="L82" s="721"/>
      <c r="M82" s="721"/>
      <c r="N82" s="721"/>
      <c r="O82" s="721"/>
      <c r="P82" s="721"/>
    </row>
    <row r="83" spans="3:21" s="348" customFormat="1" x14ac:dyDescent="0.2">
      <c r="D83" s="721" t="s">
        <v>1783</v>
      </c>
      <c r="E83" s="721"/>
      <c r="F83" s="721"/>
      <c r="G83" s="721"/>
      <c r="H83" s="721"/>
      <c r="I83" s="721"/>
      <c r="K83" s="721" t="s">
        <v>1802</v>
      </c>
      <c r="L83" s="721"/>
      <c r="M83" s="721"/>
      <c r="N83" s="721"/>
      <c r="O83" s="721"/>
      <c r="P83" s="721"/>
    </row>
    <row r="84" spans="3:21" s="348" customFormat="1" x14ac:dyDescent="0.2"/>
    <row r="85" spans="3:21" s="348" customFormat="1" x14ac:dyDescent="0.2"/>
    <row r="86" spans="3:21" s="348" customFormat="1" ht="15.75" x14ac:dyDescent="0.2">
      <c r="C86" s="124" t="str">
        <f>"Supplies Required for "&amp;G10&amp;""</f>
        <v>Supplies Required for VIA</v>
      </c>
    </row>
    <row r="87" spans="3:21" s="348" customFormat="1" x14ac:dyDescent="0.2"/>
    <row r="88" spans="3:21" s="348" customFormat="1" ht="30" x14ac:dyDescent="0.2">
      <c r="D88" s="667" t="s">
        <v>106</v>
      </c>
      <c r="H88" s="671" t="s">
        <v>951</v>
      </c>
      <c r="J88" s="132" t="str">
        <f>"Cost per Unit ("&amp;I157&amp;")"</f>
        <v>Cost per Unit (USD)</v>
      </c>
      <c r="K88" s="366" t="s">
        <v>107</v>
      </c>
      <c r="L88" s="132" t="str">
        <f>"Total Cost ("&amp;I157&amp;")"</f>
        <v>Total Cost (USD)</v>
      </c>
      <c r="M88" s="725" t="s">
        <v>848</v>
      </c>
      <c r="N88" s="726"/>
      <c r="O88" s="726"/>
      <c r="U88" s="671" t="s">
        <v>312</v>
      </c>
    </row>
    <row r="89" spans="3:21" s="348" customFormat="1" x14ac:dyDescent="0.2">
      <c r="D89" s="723" t="s">
        <v>1373</v>
      </c>
      <c r="E89" s="723"/>
      <c r="F89" s="723"/>
      <c r="G89" s="723"/>
      <c r="H89" s="672" t="str">
        <f t="shared" ref="H89:H99" si="0">IFERROR(INDEX($J$226:$J$392,MATCH(D89,LU_Screen_Supplies,0)),0)</f>
        <v>centilitre</v>
      </c>
      <c r="J89" s="137">
        <f t="shared" ref="J89:J99" si="1">IFERROR(INDEX($L$226:$L$392,MATCH(D89,LU_Screen_Supplies,0)),0)</f>
        <v>3.4000000000000002E-2</v>
      </c>
      <c r="K89" s="446">
        <v>4</v>
      </c>
      <c r="L89" s="138">
        <f t="shared" ref="L89:L99" si="2">J89*K89</f>
        <v>0.13600000000000001</v>
      </c>
      <c r="M89" s="723" t="s">
        <v>1705</v>
      </c>
      <c r="N89" s="723"/>
      <c r="O89" s="723"/>
      <c r="U89" s="119">
        <f t="shared" ref="U89:U99" si="3">IF(AND(ISERROR(MATCH(D89,LU_Screen_Supplies,0)),K89),1,0)</f>
        <v>0</v>
      </c>
    </row>
    <row r="90" spans="3:21" s="348" customFormat="1" x14ac:dyDescent="0.2">
      <c r="D90" s="723" t="s">
        <v>1388</v>
      </c>
      <c r="E90" s="723"/>
      <c r="F90" s="723"/>
      <c r="G90" s="723"/>
      <c r="H90" s="672" t="str">
        <f t="shared" si="0"/>
        <v>mililiter</v>
      </c>
      <c r="J90" s="137">
        <f t="shared" si="1"/>
        <v>4.5999999999999999E-3</v>
      </c>
      <c r="K90" s="446">
        <v>10</v>
      </c>
      <c r="L90" s="138">
        <f t="shared" si="2"/>
        <v>4.5999999999999999E-2</v>
      </c>
      <c r="M90" s="723" t="s">
        <v>1705</v>
      </c>
      <c r="N90" s="723"/>
      <c r="O90" s="723"/>
      <c r="U90" s="119">
        <f t="shared" si="3"/>
        <v>0</v>
      </c>
    </row>
    <row r="91" spans="3:21" s="348" customFormat="1" x14ac:dyDescent="0.2">
      <c r="D91" s="723" t="s">
        <v>1399</v>
      </c>
      <c r="E91" s="723"/>
      <c r="F91" s="723"/>
      <c r="G91" s="723"/>
      <c r="H91" s="672" t="str">
        <f t="shared" si="0"/>
        <v>mililiter</v>
      </c>
      <c r="J91" s="137">
        <f t="shared" si="1"/>
        <v>2.3199999999999997E-4</v>
      </c>
      <c r="K91" s="446">
        <v>33</v>
      </c>
      <c r="L91" s="138">
        <f t="shared" si="2"/>
        <v>7.6559999999999987E-3</v>
      </c>
      <c r="M91" s="723" t="s">
        <v>1705</v>
      </c>
      <c r="N91" s="723"/>
      <c r="O91" s="723"/>
      <c r="U91" s="119">
        <f t="shared" si="3"/>
        <v>0</v>
      </c>
    </row>
    <row r="92" spans="3:21" s="348" customFormat="1" x14ac:dyDescent="0.2">
      <c r="D92" s="723" t="s">
        <v>1410</v>
      </c>
      <c r="E92" s="723"/>
      <c r="F92" s="723"/>
      <c r="G92" s="723"/>
      <c r="H92" s="672" t="str">
        <f t="shared" si="0"/>
        <v>each</v>
      </c>
      <c r="J92" s="137">
        <f t="shared" si="1"/>
        <v>7.2000000000000008E-2</v>
      </c>
      <c r="K92" s="446">
        <v>4</v>
      </c>
      <c r="L92" s="138">
        <f t="shared" si="2"/>
        <v>0.28800000000000003</v>
      </c>
      <c r="M92" s="723" t="s">
        <v>1705</v>
      </c>
      <c r="N92" s="723"/>
      <c r="O92" s="723"/>
      <c r="U92" s="119">
        <f t="shared" si="3"/>
        <v>0</v>
      </c>
    </row>
    <row r="93" spans="3:21" s="348" customFormat="1" x14ac:dyDescent="0.2">
      <c r="D93" s="723" t="s">
        <v>1457</v>
      </c>
      <c r="E93" s="723"/>
      <c r="F93" s="723"/>
      <c r="G93" s="723"/>
      <c r="H93" s="672" t="str">
        <f t="shared" si="0"/>
        <v>10 sheets</v>
      </c>
      <c r="J93" s="137">
        <f t="shared" si="1"/>
        <v>8.4000000000000012E-3</v>
      </c>
      <c r="K93" s="446">
        <v>1</v>
      </c>
      <c r="L93" s="138">
        <f t="shared" si="2"/>
        <v>8.4000000000000012E-3</v>
      </c>
      <c r="M93" s="723" t="s">
        <v>1705</v>
      </c>
      <c r="N93" s="723"/>
      <c r="O93" s="723"/>
      <c r="U93" s="119">
        <f t="shared" si="3"/>
        <v>0</v>
      </c>
    </row>
    <row r="94" spans="3:21" s="348" customFormat="1" x14ac:dyDescent="0.2">
      <c r="D94" s="723" t="s">
        <v>1397</v>
      </c>
      <c r="E94" s="723"/>
      <c r="F94" s="723"/>
      <c r="G94" s="723"/>
      <c r="H94" s="672" t="str">
        <f t="shared" si="0"/>
        <v>1/100 roll</v>
      </c>
      <c r="J94" s="137">
        <f t="shared" si="1"/>
        <v>7.1200000000000005E-3</v>
      </c>
      <c r="K94" s="446">
        <v>1</v>
      </c>
      <c r="L94" s="138">
        <f t="shared" si="2"/>
        <v>7.1200000000000005E-3</v>
      </c>
      <c r="M94" s="723" t="s">
        <v>1705</v>
      </c>
      <c r="N94" s="723"/>
      <c r="O94" s="723"/>
      <c r="U94" s="119">
        <f t="shared" si="3"/>
        <v>0</v>
      </c>
    </row>
    <row r="95" spans="3:21" s="348" customFormat="1" x14ac:dyDescent="0.2">
      <c r="D95" s="723" t="s">
        <v>1447</v>
      </c>
      <c r="E95" s="723"/>
      <c r="F95" s="723"/>
      <c r="G95" s="723"/>
      <c r="H95" s="672" t="str">
        <f t="shared" si="0"/>
        <v>1 gram</v>
      </c>
      <c r="J95" s="137">
        <f t="shared" si="1"/>
        <v>2.6199999999999999E-3</v>
      </c>
      <c r="K95" s="446">
        <v>2</v>
      </c>
      <c r="L95" s="138">
        <f t="shared" si="2"/>
        <v>5.2399999999999999E-3</v>
      </c>
      <c r="M95" s="723" t="s">
        <v>1705</v>
      </c>
      <c r="N95" s="723"/>
      <c r="O95" s="723"/>
      <c r="U95" s="119">
        <f t="shared" si="3"/>
        <v>0</v>
      </c>
    </row>
    <row r="96" spans="3:21" s="348" customFormat="1" x14ac:dyDescent="0.2">
      <c r="D96" s="723" t="s">
        <v>1448</v>
      </c>
      <c r="E96" s="723"/>
      <c r="F96" s="723"/>
      <c r="G96" s="723"/>
      <c r="H96" s="672" t="str">
        <f t="shared" si="0"/>
        <v>uses</v>
      </c>
      <c r="J96" s="137">
        <f t="shared" si="1"/>
        <v>5.5999999999999999E-3</v>
      </c>
      <c r="K96" s="446">
        <v>1</v>
      </c>
      <c r="L96" s="138">
        <f t="shared" si="2"/>
        <v>5.5999999999999999E-3</v>
      </c>
      <c r="M96" s="723" t="s">
        <v>1705</v>
      </c>
      <c r="N96" s="723"/>
      <c r="O96" s="723"/>
      <c r="U96" s="119">
        <f t="shared" si="3"/>
        <v>0</v>
      </c>
    </row>
    <row r="97" spans="3:21" s="348" customFormat="1" x14ac:dyDescent="0.2">
      <c r="D97" s="723" t="s">
        <v>1374</v>
      </c>
      <c r="E97" s="723"/>
      <c r="F97" s="723"/>
      <c r="G97" s="723"/>
      <c r="H97" s="672" t="str">
        <f t="shared" si="0"/>
        <v>centilitre</v>
      </c>
      <c r="J97" s="137">
        <f t="shared" si="1"/>
        <v>4.4125300000000006E-2</v>
      </c>
      <c r="K97" s="446">
        <v>1</v>
      </c>
      <c r="L97" s="138">
        <f t="shared" si="2"/>
        <v>4.4125300000000006E-2</v>
      </c>
      <c r="M97" s="723" t="s">
        <v>1705</v>
      </c>
      <c r="N97" s="723"/>
      <c r="O97" s="723"/>
      <c r="U97" s="119">
        <f t="shared" si="3"/>
        <v>0</v>
      </c>
    </row>
    <row r="98" spans="3:21" s="348" customFormat="1" x14ac:dyDescent="0.2">
      <c r="D98" s="723" t="s">
        <v>1389</v>
      </c>
      <c r="E98" s="723"/>
      <c r="F98" s="723"/>
      <c r="G98" s="723"/>
      <c r="H98" s="672" t="str">
        <f t="shared" si="0"/>
        <v>mililiter</v>
      </c>
      <c r="J98" s="137">
        <f t="shared" si="1"/>
        <v>1.9321200000000001E-3</v>
      </c>
      <c r="K98" s="446">
        <v>11</v>
      </c>
      <c r="L98" s="138">
        <f t="shared" si="2"/>
        <v>2.1253319999999999E-2</v>
      </c>
      <c r="M98" s="723" t="s">
        <v>1705</v>
      </c>
      <c r="N98" s="723"/>
      <c r="O98" s="723"/>
      <c r="U98" s="119">
        <f t="shared" si="3"/>
        <v>0</v>
      </c>
    </row>
    <row r="99" spans="3:21" s="348" customFormat="1" x14ac:dyDescent="0.2">
      <c r="D99" s="723" t="s">
        <v>1450</v>
      </c>
      <c r="E99" s="723"/>
      <c r="F99" s="723"/>
      <c r="G99" s="723"/>
      <c r="H99" s="672" t="str">
        <f t="shared" si="0"/>
        <v>apron</v>
      </c>
      <c r="J99" s="137">
        <f t="shared" si="1"/>
        <v>0.10705000000000001</v>
      </c>
      <c r="K99" s="446">
        <v>1</v>
      </c>
      <c r="L99" s="138">
        <f t="shared" si="2"/>
        <v>0.10705000000000001</v>
      </c>
      <c r="M99" s="723" t="s">
        <v>1705</v>
      </c>
      <c r="N99" s="723"/>
      <c r="O99" s="723"/>
      <c r="U99" s="119">
        <f t="shared" si="3"/>
        <v>0</v>
      </c>
    </row>
    <row r="100" spans="3:21" s="348" customFormat="1" ht="15" x14ac:dyDescent="0.2">
      <c r="D100" s="782" t="s">
        <v>1886</v>
      </c>
      <c r="E100" s="783"/>
      <c r="F100" s="783"/>
      <c r="G100" s="783"/>
      <c r="H100" s="672">
        <f>SUM(H89:H99)</f>
        <v>0</v>
      </c>
      <c r="J100" s="139"/>
      <c r="K100" s="672"/>
      <c r="L100" s="140">
        <f>SUM(L89:L99)</f>
        <v>0.67644462000000016</v>
      </c>
      <c r="M100" s="669"/>
      <c r="N100" s="669"/>
      <c r="O100" s="669"/>
    </row>
    <row r="101" spans="3:21" s="348" customFormat="1" x14ac:dyDescent="0.2"/>
    <row r="102" spans="3:21" s="348" customFormat="1" ht="15" x14ac:dyDescent="0.2">
      <c r="D102" s="667" t="s">
        <v>952</v>
      </c>
      <c r="K102" s="671" t="s">
        <v>953</v>
      </c>
    </row>
    <row r="103" spans="3:21" s="348" customFormat="1" x14ac:dyDescent="0.2">
      <c r="D103" s="723" t="s">
        <v>1704</v>
      </c>
      <c r="E103" s="723"/>
      <c r="F103" s="723"/>
      <c r="G103" s="723"/>
      <c r="H103" s="723"/>
      <c r="I103" s="723"/>
      <c r="K103" s="721"/>
      <c r="L103" s="721"/>
      <c r="M103" s="721"/>
      <c r="N103" s="721"/>
      <c r="O103" s="721"/>
      <c r="P103" s="721"/>
    </row>
    <row r="104" spans="3:21" s="348" customFormat="1" x14ac:dyDescent="0.2">
      <c r="D104" s="721" t="s">
        <v>1787</v>
      </c>
      <c r="E104" s="721"/>
      <c r="F104" s="721"/>
      <c r="G104" s="721"/>
      <c r="H104" s="721"/>
      <c r="I104" s="721"/>
      <c r="K104" s="721"/>
      <c r="L104" s="721"/>
      <c r="M104" s="721"/>
      <c r="N104" s="721"/>
      <c r="O104" s="721"/>
      <c r="P104" s="721"/>
    </row>
    <row r="105" spans="3:21" s="348" customFormat="1" x14ac:dyDescent="0.2">
      <c r="D105" s="721"/>
      <c r="E105" s="721"/>
      <c r="F105" s="721"/>
      <c r="G105" s="721"/>
      <c r="H105" s="721"/>
      <c r="I105" s="721"/>
      <c r="K105" s="721"/>
      <c r="L105" s="721"/>
      <c r="M105" s="721"/>
      <c r="N105" s="721"/>
      <c r="O105" s="721"/>
      <c r="P105" s="721"/>
    </row>
    <row r="106" spans="3:21" s="348" customFormat="1" x14ac:dyDescent="0.2">
      <c r="D106" s="721"/>
      <c r="E106" s="721"/>
      <c r="F106" s="721"/>
      <c r="G106" s="721"/>
      <c r="H106" s="721"/>
      <c r="I106" s="721"/>
      <c r="K106" s="721"/>
      <c r="L106" s="721"/>
      <c r="M106" s="721"/>
      <c r="N106" s="721"/>
      <c r="O106" s="721"/>
      <c r="P106" s="721"/>
    </row>
    <row r="107" spans="3:21" s="348" customFormat="1" x14ac:dyDescent="0.2"/>
    <row r="108" spans="3:21" s="348" customFormat="1" x14ac:dyDescent="0.2"/>
    <row r="109" spans="3:21" s="348" customFormat="1" ht="15.75" x14ac:dyDescent="0.2">
      <c r="C109" s="124" t="str">
        <f>"Equipment Required to Outfit a Site to Perform " &amp;G10</f>
        <v>Equipment Required to Outfit a Site to Perform VIA</v>
      </c>
    </row>
    <row r="110" spans="3:21" s="348" customFormat="1" x14ac:dyDescent="0.2">
      <c r="E110" s="671" t="s">
        <v>1697</v>
      </c>
    </row>
    <row r="111" spans="3:21" s="348" customFormat="1" ht="30" x14ac:dyDescent="0.2">
      <c r="J111" s="141" t="str">
        <f>"Cost per Unit ("&amp;I157&amp;")"</f>
        <v>Cost per Unit (USD)</v>
      </c>
      <c r="L111" s="856" t="str">
        <f>"Total Cost per Site ("&amp;I157&amp;")"</f>
        <v>Total Cost per Site (USD)</v>
      </c>
      <c r="M111" s="857"/>
      <c r="N111" s="858"/>
    </row>
    <row r="112" spans="3:21" s="348" customFormat="1" ht="33.6" customHeight="1" x14ac:dyDescent="0.2">
      <c r="D112" s="667" t="s">
        <v>106</v>
      </c>
      <c r="J112" s="553"/>
      <c r="K112" s="673" t="s">
        <v>116</v>
      </c>
      <c r="L112" s="554" t="s">
        <v>691</v>
      </c>
      <c r="M112" s="143" t="s">
        <v>632</v>
      </c>
      <c r="N112" s="133" t="s">
        <v>633</v>
      </c>
      <c r="O112" s="835" t="s">
        <v>848</v>
      </c>
      <c r="P112" s="836"/>
      <c r="Q112" s="836"/>
      <c r="U112" s="671" t="s">
        <v>312</v>
      </c>
    </row>
    <row r="113" spans="4:21" s="348" customFormat="1" x14ac:dyDescent="0.2">
      <c r="D113" s="723" t="s">
        <v>1332</v>
      </c>
      <c r="E113" s="723"/>
      <c r="F113" s="723"/>
      <c r="G113" s="723"/>
      <c r="J113" s="144">
        <f t="shared" ref="J113:J121" si="4">IFERROR(INDEX($J$395:$J$517,MATCH(D113,LU_Screen_Equip,0)),0)</f>
        <v>30</v>
      </c>
      <c r="K113" s="460">
        <v>2</v>
      </c>
      <c r="L113" s="145">
        <f t="shared" ref="L113:L121" si="5">J113*K113</f>
        <v>60</v>
      </c>
      <c r="M113" s="146">
        <f t="shared" ref="M113:M121" si="6">IFERROR(INDEX($K$395:$K$517,MATCH(D113,LU_Screen_Equip,0)),0)*K113</f>
        <v>6.666666666666667</v>
      </c>
      <c r="N113" s="547">
        <f t="shared" ref="N113:N121" si="7">IFERROR(INDEX($L$395:$L$517,MATCH(D113,LU_Screen_Equip,0)),0)*K113</f>
        <v>7.7060314210862062</v>
      </c>
      <c r="O113" s="837" t="s">
        <v>1705</v>
      </c>
      <c r="P113" s="838"/>
      <c r="Q113" s="839"/>
      <c r="U113" s="119">
        <f t="shared" ref="U113:U121" si="8">IF(AND(ISERROR(MATCH(D113,LU_Screen_Equip,0)),K113),1,0)</f>
        <v>0</v>
      </c>
    </row>
    <row r="114" spans="4:21" s="348" customFormat="1" x14ac:dyDescent="0.2">
      <c r="D114" s="723" t="s">
        <v>1347</v>
      </c>
      <c r="E114" s="723"/>
      <c r="F114" s="723"/>
      <c r="G114" s="723"/>
      <c r="J114" s="147">
        <f t="shared" si="4"/>
        <v>14</v>
      </c>
      <c r="K114" s="460">
        <v>100</v>
      </c>
      <c r="L114" s="148">
        <f t="shared" si="5"/>
        <v>1400</v>
      </c>
      <c r="M114" s="146">
        <f t="shared" si="6"/>
        <v>233.33333333333334</v>
      </c>
      <c r="N114" s="146">
        <f t="shared" si="7"/>
        <v>258.43650063024819</v>
      </c>
      <c r="O114" s="840" t="s">
        <v>1705</v>
      </c>
      <c r="P114" s="841"/>
      <c r="Q114" s="842"/>
      <c r="U114" s="119">
        <f t="shared" si="8"/>
        <v>0</v>
      </c>
    </row>
    <row r="115" spans="4:21" s="348" customFormat="1" x14ac:dyDescent="0.2">
      <c r="D115" s="723" t="s">
        <v>1306</v>
      </c>
      <c r="E115" s="723"/>
      <c r="F115" s="723"/>
      <c r="G115" s="723"/>
      <c r="J115" s="147">
        <f t="shared" si="4"/>
        <v>430</v>
      </c>
      <c r="K115" s="461">
        <v>2</v>
      </c>
      <c r="L115" s="148">
        <f t="shared" si="5"/>
        <v>860</v>
      </c>
      <c r="M115" s="146">
        <f t="shared" si="6"/>
        <v>172</v>
      </c>
      <c r="N115" s="146">
        <f t="shared" si="7"/>
        <v>187.78493140449552</v>
      </c>
      <c r="O115" s="840" t="s">
        <v>1705</v>
      </c>
      <c r="P115" s="841"/>
      <c r="Q115" s="842"/>
      <c r="U115" s="119">
        <f t="shared" si="8"/>
        <v>0</v>
      </c>
    </row>
    <row r="116" spans="4:21" s="348" customFormat="1" x14ac:dyDescent="0.2">
      <c r="D116" s="723" t="s">
        <v>1317</v>
      </c>
      <c r="E116" s="723"/>
      <c r="F116" s="723"/>
      <c r="G116" s="723"/>
      <c r="J116" s="147">
        <f t="shared" si="4"/>
        <v>12</v>
      </c>
      <c r="K116" s="461">
        <v>25</v>
      </c>
      <c r="L116" s="148">
        <f t="shared" si="5"/>
        <v>300</v>
      </c>
      <c r="M116" s="146">
        <f t="shared" si="6"/>
        <v>37.5</v>
      </c>
      <c r="N116" s="146">
        <f t="shared" si="7"/>
        <v>42.736916648171771</v>
      </c>
      <c r="O116" s="840" t="s">
        <v>1705</v>
      </c>
      <c r="P116" s="841"/>
      <c r="Q116" s="842"/>
      <c r="U116" s="119">
        <f t="shared" si="8"/>
        <v>0</v>
      </c>
    </row>
    <row r="117" spans="4:21" s="348" customFormat="1" x14ac:dyDescent="0.2">
      <c r="D117" s="723" t="s">
        <v>1289</v>
      </c>
      <c r="E117" s="723"/>
      <c r="F117" s="723"/>
      <c r="G117" s="723"/>
      <c r="J117" s="147">
        <f t="shared" si="4"/>
        <v>4</v>
      </c>
      <c r="K117" s="461">
        <v>2</v>
      </c>
      <c r="L117" s="148">
        <f t="shared" si="5"/>
        <v>8</v>
      </c>
      <c r="M117" s="146">
        <f t="shared" si="6"/>
        <v>1.6</v>
      </c>
      <c r="N117" s="146">
        <f t="shared" si="7"/>
        <v>1.7468365712046097</v>
      </c>
      <c r="O117" s="840" t="s">
        <v>1705</v>
      </c>
      <c r="P117" s="841"/>
      <c r="Q117" s="842"/>
      <c r="U117" s="119">
        <f t="shared" si="8"/>
        <v>0</v>
      </c>
    </row>
    <row r="118" spans="4:21" s="348" customFormat="1" x14ac:dyDescent="0.2">
      <c r="D118" s="788" t="s">
        <v>1257</v>
      </c>
      <c r="E118" s="788"/>
      <c r="F118" s="788"/>
      <c r="G118" s="788"/>
      <c r="J118" s="147">
        <f t="shared" si="4"/>
        <v>0</v>
      </c>
      <c r="K118" s="555">
        <v>0</v>
      </c>
      <c r="L118" s="148">
        <f t="shared" si="5"/>
        <v>0</v>
      </c>
      <c r="M118" s="146">
        <f t="shared" si="6"/>
        <v>0</v>
      </c>
      <c r="N118" s="146">
        <f t="shared" si="7"/>
        <v>0</v>
      </c>
      <c r="O118" s="840" t="s">
        <v>1705</v>
      </c>
      <c r="P118" s="841"/>
      <c r="Q118" s="842"/>
      <c r="U118" s="119">
        <f t="shared" si="8"/>
        <v>0</v>
      </c>
    </row>
    <row r="119" spans="4:21" s="348" customFormat="1" x14ac:dyDescent="0.2">
      <c r="D119" s="788" t="s">
        <v>1257</v>
      </c>
      <c r="E119" s="788"/>
      <c r="F119" s="788"/>
      <c r="G119" s="788"/>
      <c r="J119" s="147">
        <f t="shared" si="4"/>
        <v>0</v>
      </c>
      <c r="K119" s="555">
        <v>0</v>
      </c>
      <c r="L119" s="148">
        <f t="shared" si="5"/>
        <v>0</v>
      </c>
      <c r="M119" s="146">
        <f t="shared" si="6"/>
        <v>0</v>
      </c>
      <c r="N119" s="146">
        <f t="shared" si="7"/>
        <v>0</v>
      </c>
      <c r="O119" s="840" t="s">
        <v>1705</v>
      </c>
      <c r="P119" s="841"/>
      <c r="Q119" s="842"/>
      <c r="U119" s="119">
        <f t="shared" si="8"/>
        <v>0</v>
      </c>
    </row>
    <row r="120" spans="4:21" s="348" customFormat="1" x14ac:dyDescent="0.2">
      <c r="D120" s="788" t="s">
        <v>1257</v>
      </c>
      <c r="E120" s="788"/>
      <c r="F120" s="788"/>
      <c r="G120" s="788"/>
      <c r="J120" s="147">
        <f t="shared" si="4"/>
        <v>0</v>
      </c>
      <c r="K120" s="555"/>
      <c r="L120" s="148">
        <f t="shared" si="5"/>
        <v>0</v>
      </c>
      <c r="M120" s="146">
        <f t="shared" si="6"/>
        <v>0</v>
      </c>
      <c r="N120" s="146">
        <f t="shared" si="7"/>
        <v>0</v>
      </c>
      <c r="O120" s="840" t="s">
        <v>1705</v>
      </c>
      <c r="P120" s="841"/>
      <c r="Q120" s="842"/>
      <c r="U120" s="119">
        <f t="shared" si="8"/>
        <v>0</v>
      </c>
    </row>
    <row r="121" spans="4:21" s="348" customFormat="1" x14ac:dyDescent="0.2">
      <c r="D121" s="788" t="s">
        <v>1257</v>
      </c>
      <c r="E121" s="788"/>
      <c r="F121" s="788"/>
      <c r="G121" s="788"/>
      <c r="J121" s="149">
        <f t="shared" si="4"/>
        <v>0</v>
      </c>
      <c r="K121" s="556"/>
      <c r="L121" s="148">
        <f t="shared" si="5"/>
        <v>0</v>
      </c>
      <c r="M121" s="146">
        <f t="shared" si="6"/>
        <v>0</v>
      </c>
      <c r="N121" s="146">
        <f t="shared" si="7"/>
        <v>0</v>
      </c>
      <c r="O121" s="843" t="s">
        <v>1705</v>
      </c>
      <c r="P121" s="844"/>
      <c r="Q121" s="845"/>
      <c r="U121" s="119">
        <f t="shared" si="8"/>
        <v>0</v>
      </c>
    </row>
    <row r="122" spans="4:21" s="348" customFormat="1" x14ac:dyDescent="0.2">
      <c r="D122" s="671" t="s">
        <v>1889</v>
      </c>
      <c r="L122" s="150">
        <f>SUM(L113:L121)</f>
        <v>2628</v>
      </c>
      <c r="M122" s="151">
        <f>SUM(M113:M121)</f>
        <v>451.1</v>
      </c>
      <c r="N122" s="152">
        <f>SUM(N113:N121)</f>
        <v>498.41121667520628</v>
      </c>
    </row>
    <row r="123" spans="4:21" s="348" customFormat="1" x14ac:dyDescent="0.2">
      <c r="D123" s="671" t="s">
        <v>1887</v>
      </c>
      <c r="I123" s="184">
        <v>0.15</v>
      </c>
      <c r="M123" s="153">
        <f>M122*$I$123</f>
        <v>67.665000000000006</v>
      </c>
      <c r="N123" s="154">
        <f>N122*$I$123</f>
        <v>74.761682501280944</v>
      </c>
    </row>
    <row r="124" spans="4:21" s="348" customFormat="1" ht="15" x14ac:dyDescent="0.2">
      <c r="D124" s="667" t="s">
        <v>1888</v>
      </c>
      <c r="M124" s="155">
        <f>SUM(M122:M123)</f>
        <v>518.76499999999999</v>
      </c>
      <c r="N124" s="156">
        <f>SUM(N122:N123)</f>
        <v>573.17289917648725</v>
      </c>
    </row>
    <row r="125" spans="4:21" s="348" customFormat="1" x14ac:dyDescent="0.2"/>
    <row r="126" spans="4:21" s="348" customFormat="1" ht="15" x14ac:dyDescent="0.2">
      <c r="D126" s="667" t="s">
        <v>954</v>
      </c>
      <c r="K126" s="671" t="s">
        <v>955</v>
      </c>
    </row>
    <row r="127" spans="4:21" s="348" customFormat="1" x14ac:dyDescent="0.2">
      <c r="D127" s="721" t="s">
        <v>1786</v>
      </c>
      <c r="E127" s="721"/>
      <c r="F127" s="721"/>
      <c r="G127" s="721"/>
      <c r="H127" s="721"/>
      <c r="I127" s="721"/>
      <c r="K127" s="721"/>
      <c r="L127" s="721"/>
      <c r="M127" s="721"/>
      <c r="N127" s="721"/>
      <c r="O127" s="721"/>
      <c r="P127" s="721"/>
    </row>
    <row r="128" spans="4:21" s="348" customFormat="1" x14ac:dyDescent="0.2">
      <c r="D128" s="721" t="s">
        <v>1789</v>
      </c>
      <c r="E128" s="721"/>
      <c r="F128" s="721"/>
      <c r="G128" s="721"/>
      <c r="H128" s="721"/>
      <c r="I128" s="721"/>
      <c r="K128" s="721"/>
      <c r="L128" s="721"/>
      <c r="M128" s="721"/>
      <c r="N128" s="721"/>
      <c r="O128" s="721"/>
      <c r="P128" s="721"/>
    </row>
    <row r="129" spans="3:16" s="348" customFormat="1" x14ac:dyDescent="0.2">
      <c r="D129" s="721" t="s">
        <v>1788</v>
      </c>
      <c r="E129" s="721"/>
      <c r="F129" s="721"/>
      <c r="G129" s="721"/>
      <c r="H129" s="721"/>
      <c r="I129" s="721"/>
      <c r="K129" s="721"/>
      <c r="L129" s="721"/>
      <c r="M129" s="721"/>
      <c r="N129" s="721"/>
      <c r="O129" s="721"/>
      <c r="P129" s="721"/>
    </row>
    <row r="130" spans="3:16" s="348" customFormat="1" x14ac:dyDescent="0.2">
      <c r="D130" s="721"/>
      <c r="E130" s="721"/>
      <c r="F130" s="721"/>
      <c r="G130" s="721"/>
      <c r="H130" s="721"/>
      <c r="I130" s="721"/>
      <c r="K130" s="721"/>
      <c r="L130" s="721"/>
      <c r="M130" s="721"/>
      <c r="N130" s="721"/>
      <c r="O130" s="721"/>
      <c r="P130" s="721"/>
    </row>
    <row r="131" spans="3:16" s="348" customFormat="1" x14ac:dyDescent="0.2"/>
    <row r="132" spans="3:16" s="348" customFormat="1" x14ac:dyDescent="0.2">
      <c r="C132" s="722" t="str">
        <f>"Go to "&amp;HL_Screen_Ann_Ass</f>
        <v>Go to Visual Inspection with Acetic Acid - Assumptions  Facilities</v>
      </c>
      <c r="D132" s="777"/>
      <c r="E132" s="777"/>
      <c r="F132" s="777"/>
      <c r="G132" s="777"/>
      <c r="H132" s="777"/>
      <c r="I132" s="777"/>
    </row>
    <row r="133" spans="3:16" s="348" customFormat="1" x14ac:dyDescent="0.2">
      <c r="C133" s="722" t="str">
        <f>"Go to "&amp;HL_Screen_Out</f>
        <v>Go to VIA Outputs</v>
      </c>
      <c r="D133" s="777"/>
      <c r="E133" s="777"/>
      <c r="F133" s="777"/>
      <c r="G133" s="777"/>
      <c r="H133" s="777"/>
      <c r="I133" s="777"/>
    </row>
    <row r="134" spans="3:16" s="348" customFormat="1" x14ac:dyDescent="0.2">
      <c r="C134" s="671" t="s">
        <v>1763</v>
      </c>
    </row>
    <row r="135" spans="3:16" s="348" customFormat="1" hidden="1" outlineLevel="1" x14ac:dyDescent="0.2"/>
    <row r="136" spans="3:16" s="348" customFormat="1" ht="15.75" hidden="1" outlineLevel="1" x14ac:dyDescent="0.2">
      <c r="C136" s="664" t="s">
        <v>1695</v>
      </c>
    </row>
    <row r="137" spans="3:16" s="348" customFormat="1" hidden="1" outlineLevel="1" x14ac:dyDescent="0.2">
      <c r="D137" s="668" t="str">
        <f>Plac_Start_Facs_BA!C10</f>
        <v>Central</v>
      </c>
    </row>
    <row r="138" spans="3:16" s="348" customFormat="1" hidden="1" outlineLevel="1" x14ac:dyDescent="0.2">
      <c r="D138" s="668" t="str">
        <f>Plac_Start_Facs_BA!C11</f>
        <v>Copperbelt</v>
      </c>
    </row>
    <row r="139" spans="3:16" s="348" customFormat="1" hidden="1" outlineLevel="1" x14ac:dyDescent="0.2">
      <c r="D139" s="668" t="str">
        <f>Plac_Start_Facs_BA!C12</f>
        <v>Eastern</v>
      </c>
    </row>
    <row r="140" spans="3:16" s="348" customFormat="1" hidden="1" outlineLevel="1" x14ac:dyDescent="0.2">
      <c r="D140" s="668" t="str">
        <f>Plac_Start_Facs_BA!C13</f>
        <v>Luapula</v>
      </c>
    </row>
    <row r="141" spans="3:16" s="348" customFormat="1" hidden="1" outlineLevel="1" x14ac:dyDescent="0.2">
      <c r="D141" s="668" t="str">
        <f>Plac_Start_Facs_BA!C14</f>
        <v>Lusaka</v>
      </c>
    </row>
    <row r="142" spans="3:16" s="348" customFormat="1" hidden="1" outlineLevel="1" x14ac:dyDescent="0.2">
      <c r="D142" s="668" t="str">
        <f>Plac_Start_Facs_BA!C15</f>
        <v>Muchinga</v>
      </c>
    </row>
    <row r="143" spans="3:16" s="348" customFormat="1" hidden="1" outlineLevel="1" x14ac:dyDescent="0.2">
      <c r="D143" s="668" t="str">
        <f>Plac_Start_Facs_BA!C16</f>
        <v>Northern</v>
      </c>
    </row>
    <row r="144" spans="3:16" s="348" customFormat="1" hidden="1" outlineLevel="1" x14ac:dyDescent="0.2">
      <c r="D144" s="668" t="str">
        <f>Plac_Start_Facs_BA!C17</f>
        <v>North-Western</v>
      </c>
    </row>
    <row r="145" spans="3:21" s="348" customFormat="1" hidden="1" outlineLevel="1" x14ac:dyDescent="0.2">
      <c r="D145" s="668" t="str">
        <f>Plac_Start_Facs_BA!C18</f>
        <v>Southern</v>
      </c>
    </row>
    <row r="146" spans="3:21" s="348" customFormat="1" hidden="1" outlineLevel="1" x14ac:dyDescent="0.2">
      <c r="D146" s="668" t="str">
        <f>Plac_Start_Facs_BA!C19</f>
        <v>Western</v>
      </c>
    </row>
    <row r="147" spans="3:21" s="348" customFormat="1" hidden="1" outlineLevel="1" x14ac:dyDescent="0.2"/>
    <row r="148" spans="3:21" s="348" customFormat="1" hidden="1" outlineLevel="1" x14ac:dyDescent="0.2"/>
    <row r="149" spans="3:21" s="348" customFormat="1" ht="15.75" hidden="1" outlineLevel="1" x14ac:dyDescent="0.2">
      <c r="C149" s="664" t="s">
        <v>1762</v>
      </c>
    </row>
    <row r="150" spans="3:21" s="348" customFormat="1" hidden="1" outlineLevel="1" x14ac:dyDescent="0.2">
      <c r="D150" s="668" t="str">
        <f>Econ_Ann_TA!D13</f>
        <v>USD</v>
      </c>
    </row>
    <row r="151" spans="3:21" s="348" customFormat="1" hidden="1" outlineLevel="1" x14ac:dyDescent="0.2">
      <c r="D151" s="668" t="str">
        <f>Econ_Ann_TA!D14</f>
        <v>ZMW</v>
      </c>
    </row>
    <row r="152" spans="3:21" s="348" customFormat="1" hidden="1" outlineLevel="1" x14ac:dyDescent="0.2"/>
    <row r="153" spans="3:21" s="348" customFormat="1" hidden="1" outlineLevel="1" x14ac:dyDescent="0.2"/>
    <row r="154" spans="3:21" s="348" customFormat="1" hidden="1" outlineLevel="2" x14ac:dyDescent="0.2"/>
    <row r="155" spans="3:21" s="348" customFormat="1" ht="15.75" hidden="1" outlineLevel="2" x14ac:dyDescent="0.2">
      <c r="C155" s="664" t="s">
        <v>1694</v>
      </c>
    </row>
    <row r="156" spans="3:21" s="348" customFormat="1" hidden="1" outlineLevel="3" x14ac:dyDescent="0.2">
      <c r="U156" s="671" t="s">
        <v>312</v>
      </c>
    </row>
    <row r="157" spans="3:21" s="348" customFormat="1" ht="14.45" hidden="1" customHeight="1" outlineLevel="3" x14ac:dyDescent="0.2">
      <c r="D157" s="667" t="s">
        <v>302</v>
      </c>
      <c r="I157" s="785" t="str">
        <f>Price_List_BA!G10</f>
        <v>USD</v>
      </c>
      <c r="J157" s="786"/>
      <c r="U157" s="119">
        <f>IF(ISERROR(MATCH(I157,LU_Screen_Curr,0)),1,0)</f>
        <v>0</v>
      </c>
    </row>
    <row r="158" spans="3:21" s="348" customFormat="1" hidden="1" outlineLevel="3" x14ac:dyDescent="0.2"/>
    <row r="159" spans="3:21" s="348" customFormat="1" ht="25.5" hidden="1" outlineLevel="3" x14ac:dyDescent="0.2">
      <c r="D159" s="359" t="str">
        <f>"Personnel - "&amp;D63</f>
        <v>Personnel - Fixed Hospital Sites</v>
      </c>
      <c r="L159" s="365" t="str">
        <f>"Cost per Unit ("&amp;$I$157&amp;"/Unit)"</f>
        <v>Cost per Unit (USD/Unit)</v>
      </c>
    </row>
    <row r="160" spans="3:21" s="348" customFormat="1" ht="12.75" hidden="1" customHeight="1" outlineLevel="3" x14ac:dyDescent="0.2">
      <c r="D160" s="785" t="str">
        <f>Price_List_BA!D14</f>
        <v>_Not Applicable</v>
      </c>
      <c r="E160" s="786"/>
      <c r="F160" s="786"/>
      <c r="G160" s="786"/>
      <c r="L160" s="557">
        <f>Price_List_BA!L14</f>
        <v>0</v>
      </c>
    </row>
    <row r="161" spans="4:12" s="348" customFormat="1" ht="12.95" hidden="1" customHeight="1" outlineLevel="3" x14ac:dyDescent="0.2">
      <c r="D161" s="785" t="str">
        <f>Price_List_BA!D15</f>
        <v>Biomedical scientist (ZM)</v>
      </c>
      <c r="E161" s="786"/>
      <c r="F161" s="786"/>
      <c r="G161" s="786"/>
      <c r="L161" s="557">
        <f>Price_List_BA!L15</f>
        <v>9.6099869451697087E-2</v>
      </c>
    </row>
    <row r="162" spans="4:12" s="348" customFormat="1" ht="12.95" hidden="1" customHeight="1" outlineLevel="3" x14ac:dyDescent="0.2">
      <c r="D162" s="785" t="str">
        <f>Price_List_BA!D16</f>
        <v>Clinical officer  (ZM)</v>
      </c>
      <c r="E162" s="786"/>
      <c r="F162" s="786"/>
      <c r="G162" s="786"/>
      <c r="L162" s="557">
        <f>Price_List_BA!L16</f>
        <v>5.4314893385552607E-2</v>
      </c>
    </row>
    <row r="163" spans="4:12" s="348" customFormat="1" ht="12.75" hidden="1" customHeight="1" outlineLevel="3" x14ac:dyDescent="0.2">
      <c r="D163" s="785" t="str">
        <f>Price_List_BA!D17</f>
        <v>Consultant  (ZM)</v>
      </c>
      <c r="E163" s="786"/>
      <c r="F163" s="786"/>
      <c r="G163" s="786"/>
      <c r="L163" s="557">
        <f>Price_List_BA!L17</f>
        <v>0.39408430337975103</v>
      </c>
    </row>
    <row r="164" spans="4:12" s="348" customFormat="1" hidden="1" outlineLevel="3" x14ac:dyDescent="0.2">
      <c r="D164" s="785" t="str">
        <f>Price_List_BA!D18</f>
        <v>General Medical Doctor</v>
      </c>
      <c r="E164" s="786"/>
      <c r="F164" s="786"/>
      <c r="G164" s="786"/>
      <c r="L164" s="557">
        <f>Price_List_BA!L18</f>
        <v>0.33333333333333331</v>
      </c>
    </row>
    <row r="165" spans="4:12" s="348" customFormat="1" ht="12.75" hidden="1" customHeight="1" outlineLevel="3" x14ac:dyDescent="0.2">
      <c r="D165" s="785" t="str">
        <f>Price_List_BA!D19</f>
        <v>Junior Resident Medical officer  (ZM)</v>
      </c>
      <c r="E165" s="786"/>
      <c r="F165" s="786"/>
      <c r="G165" s="786"/>
      <c r="L165" s="557">
        <f>Price_List_BA!L19</f>
        <v>0.30300363087467391</v>
      </c>
    </row>
    <row r="166" spans="4:12" s="348" customFormat="1" ht="12.95" hidden="1" customHeight="1" outlineLevel="3" x14ac:dyDescent="0.2">
      <c r="D166" s="785" t="str">
        <f>Price_List_BA!D20</f>
        <v>Lab Scientist (ZM)</v>
      </c>
      <c r="E166" s="786"/>
      <c r="F166" s="786"/>
      <c r="G166" s="786"/>
      <c r="L166" s="557">
        <f>Price_List_BA!L20</f>
        <v>9.6099869451697087E-2</v>
      </c>
    </row>
    <row r="167" spans="4:12" s="348" customFormat="1" ht="12.95" hidden="1" customHeight="1" outlineLevel="3" x14ac:dyDescent="0.2">
      <c r="D167" s="785" t="str">
        <f>Price_List_BA!D21</f>
        <v>Lab Technician (ZM)</v>
      </c>
      <c r="E167" s="786"/>
      <c r="F167" s="786"/>
      <c r="G167" s="786"/>
      <c r="L167" s="557">
        <f>Price_List_BA!L21</f>
        <v>4.7519582245430833E-2</v>
      </c>
    </row>
    <row r="168" spans="4:12" s="348" customFormat="1" ht="12.75" hidden="1" customHeight="1" outlineLevel="3" x14ac:dyDescent="0.2">
      <c r="D168" s="785" t="str">
        <f>Price_List_BA!D22</f>
        <v>Lab Technologist (ZM)</v>
      </c>
      <c r="E168" s="786"/>
      <c r="F168" s="786"/>
      <c r="G168" s="786"/>
      <c r="L168" s="557">
        <f>Price_List_BA!L22</f>
        <v>5.4308093994778019E-2</v>
      </c>
    </row>
    <row r="169" spans="4:12" s="348" customFormat="1" ht="12.75" hidden="1" customHeight="1" outlineLevel="3" x14ac:dyDescent="0.2">
      <c r="D169" s="785" t="str">
        <f>Price_List_BA!D23</f>
        <v>Medical Physicist (ZM)</v>
      </c>
      <c r="E169" s="786"/>
      <c r="F169" s="786"/>
      <c r="G169" s="786"/>
      <c r="L169" s="557">
        <f>Price_List_BA!L23</f>
        <v>0.15991895126196667</v>
      </c>
    </row>
    <row r="170" spans="4:12" s="348" customFormat="1" ht="12.95" hidden="1" customHeight="1" outlineLevel="3" x14ac:dyDescent="0.2">
      <c r="D170" s="785" t="str">
        <f>Price_List_BA!D24</f>
        <v>Nursing Officer (ZM)</v>
      </c>
      <c r="E170" s="786"/>
      <c r="F170" s="786"/>
      <c r="G170" s="786"/>
      <c r="L170" s="557">
        <f>Price_List_BA!L24</f>
        <v>9.6099869451697087E-2</v>
      </c>
    </row>
    <row r="171" spans="4:12" s="348" customFormat="1" ht="12.95" hidden="1" customHeight="1" outlineLevel="3" x14ac:dyDescent="0.2">
      <c r="D171" s="785" t="str">
        <f>Price_List_BA!D25</f>
        <v>Pathologist (ZM)</v>
      </c>
      <c r="E171" s="786"/>
      <c r="F171" s="786"/>
      <c r="G171" s="786"/>
      <c r="L171" s="557">
        <f>Price_List_BA!L25</f>
        <v>0.39408430337975103</v>
      </c>
    </row>
    <row r="172" spans="4:12" s="348" customFormat="1" ht="12.95" hidden="1" customHeight="1" outlineLevel="3" x14ac:dyDescent="0.2">
      <c r="D172" s="785" t="str">
        <f>Price_List_BA!D26</f>
        <v>Pharmacy Technologist (ZM)</v>
      </c>
      <c r="E172" s="786"/>
      <c r="F172" s="786"/>
      <c r="G172" s="786"/>
      <c r="L172" s="557">
        <f>Price_List_BA!L26</f>
        <v>5.4312173629242816E-2</v>
      </c>
    </row>
    <row r="173" spans="4:12" s="348" customFormat="1" ht="12.95" hidden="1" customHeight="1" outlineLevel="3" x14ac:dyDescent="0.2">
      <c r="D173" s="785" t="str">
        <f>Price_List_BA!D27</f>
        <v>Principal Nursing Officer (ZM)</v>
      </c>
      <c r="E173" s="786"/>
      <c r="F173" s="786"/>
      <c r="G173" s="786"/>
      <c r="L173" s="557">
        <f>Price_List_BA!L27</f>
        <v>0.15919413620539585</v>
      </c>
    </row>
    <row r="174" spans="4:12" s="348" customFormat="1" ht="12.95" hidden="1" customHeight="1" outlineLevel="3" x14ac:dyDescent="0.2">
      <c r="D174" s="785" t="str">
        <f>Price_List_BA!D28</f>
        <v>Principal Pharmacist (ZM)</v>
      </c>
      <c r="E174" s="786"/>
      <c r="F174" s="786"/>
      <c r="G174" s="786"/>
      <c r="L174" s="557">
        <f>Price_List_BA!L28</f>
        <v>0.15919560940673019</v>
      </c>
    </row>
    <row r="175" spans="4:12" s="348" customFormat="1" ht="12.75" hidden="1" customHeight="1" outlineLevel="3" x14ac:dyDescent="0.2">
      <c r="D175" s="785" t="str">
        <f>Price_List_BA!D29</f>
        <v>Principal Radiographer (ZM)</v>
      </c>
      <c r="E175" s="786"/>
      <c r="F175" s="786"/>
      <c r="G175" s="786"/>
      <c r="L175" s="557">
        <f>Price_List_BA!L29</f>
        <v>0.15919855580939896</v>
      </c>
    </row>
    <row r="176" spans="4:12" s="348" customFormat="1" ht="12.75" hidden="1" customHeight="1" outlineLevel="3" x14ac:dyDescent="0.2">
      <c r="D176" s="785" t="str">
        <f>Price_List_BA!D30</f>
        <v>Principal Therapist - Radiation (ZM)</v>
      </c>
      <c r="E176" s="786"/>
      <c r="F176" s="786"/>
      <c r="G176" s="786"/>
      <c r="L176" s="557">
        <f>Price_List_BA!L30</f>
        <v>0.15919708260806459</v>
      </c>
    </row>
    <row r="177" spans="4:12" s="348" customFormat="1" ht="12.75" hidden="1" customHeight="1" outlineLevel="3" x14ac:dyDescent="0.2">
      <c r="D177" s="785" t="str">
        <f>Price_List_BA!D31</f>
        <v>Radiation Lab Scientist (ZM)</v>
      </c>
      <c r="E177" s="786"/>
      <c r="F177" s="786"/>
      <c r="G177" s="786"/>
      <c r="L177" s="557">
        <f>Price_List_BA!L31</f>
        <v>9.6099869451697087E-2</v>
      </c>
    </row>
    <row r="178" spans="4:12" s="348" customFormat="1" ht="12.95" hidden="1" customHeight="1" outlineLevel="3" x14ac:dyDescent="0.2">
      <c r="D178" s="785" t="str">
        <f>Price_List_BA!D32</f>
        <v>Radiation Protection Officer (ZM)</v>
      </c>
      <c r="E178" s="786"/>
      <c r="F178" s="786"/>
      <c r="G178" s="786"/>
      <c r="L178" s="557">
        <f>Price_List_BA!L32</f>
        <v>9.6099869451697087E-2</v>
      </c>
    </row>
    <row r="179" spans="4:12" s="348" customFormat="1" ht="12.95" hidden="1" customHeight="1" outlineLevel="3" x14ac:dyDescent="0.2">
      <c r="D179" s="785" t="str">
        <f>Price_List_BA!D33</f>
        <v>Radiographer (ZM)</v>
      </c>
      <c r="E179" s="786"/>
      <c r="F179" s="786"/>
      <c r="G179" s="786"/>
      <c r="L179" s="557">
        <f>Price_List_BA!L33</f>
        <v>9.6099869451697087E-2</v>
      </c>
    </row>
    <row r="180" spans="4:12" s="348" customFormat="1" ht="12.95" hidden="1" customHeight="1" outlineLevel="3" x14ac:dyDescent="0.2">
      <c r="D180" s="785" t="str">
        <f>Price_List_BA!D34</f>
        <v>Registered Nurse (ZM)</v>
      </c>
      <c r="E180" s="786"/>
      <c r="F180" s="786"/>
      <c r="G180" s="786"/>
      <c r="L180" s="557">
        <f>Price_List_BA!L34</f>
        <v>5.7114882506527402E-2</v>
      </c>
    </row>
    <row r="181" spans="4:12" s="348" customFormat="1" ht="12.95" hidden="1" customHeight="1" outlineLevel="3" x14ac:dyDescent="0.2">
      <c r="D181" s="785" t="str">
        <f>Price_List_BA!D35</f>
        <v>Senior Enrolled Nurse (ZM)</v>
      </c>
      <c r="E181" s="786"/>
      <c r="F181" s="786"/>
      <c r="G181" s="786"/>
      <c r="L181" s="557">
        <f>Price_List_BA!L35</f>
        <v>5.4313533507397704E-2</v>
      </c>
    </row>
    <row r="182" spans="4:12" s="348" customFormat="1" ht="12.75" hidden="1" customHeight="1" outlineLevel="3" x14ac:dyDescent="0.2">
      <c r="D182" s="785" t="str">
        <f>Price_List_BA!D36</f>
        <v>Senior Nursing Officer (ZM)</v>
      </c>
      <c r="E182" s="786"/>
      <c r="F182" s="786"/>
      <c r="G182" s="786"/>
      <c r="L182" s="557">
        <f>Price_List_BA!L36</f>
        <v>0.12206946257615311</v>
      </c>
    </row>
    <row r="183" spans="4:12" s="348" customFormat="1" ht="12.75" hidden="1" customHeight="1" outlineLevel="3" x14ac:dyDescent="0.2">
      <c r="D183" s="785" t="str">
        <f>Price_List_BA!D37</f>
        <v>Senior Radiation protection Officer (ZM)</v>
      </c>
      <c r="E183" s="786"/>
      <c r="F183" s="786"/>
      <c r="G183" s="786"/>
      <c r="L183" s="557">
        <f>Price_List_BA!L37</f>
        <v>0.12207093577748751</v>
      </c>
    </row>
    <row r="184" spans="4:12" s="348" customFormat="1" ht="12.75" hidden="1" customHeight="1" outlineLevel="3" x14ac:dyDescent="0.2">
      <c r="D184" s="785" t="str">
        <f>Price_List_BA!D38</f>
        <v>Senior Radiographer (ZM)</v>
      </c>
      <c r="E184" s="786"/>
      <c r="F184" s="786"/>
      <c r="G184" s="786"/>
      <c r="L184" s="557">
        <f>Price_List_BA!L38</f>
        <v>0.12207240897882186</v>
      </c>
    </row>
    <row r="185" spans="4:12" s="348" customFormat="1" ht="12.75" hidden="1" customHeight="1" outlineLevel="3" x14ac:dyDescent="0.2">
      <c r="D185" s="785" t="str">
        <f>Price_List_BA!D39</f>
        <v>Zambia Enrolled Nurse (ZEN) (ZM)</v>
      </c>
      <c r="E185" s="786"/>
      <c r="F185" s="786"/>
      <c r="G185" s="786"/>
      <c r="L185" s="557">
        <f>Price_List_BA!L39</f>
        <v>5.4309453872933025E-2</v>
      </c>
    </row>
    <row r="186" spans="4:12" s="348" customFormat="1" hidden="1" outlineLevel="3" x14ac:dyDescent="0.2">
      <c r="D186" s="785" t="str">
        <f>Price_List_BA!D40</f>
        <v>Personnel - Hospital Cadre - Other 27</v>
      </c>
      <c r="E186" s="786"/>
      <c r="F186" s="786"/>
      <c r="G186" s="786"/>
      <c r="L186" s="557">
        <f>Price_List_BA!L40</f>
        <v>0</v>
      </c>
    </row>
    <row r="187" spans="4:12" s="348" customFormat="1" hidden="1" outlineLevel="3" x14ac:dyDescent="0.2">
      <c r="D187" s="785" t="str">
        <f>Price_List_BA!D41</f>
        <v>Personnel - Hospital Cadre - Other 28</v>
      </c>
      <c r="E187" s="786"/>
      <c r="F187" s="786"/>
      <c r="G187" s="786"/>
      <c r="L187" s="557">
        <f>Price_List_BA!L41</f>
        <v>0</v>
      </c>
    </row>
    <row r="188" spans="4:12" s="348" customFormat="1" hidden="1" outlineLevel="3" x14ac:dyDescent="0.2">
      <c r="D188" s="785" t="str">
        <f>Price_List_BA!D42</f>
        <v>Personnel - Hospital Cadre - Other 29</v>
      </c>
      <c r="E188" s="786"/>
      <c r="F188" s="786"/>
      <c r="G188" s="786"/>
      <c r="L188" s="557">
        <f>Price_List_BA!L42</f>
        <v>0</v>
      </c>
    </row>
    <row r="189" spans="4:12" s="348" customFormat="1" hidden="1" outlineLevel="3" x14ac:dyDescent="0.2">
      <c r="D189" s="785" t="str">
        <f>Price_List_BA!D43</f>
        <v>Personnel - Hospital Cadre - Other 30</v>
      </c>
      <c r="E189" s="786"/>
      <c r="F189" s="786"/>
      <c r="G189" s="786"/>
      <c r="L189" s="557">
        <f>Price_List_BA!L43</f>
        <v>0</v>
      </c>
    </row>
    <row r="190" spans="4:12" s="348" customFormat="1" hidden="1" outlineLevel="3" x14ac:dyDescent="0.2">
      <c r="D190" s="785" t="str">
        <f>Price_List_BA!D44</f>
        <v>Personnel - Hospital Cadre - Other 31</v>
      </c>
      <c r="E190" s="786"/>
      <c r="F190" s="786"/>
      <c r="G190" s="786"/>
      <c r="L190" s="557">
        <f>Price_List_BA!L44</f>
        <v>0</v>
      </c>
    </row>
    <row r="191" spans="4:12" s="348" customFormat="1" hidden="1" outlineLevel="3" x14ac:dyDescent="0.2"/>
    <row r="192" spans="4:12" s="348" customFormat="1" ht="25.5" hidden="1" outlineLevel="3" x14ac:dyDescent="0.2">
      <c r="D192" s="359" t="str">
        <f>"Personnel - "&amp;D74</f>
        <v>Personnel - Other Facility Types</v>
      </c>
      <c r="L192" s="365" t="str">
        <f>"Cost per Unit ("&amp;$I$157&amp;"/Unit)"</f>
        <v>Cost per Unit (USD/Unit)</v>
      </c>
    </row>
    <row r="193" spans="4:12" s="348" customFormat="1" ht="12.95" hidden="1" customHeight="1" outlineLevel="3" x14ac:dyDescent="0.2">
      <c r="D193" s="785" t="str">
        <f>Price_List_BA!D47</f>
        <v>_Not Applicable</v>
      </c>
      <c r="E193" s="786"/>
      <c r="F193" s="786"/>
      <c r="G193" s="786"/>
      <c r="L193" s="557">
        <f>Price_List_BA!L47</f>
        <v>0</v>
      </c>
    </row>
    <row r="194" spans="4:12" s="348" customFormat="1" ht="12.95" hidden="1" customHeight="1" outlineLevel="3" x14ac:dyDescent="0.2">
      <c r="D194" s="785" t="str">
        <f>Price_List_BA!D48</f>
        <v>Biomedical scientist (ZM)</v>
      </c>
      <c r="E194" s="786"/>
      <c r="F194" s="786"/>
      <c r="G194" s="786"/>
      <c r="L194" s="557">
        <f>Price_List_BA!L48</f>
        <v>9.6099869451697087E-2</v>
      </c>
    </row>
    <row r="195" spans="4:12" s="348" customFormat="1" ht="12.95" hidden="1" customHeight="1" outlineLevel="3" x14ac:dyDescent="0.2">
      <c r="D195" s="785" t="str">
        <f>Price_List_BA!D49</f>
        <v>Clinical officer  (ZM)</v>
      </c>
      <c r="E195" s="786"/>
      <c r="F195" s="786"/>
      <c r="G195" s="786"/>
      <c r="L195" s="557">
        <f>Price_List_BA!L49</f>
        <v>5.4314893385552607E-2</v>
      </c>
    </row>
    <row r="196" spans="4:12" s="348" customFormat="1" ht="12.95" hidden="1" customHeight="1" outlineLevel="3" x14ac:dyDescent="0.2">
      <c r="D196" s="785" t="str">
        <f>Price_List_BA!D50</f>
        <v>Consultant  (ZM)</v>
      </c>
      <c r="E196" s="786"/>
      <c r="F196" s="786"/>
      <c r="G196" s="786"/>
      <c r="L196" s="557">
        <f>Price_List_BA!L50</f>
        <v>0.39408430337975103</v>
      </c>
    </row>
    <row r="197" spans="4:12" s="348" customFormat="1" hidden="1" outlineLevel="3" x14ac:dyDescent="0.2">
      <c r="D197" s="785" t="str">
        <f>Price_List_BA!D51</f>
        <v>General Medical Doctor</v>
      </c>
      <c r="E197" s="786"/>
      <c r="F197" s="786"/>
      <c r="G197" s="786"/>
      <c r="L197" s="557">
        <f>Price_List_BA!L51</f>
        <v>0.3125</v>
      </c>
    </row>
    <row r="198" spans="4:12" s="348" customFormat="1" ht="12.95" hidden="1" customHeight="1" outlineLevel="3" x14ac:dyDescent="0.2">
      <c r="D198" s="785" t="str">
        <f>Price_List_BA!D52</f>
        <v>Junior Resident Medical officer  (ZM)</v>
      </c>
      <c r="E198" s="786"/>
      <c r="F198" s="786"/>
      <c r="G198" s="786"/>
      <c r="L198" s="557">
        <f>Price_List_BA!L52</f>
        <v>0.30300363087467391</v>
      </c>
    </row>
    <row r="199" spans="4:12" s="348" customFormat="1" ht="12.95" hidden="1" customHeight="1" outlineLevel="3" x14ac:dyDescent="0.2">
      <c r="D199" s="785" t="str">
        <f>Price_List_BA!D53</f>
        <v>Lab Scientist (ZM)</v>
      </c>
      <c r="E199" s="786"/>
      <c r="F199" s="786"/>
      <c r="G199" s="786"/>
      <c r="L199" s="557">
        <f>Price_List_BA!L53</f>
        <v>9.6099869451697087E-2</v>
      </c>
    </row>
    <row r="200" spans="4:12" s="348" customFormat="1" ht="12.75" hidden="1" customHeight="1" outlineLevel="3" x14ac:dyDescent="0.2">
      <c r="D200" s="785" t="str">
        <f>Price_List_BA!D54</f>
        <v>Lab Technician (ZM)</v>
      </c>
      <c r="E200" s="786"/>
      <c r="F200" s="786"/>
      <c r="G200" s="786"/>
      <c r="L200" s="557">
        <f>Price_List_BA!L54</f>
        <v>4.7519582245430833E-2</v>
      </c>
    </row>
    <row r="201" spans="4:12" s="348" customFormat="1" ht="12.75" hidden="1" customHeight="1" outlineLevel="3" x14ac:dyDescent="0.2">
      <c r="D201" s="785" t="str">
        <f>Price_List_BA!D55</f>
        <v>Lab Technologist (ZM)</v>
      </c>
      <c r="E201" s="786"/>
      <c r="F201" s="786"/>
      <c r="G201" s="786"/>
      <c r="L201" s="557">
        <f>Price_List_BA!L55</f>
        <v>5.4308093994778019E-2</v>
      </c>
    </row>
    <row r="202" spans="4:12" s="348" customFormat="1" ht="12.75" hidden="1" customHeight="1" outlineLevel="3" x14ac:dyDescent="0.2">
      <c r="D202" s="785" t="str">
        <f>Price_List_BA!D56</f>
        <v>Medical Physicist (ZM)</v>
      </c>
      <c r="E202" s="786"/>
      <c r="F202" s="786"/>
      <c r="G202" s="786"/>
      <c r="L202" s="557">
        <f>Price_List_BA!L56</f>
        <v>0.15991895126196667</v>
      </c>
    </row>
    <row r="203" spans="4:12" s="348" customFormat="1" ht="12.75" hidden="1" customHeight="1" outlineLevel="3" x14ac:dyDescent="0.2">
      <c r="D203" s="785" t="str">
        <f>Price_List_BA!D57</f>
        <v>Nursing Officer (ZM)</v>
      </c>
      <c r="E203" s="786"/>
      <c r="F203" s="786"/>
      <c r="G203" s="786"/>
      <c r="L203" s="557">
        <f>Price_List_BA!L57</f>
        <v>9.6099869451697087E-2</v>
      </c>
    </row>
    <row r="204" spans="4:12" s="348" customFormat="1" ht="12.75" hidden="1" customHeight="1" outlineLevel="3" x14ac:dyDescent="0.2">
      <c r="D204" s="785" t="str">
        <f>Price_List_BA!D58</f>
        <v>Pathologist (ZM)</v>
      </c>
      <c r="E204" s="786"/>
      <c r="F204" s="786"/>
      <c r="G204" s="786"/>
      <c r="L204" s="557">
        <f>Price_List_BA!L58</f>
        <v>0.39408430337975103</v>
      </c>
    </row>
    <row r="205" spans="4:12" s="348" customFormat="1" ht="12.75" hidden="1" customHeight="1" outlineLevel="3" x14ac:dyDescent="0.2">
      <c r="D205" s="785" t="str">
        <f>Price_List_BA!D59</f>
        <v>Pharmacy Technologist (ZM)</v>
      </c>
      <c r="E205" s="786"/>
      <c r="F205" s="786"/>
      <c r="G205" s="786"/>
      <c r="L205" s="557">
        <f>Price_List_BA!L59</f>
        <v>5.4312173629242816E-2</v>
      </c>
    </row>
    <row r="206" spans="4:12" s="348" customFormat="1" ht="12.75" hidden="1" customHeight="1" outlineLevel="3" x14ac:dyDescent="0.2">
      <c r="D206" s="785" t="str">
        <f>Price_List_BA!D60</f>
        <v>Principal Nursing Officer (ZM)</v>
      </c>
      <c r="E206" s="786"/>
      <c r="F206" s="786"/>
      <c r="G206" s="786"/>
      <c r="L206" s="557">
        <f>Price_List_BA!L60</f>
        <v>0.15919413620539585</v>
      </c>
    </row>
    <row r="207" spans="4:12" s="348" customFormat="1" ht="12.75" hidden="1" customHeight="1" outlineLevel="3" x14ac:dyDescent="0.2">
      <c r="D207" s="785" t="str">
        <f>Price_List_BA!D61</f>
        <v>Principal Pharmacist (ZM)</v>
      </c>
      <c r="E207" s="786"/>
      <c r="F207" s="786"/>
      <c r="G207" s="786"/>
      <c r="L207" s="557">
        <f>Price_List_BA!L61</f>
        <v>0.15919560940673019</v>
      </c>
    </row>
    <row r="208" spans="4:12" s="348" customFormat="1" ht="12.75" hidden="1" customHeight="1" outlineLevel="3" x14ac:dyDescent="0.2">
      <c r="D208" s="785" t="str">
        <f>Price_List_BA!D62</f>
        <v>Principal Radiographer (ZM)</v>
      </c>
      <c r="E208" s="786"/>
      <c r="F208" s="786"/>
      <c r="G208" s="786"/>
      <c r="L208" s="557">
        <f>Price_List_BA!L62</f>
        <v>0.15919855580939896</v>
      </c>
    </row>
    <row r="209" spans="4:12" s="348" customFormat="1" ht="12.95" hidden="1" customHeight="1" outlineLevel="3" x14ac:dyDescent="0.2">
      <c r="D209" s="785" t="str">
        <f>Price_List_BA!D63</f>
        <v>Principal Therapist - Radiation (ZM)</v>
      </c>
      <c r="E209" s="786"/>
      <c r="F209" s="786"/>
      <c r="G209" s="786"/>
      <c r="L209" s="557">
        <f>Price_List_BA!L63</f>
        <v>0.15919708260806459</v>
      </c>
    </row>
    <row r="210" spans="4:12" s="348" customFormat="1" ht="12.95" hidden="1" customHeight="1" outlineLevel="3" x14ac:dyDescent="0.2">
      <c r="D210" s="785" t="str">
        <f>Price_List_BA!D64</f>
        <v>Radiation Lab Scientist (ZM)</v>
      </c>
      <c r="E210" s="786"/>
      <c r="F210" s="786"/>
      <c r="G210" s="786"/>
      <c r="L210" s="557">
        <f>Price_List_BA!L64</f>
        <v>9.6099869451697087E-2</v>
      </c>
    </row>
    <row r="211" spans="4:12" s="348" customFormat="1" ht="12.95" hidden="1" customHeight="1" outlineLevel="3" x14ac:dyDescent="0.2">
      <c r="D211" s="785" t="str">
        <f>Price_List_BA!D65</f>
        <v>Radiation Protection Officer (ZM)</v>
      </c>
      <c r="E211" s="786"/>
      <c r="F211" s="786"/>
      <c r="G211" s="786"/>
      <c r="L211" s="557">
        <f>Price_List_BA!L65</f>
        <v>9.6099869451697087E-2</v>
      </c>
    </row>
    <row r="212" spans="4:12" s="348" customFormat="1" ht="12.95" hidden="1" customHeight="1" outlineLevel="3" x14ac:dyDescent="0.2">
      <c r="D212" s="785" t="str">
        <f>Price_List_BA!D66</f>
        <v>Radiographer (ZM)</v>
      </c>
      <c r="E212" s="786"/>
      <c r="F212" s="786"/>
      <c r="G212" s="786"/>
      <c r="L212" s="557">
        <f>Price_List_BA!L66</f>
        <v>9.6099869451697087E-2</v>
      </c>
    </row>
    <row r="213" spans="4:12" s="348" customFormat="1" ht="12.95" hidden="1" customHeight="1" outlineLevel="3" x14ac:dyDescent="0.2">
      <c r="D213" s="785" t="str">
        <f>Price_List_BA!D67</f>
        <v>Registered Nurse (ZM)</v>
      </c>
      <c r="E213" s="786"/>
      <c r="F213" s="786"/>
      <c r="G213" s="786"/>
      <c r="L213" s="557">
        <f>Price_List_BA!L67</f>
        <v>5.7114882506527402E-2</v>
      </c>
    </row>
    <row r="214" spans="4:12" s="348" customFormat="1" ht="12.75" hidden="1" customHeight="1" outlineLevel="3" x14ac:dyDescent="0.2">
      <c r="D214" s="785" t="str">
        <f>Price_List_BA!D68</f>
        <v>Senior Enrolled Nurse (ZM)</v>
      </c>
      <c r="E214" s="786"/>
      <c r="F214" s="786"/>
      <c r="G214" s="786"/>
      <c r="L214" s="557">
        <f>Price_List_BA!L68</f>
        <v>5.4313533507397704E-2</v>
      </c>
    </row>
    <row r="215" spans="4:12" s="348" customFormat="1" ht="12.75" hidden="1" customHeight="1" outlineLevel="3" x14ac:dyDescent="0.2">
      <c r="D215" s="785" t="str">
        <f>Price_List_BA!D69</f>
        <v>Senior Nursing Officer (ZM)</v>
      </c>
      <c r="E215" s="786"/>
      <c r="F215" s="786"/>
      <c r="G215" s="786"/>
      <c r="L215" s="557">
        <f>Price_List_BA!L69</f>
        <v>0.12206946257615311</v>
      </c>
    </row>
    <row r="216" spans="4:12" s="348" customFormat="1" ht="12.75" hidden="1" customHeight="1" outlineLevel="3" x14ac:dyDescent="0.2">
      <c r="D216" s="785" t="str">
        <f>Price_List_BA!D70</f>
        <v>Senior Radiation protection Officer (ZM)</v>
      </c>
      <c r="E216" s="786"/>
      <c r="F216" s="786"/>
      <c r="G216" s="786"/>
      <c r="L216" s="557">
        <f>Price_List_BA!L70</f>
        <v>0.12207093577748751</v>
      </c>
    </row>
    <row r="217" spans="4:12" s="348" customFormat="1" hidden="1" outlineLevel="3" x14ac:dyDescent="0.2">
      <c r="D217" s="785" t="str">
        <f>Price_List_BA!D71</f>
        <v>Senior Radiographer (ZM)</v>
      </c>
      <c r="E217" s="786"/>
      <c r="F217" s="786"/>
      <c r="G217" s="786"/>
      <c r="L217" s="557">
        <f>Price_List_BA!L71</f>
        <v>0.12207240897882186</v>
      </c>
    </row>
    <row r="218" spans="4:12" s="348" customFormat="1" hidden="1" outlineLevel="3" x14ac:dyDescent="0.2">
      <c r="D218" s="785" t="str">
        <f>Price_List_BA!D72</f>
        <v>Zambia Enrolled Nurse (ZEN) (ZM)</v>
      </c>
      <c r="E218" s="786"/>
      <c r="F218" s="786"/>
      <c r="G218" s="786"/>
      <c r="L218" s="557">
        <f>Price_List_BA!L72</f>
        <v>5.4309453872933025E-2</v>
      </c>
    </row>
    <row r="219" spans="4:12" s="348" customFormat="1" hidden="1" outlineLevel="3" x14ac:dyDescent="0.2">
      <c r="D219" s="785" t="str">
        <f>Price_List_BA!D73</f>
        <v>Personnel - Other Category 27</v>
      </c>
      <c r="E219" s="786"/>
      <c r="F219" s="786"/>
      <c r="G219" s="786"/>
      <c r="L219" s="557">
        <f>Price_List_BA!L73</f>
        <v>0</v>
      </c>
    </row>
    <row r="220" spans="4:12" s="348" customFormat="1" hidden="1" outlineLevel="3" x14ac:dyDescent="0.2">
      <c r="D220" s="785" t="str">
        <f>Price_List_BA!D74</f>
        <v>Personnel - Other Category 28</v>
      </c>
      <c r="E220" s="786"/>
      <c r="F220" s="786"/>
      <c r="G220" s="786"/>
      <c r="L220" s="557">
        <f>Price_List_BA!L74</f>
        <v>0</v>
      </c>
    </row>
    <row r="221" spans="4:12" s="348" customFormat="1" hidden="1" outlineLevel="3" x14ac:dyDescent="0.2">
      <c r="D221" s="785" t="str">
        <f>Price_List_BA!D75</f>
        <v>Personnel - Other Category 29</v>
      </c>
      <c r="E221" s="786"/>
      <c r="F221" s="786"/>
      <c r="G221" s="786"/>
      <c r="L221" s="557">
        <f>Price_List_BA!L75</f>
        <v>0</v>
      </c>
    </row>
    <row r="222" spans="4:12" s="348" customFormat="1" hidden="1" outlineLevel="3" x14ac:dyDescent="0.2">
      <c r="D222" s="785" t="str">
        <f>Price_List_BA!D76</f>
        <v>Personnel - Other Category 30</v>
      </c>
      <c r="E222" s="786"/>
      <c r="F222" s="786"/>
      <c r="G222" s="786"/>
      <c r="L222" s="557">
        <f>Price_List_BA!L76</f>
        <v>0</v>
      </c>
    </row>
    <row r="223" spans="4:12" s="348" customFormat="1" ht="12.95" hidden="1" customHeight="1" outlineLevel="3" x14ac:dyDescent="0.2">
      <c r="D223" s="785">
        <f>Price_List_BA!D77</f>
        <v>0</v>
      </c>
      <c r="E223" s="786"/>
      <c r="F223" s="786"/>
      <c r="G223" s="786"/>
      <c r="L223" s="557">
        <f>Price_List_BA!L77</f>
        <v>0</v>
      </c>
    </row>
    <row r="224" spans="4:12" s="348" customFormat="1" hidden="1" outlineLevel="3" x14ac:dyDescent="0.2"/>
    <row r="225" spans="4:12" s="348" customFormat="1" ht="25.5" hidden="1" outlineLevel="3" x14ac:dyDescent="0.2">
      <c r="D225" s="667" t="s">
        <v>316</v>
      </c>
      <c r="L225" s="365" t="str">
        <f>"Cost per Unit ("&amp;$I$157&amp;"/Unit)"</f>
        <v>Cost per Unit (USD/Unit)</v>
      </c>
    </row>
    <row r="226" spans="4:12" s="348" customFormat="1" ht="12.95" hidden="1" customHeight="1" outlineLevel="3" x14ac:dyDescent="0.2">
      <c r="D226" s="785" t="str">
        <f>Price_List_BA!D210</f>
        <v>_Not Applicable</v>
      </c>
      <c r="E226" s="786"/>
      <c r="F226" s="786"/>
      <c r="G226" s="786"/>
      <c r="J226" s="668" t="str">
        <f>Price_List_BA!J210</f>
        <v>SU</v>
      </c>
      <c r="L226" s="127">
        <f>Price_List_BA!L210</f>
        <v>0</v>
      </c>
    </row>
    <row r="227" spans="4:12" s="348" customFormat="1" ht="12.95" hidden="1" customHeight="1" outlineLevel="3" x14ac:dyDescent="0.2">
      <c r="D227" s="785" t="str">
        <f>Price_List_BA!D211</f>
        <v>10 ml syringes with long 27-gauge needle (UG)</v>
      </c>
      <c r="E227" s="786"/>
      <c r="F227" s="786"/>
      <c r="G227" s="786"/>
      <c r="J227" s="668" t="str">
        <f>Price_List_BA!J211</f>
        <v>each</v>
      </c>
      <c r="L227" s="127">
        <f>Price_List_BA!L211</f>
        <v>0.18578</v>
      </c>
    </row>
    <row r="228" spans="4:12" s="348" customFormat="1" ht="12.95" hidden="1" customHeight="1" outlineLevel="3" x14ac:dyDescent="0.2">
      <c r="D228" s="785" t="str">
        <f>Price_List_BA!D212</f>
        <v>100% alcohol (UG)</v>
      </c>
      <c r="E228" s="786"/>
      <c r="F228" s="786"/>
      <c r="G228" s="786"/>
      <c r="J228" s="668" t="str">
        <f>Price_List_BA!J212</f>
        <v>mililiter</v>
      </c>
      <c r="L228" s="127">
        <f>Price_List_BA!L212</f>
        <v>1.9224106655010398E-2</v>
      </c>
    </row>
    <row r="229" spans="4:12" s="348" customFormat="1" ht="12.95" hidden="1" customHeight="1" outlineLevel="3" x14ac:dyDescent="0.2">
      <c r="D229" s="785" t="str">
        <f>Price_List_BA!D213</f>
        <v>100% Ethanol (UG)</v>
      </c>
      <c r="E229" s="786"/>
      <c r="F229" s="786"/>
      <c r="G229" s="786"/>
      <c r="J229" s="668" t="str">
        <f>Price_List_BA!J213</f>
        <v>mililiter</v>
      </c>
      <c r="L229" s="127">
        <f>Price_List_BA!L213</f>
        <v>1.9224106655010398E-2</v>
      </c>
    </row>
    <row r="230" spans="4:12" s="348" customFormat="1" ht="12.95" hidden="1" customHeight="1" outlineLevel="3" x14ac:dyDescent="0.2">
      <c r="D230" s="785" t="str">
        <f>Price_List_BA!D214</f>
        <v>5% acetic acid (UG)</v>
      </c>
      <c r="E230" s="786"/>
      <c r="F230" s="786"/>
      <c r="G230" s="786"/>
      <c r="J230" s="668" t="str">
        <f>Price_List_BA!J214</f>
        <v>mililiter</v>
      </c>
      <c r="L230" s="127">
        <f>Price_List_BA!L214</f>
        <v>1.52988744399519E-2</v>
      </c>
    </row>
    <row r="231" spans="4:12" s="348" customFormat="1" ht="12.95" hidden="1" customHeight="1" outlineLevel="3" x14ac:dyDescent="0.2">
      <c r="D231" s="785" t="str">
        <f>Price_List_BA!D215</f>
        <v>Acetic acid (UG)</v>
      </c>
      <c r="E231" s="786"/>
      <c r="F231" s="786"/>
      <c r="G231" s="786"/>
      <c r="J231" s="668" t="str">
        <f>Price_List_BA!J215</f>
        <v>mililiter</v>
      </c>
      <c r="L231" s="127">
        <f>Price_List_BA!L215</f>
        <v>1.47739525734892E-2</v>
      </c>
    </row>
    <row r="232" spans="4:12" s="348" customFormat="1" ht="12.95" hidden="1" customHeight="1" outlineLevel="3" x14ac:dyDescent="0.2">
      <c r="D232" s="785" t="str">
        <f>Price_List_BA!D216</f>
        <v>Acetic acid, 3–5% dilution (ZM)</v>
      </c>
      <c r="E232" s="786"/>
      <c r="F232" s="786"/>
      <c r="G232" s="786"/>
      <c r="J232" s="668" t="str">
        <f>Price_List_BA!J216</f>
        <v>centilitre</v>
      </c>
      <c r="L232" s="127">
        <f>Price_List_BA!L216</f>
        <v>3.4000000000000002E-2</v>
      </c>
    </row>
    <row r="233" spans="4:12" s="348" customFormat="1" ht="12.95" hidden="1" customHeight="1" outlineLevel="3" x14ac:dyDescent="0.2">
      <c r="D233" s="785" t="str">
        <f>Price_List_BA!D217</f>
        <v>Acetic acid, 3–5% dilution (TZ)</v>
      </c>
      <c r="E233" s="786"/>
      <c r="F233" s="786"/>
      <c r="G233" s="786"/>
      <c r="J233" s="668" t="str">
        <f>Price_List_BA!J217</f>
        <v>centilitre</v>
      </c>
      <c r="L233" s="127">
        <f>Price_List_BA!L217</f>
        <v>3.5000000000000003E-2</v>
      </c>
    </row>
    <row r="234" spans="4:12" s="348" customFormat="1" ht="12.95" hidden="1" customHeight="1" outlineLevel="3" x14ac:dyDescent="0.2">
      <c r="D234" s="785" t="str">
        <f>Price_List_BA!D218</f>
        <v>Alcohol, 60-90% isopropyl or ethyl (TZ)</v>
      </c>
      <c r="E234" s="786"/>
      <c r="F234" s="786"/>
      <c r="G234" s="786"/>
      <c r="J234" s="668" t="str">
        <f>Price_List_BA!J218</f>
        <v>centilitre</v>
      </c>
      <c r="L234" s="127">
        <f>Price_List_BA!L218</f>
        <v>8.2500000000000004E-2</v>
      </c>
    </row>
    <row r="235" spans="4:12" s="348" customFormat="1" ht="12.95" hidden="1" customHeight="1" outlineLevel="3" x14ac:dyDescent="0.2">
      <c r="D235" s="785" t="str">
        <f>Price_List_BA!D219</f>
        <v>Alcohol, 60-90% isopropyl or ethyl 95% (ZM)</v>
      </c>
      <c r="E235" s="786"/>
      <c r="F235" s="786"/>
      <c r="G235" s="786"/>
      <c r="J235" s="668" t="str">
        <f>Price_List_BA!J219</f>
        <v>centilitre</v>
      </c>
      <c r="L235" s="127">
        <f>Price_List_BA!L219</f>
        <v>4.4125300000000006E-2</v>
      </c>
    </row>
    <row r="236" spans="4:12" s="348" customFormat="1" ht="12.95" hidden="1" customHeight="1" outlineLevel="3" x14ac:dyDescent="0.2">
      <c r="D236" s="785" t="str">
        <f>Price_List_BA!D220</f>
        <v>Amitriptyline hydrochloride( 25mg) (ZM)</v>
      </c>
      <c r="E236" s="786"/>
      <c r="F236" s="786"/>
      <c r="G236" s="786"/>
      <c r="J236" s="668" t="str">
        <f>Price_List_BA!J220</f>
        <v>25 mg</v>
      </c>
      <c r="L236" s="127">
        <f>Price_List_BA!L220</f>
        <v>7.3106999999999998E-3</v>
      </c>
    </row>
    <row r="237" spans="4:12" s="348" customFormat="1" ht="12.95" hidden="1" customHeight="1" outlineLevel="3" x14ac:dyDescent="0.2">
      <c r="D237" s="785" t="str">
        <f>Price_List_BA!D221</f>
        <v>Amitriptyline hydrochloride( 25mg) (TZ)</v>
      </c>
      <c r="E237" s="786"/>
      <c r="F237" s="786"/>
      <c r="G237" s="786"/>
      <c r="J237" s="668" t="str">
        <f>Price_List_BA!J221</f>
        <v>each</v>
      </c>
      <c r="L237" s="127">
        <f>Price_List_BA!L221</f>
        <v>1.8749999999999999E-3</v>
      </c>
    </row>
    <row r="238" spans="4:12" s="348" customFormat="1" ht="12.95" hidden="1" customHeight="1" outlineLevel="3" x14ac:dyDescent="0.2">
      <c r="D238" s="785" t="str">
        <f>Price_List_BA!D222</f>
        <v>Anticeptic solution (UG)</v>
      </c>
      <c r="E238" s="786"/>
      <c r="F238" s="786"/>
      <c r="G238" s="786"/>
      <c r="J238" s="668" t="str">
        <f>Price_List_BA!J222</f>
        <v>mililiter</v>
      </c>
      <c r="L238" s="127">
        <f>Price_List_BA!L222</f>
        <v>1.9869626497533474E-2</v>
      </c>
    </row>
    <row r="239" spans="4:12" s="348" customFormat="1" ht="12.95" hidden="1" customHeight="1" outlineLevel="3" x14ac:dyDescent="0.2">
      <c r="D239" s="785" t="str">
        <f>Price_List_BA!D223</f>
        <v>Arithromycin (250g) (ZM)</v>
      </c>
      <c r="E239" s="786"/>
      <c r="F239" s="786"/>
      <c r="G239" s="786"/>
      <c r="J239" s="668" t="str">
        <f>Price_List_BA!J223</f>
        <v>tablet</v>
      </c>
      <c r="L239" s="127">
        <f>Price_List_BA!L223</f>
        <v>1.0514359999999998</v>
      </c>
    </row>
    <row r="240" spans="4:12" s="348" customFormat="1" ht="12.95" hidden="1" customHeight="1" outlineLevel="3" x14ac:dyDescent="0.2">
      <c r="D240" s="785" t="str">
        <f>Price_List_BA!D224</f>
        <v>Arithromycin (250g) (UG)</v>
      </c>
      <c r="E240" s="786"/>
      <c r="F240" s="786"/>
      <c r="G240" s="786"/>
      <c r="J240" s="668" t="str">
        <f>Price_List_BA!J224</f>
        <v>tablet</v>
      </c>
      <c r="L240" s="127">
        <f>Price_List_BA!L224</f>
        <v>3.8652518850398859E-2</v>
      </c>
    </row>
    <row r="241" spans="4:12" s="348" customFormat="1" ht="12.95" hidden="1" customHeight="1" outlineLevel="3" x14ac:dyDescent="0.2">
      <c r="D241" s="785" t="str">
        <f>Price_List_BA!D225</f>
        <v>Arithromycin (5g) (UG)</v>
      </c>
      <c r="E241" s="786"/>
      <c r="F241" s="786"/>
      <c r="G241" s="786"/>
      <c r="J241" s="668" t="str">
        <f>Price_List_BA!J225</f>
        <v>tablet</v>
      </c>
      <c r="L241" s="127">
        <f>Price_List_BA!L225</f>
        <v>0.77305037700797719</v>
      </c>
    </row>
    <row r="242" spans="4:12" s="348" customFormat="1" ht="12.95" hidden="1" customHeight="1" outlineLevel="3" x14ac:dyDescent="0.2">
      <c r="D242" s="785" t="str">
        <f>Price_List_BA!D226</f>
        <v>Atropine (ZM)</v>
      </c>
      <c r="E242" s="786"/>
      <c r="F242" s="786"/>
      <c r="G242" s="786"/>
      <c r="J242" s="668" t="str">
        <f>Price_List_BA!J226</f>
        <v>SU</v>
      </c>
      <c r="L242" s="127">
        <f>Price_List_BA!L226</f>
        <v>0</v>
      </c>
    </row>
    <row r="243" spans="4:12" s="348" customFormat="1" ht="12.95" hidden="1" customHeight="1" outlineLevel="3" x14ac:dyDescent="0.2">
      <c r="D243" s="785" t="str">
        <f>Price_List_BA!D227</f>
        <v>Ball electrode (UG)</v>
      </c>
      <c r="E243" s="786"/>
      <c r="F243" s="786"/>
      <c r="G243" s="786"/>
      <c r="J243" s="668" t="str">
        <f>Price_List_BA!J227</f>
        <v>each</v>
      </c>
      <c r="L243" s="127">
        <f>Price_List_BA!L227</f>
        <v>9</v>
      </c>
    </row>
    <row r="244" spans="4:12" s="348" customFormat="1" ht="12.95" hidden="1" customHeight="1" outlineLevel="3" x14ac:dyDescent="0.2">
      <c r="D244" s="785" t="str">
        <f>Price_List_BA!D228</f>
        <v>Bed linen sheet (100 uses) (ZM)</v>
      </c>
      <c r="E244" s="786"/>
      <c r="F244" s="786"/>
      <c r="G244" s="786"/>
      <c r="J244" s="668" t="str">
        <f>Price_List_BA!J228</f>
        <v>sheet use</v>
      </c>
      <c r="L244" s="127">
        <f>Price_List_BA!L228</f>
        <v>4.3299999999999998E-2</v>
      </c>
    </row>
    <row r="245" spans="4:12" s="348" customFormat="1" ht="12.95" hidden="1" customHeight="1" outlineLevel="3" x14ac:dyDescent="0.2">
      <c r="D245" s="785" t="str">
        <f>Price_List_BA!D229</f>
        <v>Bed linen sheet (TZ)</v>
      </c>
      <c r="E245" s="786"/>
      <c r="F245" s="786"/>
      <c r="G245" s="786"/>
      <c r="J245" s="668" t="str">
        <f>Price_List_BA!J229</f>
        <v>1 use</v>
      </c>
      <c r="L245" s="127">
        <f>Price_List_BA!L229</f>
        <v>6.25E-2</v>
      </c>
    </row>
    <row r="246" spans="4:12" s="348" customFormat="1" ht="12.95" hidden="1" customHeight="1" outlineLevel="3" x14ac:dyDescent="0.2">
      <c r="D246" s="785" t="str">
        <f>Price_List_BA!D230</f>
        <v>Bin Liner (ZM)</v>
      </c>
      <c r="E246" s="786"/>
      <c r="F246" s="786"/>
      <c r="G246" s="786"/>
      <c r="J246" s="668" t="str">
        <f>Price_List_BA!J230</f>
        <v>liner</v>
      </c>
      <c r="L246" s="127">
        <f>Price_List_BA!L230</f>
        <v>0.234987</v>
      </c>
    </row>
    <row r="247" spans="4:12" s="348" customFormat="1" ht="12.95" hidden="1" customHeight="1" outlineLevel="3" x14ac:dyDescent="0.2">
      <c r="D247" s="785" t="str">
        <f>Price_List_BA!D231</f>
        <v>Bleach (JIK)</v>
      </c>
      <c r="E247" s="786"/>
      <c r="F247" s="786"/>
      <c r="G247" s="786"/>
      <c r="J247" s="668" t="str">
        <f>Price_List_BA!J231</f>
        <v>mililiter</v>
      </c>
      <c r="L247" s="127">
        <f>Price_List_BA!L231</f>
        <v>2.2666666666666664E-3</v>
      </c>
    </row>
    <row r="248" spans="4:12" s="348" customFormat="1" ht="12.95" hidden="1" customHeight="1" outlineLevel="3" x14ac:dyDescent="0.2">
      <c r="D248" s="785" t="str">
        <f>Price_List_BA!D232</f>
        <v>Bleach (UG)</v>
      </c>
      <c r="E248" s="786"/>
      <c r="F248" s="786"/>
      <c r="G248" s="786"/>
      <c r="J248" s="668" t="str">
        <f>Price_List_BA!J232</f>
        <v>mililiter</v>
      </c>
      <c r="L248" s="127">
        <f>Price_List_BA!L232</f>
        <v>1.5735985138236267E-3</v>
      </c>
    </row>
    <row r="249" spans="4:12" s="348" customFormat="1" ht="12.95" hidden="1" customHeight="1" outlineLevel="3" x14ac:dyDescent="0.2">
      <c r="D249" s="785" t="str">
        <f>Price_List_BA!D233</f>
        <v>careHPV DCM tube (UG)</v>
      </c>
      <c r="E249" s="786"/>
      <c r="F249" s="786"/>
      <c r="G249" s="786"/>
      <c r="J249" s="668" t="str">
        <f>Price_List_BA!J233</f>
        <v>tube</v>
      </c>
      <c r="L249" s="127">
        <f>Price_List_BA!L233</f>
        <v>0.22799999999999998</v>
      </c>
    </row>
    <row r="250" spans="4:12" s="348" customFormat="1" ht="12.95" hidden="1" customHeight="1" outlineLevel="3" x14ac:dyDescent="0.2">
      <c r="D250" s="785" t="str">
        <f>Price_List_BA!D234</f>
        <v>Catheter -Urine (TZ)</v>
      </c>
      <c r="E250" s="786"/>
      <c r="F250" s="786"/>
      <c r="G250" s="786"/>
      <c r="J250" s="668" t="str">
        <f>Price_List_BA!J234</f>
        <v>1 catheter set</v>
      </c>
      <c r="L250" s="127">
        <f>Price_List_BA!L234</f>
        <v>0.875</v>
      </c>
    </row>
    <row r="251" spans="4:12" s="348" customFormat="1" ht="12.95" hidden="1" customHeight="1" outlineLevel="3" x14ac:dyDescent="0.2">
      <c r="D251" s="785" t="str">
        <f>Price_List_BA!D235</f>
        <v>Cervical brush (UG)</v>
      </c>
      <c r="E251" s="786"/>
      <c r="F251" s="786"/>
      <c r="G251" s="786"/>
      <c r="J251" s="668" t="str">
        <f>Price_List_BA!J235</f>
        <v>brush</v>
      </c>
      <c r="L251" s="127">
        <f>Price_List_BA!L235</f>
        <v>1.1399999999999999E-2</v>
      </c>
    </row>
    <row r="252" spans="4:12" s="348" customFormat="1" ht="12.95" hidden="1" customHeight="1" outlineLevel="3" x14ac:dyDescent="0.2">
      <c r="D252" s="785" t="str">
        <f>Price_List_BA!D236</f>
        <v>Chlorine 0.5% (Jik-diluted) (ZM)</v>
      </c>
      <c r="E252" s="786"/>
      <c r="F252" s="786"/>
      <c r="G252" s="786"/>
      <c r="J252" s="668" t="str">
        <f>Price_List_BA!J236</f>
        <v>mililiter</v>
      </c>
      <c r="L252" s="127">
        <f>Price_List_BA!L236</f>
        <v>4.5999999999999999E-3</v>
      </c>
    </row>
    <row r="253" spans="4:12" s="348" customFormat="1" ht="12.95" hidden="1" customHeight="1" outlineLevel="3" x14ac:dyDescent="0.2">
      <c r="D253" s="785" t="str">
        <f>Price_List_BA!D237</f>
        <v>Chlorine 0.5% (Jik-diluted)  (TZ)</v>
      </c>
      <c r="E253" s="786"/>
      <c r="F253" s="786"/>
      <c r="G253" s="786"/>
      <c r="J253" s="668" t="str">
        <f>Price_List_BA!J237</f>
        <v>centilitre</v>
      </c>
      <c r="L253" s="127">
        <f>Price_List_BA!L237</f>
        <v>1.375E-2</v>
      </c>
    </row>
    <row r="254" spans="4:12" s="348" customFormat="1" ht="12.95" hidden="1" customHeight="1" outlineLevel="3" x14ac:dyDescent="0.2">
      <c r="D254" s="785" t="str">
        <f>Price_List_BA!D238</f>
        <v>Cidex (2-4% glutaraldehyde) (ZM)</v>
      </c>
      <c r="E254" s="786"/>
      <c r="F254" s="786"/>
      <c r="G254" s="786"/>
      <c r="J254" s="668" t="str">
        <f>Price_List_BA!J238</f>
        <v>mililiter</v>
      </c>
      <c r="L254" s="127">
        <f>Price_List_BA!L238</f>
        <v>1.9321200000000001E-3</v>
      </c>
    </row>
    <row r="255" spans="4:12" s="348" customFormat="1" ht="12.95" hidden="1" customHeight="1" outlineLevel="3" x14ac:dyDescent="0.2">
      <c r="D255" s="785" t="str">
        <f>Price_List_BA!D239</f>
        <v>Cidex (2-4% glutaraldehyde) (TZ)</v>
      </c>
      <c r="E255" s="786"/>
      <c r="F255" s="786"/>
      <c r="G255" s="786"/>
      <c r="J255" s="668" t="str">
        <f>Price_List_BA!J239</f>
        <v>centilitre</v>
      </c>
      <c r="L255" s="127">
        <f>Price_List_BA!L239</f>
        <v>0.140625</v>
      </c>
    </row>
    <row r="256" spans="4:12" s="348" customFormat="1" ht="12.95" hidden="1" customHeight="1" outlineLevel="3" x14ac:dyDescent="0.2">
      <c r="D256" s="785" t="str">
        <f>Price_List_BA!D240</f>
        <v>Ciprofloxacin (500mg) (UG)</v>
      </c>
      <c r="E256" s="786"/>
      <c r="F256" s="786"/>
      <c r="G256" s="786"/>
      <c r="J256" s="668" t="str">
        <f>Price_List_BA!J240</f>
        <v>tablet</v>
      </c>
      <c r="L256" s="127">
        <f>Price_List_BA!L240</f>
        <v>3.4291683968965141E-2</v>
      </c>
    </row>
    <row r="257" spans="4:12" s="348" customFormat="1" ht="12.95" hidden="1" customHeight="1" outlineLevel="3" x14ac:dyDescent="0.2">
      <c r="D257" s="785" t="str">
        <f>Price_List_BA!D241</f>
        <v>Ciprofloxacin (500mg) 250MG (ZM)</v>
      </c>
      <c r="E257" s="786"/>
      <c r="F257" s="786"/>
      <c r="G257" s="786"/>
      <c r="J257" s="668" t="str">
        <f>Price_List_BA!J241</f>
        <v>tablet</v>
      </c>
      <c r="L257" s="127">
        <f>Price_List_BA!L241</f>
        <v>4.9088000000000005E-3</v>
      </c>
    </row>
    <row r="258" spans="4:12" s="348" customFormat="1" ht="12.95" hidden="1" customHeight="1" outlineLevel="3" x14ac:dyDescent="0.2">
      <c r="D258" s="785" t="str">
        <f>Price_List_BA!D242</f>
        <v>Cisplatin (50 mg) (ZM)</v>
      </c>
      <c r="E258" s="786"/>
      <c r="F258" s="786"/>
      <c r="G258" s="786"/>
      <c r="J258" s="668" t="str">
        <f>Price_List_BA!J242</f>
        <v>vial</v>
      </c>
      <c r="L258" s="127">
        <f>Price_List_BA!L242</f>
        <v>14</v>
      </c>
    </row>
    <row r="259" spans="4:12" s="348" customFormat="1" ht="12.95" hidden="1" customHeight="1" outlineLevel="3" x14ac:dyDescent="0.2">
      <c r="D259" s="785" t="str">
        <f>Price_List_BA!D243</f>
        <v>Cisplatin (50 mg) (TZ)</v>
      </c>
      <c r="E259" s="786"/>
      <c r="F259" s="786"/>
      <c r="G259" s="786"/>
      <c r="J259" s="668" t="str">
        <f>Price_List_BA!J243</f>
        <v>50 mg vial</v>
      </c>
      <c r="L259" s="127">
        <f>Price_List_BA!L243</f>
        <v>15.63</v>
      </c>
    </row>
    <row r="260" spans="4:12" s="348" customFormat="1" ht="12.95" hidden="1" customHeight="1" outlineLevel="3" x14ac:dyDescent="0.2">
      <c r="D260" s="785" t="str">
        <f>Price_List_BA!D244</f>
        <v>Citokit (UG)</v>
      </c>
      <c r="E260" s="786"/>
      <c r="F260" s="786"/>
      <c r="G260" s="786"/>
      <c r="J260" s="668" t="str">
        <f>Price_List_BA!J244</f>
        <v>kit</v>
      </c>
      <c r="L260" s="127">
        <f>Price_List_BA!L244</f>
        <v>2.0981313517648346</v>
      </c>
    </row>
    <row r="261" spans="4:12" s="348" customFormat="1" ht="12.95" hidden="1" customHeight="1" outlineLevel="3" x14ac:dyDescent="0.2">
      <c r="D261" s="785" t="str">
        <f>Price_List_BA!D245</f>
        <v>Colostomy Bag (TZ)</v>
      </c>
      <c r="E261" s="786"/>
      <c r="F261" s="786"/>
      <c r="G261" s="786"/>
      <c r="J261" s="668" t="str">
        <f>Price_List_BA!J245</f>
        <v>each</v>
      </c>
      <c r="L261" s="127">
        <f>Price_List_BA!L245</f>
        <v>2.5</v>
      </c>
    </row>
    <row r="262" spans="4:12" s="348" customFormat="1" ht="12.75" hidden="1" customHeight="1" outlineLevel="3" x14ac:dyDescent="0.2">
      <c r="D262" s="785" t="str">
        <f>Price_List_BA!D246</f>
        <v>Condom  (TZ)</v>
      </c>
      <c r="E262" s="786"/>
      <c r="F262" s="786"/>
      <c r="G262" s="786"/>
      <c r="J262" s="668" t="str">
        <f>Price_List_BA!J246</f>
        <v>each</v>
      </c>
      <c r="L262" s="127">
        <f>Price_List_BA!L246</f>
        <v>0.3125</v>
      </c>
    </row>
    <row r="263" spans="4:12" s="348" customFormat="1" ht="12.75" hidden="1" customHeight="1" outlineLevel="3" x14ac:dyDescent="0.2">
      <c r="D263" s="785" t="str">
        <f>Price_List_BA!D247</f>
        <v>Condom MALE (ZM)</v>
      </c>
      <c r="E263" s="786"/>
      <c r="F263" s="786"/>
      <c r="G263" s="786"/>
      <c r="J263" s="668" t="str">
        <f>Price_List_BA!J247</f>
        <v>each</v>
      </c>
      <c r="L263" s="127">
        <f>Price_List_BA!L247</f>
        <v>1.2946041666666666E-2</v>
      </c>
    </row>
    <row r="264" spans="4:12" s="348" customFormat="1" ht="12.75" hidden="1" customHeight="1" outlineLevel="3" x14ac:dyDescent="0.2">
      <c r="D264" s="785" t="str">
        <f>Price_List_BA!D248</f>
        <v>Cotton swab (ZM)</v>
      </c>
      <c r="E264" s="786"/>
      <c r="F264" s="786"/>
      <c r="G264" s="786"/>
      <c r="J264" s="668" t="str">
        <f>Price_List_BA!J248</f>
        <v>swab</v>
      </c>
      <c r="L264" s="127">
        <f>Price_List_BA!L248</f>
        <v>1.0200000000000001E-2</v>
      </c>
    </row>
    <row r="265" spans="4:12" s="348" customFormat="1" ht="12.75" hidden="1" customHeight="1" outlineLevel="3" x14ac:dyDescent="0.2">
      <c r="D265" s="785" t="str">
        <f>Price_List_BA!D249</f>
        <v>Cotton swab (TZ)</v>
      </c>
      <c r="E265" s="786"/>
      <c r="F265" s="786"/>
      <c r="G265" s="786"/>
      <c r="J265" s="668" t="str">
        <f>Price_List_BA!J249</f>
        <v>each</v>
      </c>
      <c r="L265" s="127">
        <f>Price_List_BA!L249</f>
        <v>2.75E-2</v>
      </c>
    </row>
    <row r="266" spans="4:12" s="348" customFormat="1" ht="12.75" hidden="1" customHeight="1" outlineLevel="3" x14ac:dyDescent="0.2">
      <c r="D266" s="785" t="str">
        <f>Price_List_BA!D250</f>
        <v>Cotton swabs (UG)</v>
      </c>
      <c r="E266" s="786"/>
      <c r="F266" s="786"/>
      <c r="G266" s="786"/>
      <c r="J266" s="668" t="str">
        <f>Price_List_BA!J250</f>
        <v>swab</v>
      </c>
      <c r="L266" s="127">
        <f>Price_List_BA!L250</f>
        <v>6.9238334608239596E-3</v>
      </c>
    </row>
    <row r="267" spans="4:12" s="348" customFormat="1" ht="12.75" hidden="1" customHeight="1" outlineLevel="3" x14ac:dyDescent="0.2">
      <c r="D267" s="785" t="str">
        <f>Price_List_BA!D251</f>
        <v>Cotton Wool, roll, non-sterile (ZM)</v>
      </c>
      <c r="E267" s="786"/>
      <c r="F267" s="786"/>
      <c r="G267" s="786"/>
      <c r="J267" s="668" t="str">
        <f>Price_List_BA!J251</f>
        <v>1/100 roll</v>
      </c>
      <c r="L267" s="127">
        <f>Price_List_BA!L251</f>
        <v>7.1200000000000005E-3</v>
      </c>
    </row>
    <row r="268" spans="4:12" s="348" customFormat="1" ht="12.75" hidden="1" customHeight="1" outlineLevel="3" x14ac:dyDescent="0.2">
      <c r="D268" s="785" t="str">
        <f>Price_List_BA!D252</f>
        <v>Cotton Wool, roll, non-sterile (TZ)</v>
      </c>
      <c r="E268" s="786"/>
      <c r="F268" s="786"/>
      <c r="G268" s="786"/>
      <c r="J268" s="668" t="str">
        <f>Price_List_BA!J252</f>
        <v>1 gram</v>
      </c>
      <c r="L268" s="127">
        <f>Price_List_BA!L252</f>
        <v>3.0000000000000001E-3</v>
      </c>
    </row>
    <row r="269" spans="4:12" s="348" customFormat="1" ht="12.75" hidden="1" customHeight="1" outlineLevel="3" x14ac:dyDescent="0.2">
      <c r="D269" s="785" t="str">
        <f>Price_List_BA!D253</f>
        <v xml:space="preserve">Dexamethasone (ZM) </v>
      </c>
      <c r="E269" s="786"/>
      <c r="F269" s="786"/>
      <c r="G269" s="786"/>
      <c r="J269" s="668" t="str">
        <f>Price_List_BA!J253</f>
        <v>4mg</v>
      </c>
      <c r="L269" s="127">
        <f>Price_List_BA!L253</f>
        <v>0.25</v>
      </c>
    </row>
    <row r="270" spans="4:12" s="348" customFormat="1" ht="12.75" hidden="1" customHeight="1" outlineLevel="3" x14ac:dyDescent="0.2">
      <c r="D270" s="785" t="str">
        <f>Price_List_BA!D254</f>
        <v>Diclofenac (50mg) (ZM)</v>
      </c>
      <c r="E270" s="786"/>
      <c r="F270" s="786"/>
      <c r="G270" s="786"/>
      <c r="J270" s="668" t="str">
        <f>Price_List_BA!J254</f>
        <v>tablet</v>
      </c>
      <c r="L270" s="127">
        <f>Price_List_BA!L254</f>
        <v>3.3939999999999999E-3</v>
      </c>
    </row>
    <row r="271" spans="4:12" s="348" customFormat="1" ht="12.75" hidden="1" customHeight="1" outlineLevel="3" x14ac:dyDescent="0.2">
      <c r="D271" s="785" t="str">
        <f>Price_List_BA!D255</f>
        <v>Diclofenac (50mg) (TZ)</v>
      </c>
      <c r="E271" s="786"/>
      <c r="F271" s="786"/>
      <c r="G271" s="786"/>
      <c r="J271" s="668" t="str">
        <f>Price_List_BA!J255</f>
        <v>tablet</v>
      </c>
      <c r="L271" s="127">
        <f>Price_List_BA!L255</f>
        <v>1.5625</v>
      </c>
    </row>
    <row r="272" spans="4:12" s="348" customFormat="1" ht="12.75" hidden="1" customHeight="1" outlineLevel="3" x14ac:dyDescent="0.2">
      <c r="D272" s="785" t="str">
        <f>Price_List_BA!D256</f>
        <v>Distilled water (ZM)</v>
      </c>
      <c r="E272" s="786"/>
      <c r="F272" s="786"/>
      <c r="G272" s="786"/>
      <c r="J272" s="668" t="str">
        <f>Price_List_BA!J256</f>
        <v>mililiter</v>
      </c>
      <c r="L272" s="127">
        <f>Price_List_BA!L256</f>
        <v>2.3199999999999997E-4</v>
      </c>
    </row>
    <row r="273" spans="4:12" s="348" customFormat="1" ht="12.75" hidden="1" customHeight="1" outlineLevel="3" x14ac:dyDescent="0.2">
      <c r="D273" s="785" t="str">
        <f>Price_List_BA!D257</f>
        <v>Distilled water (UG)</v>
      </c>
      <c r="E273" s="786"/>
      <c r="F273" s="786"/>
      <c r="G273" s="786"/>
      <c r="J273" s="668" t="str">
        <f>Price_List_BA!J257</f>
        <v>mililiter</v>
      </c>
      <c r="L273" s="127">
        <f>Price_List_BA!L257</f>
        <v>2.3680472079554149E-4</v>
      </c>
    </row>
    <row r="274" spans="4:12" s="348" customFormat="1" ht="12.75" hidden="1" customHeight="1" outlineLevel="3" x14ac:dyDescent="0.2">
      <c r="D274" s="785" t="str">
        <f>Price_List_BA!D258</f>
        <v>Dulcolax (10mg) (ZM)</v>
      </c>
      <c r="E274" s="786"/>
      <c r="F274" s="786"/>
      <c r="G274" s="786"/>
      <c r="J274" s="668" t="str">
        <f>Price_List_BA!J258</f>
        <v>tablet</v>
      </c>
      <c r="L274" s="127">
        <f>Price_List_BA!L258</f>
        <v>0.1</v>
      </c>
    </row>
    <row r="275" spans="4:12" s="348" customFormat="1" ht="12.75" hidden="1" customHeight="1" outlineLevel="3" x14ac:dyDescent="0.2">
      <c r="D275" s="785" t="str">
        <f>Price_List_BA!D259</f>
        <v>Dulcolax (10mg) (TZ)</v>
      </c>
      <c r="E275" s="786"/>
      <c r="F275" s="786"/>
      <c r="G275" s="786"/>
      <c r="J275" s="668" t="str">
        <f>Price_List_BA!J259</f>
        <v>tablet</v>
      </c>
      <c r="L275" s="127">
        <f>Price_List_BA!L259</f>
        <v>0.625</v>
      </c>
    </row>
    <row r="276" spans="4:12" s="348" customFormat="1" ht="12.75" hidden="1" customHeight="1" outlineLevel="3" x14ac:dyDescent="0.2">
      <c r="D276" s="785" t="str">
        <f>Price_List_BA!D260</f>
        <v>Emend (ZM)</v>
      </c>
      <c r="E276" s="786"/>
      <c r="F276" s="786"/>
      <c r="G276" s="786"/>
      <c r="J276" s="668" t="str">
        <f>Price_List_BA!J260</f>
        <v>SU</v>
      </c>
      <c r="L276" s="127">
        <f>Price_List_BA!L260</f>
        <v>0</v>
      </c>
    </row>
    <row r="277" spans="4:12" s="348" customFormat="1" ht="12.75" hidden="1" customHeight="1" outlineLevel="3" x14ac:dyDescent="0.2">
      <c r="D277" s="785" t="str">
        <f>Price_List_BA!D261</f>
        <v>Formalin (UG)</v>
      </c>
      <c r="E277" s="786"/>
      <c r="F277" s="786"/>
      <c r="G277" s="786"/>
      <c r="J277" s="668" t="str">
        <f>Price_List_BA!J261</f>
        <v>mililiter</v>
      </c>
      <c r="L277" s="127">
        <f>Price_List_BA!L261</f>
        <v>6.5566604742651096E-3</v>
      </c>
    </row>
    <row r="278" spans="4:12" s="348" customFormat="1" ht="12.75" hidden="1" customHeight="1" outlineLevel="3" x14ac:dyDescent="0.2">
      <c r="D278" s="785" t="str">
        <f>Price_List_BA!D262</f>
        <v>Formalin AR 40% (ZM)</v>
      </c>
      <c r="E278" s="786"/>
      <c r="F278" s="786"/>
      <c r="G278" s="786"/>
      <c r="J278" s="668" t="str">
        <f>Price_List_BA!J262</f>
        <v>mililiter</v>
      </c>
      <c r="L278" s="127">
        <f>Price_List_BA!L262</f>
        <v>0.34903395999999998</v>
      </c>
    </row>
    <row r="279" spans="4:12" s="348" customFormat="1" ht="12.75" hidden="1" customHeight="1" outlineLevel="3" x14ac:dyDescent="0.2">
      <c r="D279" s="785" t="str">
        <f>Price_List_BA!D263</f>
        <v>Formalin AR 40% (TZ)</v>
      </c>
      <c r="E279" s="786"/>
      <c r="F279" s="786"/>
      <c r="G279" s="786"/>
      <c r="J279" s="668" t="str">
        <f>Price_List_BA!J263</f>
        <v>centilitre</v>
      </c>
      <c r="L279" s="127">
        <f>Price_List_BA!L263</f>
        <v>0.03</v>
      </c>
    </row>
    <row r="280" spans="4:12" s="348" customFormat="1" ht="12.75" hidden="1" customHeight="1" outlineLevel="3" x14ac:dyDescent="0.2">
      <c r="D280" s="785" t="str">
        <f>Price_List_BA!D264</f>
        <v>Frusamide (ZM)</v>
      </c>
      <c r="E280" s="786"/>
      <c r="F280" s="786"/>
      <c r="G280" s="786"/>
      <c r="J280" s="668" t="str">
        <f>Price_List_BA!J264</f>
        <v>20mg</v>
      </c>
      <c r="L280" s="127">
        <f>Price_List_BA!L264</f>
        <v>0.5</v>
      </c>
    </row>
    <row r="281" spans="4:12" s="348" customFormat="1" ht="12.75" hidden="1" customHeight="1" outlineLevel="3" x14ac:dyDescent="0.2">
      <c r="D281" s="785" t="str">
        <f>Price_List_BA!D265</f>
        <v>Gas - N2O (UG)</v>
      </c>
      <c r="E281" s="786"/>
      <c r="F281" s="786"/>
      <c r="G281" s="786"/>
      <c r="J281" s="668" t="str">
        <f>Price_List_BA!J265</f>
        <v>litre</v>
      </c>
      <c r="L281" s="127">
        <f>Price_List_BA!L265</f>
        <v>0.21116458854315942</v>
      </c>
    </row>
    <row r="282" spans="4:12" s="348" customFormat="1" ht="12.75" hidden="1" customHeight="1" outlineLevel="3" x14ac:dyDescent="0.2">
      <c r="D282" s="785" t="str">
        <f>Price_List_BA!D266</f>
        <v>Gas Cylinder (Nitrous Oxide) 72 kg. (ZM)</v>
      </c>
      <c r="E282" s="786"/>
      <c r="F282" s="786"/>
      <c r="G282" s="786"/>
      <c r="J282" s="668" t="str">
        <f>Price_List_BA!J266</f>
        <v>application</v>
      </c>
      <c r="L282" s="127">
        <f>Price_List_BA!L266</f>
        <v>37.333333333333336</v>
      </c>
    </row>
    <row r="283" spans="4:12" s="348" customFormat="1" ht="12.75" hidden="1" customHeight="1" outlineLevel="3" x14ac:dyDescent="0.2">
      <c r="D283" s="785" t="str">
        <f>Price_List_BA!D267</f>
        <v>Gas Cylinder (TZ)</v>
      </c>
      <c r="E283" s="786"/>
      <c r="F283" s="786"/>
      <c r="G283" s="786"/>
      <c r="J283" s="668" t="str">
        <f>Price_List_BA!J267</f>
        <v>1/15th of a cylinder</v>
      </c>
      <c r="L283" s="127">
        <f>Price_List_BA!L267</f>
        <v>1.6666666666666667</v>
      </c>
    </row>
    <row r="284" spans="4:12" s="348" customFormat="1" ht="12.75" hidden="1" customHeight="1" outlineLevel="3" x14ac:dyDescent="0.2">
      <c r="D284" s="785" t="str">
        <f>Price_List_BA!D268</f>
        <v>Gauze (UG)</v>
      </c>
      <c r="E284" s="786"/>
      <c r="F284" s="786"/>
      <c r="G284" s="786"/>
      <c r="J284" s="668" t="str">
        <f>Price_List_BA!J268</f>
        <v>piece</v>
      </c>
      <c r="L284" s="127">
        <f>Price_List_BA!L268</f>
        <v>1.2239099551961501E-2</v>
      </c>
    </row>
    <row r="285" spans="4:12" s="348" customFormat="1" ht="12.75" hidden="1" customHeight="1" outlineLevel="3" x14ac:dyDescent="0.2">
      <c r="D285" s="785" t="str">
        <f>Price_List_BA!D269</f>
        <v>Gauze hospital quality 10x4 cm (TZ)</v>
      </c>
      <c r="E285" s="786"/>
      <c r="F285" s="786"/>
      <c r="G285" s="786"/>
      <c r="J285" s="668" t="str">
        <f>Price_List_BA!J269</f>
        <v>each</v>
      </c>
      <c r="L285" s="127">
        <f>Price_List_BA!L269</f>
        <v>0.3125</v>
      </c>
    </row>
    <row r="286" spans="4:12" s="348" customFormat="1" ht="12.75" hidden="1" customHeight="1" outlineLevel="3" x14ac:dyDescent="0.2">
      <c r="D286" s="785" t="str">
        <f>Price_List_BA!D270</f>
        <v>Gauze, Non-Sterile (ZM)</v>
      </c>
      <c r="E286" s="786"/>
      <c r="F286" s="786"/>
      <c r="G286" s="786"/>
      <c r="J286" s="668" t="str">
        <f>Price_List_BA!J270</f>
        <v>1/2 roll</v>
      </c>
      <c r="L286" s="127">
        <f>Price_List_BA!L270</f>
        <v>6.7035000000000003E-3</v>
      </c>
    </row>
    <row r="287" spans="4:12" s="348" customFormat="1" ht="12.75" hidden="1" customHeight="1" outlineLevel="3" x14ac:dyDescent="0.2">
      <c r="D287" s="785" t="str">
        <f>Price_List_BA!D271</f>
        <v>Gauze, Non-Sterile (TZ)</v>
      </c>
      <c r="E287" s="786"/>
      <c r="F287" s="786"/>
      <c r="G287" s="786"/>
      <c r="J287" s="668" t="str">
        <f>Price_List_BA!J271</f>
        <v>1/100 of roll</v>
      </c>
      <c r="L287" s="127">
        <f>Price_List_BA!L271</f>
        <v>0.125</v>
      </c>
    </row>
    <row r="288" spans="4:12" s="348" customFormat="1" ht="12.75" hidden="1" customHeight="1" outlineLevel="3" x14ac:dyDescent="0.2">
      <c r="D288" s="785" t="str">
        <f>Price_List_BA!D272</f>
        <v>Gauze, Sterile (ZM)</v>
      </c>
      <c r="E288" s="786"/>
      <c r="F288" s="786"/>
      <c r="G288" s="786"/>
      <c r="J288" s="668" t="str">
        <f>Price_List_BA!J272</f>
        <v>roll</v>
      </c>
      <c r="L288" s="127">
        <f>Price_List_BA!L272</f>
        <v>4.7962999999999999E-2</v>
      </c>
    </row>
    <row r="289" spans="4:12" s="348" customFormat="1" ht="12.75" hidden="1" customHeight="1" outlineLevel="3" x14ac:dyDescent="0.2">
      <c r="D289" s="785" t="str">
        <f>Price_List_BA!D273</f>
        <v>Gauze, Sterile (TZ)</v>
      </c>
      <c r="E289" s="786"/>
      <c r="F289" s="786"/>
      <c r="G289" s="786"/>
      <c r="J289" s="668" t="str">
        <f>Price_List_BA!J273</f>
        <v>1/100 of roll</v>
      </c>
      <c r="L289" s="127">
        <f>Price_List_BA!L273</f>
        <v>0.125</v>
      </c>
    </row>
    <row r="290" spans="4:12" s="348" customFormat="1" ht="12.75" hidden="1" customHeight="1" outlineLevel="3" x14ac:dyDescent="0.2">
      <c r="D290" s="785" t="str">
        <f>Price_List_BA!D274</f>
        <v>Gloves (UG)</v>
      </c>
      <c r="E290" s="786"/>
      <c r="F290" s="786"/>
      <c r="G290" s="786"/>
      <c r="J290" s="668" t="str">
        <f>Price_List_BA!J274</f>
        <v>pair</v>
      </c>
      <c r="L290" s="127">
        <f>Price_List_BA!L274</f>
        <v>0.10490656758824179</v>
      </c>
    </row>
    <row r="291" spans="4:12" s="348" customFormat="1" ht="12.75" hidden="1" customHeight="1" outlineLevel="3" x14ac:dyDescent="0.2">
      <c r="D291" s="785" t="str">
        <f>Price_List_BA!D275</f>
        <v>Gloves, Non-Sterile, Examination, latex, assorted sizes, disp. (ZM)</v>
      </c>
      <c r="E291" s="786"/>
      <c r="F291" s="786"/>
      <c r="G291" s="786"/>
      <c r="J291" s="668" t="str">
        <f>Price_List_BA!J275</f>
        <v>each</v>
      </c>
      <c r="L291" s="127">
        <f>Price_List_BA!L275</f>
        <v>7.2000000000000008E-2</v>
      </c>
    </row>
    <row r="292" spans="4:12" s="348" customFormat="1" ht="12.75" hidden="1" customHeight="1" outlineLevel="3" x14ac:dyDescent="0.2">
      <c r="D292" s="785" t="str">
        <f>Price_List_BA!D276</f>
        <v>Gloves, Non-Sterile, Examination, latex, medium, disp. (TZ)</v>
      </c>
      <c r="E292" s="786"/>
      <c r="F292" s="786"/>
      <c r="G292" s="786"/>
      <c r="J292" s="668" t="str">
        <f>Price_List_BA!J276</f>
        <v>each</v>
      </c>
      <c r="L292" s="127">
        <f>Price_List_BA!L276</f>
        <v>4.2699999999999995E-2</v>
      </c>
    </row>
    <row r="293" spans="4:12" s="348" customFormat="1" ht="12.75" hidden="1" customHeight="1" outlineLevel="3" x14ac:dyDescent="0.2">
      <c r="D293" s="785" t="str">
        <f>Price_List_BA!D277</f>
        <v>Gloves, Sterile (TZ)</v>
      </c>
      <c r="E293" s="786"/>
      <c r="F293" s="786"/>
      <c r="G293" s="786"/>
      <c r="J293" s="668" t="str">
        <f>Price_List_BA!J277</f>
        <v>each</v>
      </c>
      <c r="L293" s="127">
        <f>Price_List_BA!L277</f>
        <v>0.92500000000000004</v>
      </c>
    </row>
    <row r="294" spans="4:12" s="348" customFormat="1" ht="12.75" hidden="1" customHeight="1" outlineLevel="3" x14ac:dyDescent="0.2">
      <c r="D294" s="785" t="str">
        <f>Price_List_BA!D278</f>
        <v>Gloves, Sterile 7.5 (ZM)</v>
      </c>
      <c r="E294" s="786"/>
      <c r="F294" s="786"/>
      <c r="G294" s="786"/>
      <c r="J294" s="668" t="str">
        <f>Price_List_BA!J278</f>
        <v>each</v>
      </c>
      <c r="L294" s="127">
        <f>Price_List_BA!L278</f>
        <v>0.21932200000000002</v>
      </c>
    </row>
    <row r="295" spans="4:12" s="348" customFormat="1" ht="12.75" hidden="1" customHeight="1" outlineLevel="3" x14ac:dyDescent="0.2">
      <c r="D295" s="785" t="str">
        <f>Price_List_BA!D279</f>
        <v>Halothane (ZM)</v>
      </c>
      <c r="E295" s="786"/>
      <c r="F295" s="786"/>
      <c r="G295" s="786"/>
      <c r="J295" s="668" t="str">
        <f>Price_List_BA!J279</f>
        <v>millilitre</v>
      </c>
      <c r="L295" s="127">
        <f>Price_List_BA!L279</f>
        <v>0</v>
      </c>
    </row>
    <row r="296" spans="4:12" s="348" customFormat="1" ht="12.75" hidden="1" customHeight="1" outlineLevel="3" x14ac:dyDescent="0.2">
      <c r="D296" s="785" t="str">
        <f>Price_List_BA!D280</f>
        <v>IV canula 22G  (ZM)</v>
      </c>
      <c r="E296" s="786"/>
      <c r="F296" s="786"/>
      <c r="G296" s="786"/>
      <c r="J296" s="668" t="str">
        <f>Price_List_BA!J280</f>
        <v>canula</v>
      </c>
      <c r="L296" s="127">
        <f>Price_List_BA!L280</f>
        <v>0.130548</v>
      </c>
    </row>
    <row r="297" spans="4:12" s="348" customFormat="1" ht="12.75" hidden="1" customHeight="1" outlineLevel="3" x14ac:dyDescent="0.2">
      <c r="D297" s="785" t="str">
        <f>Price_List_BA!D281</f>
        <v>IV canula 22G (each) (TZ)</v>
      </c>
      <c r="E297" s="786"/>
      <c r="F297" s="786"/>
      <c r="G297" s="786"/>
      <c r="J297" s="668" t="str">
        <f>Price_List_BA!J281</f>
        <v>each</v>
      </c>
      <c r="L297" s="127">
        <f>Price_List_BA!L281</f>
        <v>0.16250000000000001</v>
      </c>
    </row>
    <row r="298" spans="4:12" s="348" customFormat="1" ht="12.75" hidden="1" customHeight="1" outlineLevel="3" x14ac:dyDescent="0.2">
      <c r="D298" s="785" t="str">
        <f>Price_List_BA!D282</f>
        <v>IV giving set (each) (TZ)</v>
      </c>
      <c r="E298" s="786"/>
      <c r="F298" s="786"/>
      <c r="G298" s="786"/>
      <c r="J298" s="668" t="str">
        <f>Price_List_BA!J282</f>
        <v>set</v>
      </c>
      <c r="L298" s="127">
        <f>Price_List_BA!L282</f>
        <v>0.15</v>
      </c>
    </row>
    <row r="299" spans="4:12" s="348" customFormat="1" ht="12.75" hidden="1" customHeight="1" outlineLevel="3" x14ac:dyDescent="0.2">
      <c r="D299" s="785" t="str">
        <f>Price_List_BA!D283</f>
        <v>IV giving set (closed system) (ZM)</v>
      </c>
      <c r="E299" s="786"/>
      <c r="F299" s="786"/>
      <c r="G299" s="786"/>
      <c r="J299" s="668" t="str">
        <f>Price_List_BA!J283</f>
        <v>SU</v>
      </c>
      <c r="L299" s="127">
        <f>Price_List_BA!L283</f>
        <v>0</v>
      </c>
    </row>
    <row r="300" spans="4:12" s="348" customFormat="1" ht="12.75" hidden="1" customHeight="1" outlineLevel="3" x14ac:dyDescent="0.2">
      <c r="D300" s="785" t="str">
        <f>Price_List_BA!D284</f>
        <v>IV line (set) (ZM)</v>
      </c>
      <c r="E300" s="786"/>
      <c r="F300" s="786"/>
      <c r="G300" s="786"/>
      <c r="J300" s="668" t="str">
        <f>Price_List_BA!J284</f>
        <v>set</v>
      </c>
      <c r="L300" s="127">
        <f>Price_List_BA!L284</f>
        <v>0.120104</v>
      </c>
    </row>
    <row r="301" spans="4:12" s="348" customFormat="1" ht="12.75" hidden="1" customHeight="1" outlineLevel="3" x14ac:dyDescent="0.2">
      <c r="D301" s="785" t="str">
        <f>Price_List_BA!D285</f>
        <v>IV line (set) (TZ)</v>
      </c>
      <c r="E301" s="786"/>
      <c r="F301" s="786"/>
      <c r="G301" s="786"/>
      <c r="J301" s="668" t="str">
        <f>Price_List_BA!J285</f>
        <v>set</v>
      </c>
      <c r="L301" s="127">
        <f>Price_List_BA!L285</f>
        <v>0.9375</v>
      </c>
    </row>
    <row r="302" spans="4:12" s="348" customFormat="1" ht="12.75" hidden="1" customHeight="1" outlineLevel="3" x14ac:dyDescent="0.2">
      <c r="D302" s="785" t="str">
        <f>Price_List_BA!D286</f>
        <v>Ketamine (ZM)</v>
      </c>
      <c r="E302" s="786"/>
      <c r="F302" s="786"/>
      <c r="G302" s="786"/>
      <c r="J302" s="668" t="str">
        <f>Price_List_BA!J286</f>
        <v>SU</v>
      </c>
      <c r="L302" s="127">
        <f>Price_List_BA!L286</f>
        <v>0</v>
      </c>
    </row>
    <row r="303" spans="4:12" s="348" customFormat="1" ht="12.75" hidden="1" customHeight="1" outlineLevel="3" x14ac:dyDescent="0.2">
      <c r="D303" s="785" t="str">
        <f>Price_List_BA!D287</f>
        <v>Kitchen Towel (ZM)</v>
      </c>
      <c r="E303" s="786"/>
      <c r="F303" s="786"/>
      <c r="G303" s="786"/>
      <c r="J303" s="668" t="str">
        <f>Price_List_BA!J287</f>
        <v>application</v>
      </c>
      <c r="L303" s="127">
        <f>Price_List_BA!L287</f>
        <v>1.3999999999999999E-2</v>
      </c>
    </row>
    <row r="304" spans="4:12" s="348" customFormat="1" ht="12.75" hidden="1" customHeight="1" outlineLevel="3" x14ac:dyDescent="0.2">
      <c r="D304" s="785" t="str">
        <f>Price_List_BA!D288</f>
        <v>K-Y jelly  (TZ)</v>
      </c>
      <c r="E304" s="786"/>
      <c r="F304" s="786"/>
      <c r="G304" s="786"/>
      <c r="J304" s="668" t="str">
        <f>Price_List_BA!J288</f>
        <v>1/100 of tube</v>
      </c>
      <c r="L304" s="127">
        <f>Price_List_BA!L288</f>
        <v>8.4375000000000006E-2</v>
      </c>
    </row>
    <row r="305" spans="4:12" s="348" customFormat="1" ht="12.75" hidden="1" customHeight="1" outlineLevel="3" x14ac:dyDescent="0.2">
      <c r="D305" s="785" t="str">
        <f>Price_List_BA!D289</f>
        <v>K-Y jelly Tube w/ 100 applcations ea) (ZM)</v>
      </c>
      <c r="E305" s="786"/>
      <c r="F305" s="786"/>
      <c r="G305" s="786"/>
      <c r="J305" s="668" t="str">
        <f>Price_List_BA!J289</f>
        <v>1 application</v>
      </c>
      <c r="L305" s="127">
        <f>Price_List_BA!L289</f>
        <v>4.4999999999999998E-2</v>
      </c>
    </row>
    <row r="306" spans="4:12" s="348" customFormat="1" ht="12.75" hidden="1" customHeight="1" outlineLevel="3" x14ac:dyDescent="0.2">
      <c r="D306" s="785" t="str">
        <f>Price_List_BA!D290</f>
        <v>Label (TZ)</v>
      </c>
      <c r="E306" s="786"/>
      <c r="F306" s="786"/>
      <c r="G306" s="786"/>
      <c r="J306" s="668" t="str">
        <f>Price_List_BA!J290</f>
        <v>label</v>
      </c>
      <c r="L306" s="127">
        <f>Price_List_BA!L290</f>
        <v>3.125E-2</v>
      </c>
    </row>
    <row r="307" spans="4:12" s="348" customFormat="1" ht="12.75" hidden="1" customHeight="1" outlineLevel="3" x14ac:dyDescent="0.2">
      <c r="D307" s="785" t="str">
        <f>Price_List_BA!D291</f>
        <v>Lidocaine 1% or 2% without epinephrine (UG)</v>
      </c>
      <c r="E307" s="786"/>
      <c r="F307" s="786"/>
      <c r="G307" s="786"/>
      <c r="J307" s="668" t="str">
        <f>Price_List_BA!J291</f>
        <v>mililitre</v>
      </c>
      <c r="L307" s="127">
        <f>Price_List_BA!L291</f>
        <v>6.6747459294066225E-2</v>
      </c>
    </row>
    <row r="308" spans="4:12" s="348" customFormat="1" ht="12.75" hidden="1" customHeight="1" outlineLevel="3" x14ac:dyDescent="0.2">
      <c r="D308" s="785" t="str">
        <f>Price_List_BA!D292</f>
        <v>Lidocaine 2% with epinephrine 1:80000 (ZM)</v>
      </c>
      <c r="E308" s="786"/>
      <c r="F308" s="786"/>
      <c r="G308" s="786"/>
      <c r="J308" s="668" t="str">
        <f>Price_List_BA!J292</f>
        <v>unknown</v>
      </c>
      <c r="L308" s="127">
        <f>Price_List_BA!L292</f>
        <v>0.9</v>
      </c>
    </row>
    <row r="309" spans="4:12" s="348" customFormat="1" ht="12.75" hidden="1" customHeight="1" outlineLevel="3" x14ac:dyDescent="0.2">
      <c r="D309" s="785" t="str">
        <f>Price_List_BA!D293</f>
        <v>Lidocaine: 2% with adrenalin 1:80000 (TZ)</v>
      </c>
      <c r="E309" s="786"/>
      <c r="F309" s="786"/>
      <c r="G309" s="786"/>
      <c r="J309" s="668" t="str">
        <f>Price_List_BA!J293</f>
        <v>centilitre</v>
      </c>
      <c r="L309" s="127">
        <f>Price_List_BA!L293</f>
        <v>0.13750000000000001</v>
      </c>
    </row>
    <row r="310" spans="4:12" s="348" customFormat="1" ht="12.75" hidden="1" customHeight="1" outlineLevel="3" x14ac:dyDescent="0.2">
      <c r="D310" s="785" t="str">
        <f>Price_List_BA!D294</f>
        <v>Liquid soap (UG)</v>
      </c>
      <c r="E310" s="786"/>
      <c r="F310" s="786"/>
      <c r="G310" s="786"/>
      <c r="J310" s="668" t="str">
        <f>Price_List_BA!J294</f>
        <v>mililiter</v>
      </c>
      <c r="L310" s="127">
        <f>Price_List_BA!L294</f>
        <v>5.4194295705387399E-4</v>
      </c>
    </row>
    <row r="311" spans="4:12" s="348" customFormat="1" ht="12.75" hidden="1" customHeight="1" outlineLevel="3" x14ac:dyDescent="0.2">
      <c r="D311" s="785" t="str">
        <f>Price_List_BA!D295</f>
        <v>Lugol's iodine (UG)</v>
      </c>
      <c r="E311" s="786"/>
      <c r="F311" s="786"/>
      <c r="G311" s="786"/>
      <c r="J311" s="668" t="str">
        <f>Price_List_BA!J295</f>
        <v>mililiter</v>
      </c>
      <c r="L311" s="127">
        <f>Price_List_BA!L295</f>
        <v>1.2621571412960299E-2</v>
      </c>
    </row>
    <row r="312" spans="4:12" s="348" customFormat="1" ht="12.75" hidden="1" customHeight="1" outlineLevel="3" x14ac:dyDescent="0.2">
      <c r="D312" s="785" t="str">
        <f>Price_List_BA!D296</f>
        <v>Mannitol (ZM)</v>
      </c>
      <c r="E312" s="786"/>
      <c r="F312" s="786"/>
      <c r="G312" s="786"/>
      <c r="J312" s="668" t="str">
        <f>Price_List_BA!J296</f>
        <v>SU</v>
      </c>
      <c r="L312" s="127">
        <f>Price_List_BA!L296</f>
        <v>0</v>
      </c>
    </row>
    <row r="313" spans="4:12" s="348" customFormat="1" ht="12.75" hidden="1" customHeight="1" outlineLevel="3" x14ac:dyDescent="0.2">
      <c r="D313" s="785" t="str">
        <f>Price_List_BA!D297</f>
        <v>Metronizadol (200mg) (ZM)</v>
      </c>
      <c r="E313" s="786"/>
      <c r="F313" s="786"/>
      <c r="G313" s="786"/>
      <c r="J313" s="668" t="str">
        <f>Price_List_BA!J297</f>
        <v>tablet</v>
      </c>
      <c r="L313" s="127">
        <f>Price_List_BA!L297</f>
        <v>3.7859E-3</v>
      </c>
    </row>
    <row r="314" spans="4:12" s="348" customFormat="1" ht="12.75" hidden="1" customHeight="1" outlineLevel="3" x14ac:dyDescent="0.2">
      <c r="D314" s="785" t="str">
        <f>Price_List_BA!D298</f>
        <v>Metronizadol (200mg) (UG)</v>
      </c>
      <c r="E314" s="786"/>
      <c r="F314" s="786"/>
      <c r="G314" s="786"/>
      <c r="J314" s="668" t="str">
        <f>Price_List_BA!J298</f>
        <v>tablet</v>
      </c>
      <c r="L314" s="127">
        <f>Price_List_BA!L298</f>
        <v>3.9235056278002405E-3</v>
      </c>
    </row>
    <row r="315" spans="4:12" s="348" customFormat="1" ht="12.75" hidden="1" customHeight="1" outlineLevel="3" x14ac:dyDescent="0.2">
      <c r="D315" s="785" t="str">
        <f>Price_List_BA!D299</f>
        <v>Metronizadol (400mg) (UG)</v>
      </c>
      <c r="E315" s="786"/>
      <c r="F315" s="786"/>
      <c r="G315" s="786"/>
      <c r="J315" s="668" t="str">
        <f>Price_List_BA!J299</f>
        <v>tablet</v>
      </c>
      <c r="L315" s="127">
        <f>Price_List_BA!L299</f>
        <v>7.847011255600481E-3</v>
      </c>
    </row>
    <row r="316" spans="4:12" s="348" customFormat="1" ht="12.75" hidden="1" customHeight="1" outlineLevel="3" x14ac:dyDescent="0.2">
      <c r="D316" s="785" t="str">
        <f>Price_List_BA!D300</f>
        <v>Mictomycin  C (10mg) (TZ)</v>
      </c>
      <c r="E316" s="786"/>
      <c r="F316" s="786"/>
      <c r="G316" s="786"/>
      <c r="J316" s="668" t="str">
        <f>Price_List_BA!J300</f>
        <v>10mg</v>
      </c>
      <c r="L316" s="127">
        <f>Price_List_BA!L300</f>
        <v>18.75</v>
      </c>
    </row>
    <row r="317" spans="4:12" s="348" customFormat="1" ht="12.75" hidden="1" customHeight="1" outlineLevel="3" x14ac:dyDescent="0.2">
      <c r="D317" s="785" t="str">
        <f>Price_List_BA!D301</f>
        <v>Mitomycin  C (10mg) (ZM)</v>
      </c>
      <c r="E317" s="786"/>
      <c r="F317" s="786"/>
      <c r="G317" s="786"/>
      <c r="J317" s="668" t="str">
        <f>Price_List_BA!J301</f>
        <v>vial</v>
      </c>
      <c r="L317" s="127">
        <f>Price_List_BA!L301</f>
        <v>27.5</v>
      </c>
    </row>
    <row r="318" spans="4:12" s="348" customFormat="1" ht="12.75" hidden="1" customHeight="1" outlineLevel="3" x14ac:dyDescent="0.2">
      <c r="D318" s="785" t="str">
        <f>Price_List_BA!D302</f>
        <v>Monsel's solution (UG)</v>
      </c>
      <c r="E318" s="786"/>
      <c r="F318" s="786"/>
      <c r="G318" s="786"/>
      <c r="J318" s="668" t="str">
        <f>Price_List_BA!J302</f>
        <v>mililiter</v>
      </c>
      <c r="L318" s="127">
        <f>Price_List_BA!L302</f>
        <v>0.41111111111111109</v>
      </c>
    </row>
    <row r="319" spans="4:12" s="348" customFormat="1" ht="12.75" hidden="1" customHeight="1" outlineLevel="3" x14ac:dyDescent="0.2">
      <c r="D319" s="785" t="str">
        <f>Price_List_BA!D303</f>
        <v>Monsel's solution (ZM)</v>
      </c>
      <c r="E319" s="786"/>
      <c r="F319" s="786"/>
      <c r="G319" s="786"/>
      <c r="J319" s="668" t="str">
        <f>Price_List_BA!J303</f>
        <v>application</v>
      </c>
      <c r="L319" s="127">
        <f>Price_List_BA!L303</f>
        <v>10.126666666666667</v>
      </c>
    </row>
    <row r="320" spans="4:12" s="348" customFormat="1" ht="12.75" hidden="1" customHeight="1" outlineLevel="3" x14ac:dyDescent="0.2">
      <c r="D320" s="785" t="str">
        <f>Price_List_BA!D304</f>
        <v>Morphine (10mg) (ZM)</v>
      </c>
      <c r="E320" s="786"/>
      <c r="F320" s="786"/>
      <c r="G320" s="786"/>
      <c r="J320" s="668" t="str">
        <f>Price_List_BA!J304</f>
        <v>tablet</v>
      </c>
      <c r="L320" s="127">
        <f>Price_List_BA!L304</f>
        <v>0.22666666666666666</v>
      </c>
    </row>
    <row r="321" spans="4:12" s="348" customFormat="1" ht="12.75" hidden="1" customHeight="1" outlineLevel="3" x14ac:dyDescent="0.2">
      <c r="D321" s="785" t="str">
        <f>Price_List_BA!D305</f>
        <v>Morphine (10mg) (TZ)</v>
      </c>
      <c r="E321" s="786"/>
      <c r="F321" s="786"/>
      <c r="G321" s="786"/>
      <c r="J321" s="668" t="str">
        <f>Price_List_BA!J305</f>
        <v>10mg</v>
      </c>
      <c r="L321" s="127">
        <f>Price_List_BA!L305</f>
        <v>3.5625</v>
      </c>
    </row>
    <row r="322" spans="4:12" s="348" customFormat="1" ht="12.75" hidden="1" customHeight="1" outlineLevel="3" x14ac:dyDescent="0.2">
      <c r="D322" s="785" t="str">
        <f>Price_List_BA!D306</f>
        <v>Mutton Cloth (ZM)</v>
      </c>
      <c r="E322" s="786"/>
      <c r="F322" s="786"/>
      <c r="G322" s="786"/>
      <c r="J322" s="668" t="str">
        <f>Price_List_BA!J306</f>
        <v>metre</v>
      </c>
      <c r="L322" s="127">
        <f>Price_List_BA!L306</f>
        <v>6.5000000000000002E-2</v>
      </c>
    </row>
    <row r="323" spans="4:12" s="348" customFormat="1" ht="12.75" hidden="1" customHeight="1" outlineLevel="3" x14ac:dyDescent="0.2">
      <c r="D323" s="785" t="str">
        <f>Price_List_BA!D307</f>
        <v>Needle – 18 or 20 gauge (TZ)</v>
      </c>
      <c r="E323" s="786"/>
      <c r="F323" s="786"/>
      <c r="G323" s="786"/>
      <c r="J323" s="668" t="str">
        <f>Price_List_BA!J307</f>
        <v>one piece</v>
      </c>
      <c r="L323" s="127">
        <f>Price_List_BA!L307</f>
        <v>8.8541666666666671E-2</v>
      </c>
    </row>
    <row r="324" spans="4:12" s="348" customFormat="1" ht="12.75" hidden="1" customHeight="1" outlineLevel="3" x14ac:dyDescent="0.2">
      <c r="D324" s="785" t="str">
        <f>Price_List_BA!D308</f>
        <v>Needle - Spinal 22G (disposable) (ZM)</v>
      </c>
      <c r="E324" s="786"/>
      <c r="F324" s="786"/>
      <c r="G324" s="786"/>
      <c r="J324" s="668" t="str">
        <f>Price_List_BA!J308</f>
        <v>needle</v>
      </c>
      <c r="L324" s="127">
        <f>Price_List_BA!L308</f>
        <v>1.240208</v>
      </c>
    </row>
    <row r="325" spans="4:12" s="348" customFormat="1" ht="12.75" hidden="1" customHeight="1" outlineLevel="3" x14ac:dyDescent="0.2">
      <c r="D325" s="785" t="str">
        <f>Price_List_BA!D309</f>
        <v>Needle - Spinal 22G (disposable) (TZ)</v>
      </c>
      <c r="E325" s="786"/>
      <c r="F325" s="786"/>
      <c r="G325" s="786"/>
      <c r="J325" s="668" t="str">
        <f>Price_List_BA!J309</f>
        <v>one piece</v>
      </c>
      <c r="L325" s="127">
        <f>Price_List_BA!L309</f>
        <v>0.91249999999999998</v>
      </c>
    </row>
    <row r="326" spans="4:12" s="348" customFormat="1" ht="12.75" hidden="1" customHeight="1" outlineLevel="3" x14ac:dyDescent="0.2">
      <c r="D326" s="785" t="str">
        <f>Price_List_BA!D310</f>
        <v>Needles - Dental 27G Long (ZM)</v>
      </c>
      <c r="E326" s="786"/>
      <c r="F326" s="786"/>
      <c r="G326" s="786"/>
      <c r="J326" s="668" t="str">
        <f>Price_List_BA!J310</f>
        <v>needle</v>
      </c>
      <c r="L326" s="127">
        <f>Price_List_BA!L310</f>
        <v>0.30909999999999999</v>
      </c>
    </row>
    <row r="327" spans="4:12" s="348" customFormat="1" ht="12.75" hidden="1" customHeight="1" outlineLevel="3" x14ac:dyDescent="0.2">
      <c r="D327" s="785" t="str">
        <f>Price_List_BA!D311</f>
        <v>Neostymine (ZM)</v>
      </c>
      <c r="E327" s="786"/>
      <c r="F327" s="786"/>
      <c r="G327" s="786"/>
      <c r="J327" s="668" t="str">
        <f>Price_List_BA!J311</f>
        <v>SU</v>
      </c>
      <c r="L327" s="127">
        <f>Price_List_BA!L311</f>
        <v>0</v>
      </c>
    </row>
    <row r="328" spans="4:12" s="348" customFormat="1" ht="12.75" hidden="1" customHeight="1" outlineLevel="3" x14ac:dyDescent="0.2">
      <c r="D328" s="785" t="str">
        <f>Price_List_BA!D312</f>
        <v>Normal saline (UG)</v>
      </c>
      <c r="E328" s="786"/>
      <c r="F328" s="786"/>
      <c r="G328" s="786"/>
      <c r="J328" s="668" t="str">
        <f>Price_List_BA!J312</f>
        <v>mililiter</v>
      </c>
      <c r="L328" s="127">
        <f>Price_List_BA!L312</f>
        <v>8.4106217899683098E-4</v>
      </c>
    </row>
    <row r="329" spans="4:12" s="348" customFormat="1" ht="12.75" hidden="1" customHeight="1" outlineLevel="3" x14ac:dyDescent="0.2">
      <c r="D329" s="785" t="str">
        <f>Price_List_BA!D313</f>
        <v>Normal saline (ZM)</v>
      </c>
      <c r="E329" s="786"/>
      <c r="F329" s="786"/>
      <c r="G329" s="786"/>
      <c r="J329" s="668" t="str">
        <f>Price_List_BA!J313</f>
        <v>1 litre</v>
      </c>
      <c r="L329" s="127">
        <f>Price_List_BA!L313</f>
        <v>0</v>
      </c>
    </row>
    <row r="330" spans="4:12" s="348" customFormat="1" ht="12.75" hidden="1" customHeight="1" outlineLevel="3" x14ac:dyDescent="0.2">
      <c r="D330" s="785" t="str">
        <f>Price_List_BA!D314</f>
        <v>Nystain (200mg) (UG)</v>
      </c>
      <c r="E330" s="786"/>
      <c r="F330" s="786"/>
      <c r="G330" s="786"/>
      <c r="J330" s="668" t="str">
        <f>Price_List_BA!J314</f>
        <v>tablet</v>
      </c>
      <c r="L330" s="127">
        <f>Price_List_BA!L314</f>
        <v>2.9588372855425638E-2</v>
      </c>
    </row>
    <row r="331" spans="4:12" s="348" customFormat="1" ht="12.75" hidden="1" customHeight="1" outlineLevel="3" x14ac:dyDescent="0.2">
      <c r="D331" s="785" t="str">
        <f>Price_List_BA!D315</f>
        <v>Ondansetron (IV) 4mg vials</v>
      </c>
      <c r="E331" s="786"/>
      <c r="F331" s="786"/>
      <c r="G331" s="786"/>
      <c r="J331" s="668" t="str">
        <f>Price_List_BA!J315</f>
        <v>SU</v>
      </c>
      <c r="L331" s="127">
        <f>Price_List_BA!L315</f>
        <v>0</v>
      </c>
    </row>
    <row r="332" spans="4:12" s="348" customFormat="1" hidden="1" outlineLevel="3" x14ac:dyDescent="0.2">
      <c r="D332" s="785" t="str">
        <f>Price_List_BA!D316</f>
        <v>Ondasetron (oral) (4mg tablets)</v>
      </c>
      <c r="E332" s="786"/>
      <c r="F332" s="786"/>
      <c r="G332" s="786"/>
      <c r="J332" s="668" t="str">
        <f>Price_List_BA!J316</f>
        <v>tablet</v>
      </c>
      <c r="L332" s="127">
        <f>Price_List_BA!L316</f>
        <v>9</v>
      </c>
    </row>
    <row r="333" spans="4:12" s="348" customFormat="1" ht="12.95" hidden="1" customHeight="1" outlineLevel="3" x14ac:dyDescent="0.2">
      <c r="D333" s="785" t="str">
        <f>Price_List_BA!D317</f>
        <v>Opiods - Pethidine (ZM)</v>
      </c>
      <c r="E333" s="786"/>
      <c r="F333" s="786"/>
      <c r="G333" s="786"/>
      <c r="J333" s="668" t="str">
        <f>Price_List_BA!J317</f>
        <v>SU</v>
      </c>
      <c r="L333" s="127">
        <f>Price_List_BA!L317</f>
        <v>0</v>
      </c>
    </row>
    <row r="334" spans="4:12" s="348" customFormat="1" ht="12.75" hidden="1" customHeight="1" outlineLevel="3" x14ac:dyDescent="0.2">
      <c r="D334" s="785" t="str">
        <f>Price_List_BA!D318</f>
        <v>Supplies Category 109</v>
      </c>
      <c r="E334" s="786"/>
      <c r="F334" s="786"/>
      <c r="G334" s="786"/>
      <c r="J334" s="668" t="str">
        <f>Price_List_BA!J318</f>
        <v>SU</v>
      </c>
      <c r="L334" s="127">
        <f>Price_List_BA!L318</f>
        <v>0</v>
      </c>
    </row>
    <row r="335" spans="4:12" s="348" customFormat="1" ht="12.95" hidden="1" customHeight="1" outlineLevel="3" x14ac:dyDescent="0.2">
      <c r="D335" s="785" t="str">
        <f>Price_List_BA!D319</f>
        <v>Oralpharyngeal airway (ZM)</v>
      </c>
      <c r="E335" s="786"/>
      <c r="F335" s="786"/>
      <c r="G335" s="786"/>
      <c r="J335" s="668" t="str">
        <f>Price_List_BA!J319</f>
        <v>SU</v>
      </c>
      <c r="L335" s="127">
        <f>Price_List_BA!L319</f>
        <v>0</v>
      </c>
    </row>
    <row r="336" spans="4:12" s="348" customFormat="1" ht="12.95" hidden="1" customHeight="1" outlineLevel="3" x14ac:dyDescent="0.2">
      <c r="D336" s="785" t="str">
        <f>Price_List_BA!D320</f>
        <v>Oxygen Mask (ZM)</v>
      </c>
      <c r="E336" s="786"/>
      <c r="F336" s="786"/>
      <c r="G336" s="786"/>
      <c r="J336" s="668" t="str">
        <f>Price_List_BA!J320</f>
        <v>SU</v>
      </c>
      <c r="L336" s="127">
        <f>Price_List_BA!L320</f>
        <v>0</v>
      </c>
    </row>
    <row r="337" spans="4:12" s="348" customFormat="1" ht="12.95" hidden="1" customHeight="1" outlineLevel="3" x14ac:dyDescent="0.2">
      <c r="D337" s="785" t="str">
        <f>Price_List_BA!D321</f>
        <v>Pancuronuien (ZM)</v>
      </c>
      <c r="E337" s="786"/>
      <c r="F337" s="786"/>
      <c r="G337" s="786"/>
      <c r="J337" s="668" t="str">
        <f>Price_List_BA!J321</f>
        <v>SU</v>
      </c>
      <c r="L337" s="127">
        <f>Price_List_BA!L321</f>
        <v>0</v>
      </c>
    </row>
    <row r="338" spans="4:12" s="348" customFormat="1" ht="12.95" hidden="1" customHeight="1" outlineLevel="3" x14ac:dyDescent="0.2">
      <c r="D338" s="785" t="str">
        <f>Price_List_BA!D322</f>
        <v>Paracetamol (1g) (UG)</v>
      </c>
      <c r="E338" s="786"/>
      <c r="F338" s="786"/>
      <c r="G338" s="786"/>
      <c r="J338" s="668" t="str">
        <f>Price_List_BA!J322</f>
        <v>tablet</v>
      </c>
      <c r="L338" s="127">
        <f>Price_List_BA!L322</f>
        <v>1.1203409463446619E-2</v>
      </c>
    </row>
    <row r="339" spans="4:12" s="348" customFormat="1" ht="12.95" hidden="1" customHeight="1" outlineLevel="3" x14ac:dyDescent="0.2">
      <c r="D339" s="785" t="str">
        <f>Price_List_BA!D323</f>
        <v>Paracetamol (500mg) (ZM)</v>
      </c>
      <c r="E339" s="786"/>
      <c r="F339" s="786"/>
      <c r="G339" s="786"/>
      <c r="J339" s="668" t="str">
        <f>Price_List_BA!J323</f>
        <v>tablet</v>
      </c>
      <c r="L339" s="127">
        <f>Price_List_BA!L323</f>
        <v>2.0888E-3</v>
      </c>
    </row>
    <row r="340" spans="4:12" s="348" customFormat="1" ht="12.95" hidden="1" customHeight="1" outlineLevel="3" x14ac:dyDescent="0.2">
      <c r="D340" s="785" t="str">
        <f>Price_List_BA!D324</f>
        <v>Paracetamol (500mg) (TZ)</v>
      </c>
      <c r="E340" s="786"/>
      <c r="F340" s="786"/>
      <c r="G340" s="786"/>
      <c r="J340" s="668" t="str">
        <f>Price_List_BA!J324</f>
        <v>one tablet</v>
      </c>
      <c r="L340" s="127">
        <f>Price_List_BA!L324</f>
        <v>4.5624999999999997E-3</v>
      </c>
    </row>
    <row r="341" spans="4:12" s="348" customFormat="1" ht="12.95" hidden="1" customHeight="1" outlineLevel="3" x14ac:dyDescent="0.2">
      <c r="D341" s="785" t="str">
        <f>Price_List_BA!D325</f>
        <v>Paracetamol (500mg) (UG)</v>
      </c>
      <c r="E341" s="786"/>
      <c r="F341" s="786"/>
      <c r="G341" s="786"/>
      <c r="J341" s="668" t="str">
        <f>Price_List_BA!J325</f>
        <v>tablet</v>
      </c>
      <c r="L341" s="127">
        <f>Price_List_BA!L325</f>
        <v>5.6017047317233094E-3</v>
      </c>
    </row>
    <row r="342" spans="4:12" s="348" customFormat="1" ht="12.95" hidden="1" customHeight="1" outlineLevel="3" x14ac:dyDescent="0.2">
      <c r="D342" s="785" t="str">
        <f>Price_List_BA!D326</f>
        <v>Pathology form (TZ)</v>
      </c>
      <c r="E342" s="786"/>
      <c r="F342" s="786"/>
      <c r="G342" s="786"/>
      <c r="J342" s="668">
        <f>Price_List_BA!J326</f>
        <v>1</v>
      </c>
      <c r="L342" s="127">
        <f>Price_List_BA!L326</f>
        <v>0.31</v>
      </c>
    </row>
    <row r="343" spans="4:12" s="348" customFormat="1" ht="12.95" hidden="1" customHeight="1" outlineLevel="3" x14ac:dyDescent="0.2">
      <c r="D343" s="785" t="str">
        <f>Price_List_BA!D327</f>
        <v>Patient card (TZ)</v>
      </c>
      <c r="E343" s="786"/>
      <c r="F343" s="786"/>
      <c r="G343" s="786"/>
      <c r="J343" s="668" t="str">
        <f>Price_List_BA!J327</f>
        <v>card</v>
      </c>
      <c r="L343" s="127">
        <f>Price_List_BA!L327</f>
        <v>0.625</v>
      </c>
    </row>
    <row r="344" spans="4:12" s="348" customFormat="1" ht="12.95" hidden="1" customHeight="1" outlineLevel="3" x14ac:dyDescent="0.2">
      <c r="D344" s="785" t="str">
        <f>Price_List_BA!D328</f>
        <v>Pencil (TZ)</v>
      </c>
      <c r="E344" s="786"/>
      <c r="F344" s="786"/>
      <c r="G344" s="786"/>
      <c r="J344" s="668" t="str">
        <f>Price_List_BA!J328</f>
        <v>each</v>
      </c>
      <c r="L344" s="127">
        <f>Price_List_BA!L328</f>
        <v>0.1875</v>
      </c>
    </row>
    <row r="345" spans="4:12" s="348" customFormat="1" ht="12.95" hidden="1" customHeight="1" outlineLevel="3" x14ac:dyDescent="0.2">
      <c r="D345" s="785" t="str">
        <f>Price_List_BA!D329</f>
        <v>Perthodine (TZ)</v>
      </c>
      <c r="E345" s="786"/>
      <c r="F345" s="786"/>
      <c r="G345" s="786"/>
      <c r="J345" s="668" t="str">
        <f>Price_List_BA!J329</f>
        <v>100ml vial</v>
      </c>
      <c r="L345" s="127">
        <f>Price_List_BA!L329</f>
        <v>0.5625</v>
      </c>
    </row>
    <row r="346" spans="4:12" s="348" customFormat="1" ht="12.95" hidden="1" customHeight="1" outlineLevel="3" x14ac:dyDescent="0.2">
      <c r="D346" s="785" t="str">
        <f>Price_List_BA!D330</f>
        <v>Pipette Tips (TZ)</v>
      </c>
      <c r="E346" s="786"/>
      <c r="F346" s="786"/>
      <c r="G346" s="786"/>
      <c r="J346" s="668">
        <f>Price_List_BA!J330</f>
        <v>1</v>
      </c>
      <c r="L346" s="127">
        <f>Price_List_BA!L330</f>
        <v>9.3749999999999997E-3</v>
      </c>
    </row>
    <row r="347" spans="4:12" s="348" customFormat="1" ht="12.75" hidden="1" customHeight="1" outlineLevel="3" x14ac:dyDescent="0.2">
      <c r="D347" s="785" t="str">
        <f>Price_List_BA!D331</f>
        <v>Pipette, Fixed, 50 microlitre (TZ)</v>
      </c>
      <c r="E347" s="786"/>
      <c r="F347" s="786"/>
      <c r="G347" s="786"/>
      <c r="J347" s="668" t="str">
        <f>Price_List_BA!J331</f>
        <v>1 use</v>
      </c>
      <c r="L347" s="127">
        <f>Price_List_BA!L331</f>
        <v>7.4999999999999997E-2</v>
      </c>
    </row>
    <row r="348" spans="4:12" s="348" customFormat="1" ht="12.75" hidden="1" customHeight="1" outlineLevel="3" x14ac:dyDescent="0.2">
      <c r="D348" s="785" t="str">
        <f>Price_List_BA!D332</f>
        <v>Pipette, Repeater (TZ)</v>
      </c>
      <c r="E348" s="786"/>
      <c r="F348" s="786"/>
      <c r="G348" s="786"/>
      <c r="J348" s="668" t="str">
        <f>Price_List_BA!J332</f>
        <v>1 use</v>
      </c>
      <c r="L348" s="127">
        <f>Price_List_BA!L332</f>
        <v>6.2500000000000003E-3</v>
      </c>
    </row>
    <row r="349" spans="4:12" s="348" customFormat="1" ht="12.75" hidden="1" customHeight="1" outlineLevel="3" x14ac:dyDescent="0.2">
      <c r="D349" s="785" t="str">
        <f>Price_List_BA!D333</f>
        <v>Pregnancy test– urine test strip (ZM)</v>
      </c>
      <c r="E349" s="786"/>
      <c r="F349" s="786"/>
      <c r="G349" s="786"/>
      <c r="J349" s="668" t="str">
        <f>Price_List_BA!J333</f>
        <v>test</v>
      </c>
      <c r="L349" s="127">
        <f>Price_List_BA!L333</f>
        <v>0.14374900000000002</v>
      </c>
    </row>
    <row r="350" spans="4:12" s="348" customFormat="1" ht="12.75" hidden="1" customHeight="1" outlineLevel="3" x14ac:dyDescent="0.2">
      <c r="D350" s="785" t="str">
        <f>Price_List_BA!D334</f>
        <v>Pregnancy tests – urine test strips (TZ)</v>
      </c>
      <c r="E350" s="786"/>
      <c r="F350" s="786"/>
      <c r="G350" s="786"/>
      <c r="J350" s="668" t="str">
        <f>Price_List_BA!J334</f>
        <v>one strip</v>
      </c>
      <c r="L350" s="127">
        <f>Price_List_BA!L334</f>
        <v>0.15</v>
      </c>
    </row>
    <row r="351" spans="4:12" s="348" customFormat="1" ht="12.75" hidden="1" customHeight="1" outlineLevel="3" x14ac:dyDescent="0.2">
      <c r="D351" s="785" t="str">
        <f>Price_List_BA!D335</f>
        <v>Profol, 2%, 20 mg/l, 50ml (ZM)</v>
      </c>
      <c r="E351" s="786"/>
      <c r="F351" s="786"/>
      <c r="G351" s="786"/>
      <c r="J351" s="668" t="str">
        <f>Price_List_BA!J335</f>
        <v>SU</v>
      </c>
      <c r="L351" s="127">
        <f>Price_List_BA!L335</f>
        <v>0</v>
      </c>
    </row>
    <row r="352" spans="4:12" s="348" customFormat="1" ht="12.75" hidden="1" customHeight="1" outlineLevel="3" x14ac:dyDescent="0.2">
      <c r="D352" s="785" t="str">
        <f>Price_List_BA!D336</f>
        <v>Repeater Tips (TZ)</v>
      </c>
      <c r="E352" s="786"/>
      <c r="F352" s="786"/>
      <c r="G352" s="786"/>
      <c r="J352" s="668">
        <f>Price_List_BA!J336</f>
        <v>1</v>
      </c>
      <c r="L352" s="127">
        <f>Price_List_BA!L336</f>
        <v>9.3749999999999997E-3</v>
      </c>
    </row>
    <row r="353" spans="4:12" s="348" customFormat="1" ht="12.75" hidden="1" customHeight="1" outlineLevel="3" x14ac:dyDescent="0.2">
      <c r="D353" s="785" t="str">
        <f>Price_List_BA!D337</f>
        <v>Return electrode (UG)</v>
      </c>
      <c r="E353" s="786"/>
      <c r="F353" s="786"/>
      <c r="G353" s="786"/>
      <c r="J353" s="668" t="str">
        <f>Price_List_BA!J337</f>
        <v>piece</v>
      </c>
      <c r="L353" s="127">
        <f>Price_List_BA!L337</f>
        <v>9</v>
      </c>
    </row>
    <row r="354" spans="4:12" s="348" customFormat="1" ht="12.75" hidden="1" customHeight="1" outlineLevel="3" x14ac:dyDescent="0.2">
      <c r="D354" s="785" t="str">
        <f>Price_List_BA!D338</f>
        <v>Saline solution, normal (ZM)</v>
      </c>
      <c r="E354" s="786"/>
      <c r="F354" s="786"/>
      <c r="G354" s="786"/>
      <c r="J354" s="668" t="str">
        <f>Price_List_BA!J338</f>
        <v>bag</v>
      </c>
      <c r="L354" s="127">
        <f>Price_List_BA!L338</f>
        <v>0.8224583333333334</v>
      </c>
    </row>
    <row r="355" spans="4:12" s="348" customFormat="1" ht="12.75" hidden="1" customHeight="1" outlineLevel="3" x14ac:dyDescent="0.2">
      <c r="D355" s="785" t="str">
        <f>Price_List_BA!D339</f>
        <v>Saline solution, normal (TZ)</v>
      </c>
      <c r="E355" s="786"/>
      <c r="F355" s="786"/>
      <c r="G355" s="786"/>
      <c r="J355" s="668" t="str">
        <f>Price_List_BA!J339</f>
        <v>mililiter</v>
      </c>
      <c r="L355" s="127">
        <f>Price_List_BA!L339</f>
        <v>1.8749999999999999E-3</v>
      </c>
    </row>
    <row r="356" spans="4:12" s="348" customFormat="1" ht="12.75" hidden="1" customHeight="1" outlineLevel="3" x14ac:dyDescent="0.2">
      <c r="D356" s="785" t="str">
        <f>Price_List_BA!D340</f>
        <v>Sanitary pad (ZM)</v>
      </c>
      <c r="E356" s="786"/>
      <c r="F356" s="786"/>
      <c r="G356" s="786"/>
      <c r="J356" s="668" t="str">
        <f>Price_List_BA!J340</f>
        <v>pad</v>
      </c>
      <c r="L356" s="127">
        <f>Price_List_BA!L340</f>
        <v>0.191</v>
      </c>
    </row>
    <row r="357" spans="4:12" s="348" customFormat="1" ht="12.75" hidden="1" customHeight="1" outlineLevel="3" x14ac:dyDescent="0.2">
      <c r="D357" s="785" t="str">
        <f>Price_List_BA!D341</f>
        <v>Sanitary pad (UG)</v>
      </c>
      <c r="E357" s="786"/>
      <c r="F357" s="786"/>
      <c r="G357" s="786"/>
      <c r="J357" s="668" t="str">
        <f>Price_List_BA!J341</f>
        <v>piece</v>
      </c>
      <c r="L357" s="127">
        <f>Price_List_BA!L341</f>
        <v>1.3890406634369043E-2</v>
      </c>
    </row>
    <row r="358" spans="4:12" s="348" customFormat="1" ht="12.75" hidden="1" customHeight="1" outlineLevel="3" x14ac:dyDescent="0.2">
      <c r="D358" s="785" t="str">
        <f>Price_List_BA!D342</f>
        <v>Scouring Powder (Ajax)</v>
      </c>
      <c r="E358" s="786"/>
      <c r="F358" s="786"/>
      <c r="G358" s="786"/>
      <c r="J358" s="668" t="str">
        <f>Price_List_BA!J342</f>
        <v>1 gram</v>
      </c>
      <c r="L358" s="127">
        <f>Price_List_BA!L342</f>
        <v>2.6199999999999999E-3</v>
      </c>
    </row>
    <row r="359" spans="4:12" s="348" customFormat="1" ht="12.75" hidden="1" customHeight="1" outlineLevel="3" x14ac:dyDescent="0.2">
      <c r="D359" s="785" t="str">
        <f>Price_List_BA!D343</f>
        <v>Soap (or hand sanitizer) (ZM)</v>
      </c>
      <c r="E359" s="786"/>
      <c r="F359" s="786"/>
      <c r="G359" s="786"/>
      <c r="J359" s="668" t="str">
        <f>Price_List_BA!J343</f>
        <v>uses</v>
      </c>
      <c r="L359" s="127">
        <f>Price_List_BA!L343</f>
        <v>5.5999999999999999E-3</v>
      </c>
    </row>
    <row r="360" spans="4:12" s="348" customFormat="1" ht="12.75" hidden="1" customHeight="1" outlineLevel="3" x14ac:dyDescent="0.2">
      <c r="D360" s="785" t="str">
        <f>Price_List_BA!D344</f>
        <v>Soap (or hand sanitizer) (TZ)</v>
      </c>
      <c r="E360" s="786"/>
      <c r="F360" s="786"/>
      <c r="G360" s="786"/>
      <c r="J360" s="668" t="str">
        <f>Price_List_BA!J344</f>
        <v>1/25th</v>
      </c>
      <c r="L360" s="127">
        <f>Price_List_BA!L344</f>
        <v>2.75E-2</v>
      </c>
    </row>
    <row r="361" spans="4:12" s="348" customFormat="1" ht="12.75" hidden="1" customHeight="1" outlineLevel="3" x14ac:dyDescent="0.2">
      <c r="D361" s="785" t="str">
        <f>Price_List_BA!D345</f>
        <v>Specimen bottle / recyled syringe bottles (UG)</v>
      </c>
      <c r="E361" s="786"/>
      <c r="F361" s="786"/>
      <c r="G361" s="786"/>
      <c r="J361" s="668" t="str">
        <f>Price_List_BA!J345</f>
        <v>piece</v>
      </c>
      <c r="L361" s="127">
        <f>Price_List_BA!L345</f>
        <v>0.32350000000000001</v>
      </c>
    </row>
    <row r="362" spans="4:12" s="348" customFormat="1" ht="12.75" hidden="1" customHeight="1" outlineLevel="3" x14ac:dyDescent="0.2">
      <c r="D362" s="785" t="str">
        <f>Price_List_BA!D346</f>
        <v>Specimen cup with lid and label - 100 cc (TZ)</v>
      </c>
      <c r="E362" s="786"/>
      <c r="F362" s="786"/>
      <c r="G362" s="786"/>
      <c r="J362" s="668" t="str">
        <f>Price_List_BA!J346</f>
        <v>cup with lid</v>
      </c>
      <c r="L362" s="127">
        <f>Price_List_BA!L346</f>
        <v>6.25E-2</v>
      </c>
    </row>
    <row r="363" spans="4:12" s="348" customFormat="1" ht="12.75" hidden="1" customHeight="1" outlineLevel="3" x14ac:dyDescent="0.2">
      <c r="D363" s="785" t="str">
        <f>Price_List_BA!D347</f>
        <v>Surgical Apron (ZM)</v>
      </c>
      <c r="E363" s="786"/>
      <c r="F363" s="786"/>
      <c r="G363" s="786"/>
      <c r="J363" s="668" t="str">
        <f>Price_List_BA!J347</f>
        <v>apron</v>
      </c>
      <c r="L363" s="127">
        <f>Price_List_BA!L347</f>
        <v>0.10705000000000001</v>
      </c>
    </row>
    <row r="364" spans="4:12" s="348" customFormat="1" ht="12.75" hidden="1" customHeight="1" outlineLevel="3" x14ac:dyDescent="0.2">
      <c r="D364" s="785" t="str">
        <f>Price_List_BA!D348</f>
        <v>Suxamethonium (ZM)</v>
      </c>
      <c r="E364" s="786"/>
      <c r="F364" s="786"/>
      <c r="G364" s="786"/>
      <c r="J364" s="668" t="str">
        <f>Price_List_BA!J348</f>
        <v>SU</v>
      </c>
      <c r="L364" s="127">
        <f>Price_List_BA!L348</f>
        <v>0</v>
      </c>
    </row>
    <row r="365" spans="4:12" s="348" customFormat="1" ht="12.75" hidden="1" customHeight="1" outlineLevel="3" x14ac:dyDescent="0.2">
      <c r="D365" s="785" t="str">
        <f>Price_List_BA!D349</f>
        <v>Syringe - 2cc (ZM)</v>
      </c>
      <c r="E365" s="786"/>
      <c r="F365" s="786"/>
      <c r="G365" s="786"/>
      <c r="J365" s="668" t="str">
        <f>Price_List_BA!J349</f>
        <v>syringe</v>
      </c>
      <c r="L365" s="127">
        <f>Price_List_BA!L349</f>
        <v>1.9598999999999998E-2</v>
      </c>
    </row>
    <row r="366" spans="4:12" s="348" customFormat="1" ht="12.75" hidden="1" customHeight="1" outlineLevel="3" x14ac:dyDescent="0.2">
      <c r="D366" s="785" t="str">
        <f>Price_List_BA!D350</f>
        <v>Syringe - 2ml (UG)</v>
      </c>
      <c r="E366" s="786"/>
      <c r="F366" s="786"/>
      <c r="G366" s="786"/>
      <c r="J366" s="668" t="str">
        <f>Price_List_BA!J350</f>
        <v>syringe</v>
      </c>
      <c r="L366" s="127">
        <f>Price_List_BA!L350</f>
        <v>6.4910938695224574E-2</v>
      </c>
    </row>
    <row r="367" spans="4:12" s="348" customFormat="1" ht="12.75" hidden="1" customHeight="1" outlineLevel="3" x14ac:dyDescent="0.2">
      <c r="D367" s="785" t="str">
        <f>Price_List_BA!D351</f>
        <v>Syringe, 10 cc with needle (ZM)</v>
      </c>
      <c r="E367" s="786"/>
      <c r="F367" s="786"/>
      <c r="G367" s="786"/>
      <c r="J367" s="668" t="str">
        <f>Price_List_BA!J351</f>
        <v>syringe w/needle</v>
      </c>
      <c r="L367" s="127">
        <f>Price_List_BA!L351</f>
        <v>2.4021000000000001E-2</v>
      </c>
    </row>
    <row r="368" spans="4:12" s="348" customFormat="1" ht="12.75" hidden="1" customHeight="1" outlineLevel="3" x14ac:dyDescent="0.2">
      <c r="D368" s="785" t="str">
        <f>Price_List_BA!D352</f>
        <v>Syringe, 5 cc with needle (ZM)</v>
      </c>
      <c r="E368" s="786"/>
      <c r="F368" s="786"/>
      <c r="G368" s="786"/>
      <c r="J368" s="668" t="str">
        <f>Price_List_BA!J352</f>
        <v>syringe w/needle</v>
      </c>
      <c r="L368" s="127">
        <f>Price_List_BA!L352</f>
        <v>1.4752000000000001E-2</v>
      </c>
    </row>
    <row r="369" spans="4:12" s="348" customFormat="1" ht="12.75" hidden="1" customHeight="1" outlineLevel="3" x14ac:dyDescent="0.2">
      <c r="D369" s="785" t="str">
        <f>Price_List_BA!D353</f>
        <v>Syringes, 10 cc with needle (TZ)</v>
      </c>
      <c r="E369" s="786"/>
      <c r="F369" s="786"/>
      <c r="G369" s="786"/>
      <c r="J369" s="668" t="str">
        <f>Price_List_BA!J353</f>
        <v>one piece</v>
      </c>
      <c r="L369" s="127">
        <f>Price_List_BA!L353</f>
        <v>6.25E-2</v>
      </c>
    </row>
    <row r="370" spans="4:12" s="348" customFormat="1" ht="12.75" hidden="1" customHeight="1" outlineLevel="3" x14ac:dyDescent="0.2">
      <c r="D370" s="785" t="str">
        <f>Price_List_BA!D354</f>
        <v>Syringes, 5 cc with needle (TZ)</v>
      </c>
      <c r="E370" s="786"/>
      <c r="F370" s="786"/>
      <c r="G370" s="786"/>
      <c r="J370" s="668" t="str">
        <f>Price_List_BA!J354</f>
        <v>1 syringe with needle</v>
      </c>
      <c r="L370" s="127">
        <f>Price_List_BA!L354</f>
        <v>4.3749999999999997E-2</v>
      </c>
    </row>
    <row r="371" spans="4:12" s="348" customFormat="1" ht="12.75" hidden="1" customHeight="1" outlineLevel="3" x14ac:dyDescent="0.2">
      <c r="D371" s="785" t="str">
        <f>Price_List_BA!D355</f>
        <v>Syringes, Dental, 25 gauge (ZM)</v>
      </c>
      <c r="E371" s="786"/>
      <c r="F371" s="786"/>
      <c r="G371" s="786"/>
      <c r="J371" s="668" t="str">
        <f>Price_List_BA!J355</f>
        <v>one syringe</v>
      </c>
      <c r="L371" s="127">
        <f>Price_List_BA!L355</f>
        <v>0.48200000000000004</v>
      </c>
    </row>
    <row r="372" spans="4:12" s="348" customFormat="1" ht="12.75" hidden="1" customHeight="1" outlineLevel="3" x14ac:dyDescent="0.2">
      <c r="D372" s="785" t="str">
        <f>Price_List_BA!D356</f>
        <v>Thiopentone,500mg vial (ZM)</v>
      </c>
      <c r="E372" s="786"/>
      <c r="F372" s="786"/>
      <c r="G372" s="786"/>
      <c r="J372" s="668" t="str">
        <f>Price_List_BA!J356</f>
        <v>SU</v>
      </c>
      <c r="L372" s="127">
        <f>Price_List_BA!L356</f>
        <v>0</v>
      </c>
    </row>
    <row r="373" spans="4:12" s="348" customFormat="1" ht="12.75" hidden="1" customHeight="1" outlineLevel="3" x14ac:dyDescent="0.2">
      <c r="D373" s="785" t="str">
        <f>Price_List_BA!D357</f>
        <v>Toilet Tissues (roll) – 500 sheets (ZM)</v>
      </c>
      <c r="E373" s="786"/>
      <c r="F373" s="786"/>
      <c r="G373" s="786"/>
      <c r="J373" s="668" t="str">
        <f>Price_List_BA!J357</f>
        <v>10 sheets</v>
      </c>
      <c r="L373" s="127">
        <f>Price_List_BA!L357</f>
        <v>8.4000000000000012E-3</v>
      </c>
    </row>
    <row r="374" spans="4:12" s="348" customFormat="1" ht="12.75" hidden="1" customHeight="1" outlineLevel="3" x14ac:dyDescent="0.2">
      <c r="D374" s="785" t="str">
        <f>Price_List_BA!D358</f>
        <v>Tramadol (50mg)  (ZM)</v>
      </c>
      <c r="E374" s="786"/>
      <c r="F374" s="786"/>
      <c r="G374" s="786"/>
      <c r="J374" s="668" t="str">
        <f>Price_List_BA!J358</f>
        <v>tablet</v>
      </c>
      <c r="L374" s="127">
        <f>Price_List_BA!L358</f>
        <v>1.0829E-2</v>
      </c>
    </row>
    <row r="375" spans="4:12" s="348" customFormat="1" ht="12.75" hidden="1" customHeight="1" outlineLevel="3" x14ac:dyDescent="0.2">
      <c r="D375" s="785" t="str">
        <f>Price_List_BA!D359</f>
        <v>Tramadol (50mg) (TZ)</v>
      </c>
      <c r="E375" s="786"/>
      <c r="F375" s="786"/>
      <c r="G375" s="786"/>
      <c r="J375" s="668" t="str">
        <f>Price_List_BA!J359</f>
        <v>one tablet</v>
      </c>
      <c r="L375" s="127">
        <f>Price_List_BA!L359</f>
        <v>5.7750000000000003E-2</v>
      </c>
    </row>
    <row r="376" spans="4:12" s="348" customFormat="1" ht="12.75" hidden="1" customHeight="1" outlineLevel="3" x14ac:dyDescent="0.2">
      <c r="D376" s="785" t="str">
        <f>Price_List_BA!D360</f>
        <v>Tubes - Endotrach (ZM)</v>
      </c>
      <c r="E376" s="786"/>
      <c r="F376" s="786"/>
      <c r="G376" s="786"/>
      <c r="J376" s="668" t="str">
        <f>Price_List_BA!J360</f>
        <v>SU</v>
      </c>
      <c r="L376" s="127">
        <f>Price_List_BA!L360</f>
        <v>0</v>
      </c>
    </row>
    <row r="377" spans="4:12" s="348" customFormat="1" ht="12.75" hidden="1" customHeight="1" outlineLevel="3" x14ac:dyDescent="0.2">
      <c r="D377" s="785" t="str">
        <f>Price_List_BA!D361</f>
        <v>Urine Bag (ZM)</v>
      </c>
      <c r="E377" s="786"/>
      <c r="F377" s="786"/>
      <c r="G377" s="786"/>
      <c r="J377" s="668" t="str">
        <f>Price_List_BA!J361</f>
        <v>bag</v>
      </c>
      <c r="L377" s="127">
        <f>Price_List_BA!L361</f>
        <v>0.25979099999999999</v>
      </c>
    </row>
    <row r="378" spans="4:12" s="348" customFormat="1" ht="12.75" hidden="1" customHeight="1" outlineLevel="3" x14ac:dyDescent="0.2">
      <c r="D378" s="785" t="str">
        <f>Price_List_BA!D362</f>
        <v>Urine Bag (TZ)</v>
      </c>
      <c r="E378" s="786"/>
      <c r="F378" s="786"/>
      <c r="G378" s="786"/>
      <c r="J378" s="668" t="str">
        <f>Price_List_BA!J362</f>
        <v>one bag</v>
      </c>
      <c r="L378" s="127">
        <f>Price_List_BA!L362</f>
        <v>0.21249999999999999</v>
      </c>
    </row>
    <row r="379" spans="4:12" s="348" customFormat="1" ht="12.75" hidden="1" customHeight="1" outlineLevel="3" x14ac:dyDescent="0.2">
      <c r="D379" s="785" t="str">
        <f>Price_List_BA!D363</f>
        <v>Washing powder (ZM)</v>
      </c>
      <c r="E379" s="786"/>
      <c r="F379" s="786"/>
      <c r="G379" s="786"/>
      <c r="J379" s="668" t="str">
        <f>Price_List_BA!J363</f>
        <v>gram</v>
      </c>
      <c r="L379" s="127">
        <f>Price_List_BA!L363</f>
        <v>3.0000000000000001E-3</v>
      </c>
    </row>
    <row r="380" spans="4:12" s="348" customFormat="1" ht="12.75" hidden="1" customHeight="1" outlineLevel="3" x14ac:dyDescent="0.2">
      <c r="D380" s="785" t="str">
        <f>Price_List_BA!D364</f>
        <v>Wire electrode (UG)</v>
      </c>
      <c r="E380" s="786"/>
      <c r="F380" s="786"/>
      <c r="G380" s="786"/>
      <c r="J380" s="668" t="str">
        <f>Price_List_BA!J364</f>
        <v>electrode</v>
      </c>
      <c r="L380" s="127">
        <f>Price_List_BA!L364</f>
        <v>9</v>
      </c>
    </row>
    <row r="381" spans="4:12" s="348" customFormat="1" ht="12.75" hidden="1" customHeight="1" outlineLevel="3" x14ac:dyDescent="0.2">
      <c r="D381" s="785" t="str">
        <f>Price_List_BA!D365</f>
        <v>Wood stick (ZM)</v>
      </c>
      <c r="E381" s="786"/>
      <c r="F381" s="786"/>
      <c r="G381" s="786"/>
      <c r="J381" s="668" t="str">
        <f>Price_List_BA!J365</f>
        <v>stick</v>
      </c>
      <c r="L381" s="127">
        <f>Price_List_BA!L365</f>
        <v>2.0052E-3</v>
      </c>
    </row>
    <row r="382" spans="4:12" s="348" customFormat="1" ht="12.75" hidden="1" customHeight="1" outlineLevel="3" x14ac:dyDescent="0.2">
      <c r="D382" s="785" t="str">
        <f>Price_List_BA!D366</f>
        <v>Wood stick (TZ)</v>
      </c>
      <c r="E382" s="786"/>
      <c r="F382" s="786"/>
      <c r="G382" s="786"/>
      <c r="J382" s="668" t="str">
        <f>Price_List_BA!J366</f>
        <v>one stick</v>
      </c>
      <c r="L382" s="127">
        <f>Price_List_BA!L366</f>
        <v>1.2500000000000001E-2</v>
      </c>
    </row>
    <row r="383" spans="4:12" s="348" customFormat="1" ht="12.75" hidden="1" customHeight="1" outlineLevel="3" x14ac:dyDescent="0.2">
      <c r="D383" s="785" t="str">
        <f>Price_List_BA!D367</f>
        <v>Supplies Category 158</v>
      </c>
      <c r="E383" s="786"/>
      <c r="F383" s="786"/>
      <c r="G383" s="786"/>
      <c r="J383" s="668" t="str">
        <f>Price_List_BA!J367</f>
        <v>SU</v>
      </c>
      <c r="L383" s="127">
        <f>Price_List_BA!L367</f>
        <v>0</v>
      </c>
    </row>
    <row r="384" spans="4:12" s="348" customFormat="1" ht="12.75" hidden="1" customHeight="1" outlineLevel="3" x14ac:dyDescent="0.2">
      <c r="D384" s="785" t="str">
        <f>Price_List_BA!D368</f>
        <v>Supplies Category 159</v>
      </c>
      <c r="E384" s="786"/>
      <c r="F384" s="786"/>
      <c r="G384" s="786"/>
      <c r="J384" s="668" t="str">
        <f>Price_List_BA!J368</f>
        <v>SU</v>
      </c>
      <c r="L384" s="127">
        <f>Price_List_BA!L368</f>
        <v>0</v>
      </c>
    </row>
    <row r="385" spans="4:12" s="348" customFormat="1" ht="12.75" hidden="1" customHeight="1" outlineLevel="3" x14ac:dyDescent="0.2">
      <c r="D385" s="785" t="str">
        <f>Price_List_BA!D369</f>
        <v>Supplies Category 160</v>
      </c>
      <c r="E385" s="786"/>
      <c r="F385" s="786"/>
      <c r="G385" s="786"/>
      <c r="J385" s="668" t="str">
        <f>Price_List_BA!J369</f>
        <v>SU</v>
      </c>
      <c r="L385" s="127">
        <f>Price_List_BA!L369</f>
        <v>0</v>
      </c>
    </row>
    <row r="386" spans="4:12" s="348" customFormat="1" ht="12.75" hidden="1" customHeight="1" outlineLevel="3" x14ac:dyDescent="0.2">
      <c r="D386" s="785" t="str">
        <f>Price_List_BA!D370</f>
        <v>Supplies Category 161</v>
      </c>
      <c r="E386" s="786"/>
      <c r="F386" s="786"/>
      <c r="G386" s="786"/>
      <c r="J386" s="668" t="str">
        <f>Price_List_BA!J370</f>
        <v>SU</v>
      </c>
      <c r="L386" s="127">
        <f>Price_List_BA!L370</f>
        <v>0</v>
      </c>
    </row>
    <row r="387" spans="4:12" s="348" customFormat="1" ht="12.75" hidden="1" customHeight="1" outlineLevel="3" x14ac:dyDescent="0.2">
      <c r="D387" s="785" t="str">
        <f>Price_List_BA!D371</f>
        <v>Supplies Category 162</v>
      </c>
      <c r="E387" s="786"/>
      <c r="F387" s="786"/>
      <c r="G387" s="786"/>
      <c r="J387" s="668" t="str">
        <f>Price_List_BA!J371</f>
        <v>SU</v>
      </c>
      <c r="L387" s="127">
        <f>Price_List_BA!L371</f>
        <v>0</v>
      </c>
    </row>
    <row r="388" spans="4:12" s="348" customFormat="1" ht="12.75" hidden="1" customHeight="1" outlineLevel="3" x14ac:dyDescent="0.2">
      <c r="D388" s="785" t="str">
        <f>Price_List_BA!D372</f>
        <v>Supplies Category 163</v>
      </c>
      <c r="E388" s="786"/>
      <c r="F388" s="786"/>
      <c r="G388" s="786"/>
      <c r="J388" s="668" t="str">
        <f>Price_List_BA!J372</f>
        <v>SU</v>
      </c>
      <c r="L388" s="127">
        <f>Price_List_BA!L372</f>
        <v>0</v>
      </c>
    </row>
    <row r="389" spans="4:12" s="348" customFormat="1" ht="12.75" hidden="1" customHeight="1" outlineLevel="3" x14ac:dyDescent="0.2">
      <c r="D389" s="785" t="str">
        <f>Price_List_BA!D373</f>
        <v>Other Supply (Specify)</v>
      </c>
      <c r="E389" s="786"/>
      <c r="F389" s="786"/>
      <c r="G389" s="786"/>
      <c r="J389" s="668" t="str">
        <f>Price_List_BA!J373</f>
        <v>SU</v>
      </c>
      <c r="L389" s="127">
        <f>Price_List_BA!L373</f>
        <v>0</v>
      </c>
    </row>
    <row r="390" spans="4:12" s="348" customFormat="1" ht="12.75" hidden="1" customHeight="1" outlineLevel="3" x14ac:dyDescent="0.2">
      <c r="D390" s="785" t="str">
        <f>Price_List_BA!D374</f>
        <v>Other Supply (Specify)</v>
      </c>
      <c r="E390" s="786"/>
      <c r="F390" s="786"/>
      <c r="G390" s="786"/>
      <c r="J390" s="668" t="str">
        <f>Price_List_BA!J374</f>
        <v>SU</v>
      </c>
      <c r="L390" s="127">
        <f>Price_List_BA!L374</f>
        <v>0</v>
      </c>
    </row>
    <row r="391" spans="4:12" s="348" customFormat="1" ht="12.75" hidden="1" customHeight="1" outlineLevel="3" x14ac:dyDescent="0.2">
      <c r="D391" s="785" t="str">
        <f>Price_List_BA!D375</f>
        <v>Other Supply (Specify)</v>
      </c>
      <c r="E391" s="786"/>
      <c r="F391" s="786"/>
      <c r="G391" s="786"/>
      <c r="J391" s="668" t="str">
        <f>Price_List_BA!J375</f>
        <v>SU</v>
      </c>
      <c r="L391" s="127">
        <f>Price_List_BA!L375</f>
        <v>0</v>
      </c>
    </row>
    <row r="392" spans="4:12" s="348" customFormat="1" ht="12.95" hidden="1" customHeight="1" outlineLevel="3" x14ac:dyDescent="0.2">
      <c r="D392" s="785" t="str">
        <f>Price_List_BA!D376</f>
        <v>Other Supply (Specify)</v>
      </c>
      <c r="E392" s="786"/>
      <c r="F392" s="786"/>
      <c r="G392" s="786"/>
      <c r="J392" s="668" t="str">
        <f>Price_List_BA!J376</f>
        <v>SU</v>
      </c>
      <c r="L392" s="127">
        <f>Price_List_BA!L376</f>
        <v>0</v>
      </c>
    </row>
    <row r="393" spans="4:12" s="348" customFormat="1" hidden="1" outlineLevel="3" x14ac:dyDescent="0.2"/>
    <row r="394" spans="4:12" s="348" customFormat="1" ht="25.5" hidden="1" outlineLevel="3" x14ac:dyDescent="0.2">
      <c r="D394" s="667" t="s">
        <v>313</v>
      </c>
      <c r="J394" s="365" t="str">
        <f>"Cost per Unit ("&amp;$I$157&amp;"/Unit)"</f>
        <v>Cost per Unit (USD/Unit)</v>
      </c>
      <c r="K394" s="365" t="str">
        <f>"Annual Financial Cost ("&amp;$I$157&amp;"/Unit)"</f>
        <v>Annual Financial Cost (USD/Unit)</v>
      </c>
      <c r="L394" s="365" t="str">
        <f>"Annual Economic Cost ("&amp;$I$157&amp;"/Unit)"</f>
        <v>Annual Economic Cost (USD/Unit)</v>
      </c>
    </row>
    <row r="395" spans="4:12" s="348" customFormat="1" ht="12.95" hidden="1" customHeight="1" outlineLevel="3" x14ac:dyDescent="0.2">
      <c r="D395" s="785" t="str">
        <f>Price_List_BA!D84</f>
        <v>_Not Applicable</v>
      </c>
      <c r="E395" s="786"/>
      <c r="F395" s="786"/>
      <c r="G395" s="786"/>
      <c r="J395" s="665">
        <f>Price_List_BA!L84</f>
        <v>0</v>
      </c>
      <c r="K395" s="665">
        <f>Price_List_BA!O84</f>
        <v>0</v>
      </c>
      <c r="L395" s="665">
        <f>Price_List_BA!P84</f>
        <v>0</v>
      </c>
    </row>
    <row r="396" spans="4:12" s="348" customFormat="1" ht="12.95" hidden="1" customHeight="1" outlineLevel="3" x14ac:dyDescent="0.2">
      <c r="D396" s="785" t="str">
        <f>Price_List_BA!D85</f>
        <v>Aluminum pail with lid (TZ)</v>
      </c>
      <c r="E396" s="786"/>
      <c r="F396" s="786"/>
      <c r="G396" s="786"/>
      <c r="J396" s="665">
        <f>Price_List_BA!L85</f>
        <v>11.25</v>
      </c>
      <c r="K396" s="665">
        <f>Price_List_BA!O85</f>
        <v>1.125</v>
      </c>
      <c r="L396" s="665">
        <f>Price_List_BA!P85</f>
        <v>1.3188431993080456</v>
      </c>
    </row>
    <row r="397" spans="4:12" s="348" customFormat="1" ht="12.95" hidden="1" customHeight="1" outlineLevel="3" x14ac:dyDescent="0.2">
      <c r="D397" s="785" t="str">
        <f>Price_List_BA!D86</f>
        <v>Autoclaving Machine (ZM)</v>
      </c>
      <c r="E397" s="786"/>
      <c r="F397" s="786"/>
      <c r="G397" s="786"/>
      <c r="J397" s="665">
        <f>Price_List_BA!L86</f>
        <v>5610</v>
      </c>
      <c r="K397" s="665">
        <f>Price_List_BA!O86</f>
        <v>2805</v>
      </c>
      <c r="L397" s="665">
        <f>Price_List_BA!P86</f>
        <v>2931.8467980295582</v>
      </c>
    </row>
    <row r="398" spans="4:12" s="348" customFormat="1" hidden="1" outlineLevel="3" x14ac:dyDescent="0.2">
      <c r="D398" s="785" t="str">
        <f>Price_List_BA!D87</f>
        <v>Ball electrode  5mm/Ellman (ZM)</v>
      </c>
      <c r="E398" s="786"/>
      <c r="F398" s="786"/>
      <c r="G398" s="786"/>
      <c r="J398" s="665">
        <f>Price_List_BA!L87</f>
        <v>37.200000000000003</v>
      </c>
      <c r="K398" s="665">
        <f>Price_List_BA!O87</f>
        <v>37.200000000000003</v>
      </c>
      <c r="L398" s="665">
        <f>Price_List_BA!P87</f>
        <v>38.315999999999967</v>
      </c>
    </row>
    <row r="399" spans="4:12" s="348" customFormat="1" ht="12.95" hidden="1" customHeight="1" outlineLevel="3" x14ac:dyDescent="0.2">
      <c r="D399" s="785" t="str">
        <f>Price_List_BA!D88</f>
        <v>Basin (for examination couch) (ZM)</v>
      </c>
      <c r="E399" s="786"/>
      <c r="F399" s="786"/>
      <c r="G399" s="786"/>
      <c r="J399" s="665">
        <f>Price_List_BA!L88</f>
        <v>2</v>
      </c>
      <c r="K399" s="665">
        <f>Price_List_BA!O88</f>
        <v>1</v>
      </c>
      <c r="L399" s="665">
        <f>Price_List_BA!P88</f>
        <v>1.0452216748768479</v>
      </c>
    </row>
    <row r="400" spans="4:12" s="348" customFormat="1" ht="12.95" hidden="1" customHeight="1" outlineLevel="3" x14ac:dyDescent="0.2">
      <c r="D400" s="785" t="str">
        <f>Price_List_BA!D89</f>
        <v>Battery Charger (ZM)</v>
      </c>
      <c r="E400" s="786"/>
      <c r="F400" s="786"/>
      <c r="G400" s="786"/>
      <c r="J400" s="665">
        <f>Price_List_BA!L89</f>
        <v>50</v>
      </c>
      <c r="K400" s="665">
        <f>Price_List_BA!O89</f>
        <v>16.666666666666668</v>
      </c>
      <c r="L400" s="665">
        <f>Price_List_BA!P89</f>
        <v>17.676518166229901</v>
      </c>
    </row>
    <row r="401" spans="4:12" s="348" customFormat="1" ht="12.95" hidden="1" customHeight="1" outlineLevel="3" x14ac:dyDescent="0.2">
      <c r="D401" s="785" t="str">
        <f>Price_List_BA!D90</f>
        <v>Bucket (UG)</v>
      </c>
      <c r="E401" s="786"/>
      <c r="F401" s="786"/>
      <c r="G401" s="786"/>
      <c r="J401" s="665">
        <f>Price_List_BA!L90</f>
        <v>42.303199999999997</v>
      </c>
      <c r="K401" s="665">
        <f>Price_List_BA!O90</f>
        <v>4.2303199999999999</v>
      </c>
      <c r="L401" s="665">
        <f>Price_List_BA!P90</f>
        <v>4.9592255670193879</v>
      </c>
    </row>
    <row r="402" spans="4:12" s="348" customFormat="1" ht="12.95" hidden="1" customHeight="1" outlineLevel="3" x14ac:dyDescent="0.2">
      <c r="D402" s="785" t="str">
        <f>Price_List_BA!D91</f>
        <v>Bucket 20Lt plastic with lid (ZM)</v>
      </c>
      <c r="E402" s="786"/>
      <c r="F402" s="786"/>
      <c r="G402" s="786"/>
      <c r="J402" s="665">
        <f>Price_List_BA!L91</f>
        <v>4</v>
      </c>
      <c r="K402" s="665">
        <f>Price_List_BA!O91</f>
        <v>0.8</v>
      </c>
      <c r="L402" s="665">
        <f>Price_List_BA!P91</f>
        <v>0.87341828560230483</v>
      </c>
    </row>
    <row r="403" spans="4:12" s="348" customFormat="1" ht="12.95" hidden="1" customHeight="1" outlineLevel="3" x14ac:dyDescent="0.2">
      <c r="D403" s="785" t="str">
        <f>Price_List_BA!D92</f>
        <v>Camera Rechargeable batteries ( set of 6) (ZM)</v>
      </c>
      <c r="E403" s="786"/>
      <c r="F403" s="786"/>
      <c r="G403" s="786"/>
      <c r="J403" s="665">
        <f>Price_List_BA!L92</f>
        <v>20</v>
      </c>
      <c r="K403" s="665">
        <f>Price_List_BA!O92</f>
        <v>2</v>
      </c>
      <c r="L403" s="665">
        <f>Price_List_BA!P92</f>
        <v>2.3446101321031922</v>
      </c>
    </row>
    <row r="404" spans="4:12" s="348" customFormat="1" ht="12.95" hidden="1" customHeight="1" outlineLevel="3" x14ac:dyDescent="0.2">
      <c r="D404" s="785" t="str">
        <f>Price_List_BA!D93</f>
        <v>Card Reader (ZM)</v>
      </c>
      <c r="E404" s="786"/>
      <c r="F404" s="786"/>
      <c r="G404" s="786"/>
      <c r="J404" s="665">
        <f>Price_List_BA!L93</f>
        <v>40</v>
      </c>
      <c r="K404" s="665">
        <f>Price_List_BA!O93</f>
        <v>20</v>
      </c>
      <c r="L404" s="665">
        <f>Price_List_BA!P93</f>
        <v>20.904433497536957</v>
      </c>
    </row>
    <row r="405" spans="4:12" s="348" customFormat="1" ht="12.95" hidden="1" customHeight="1" outlineLevel="3" x14ac:dyDescent="0.2">
      <c r="D405" s="785" t="str">
        <f>Price_List_BA!D94</f>
        <v>CareHPV Machine (kit set) (ZM)</v>
      </c>
      <c r="E405" s="786"/>
      <c r="F405" s="786"/>
      <c r="G405" s="786"/>
      <c r="J405" s="665">
        <f>Price_List_BA!L94</f>
        <v>150</v>
      </c>
      <c r="K405" s="665">
        <f>Price_List_BA!O94</f>
        <v>16.666666666666668</v>
      </c>
      <c r="L405" s="665">
        <f>Price_List_BA!P94</f>
        <v>19.265078552715515</v>
      </c>
    </row>
    <row r="406" spans="4:12" s="348" customFormat="1" ht="12.95" hidden="1" customHeight="1" outlineLevel="3" x14ac:dyDescent="0.2">
      <c r="D406" s="785" t="str">
        <f>Price_List_BA!D95</f>
        <v>CareHPV Machine (kit)  (TZ)</v>
      </c>
      <c r="E406" s="786"/>
      <c r="F406" s="786"/>
      <c r="G406" s="786"/>
      <c r="J406" s="665">
        <f>Price_List_BA!L95</f>
        <v>1000</v>
      </c>
      <c r="K406" s="665">
        <f>Price_List_BA!O95</f>
        <v>500</v>
      </c>
      <c r="L406" s="665">
        <f>Price_List_BA!P95</f>
        <v>522.61083743842391</v>
      </c>
    </row>
    <row r="407" spans="4:12" s="348" customFormat="1" ht="12.95" hidden="1" customHeight="1" outlineLevel="3" x14ac:dyDescent="0.2">
      <c r="D407" s="785" t="str">
        <f>Price_List_BA!D96</f>
        <v>Cauterizer (ZM)</v>
      </c>
      <c r="E407" s="786"/>
      <c r="F407" s="786"/>
      <c r="G407" s="786"/>
      <c r="J407" s="665">
        <f>Price_List_BA!L96</f>
        <v>100</v>
      </c>
      <c r="K407" s="665">
        <f>Price_List_BA!O96</f>
        <v>10</v>
      </c>
      <c r="L407" s="665">
        <f>Price_List_BA!P96</f>
        <v>11.723050660515961</v>
      </c>
    </row>
    <row r="408" spans="4:12" s="348" customFormat="1" ht="12.95" hidden="1" customHeight="1" outlineLevel="3" x14ac:dyDescent="0.2">
      <c r="D408" s="785" t="str">
        <f>Price_List_BA!D97</f>
        <v>Cauterizer  (TZ)</v>
      </c>
      <c r="E408" s="786"/>
      <c r="F408" s="786"/>
      <c r="G408" s="786"/>
      <c r="J408" s="665">
        <f>Price_List_BA!L97</f>
        <v>18.75</v>
      </c>
      <c r="K408" s="665">
        <f>Price_List_BA!O97</f>
        <v>3.75</v>
      </c>
      <c r="L408" s="665">
        <f>Price_List_BA!P97</f>
        <v>4.0941482137608034</v>
      </c>
    </row>
    <row r="409" spans="4:12" s="348" customFormat="1" hidden="1" outlineLevel="3" x14ac:dyDescent="0.2">
      <c r="D409" s="785" t="str">
        <f>Price_List_BA!D98</f>
        <v>Cervical Cold Coagulator with Instrument Cable and Therapy Probe (ZM)</v>
      </c>
      <c r="E409" s="786"/>
      <c r="F409" s="786"/>
      <c r="G409" s="786"/>
      <c r="J409" s="665">
        <f>Price_List_BA!L98</f>
        <v>2367</v>
      </c>
      <c r="K409" s="665">
        <f>Price_List_BA!O98</f>
        <v>473.4</v>
      </c>
      <c r="L409" s="665">
        <f>Price_List_BA!P98</f>
        <v>516.84527050516385</v>
      </c>
    </row>
    <row r="410" spans="4:12" s="348" customFormat="1" ht="12.95" hidden="1" customHeight="1" outlineLevel="3" x14ac:dyDescent="0.2">
      <c r="D410" s="785" t="str">
        <f>Price_List_BA!D99</f>
        <v>Chair (ZM)</v>
      </c>
      <c r="E410" s="786"/>
      <c r="F410" s="786"/>
      <c r="G410" s="786"/>
      <c r="J410" s="665">
        <f>Price_List_BA!L99</f>
        <v>80</v>
      </c>
      <c r="K410" s="665">
        <f>Price_List_BA!O99</f>
        <v>20</v>
      </c>
      <c r="L410" s="665">
        <f>Price_List_BA!P99</f>
        <v>21.522163615446605</v>
      </c>
    </row>
    <row r="411" spans="4:12" s="348" customFormat="1" ht="12.95" hidden="1" customHeight="1" outlineLevel="3" x14ac:dyDescent="0.2">
      <c r="D411" s="785" t="str">
        <f>Price_List_BA!D100</f>
        <v>Cheetal forceps (UG)</v>
      </c>
      <c r="E411" s="786"/>
      <c r="F411" s="786"/>
      <c r="G411" s="786"/>
      <c r="J411" s="665">
        <f>Price_List_BA!L100</f>
        <v>8.1560000000000006</v>
      </c>
      <c r="K411" s="665">
        <f>Price_List_BA!O100</f>
        <v>4.0780000000000003</v>
      </c>
      <c r="L411" s="665">
        <f>Price_List_BA!P100</f>
        <v>4.2624139901477864</v>
      </c>
    </row>
    <row r="412" spans="4:12" s="348" customFormat="1" ht="12.95" hidden="1" customHeight="1" outlineLevel="3" x14ac:dyDescent="0.2">
      <c r="D412" s="785" t="str">
        <f>Price_List_BA!D101</f>
        <v>Colposcope (set) (ZM)</v>
      </c>
      <c r="E412" s="786"/>
      <c r="F412" s="786"/>
      <c r="G412" s="786"/>
      <c r="J412" s="665">
        <f>Price_List_BA!L101</f>
        <v>10000</v>
      </c>
      <c r="K412" s="665">
        <f>Price_List_BA!O101</f>
        <v>1428.5714285714287</v>
      </c>
      <c r="L412" s="665">
        <f>Price_List_BA!P101</f>
        <v>1605.0635375427203</v>
      </c>
    </row>
    <row r="413" spans="4:12" s="348" customFormat="1" ht="12.95" hidden="1" customHeight="1" outlineLevel="3" x14ac:dyDescent="0.2">
      <c r="D413" s="785" t="str">
        <f>Price_List_BA!D102</f>
        <v>Colposcope (UG)</v>
      </c>
      <c r="E413" s="786"/>
      <c r="F413" s="786"/>
      <c r="G413" s="786"/>
      <c r="J413" s="665">
        <f>Price_List_BA!L102</f>
        <v>3100</v>
      </c>
      <c r="K413" s="665">
        <f>Price_List_BA!O102</f>
        <v>620</v>
      </c>
      <c r="L413" s="665">
        <f>Price_List_BA!P102</f>
        <v>676.8991713417862</v>
      </c>
    </row>
    <row r="414" spans="4:12" s="348" customFormat="1" ht="12.95" hidden="1" customHeight="1" outlineLevel="3" x14ac:dyDescent="0.2">
      <c r="D414" s="785" t="str">
        <f>Price_List_BA!D103</f>
        <v>Colposcopy equipment (TZ)</v>
      </c>
      <c r="E414" s="786"/>
      <c r="F414" s="786"/>
      <c r="G414" s="786"/>
      <c r="J414" s="665">
        <f>Price_List_BA!L103</f>
        <v>6250</v>
      </c>
      <c r="K414" s="665">
        <f>Price_List_BA!O103</f>
        <v>625</v>
      </c>
      <c r="L414" s="665">
        <f>Price_List_BA!P103</f>
        <v>732.69066628224755</v>
      </c>
    </row>
    <row r="415" spans="4:12" s="348" customFormat="1" ht="12.95" hidden="1" customHeight="1" outlineLevel="3" x14ac:dyDescent="0.2">
      <c r="D415" s="785" t="str">
        <f>Price_List_BA!D104</f>
        <v>Cryotherapy unit (UG)</v>
      </c>
      <c r="E415" s="786"/>
      <c r="F415" s="786"/>
      <c r="G415" s="786"/>
      <c r="J415" s="665">
        <f>Price_List_BA!L104</f>
        <v>1091</v>
      </c>
      <c r="K415" s="665">
        <f>Price_List_BA!O104</f>
        <v>218.2</v>
      </c>
      <c r="L415" s="665">
        <f>Price_List_BA!P104</f>
        <v>238.22483739802863</v>
      </c>
    </row>
    <row r="416" spans="4:12" s="348" customFormat="1" ht="12.95" hidden="1" customHeight="1" outlineLevel="3" x14ac:dyDescent="0.2">
      <c r="D416" s="785" t="str">
        <f>Price_List_BA!D105</f>
        <v>Cryotherapy Unit with cryotips (set) (ZM)</v>
      </c>
      <c r="E416" s="786"/>
      <c r="F416" s="786"/>
      <c r="G416" s="786"/>
      <c r="J416" s="665">
        <f>Price_List_BA!L105</f>
        <v>500</v>
      </c>
      <c r="K416" s="665">
        <f>Price_List_BA!O105</f>
        <v>125</v>
      </c>
      <c r="L416" s="665">
        <f>Price_List_BA!P105</f>
        <v>134.51352259654129</v>
      </c>
    </row>
    <row r="417" spans="4:12" s="348" customFormat="1" ht="12.95" hidden="1" customHeight="1" outlineLevel="3" x14ac:dyDescent="0.2">
      <c r="D417" s="785" t="str">
        <f>Price_List_BA!D106</f>
        <v>Cryotherapy Unit with cryotips (TZ)</v>
      </c>
      <c r="E417" s="786"/>
      <c r="F417" s="786"/>
      <c r="G417" s="786"/>
      <c r="J417" s="665">
        <f>Price_List_BA!L106</f>
        <v>1875</v>
      </c>
      <c r="K417" s="665">
        <f>Price_List_BA!O106</f>
        <v>187.5</v>
      </c>
      <c r="L417" s="665">
        <f>Price_List_BA!P106</f>
        <v>219.80719988467428</v>
      </c>
    </row>
    <row r="418" spans="4:12" s="348" customFormat="1" ht="12.95" hidden="1" customHeight="1" outlineLevel="3" x14ac:dyDescent="0.2">
      <c r="D418" s="785" t="str">
        <f>Price_List_BA!D107</f>
        <v>Digital Camera (ZM)</v>
      </c>
      <c r="E418" s="786"/>
      <c r="F418" s="786"/>
      <c r="G418" s="786"/>
      <c r="J418" s="665">
        <f>Price_List_BA!L107</f>
        <v>700</v>
      </c>
      <c r="K418" s="665">
        <f>Price_List_BA!O107</f>
        <v>77.777777777777771</v>
      </c>
      <c r="L418" s="665">
        <f>Price_List_BA!P107</f>
        <v>89.903699912672408</v>
      </c>
    </row>
    <row r="419" spans="4:12" s="348" customFormat="1" ht="12.95" hidden="1" customHeight="1" outlineLevel="3" x14ac:dyDescent="0.2">
      <c r="D419" s="785" t="str">
        <f>Price_List_BA!D108</f>
        <v>Dissecting forceps – 12.5 cm  (TZ)</v>
      </c>
      <c r="E419" s="786"/>
      <c r="F419" s="786"/>
      <c r="G419" s="786"/>
      <c r="J419" s="665">
        <f>Price_List_BA!L108</f>
        <v>5.8125</v>
      </c>
      <c r="K419" s="665">
        <f>Price_List_BA!O108</f>
        <v>0.64583333333333337</v>
      </c>
      <c r="L419" s="665">
        <f>Price_List_BA!P108</f>
        <v>0.74652179391772622</v>
      </c>
    </row>
    <row r="420" spans="4:12" s="348" customFormat="1" ht="12.95" hidden="1" customHeight="1" outlineLevel="3" x14ac:dyDescent="0.2">
      <c r="D420" s="785" t="str">
        <f>Price_List_BA!D109</f>
        <v>Doctor's Stool (ZM)</v>
      </c>
      <c r="E420" s="786"/>
      <c r="F420" s="786"/>
      <c r="G420" s="786"/>
      <c r="J420" s="665">
        <f>Price_List_BA!L109</f>
        <v>100</v>
      </c>
      <c r="K420" s="665">
        <f>Price_List_BA!O109</f>
        <v>16.666666666666668</v>
      </c>
      <c r="L420" s="665">
        <f>Price_List_BA!P109</f>
        <v>18.459750045017728</v>
      </c>
    </row>
    <row r="421" spans="4:12" s="348" customFormat="1" ht="12.95" hidden="1" customHeight="1" outlineLevel="3" x14ac:dyDescent="0.2">
      <c r="D421" s="785" t="str">
        <f>Price_List_BA!D110</f>
        <v>Endocervical speculum  (UG)</v>
      </c>
      <c r="E421" s="786"/>
      <c r="F421" s="786"/>
      <c r="G421" s="786"/>
      <c r="J421" s="665">
        <f>Price_List_BA!L110</f>
        <v>100</v>
      </c>
      <c r="K421" s="665">
        <f>Price_List_BA!O110</f>
        <v>50</v>
      </c>
      <c r="L421" s="665">
        <f>Price_List_BA!P110</f>
        <v>52.261083743842391</v>
      </c>
    </row>
    <row r="422" spans="4:12" s="348" customFormat="1" ht="12.95" hidden="1" customHeight="1" outlineLevel="3" x14ac:dyDescent="0.2">
      <c r="D422" s="785" t="str">
        <f>Price_List_BA!D111</f>
        <v>Examination bed (UG)</v>
      </c>
      <c r="E422" s="786"/>
      <c r="F422" s="786"/>
      <c r="G422" s="786"/>
      <c r="J422" s="665">
        <f>Price_List_BA!L111</f>
        <v>197.1369</v>
      </c>
      <c r="K422" s="665">
        <f>Price_List_BA!O111</f>
        <v>39.427379999999999</v>
      </c>
      <c r="L422" s="665">
        <f>Price_List_BA!P111</f>
        <v>43.045743306738252</v>
      </c>
    </row>
    <row r="423" spans="4:12" s="348" customFormat="1" ht="12.95" hidden="1" customHeight="1" outlineLevel="3" x14ac:dyDescent="0.2">
      <c r="D423" s="785" t="str">
        <f>Price_List_BA!D112</f>
        <v>Examination couch (with Stirrups) (ZM)</v>
      </c>
      <c r="E423" s="786"/>
      <c r="F423" s="786"/>
      <c r="G423" s="786"/>
      <c r="J423" s="665">
        <f>Price_List_BA!L112</f>
        <v>446.5</v>
      </c>
      <c r="K423" s="665">
        <f>Price_List_BA!O112</f>
        <v>89.3</v>
      </c>
      <c r="L423" s="665">
        <f>Price_List_BA!P112</f>
        <v>97.495316130357267</v>
      </c>
    </row>
    <row r="424" spans="4:12" s="348" customFormat="1" ht="12.95" hidden="1" customHeight="1" outlineLevel="3" x14ac:dyDescent="0.2">
      <c r="D424" s="785" t="str">
        <f>Price_List_BA!D113</f>
        <v>Examination light (Halogen, no bulb) (ZM)</v>
      </c>
      <c r="E424" s="786"/>
      <c r="F424" s="786"/>
      <c r="G424" s="786"/>
      <c r="J424" s="665">
        <f>Price_List_BA!L113</f>
        <v>370</v>
      </c>
      <c r="K424" s="665">
        <f>Price_List_BA!O113</f>
        <v>61.666666666666664</v>
      </c>
      <c r="L424" s="665">
        <f>Price_List_BA!P113</f>
        <v>68.301075166565596</v>
      </c>
    </row>
    <row r="425" spans="4:12" s="348" customFormat="1" ht="12.75" hidden="1" customHeight="1" outlineLevel="3" x14ac:dyDescent="0.2">
      <c r="D425" s="785" t="str">
        <f>Price_List_BA!D114</f>
        <v>Examination light source  (TZ)</v>
      </c>
      <c r="E425" s="786"/>
      <c r="F425" s="786"/>
      <c r="G425" s="786"/>
      <c r="J425" s="665">
        <f>Price_List_BA!L114</f>
        <v>40.625</v>
      </c>
      <c r="K425" s="665">
        <f>Price_List_BA!O114</f>
        <v>8.125</v>
      </c>
      <c r="L425" s="665">
        <f>Price_List_BA!P114</f>
        <v>8.8706544631484086</v>
      </c>
    </row>
    <row r="426" spans="4:12" s="348" customFormat="1" ht="12.75" hidden="1" customHeight="1" outlineLevel="3" x14ac:dyDescent="0.2">
      <c r="D426" s="785" t="str">
        <f>Price_List_BA!D115</f>
        <v>Examination light source (Halogen) with bulb (set) (ZM)</v>
      </c>
      <c r="E426" s="786"/>
      <c r="F426" s="786"/>
      <c r="G426" s="786"/>
      <c r="J426" s="665">
        <f>Price_List_BA!L115</f>
        <v>430</v>
      </c>
      <c r="K426" s="665">
        <f>Price_List_BA!O115</f>
        <v>86</v>
      </c>
      <c r="L426" s="665">
        <f>Price_List_BA!P115</f>
        <v>93.892465702247762</v>
      </c>
    </row>
    <row r="427" spans="4:12" s="348" customFormat="1" ht="12.75" hidden="1" customHeight="1" outlineLevel="3" x14ac:dyDescent="0.2">
      <c r="D427" s="785" t="str">
        <f>Price_List_BA!D116</f>
        <v>Examination table (UG)</v>
      </c>
      <c r="E427" s="786"/>
      <c r="F427" s="786"/>
      <c r="G427" s="786"/>
      <c r="J427" s="665">
        <f>Price_List_BA!L116</f>
        <v>197.1369</v>
      </c>
      <c r="K427" s="665">
        <f>Price_List_BA!O116</f>
        <v>39.427379999999999</v>
      </c>
      <c r="L427" s="665">
        <f>Price_List_BA!P116</f>
        <v>43.045743306738252</v>
      </c>
    </row>
    <row r="428" spans="4:12" s="348" customFormat="1" ht="12.75" hidden="1" customHeight="1" outlineLevel="3" x14ac:dyDescent="0.2">
      <c r="D428" s="785" t="str">
        <f>Price_List_BA!D117</f>
        <v>Filing Cabinet (ZM)</v>
      </c>
      <c r="E428" s="786"/>
      <c r="F428" s="786"/>
      <c r="G428" s="786"/>
      <c r="J428" s="665">
        <f>Price_List_BA!L117</f>
        <v>354</v>
      </c>
      <c r="K428" s="665">
        <f>Price_List_BA!O117</f>
        <v>35.4</v>
      </c>
      <c r="L428" s="665">
        <f>Price_List_BA!P117</f>
        <v>41.499599338226503</v>
      </c>
    </row>
    <row r="429" spans="4:12" s="348" customFormat="1" ht="12.75" hidden="1" customHeight="1" outlineLevel="3" x14ac:dyDescent="0.2">
      <c r="D429" s="785" t="str">
        <f>Price_List_BA!D118</f>
        <v>Forceps (UG)</v>
      </c>
      <c r="E429" s="786"/>
      <c r="F429" s="786"/>
      <c r="G429" s="786"/>
      <c r="J429" s="665">
        <f>Price_List_BA!L118</f>
        <v>8.1560000000000006</v>
      </c>
      <c r="K429" s="665">
        <f>Price_List_BA!O118</f>
        <v>1.6312000000000002</v>
      </c>
      <c r="L429" s="665">
        <f>Price_List_BA!P118</f>
        <v>1.7808998843430996</v>
      </c>
    </row>
    <row r="430" spans="4:12" s="348" customFormat="1" ht="12.75" hidden="1" customHeight="1" outlineLevel="3" x14ac:dyDescent="0.2">
      <c r="D430" s="785" t="str">
        <f>Price_List_BA!D119</f>
        <v>Forceps Babcocks  (ZM)</v>
      </c>
      <c r="E430" s="786"/>
      <c r="F430" s="786"/>
      <c r="G430" s="786"/>
      <c r="J430" s="665">
        <f>Price_List_BA!L119</f>
        <v>13</v>
      </c>
      <c r="K430" s="665">
        <f>Price_List_BA!O119</f>
        <v>1.4444444444444444</v>
      </c>
      <c r="L430" s="665">
        <f>Price_List_BA!P119</f>
        <v>1.6696401412353445</v>
      </c>
    </row>
    <row r="431" spans="4:12" s="348" customFormat="1" ht="12.75" hidden="1" customHeight="1" outlineLevel="3" x14ac:dyDescent="0.2">
      <c r="D431" s="785" t="str">
        <f>Price_List_BA!D120</f>
        <v>Forceps tissue - babcocks  (TZ)</v>
      </c>
      <c r="E431" s="786"/>
      <c r="F431" s="786"/>
      <c r="G431" s="786"/>
      <c r="J431" s="665">
        <f>Price_List_BA!L120</f>
        <v>3.75</v>
      </c>
      <c r="K431" s="665">
        <f>Price_List_BA!O120</f>
        <v>0.75</v>
      </c>
      <c r="L431" s="665">
        <f>Price_List_BA!P120</f>
        <v>0.81882964275216075</v>
      </c>
    </row>
    <row r="432" spans="4:12" s="348" customFormat="1" ht="12.75" hidden="1" customHeight="1" outlineLevel="3" x14ac:dyDescent="0.2">
      <c r="D432" s="785" t="str">
        <f>Price_List_BA!D121</f>
        <v>Forceps tissue - long  (TZ)</v>
      </c>
      <c r="E432" s="786"/>
      <c r="F432" s="786"/>
      <c r="G432" s="786"/>
      <c r="J432" s="665">
        <f>Price_List_BA!L121</f>
        <v>8.75</v>
      </c>
      <c r="K432" s="665">
        <f>Price_List_BA!O121</f>
        <v>1.75</v>
      </c>
      <c r="L432" s="665">
        <f>Price_List_BA!P121</f>
        <v>1.9106024997550417</v>
      </c>
    </row>
    <row r="433" spans="4:12" s="348" customFormat="1" ht="12.75" hidden="1" customHeight="1" outlineLevel="3" x14ac:dyDescent="0.2">
      <c r="D433" s="785" t="str">
        <f>Price_List_BA!D122</f>
        <v>Forceps tissue- litlewoods 19 cm  (TZ)</v>
      </c>
      <c r="E433" s="786"/>
      <c r="F433" s="786"/>
      <c r="G433" s="786"/>
      <c r="J433" s="665">
        <f>Price_List_BA!L122</f>
        <v>10.625</v>
      </c>
      <c r="K433" s="665">
        <f>Price_List_BA!O122</f>
        <v>2.125</v>
      </c>
      <c r="L433" s="665">
        <f>Price_List_BA!P122</f>
        <v>2.3200173211311221</v>
      </c>
    </row>
    <row r="434" spans="4:12" s="348" customFormat="1" ht="12.75" hidden="1" customHeight="1" outlineLevel="3" x14ac:dyDescent="0.2">
      <c r="D434" s="785" t="str">
        <f>Price_List_BA!D123</f>
        <v>Forceps, Cheetal (ZM)</v>
      </c>
      <c r="E434" s="786"/>
      <c r="F434" s="786"/>
      <c r="G434" s="786"/>
      <c r="J434" s="665">
        <f>Price_List_BA!L123</f>
        <v>15</v>
      </c>
      <c r="K434" s="665">
        <f>Price_List_BA!O123</f>
        <v>3.75</v>
      </c>
      <c r="L434" s="665">
        <f>Price_List_BA!P123</f>
        <v>4.0354056778962386</v>
      </c>
    </row>
    <row r="435" spans="4:12" s="348" customFormat="1" ht="12.75" hidden="1" customHeight="1" outlineLevel="3" x14ac:dyDescent="0.2">
      <c r="D435" s="785" t="str">
        <f>Price_List_BA!D124</f>
        <v>Forceps, Dissecting - 12.5 cm (ZM)</v>
      </c>
      <c r="E435" s="786"/>
      <c r="F435" s="786"/>
      <c r="G435" s="786"/>
      <c r="J435" s="665">
        <f>Price_List_BA!L124</f>
        <v>16.899999999999999</v>
      </c>
      <c r="K435" s="665">
        <f>Price_List_BA!O124</f>
        <v>1.8777777777777775</v>
      </c>
      <c r="L435" s="665">
        <f>Price_List_BA!P124</f>
        <v>2.1705321836059479</v>
      </c>
    </row>
    <row r="436" spans="4:12" s="348" customFormat="1" ht="12.75" hidden="1" customHeight="1" outlineLevel="3" x14ac:dyDescent="0.2">
      <c r="D436" s="785" t="str">
        <f>Price_List_BA!D125</f>
        <v>Forceps, Littlewoods 19 cm (ZM)</v>
      </c>
      <c r="E436" s="786"/>
      <c r="F436" s="786"/>
      <c r="G436" s="786"/>
      <c r="J436" s="665">
        <f>Price_List_BA!L125</f>
        <v>17</v>
      </c>
      <c r="K436" s="665">
        <f>Price_List_BA!O125</f>
        <v>8.5</v>
      </c>
      <c r="L436" s="665">
        <f>Price_List_BA!P125</f>
        <v>8.884384236453208</v>
      </c>
    </row>
    <row r="437" spans="4:12" s="348" customFormat="1" ht="12.75" hidden="1" customHeight="1" outlineLevel="3" x14ac:dyDescent="0.2">
      <c r="D437" s="785" t="str">
        <f>Price_List_BA!D126</f>
        <v>Forceps, Long  (ZM)</v>
      </c>
      <c r="E437" s="786"/>
      <c r="F437" s="786"/>
      <c r="G437" s="786"/>
      <c r="J437" s="665">
        <f>Price_List_BA!L126</f>
        <v>15</v>
      </c>
      <c r="K437" s="665">
        <f>Price_List_BA!O126</f>
        <v>2.5</v>
      </c>
      <c r="L437" s="665">
        <f>Price_List_BA!P126</f>
        <v>2.7689625067526591</v>
      </c>
    </row>
    <row r="438" spans="4:12" s="348" customFormat="1" ht="12.75" hidden="1" customHeight="1" outlineLevel="3" x14ac:dyDescent="0.2">
      <c r="D438" s="785" t="str">
        <f>Price_List_BA!D127</f>
        <v>Forceps, ovum (ZM)</v>
      </c>
      <c r="E438" s="786"/>
      <c r="F438" s="786"/>
      <c r="G438" s="786"/>
      <c r="J438" s="665">
        <f>Price_List_BA!L127</f>
        <v>15</v>
      </c>
      <c r="K438" s="665">
        <f>Price_List_BA!O127</f>
        <v>2.5</v>
      </c>
      <c r="L438" s="665">
        <f>Price_List_BA!P127</f>
        <v>2.7689625067526591</v>
      </c>
    </row>
    <row r="439" spans="4:12" s="348" customFormat="1" ht="12.75" hidden="1" customHeight="1" outlineLevel="3" x14ac:dyDescent="0.2">
      <c r="D439" s="785" t="str">
        <f>Price_List_BA!D128</f>
        <v>Forceps, ovum  (TZ)</v>
      </c>
      <c r="E439" s="786"/>
      <c r="F439" s="786"/>
      <c r="G439" s="786"/>
      <c r="J439" s="665">
        <f>Price_List_BA!L128</f>
        <v>3.4375</v>
      </c>
      <c r="K439" s="665">
        <f>Price_List_BA!O128</f>
        <v>0.6875</v>
      </c>
      <c r="L439" s="665">
        <f>Price_List_BA!P128</f>
        <v>0.75059383918948064</v>
      </c>
    </row>
    <row r="440" spans="4:12" s="348" customFormat="1" ht="12.75" hidden="1" customHeight="1" outlineLevel="3" x14ac:dyDescent="0.2">
      <c r="D440" s="785" t="str">
        <f>Price_List_BA!D129</f>
        <v>Forceps, Punch biopsy (ZM)</v>
      </c>
      <c r="E440" s="786"/>
      <c r="F440" s="786"/>
      <c r="G440" s="786"/>
      <c r="J440" s="665">
        <f>Price_List_BA!L129</f>
        <v>15</v>
      </c>
      <c r="K440" s="665">
        <f>Price_List_BA!O129</f>
        <v>3.75</v>
      </c>
      <c r="L440" s="665">
        <f>Price_List_BA!P129</f>
        <v>4.0354056778962386</v>
      </c>
    </row>
    <row r="441" spans="4:12" s="348" customFormat="1" ht="12.75" hidden="1" customHeight="1" outlineLevel="3" x14ac:dyDescent="0.2">
      <c r="D441" s="785" t="str">
        <f>Price_List_BA!D130</f>
        <v>Forceps, punch biopsy (TZ)</v>
      </c>
      <c r="E441" s="786"/>
      <c r="F441" s="786"/>
      <c r="G441" s="786"/>
      <c r="J441" s="665">
        <f>Price_List_BA!L130</f>
        <v>37.5</v>
      </c>
      <c r="K441" s="665">
        <f>Price_List_BA!O130</f>
        <v>7.5</v>
      </c>
      <c r="L441" s="665">
        <f>Price_List_BA!P130</f>
        <v>8.1882964275216068</v>
      </c>
    </row>
    <row r="442" spans="4:12" s="348" customFormat="1" ht="12.75" hidden="1" customHeight="1" outlineLevel="3" x14ac:dyDescent="0.2">
      <c r="D442" s="785" t="str">
        <f>Price_List_BA!D131</f>
        <v>Forceps, Sponge holder (ZM)</v>
      </c>
      <c r="E442" s="786"/>
      <c r="F442" s="786"/>
      <c r="G442" s="786"/>
      <c r="J442" s="665">
        <f>Price_List_BA!L131</f>
        <v>12</v>
      </c>
      <c r="K442" s="665">
        <f>Price_List_BA!O131</f>
        <v>1.5</v>
      </c>
      <c r="L442" s="665">
        <f>Price_List_BA!P131</f>
        <v>1.709476665926871</v>
      </c>
    </row>
    <row r="443" spans="4:12" s="348" customFormat="1" ht="12.75" hidden="1" customHeight="1" outlineLevel="3" x14ac:dyDescent="0.2">
      <c r="D443" s="785" t="str">
        <f>Price_List_BA!D132</f>
        <v>Forceps, sponge holder  (TZ)</v>
      </c>
      <c r="E443" s="786"/>
      <c r="F443" s="786"/>
      <c r="G443" s="786"/>
      <c r="J443" s="665">
        <f>Price_List_BA!L132</f>
        <v>3.4375</v>
      </c>
      <c r="K443" s="665">
        <f>Price_List_BA!O132</f>
        <v>0.6875</v>
      </c>
      <c r="L443" s="665">
        <f>Price_List_BA!P132</f>
        <v>0.75059383918948064</v>
      </c>
    </row>
    <row r="444" spans="4:12" s="348" customFormat="1" ht="12.75" hidden="1" customHeight="1" outlineLevel="3" x14ac:dyDescent="0.2">
      <c r="D444" s="785" t="str">
        <f>Price_List_BA!D133</f>
        <v>Gallipot (ZM)</v>
      </c>
      <c r="E444" s="786"/>
      <c r="F444" s="786"/>
      <c r="G444" s="786"/>
      <c r="J444" s="665">
        <f>Price_List_BA!L133</f>
        <v>10</v>
      </c>
      <c r="K444" s="665">
        <f>Price_List_BA!O133</f>
        <v>1.1111111111111112</v>
      </c>
      <c r="L444" s="665">
        <f>Price_List_BA!P133</f>
        <v>1.2843385701810344</v>
      </c>
    </row>
    <row r="445" spans="4:12" s="348" customFormat="1" ht="12.75" hidden="1" customHeight="1" outlineLevel="3" x14ac:dyDescent="0.2">
      <c r="D445" s="785" t="str">
        <f>Price_List_BA!D134</f>
        <v>Gallipot (UG)</v>
      </c>
      <c r="E445" s="786"/>
      <c r="F445" s="786"/>
      <c r="G445" s="786"/>
      <c r="J445" s="665">
        <f>Price_List_BA!L134</f>
        <v>3.9441999999999999</v>
      </c>
      <c r="K445" s="665">
        <f>Price_List_BA!O134</f>
        <v>0.78883999999999999</v>
      </c>
      <c r="L445" s="665">
        <f>Price_List_BA!P134</f>
        <v>0.86123410051815263</v>
      </c>
    </row>
    <row r="446" spans="4:12" s="348" customFormat="1" ht="12.75" hidden="1" customHeight="1" outlineLevel="3" x14ac:dyDescent="0.2">
      <c r="D446" s="785" t="str">
        <f>Price_List_BA!D135</f>
        <v>Gas cylinder adaptor (ZM)</v>
      </c>
      <c r="E446" s="786"/>
      <c r="F446" s="786"/>
      <c r="G446" s="786"/>
      <c r="J446" s="665">
        <f>Price_List_BA!L135</f>
        <v>15</v>
      </c>
      <c r="K446" s="665">
        <f>Price_List_BA!O135</f>
        <v>1.875</v>
      </c>
      <c r="L446" s="665">
        <f>Price_List_BA!P135</f>
        <v>2.1368458324085888</v>
      </c>
    </row>
    <row r="447" spans="4:12" s="348" customFormat="1" ht="12.75" hidden="1" customHeight="1" outlineLevel="3" x14ac:dyDescent="0.2">
      <c r="D447" s="785" t="str">
        <f>Price_List_BA!D136</f>
        <v>Gas cylinder adaptor  (TZ)</v>
      </c>
      <c r="E447" s="786"/>
      <c r="F447" s="786"/>
      <c r="G447" s="786"/>
      <c r="J447" s="665">
        <f>Price_List_BA!L136</f>
        <v>82.5</v>
      </c>
      <c r="K447" s="665">
        <f>Price_List_BA!O136</f>
        <v>8.25</v>
      </c>
      <c r="L447" s="665">
        <f>Price_List_BA!P136</f>
        <v>9.6715167949256688</v>
      </c>
    </row>
    <row r="448" spans="4:12" s="348" customFormat="1" ht="12.75" hidden="1" customHeight="1" outlineLevel="3" x14ac:dyDescent="0.2">
      <c r="D448" s="785" t="str">
        <f>Price_List_BA!D137</f>
        <v>Gynecological examination bed  (TZ)</v>
      </c>
      <c r="E448" s="786"/>
      <c r="F448" s="786"/>
      <c r="G448" s="786"/>
      <c r="J448" s="665">
        <f>Price_List_BA!L137</f>
        <v>346.875</v>
      </c>
      <c r="K448" s="665">
        <f>Price_List_BA!O137</f>
        <v>173.4375</v>
      </c>
      <c r="L448" s="665">
        <f>Price_List_BA!P137</f>
        <v>181.2806342364533</v>
      </c>
    </row>
    <row r="449" spans="4:12" s="348" customFormat="1" ht="12.75" hidden="1" customHeight="1" outlineLevel="3" x14ac:dyDescent="0.2">
      <c r="D449" s="785" t="str">
        <f>Price_List_BA!D138</f>
        <v>Halogen Bulbs (ZM)</v>
      </c>
      <c r="E449" s="786"/>
      <c r="F449" s="786"/>
      <c r="G449" s="786"/>
      <c r="J449" s="665">
        <f>Price_List_BA!L138</f>
        <v>50</v>
      </c>
      <c r="K449" s="665">
        <f>Price_List_BA!O138</f>
        <v>5</v>
      </c>
      <c r="L449" s="665">
        <f>Price_List_BA!P138</f>
        <v>5.8615253302579804</v>
      </c>
    </row>
    <row r="450" spans="4:12" s="348" customFormat="1" ht="12.75" hidden="1" customHeight="1" outlineLevel="3" x14ac:dyDescent="0.2">
      <c r="D450" s="785" t="str">
        <f>Price_List_BA!D139</f>
        <v>Hysterectomy Set (ZM)</v>
      </c>
      <c r="E450" s="786"/>
      <c r="F450" s="786"/>
      <c r="G450" s="786"/>
      <c r="J450" s="665">
        <f>Price_List_BA!L139</f>
        <v>120</v>
      </c>
      <c r="K450" s="665">
        <f>Price_List_BA!O139</f>
        <v>24</v>
      </c>
      <c r="L450" s="665">
        <f>Price_List_BA!P139</f>
        <v>26.202548568069144</v>
      </c>
    </row>
    <row r="451" spans="4:12" s="348" customFormat="1" ht="12.75" hidden="1" customHeight="1" outlineLevel="3" x14ac:dyDescent="0.2">
      <c r="D451" s="785" t="str">
        <f>Price_List_BA!D140</f>
        <v>Instrument tray (ZM)</v>
      </c>
      <c r="E451" s="786"/>
      <c r="F451" s="786"/>
      <c r="G451" s="786"/>
      <c r="J451" s="665">
        <f>Price_List_BA!L140</f>
        <v>20</v>
      </c>
      <c r="K451" s="665">
        <f>Price_List_BA!O140</f>
        <v>5</v>
      </c>
      <c r="L451" s="665">
        <f>Price_List_BA!P140</f>
        <v>5.3805409038616512</v>
      </c>
    </row>
    <row r="452" spans="4:12" s="348" customFormat="1" ht="12.75" hidden="1" customHeight="1" outlineLevel="3" x14ac:dyDescent="0.2">
      <c r="D452" s="785" t="str">
        <f>Price_List_BA!D141</f>
        <v>Instrument tray  (TZ)</v>
      </c>
      <c r="E452" s="786"/>
      <c r="F452" s="786"/>
      <c r="G452" s="786"/>
      <c r="J452" s="665">
        <f>Price_List_BA!L141</f>
        <v>7.5</v>
      </c>
      <c r="K452" s="665">
        <f>Price_List_BA!O141</f>
        <v>3.75</v>
      </c>
      <c r="L452" s="665">
        <f>Price_List_BA!P141</f>
        <v>3.9195812807881798</v>
      </c>
    </row>
    <row r="453" spans="4:12" s="348" customFormat="1" ht="12.75" hidden="1" customHeight="1" outlineLevel="3" x14ac:dyDescent="0.2">
      <c r="D453" s="785" t="str">
        <f>Price_List_BA!D142</f>
        <v>Kidney Dish (ZM)</v>
      </c>
      <c r="E453" s="786"/>
      <c r="F453" s="786"/>
      <c r="G453" s="786"/>
      <c r="J453" s="665">
        <f>Price_List_BA!L142</f>
        <v>20</v>
      </c>
      <c r="K453" s="665">
        <f>Price_List_BA!O142</f>
        <v>2.5</v>
      </c>
      <c r="L453" s="665">
        <f>Price_List_BA!P142</f>
        <v>2.8491277765447851</v>
      </c>
    </row>
    <row r="454" spans="4:12" s="348" customFormat="1" ht="12.75" hidden="1" customHeight="1" outlineLevel="3" x14ac:dyDescent="0.2">
      <c r="D454" s="785" t="str">
        <f>Price_List_BA!D143</f>
        <v>Kidney Dish (UG)</v>
      </c>
      <c r="E454" s="786"/>
      <c r="F454" s="786"/>
      <c r="G454" s="786"/>
      <c r="J454" s="665">
        <f>Price_List_BA!L143</f>
        <v>4.1161000000000003</v>
      </c>
      <c r="K454" s="665">
        <f>Price_List_BA!O143</f>
        <v>0.41161000000000003</v>
      </c>
      <c r="L454" s="665">
        <f>Price_List_BA!P143</f>
        <v>0.4825324882374975</v>
      </c>
    </row>
    <row r="455" spans="4:12" s="348" customFormat="1" ht="12.75" hidden="1" customHeight="1" outlineLevel="3" x14ac:dyDescent="0.2">
      <c r="D455" s="785" t="str">
        <f>Price_List_BA!D144</f>
        <v>Lamp (UG)</v>
      </c>
      <c r="E455" s="786"/>
      <c r="F455" s="786"/>
      <c r="G455" s="786"/>
      <c r="J455" s="665">
        <f>Price_List_BA!L144</f>
        <v>49.744300000000003</v>
      </c>
      <c r="K455" s="665">
        <f>Price_List_BA!O144</f>
        <v>4.9744299999999999</v>
      </c>
      <c r="L455" s="665">
        <f>Price_List_BA!P144</f>
        <v>5.8315494897190421</v>
      </c>
    </row>
    <row r="456" spans="4:12" s="348" customFormat="1" ht="12.95" hidden="1" customHeight="1" outlineLevel="3" x14ac:dyDescent="0.2">
      <c r="D456" s="785" t="str">
        <f>Price_List_BA!D145</f>
        <v>Laptop / Desktop Computer (ZM)</v>
      </c>
      <c r="E456" s="786"/>
      <c r="F456" s="786"/>
      <c r="G456" s="786"/>
      <c r="J456" s="665">
        <f>Price_List_BA!L145</f>
        <v>1100</v>
      </c>
      <c r="K456" s="665">
        <f>Price_List_BA!O145</f>
        <v>220</v>
      </c>
      <c r="L456" s="665">
        <f>Price_List_BA!P145</f>
        <v>240.19002854063382</v>
      </c>
    </row>
    <row r="457" spans="4:12" s="348" customFormat="1" ht="12.75" hidden="1" customHeight="1" outlineLevel="3" x14ac:dyDescent="0.2">
      <c r="D457" s="785" t="str">
        <f>Price_List_BA!D146</f>
        <v>LEEP Equipment  (TZ)</v>
      </c>
      <c r="E457" s="786"/>
      <c r="F457" s="786"/>
      <c r="G457" s="786"/>
      <c r="J457" s="665">
        <f>Price_List_BA!L146</f>
        <v>11838.75</v>
      </c>
      <c r="K457" s="665">
        <f>Price_List_BA!O146</f>
        <v>1479.84375</v>
      </c>
      <c r="L457" s="665">
        <f>Price_List_BA!P146</f>
        <v>1686.5055732284786</v>
      </c>
    </row>
    <row r="458" spans="4:12" s="348" customFormat="1" ht="12.75" hidden="1" customHeight="1" outlineLevel="3" x14ac:dyDescent="0.2">
      <c r="D458" s="785" t="str">
        <f>Price_List_BA!D147</f>
        <v>LEEP machine plus smoke evacuator system plus accessories (ZM)</v>
      </c>
      <c r="E458" s="786"/>
      <c r="F458" s="786"/>
      <c r="G458" s="786"/>
      <c r="J458" s="665">
        <f>Price_List_BA!L147</f>
        <v>6000</v>
      </c>
      <c r="K458" s="665">
        <f>Price_List_BA!O147</f>
        <v>666.66666666666663</v>
      </c>
      <c r="L458" s="665">
        <f>Price_List_BA!P147</f>
        <v>770.60314210862055</v>
      </c>
    </row>
    <row r="459" spans="4:12" s="348" customFormat="1" ht="12.75" hidden="1" customHeight="1" outlineLevel="3" x14ac:dyDescent="0.2">
      <c r="D459" s="785" t="str">
        <f>Price_List_BA!D148</f>
        <v>LEEP machine  with coated speculums (UG)</v>
      </c>
      <c r="E459" s="786"/>
      <c r="F459" s="786"/>
      <c r="G459" s="786"/>
      <c r="J459" s="665">
        <f>Price_List_BA!L148</f>
        <v>5055</v>
      </c>
      <c r="K459" s="665">
        <f>Price_List_BA!O148</f>
        <v>842.5</v>
      </c>
      <c r="L459" s="665">
        <f>Price_List_BA!P148</f>
        <v>933.14036477564616</v>
      </c>
    </row>
    <row r="460" spans="4:12" s="348" customFormat="1" ht="12.75" hidden="1" customHeight="1" outlineLevel="3" x14ac:dyDescent="0.2">
      <c r="D460" s="785" t="str">
        <f>Price_List_BA!D149</f>
        <v>Lensmate SX 40 Filter Adapter 58mm (ZM)</v>
      </c>
      <c r="E460" s="786"/>
      <c r="F460" s="786"/>
      <c r="G460" s="786"/>
      <c r="J460" s="665">
        <f>Price_List_BA!L149</f>
        <v>100</v>
      </c>
      <c r="K460" s="665">
        <f>Price_List_BA!O149</f>
        <v>25</v>
      </c>
      <c r="L460" s="665">
        <f>Price_List_BA!P149</f>
        <v>26.902704519308259</v>
      </c>
    </row>
    <row r="461" spans="4:12" s="348" customFormat="1" hidden="1" outlineLevel="3" x14ac:dyDescent="0.2">
      <c r="D461" s="785" t="str">
        <f>Price_List_BA!D150</f>
        <v>Loop Electrodes - 5 mm x 5mm (Ellman) (ZM)</v>
      </c>
      <c r="E461" s="786"/>
      <c r="F461" s="786"/>
      <c r="G461" s="786"/>
      <c r="J461" s="665">
        <f>Price_List_BA!L150</f>
        <v>37.200000000000003</v>
      </c>
      <c r="K461" s="665">
        <f>Price_List_BA!O150</f>
        <v>37.200000000000003</v>
      </c>
      <c r="L461" s="665">
        <f>Price_List_BA!P150</f>
        <v>38.315999999999967</v>
      </c>
    </row>
    <row r="462" spans="4:12" s="348" customFormat="1" hidden="1" outlineLevel="3" x14ac:dyDescent="0.2">
      <c r="D462" s="785" t="str">
        <f>Price_List_BA!D151</f>
        <v>Loop Electrodes - 10 mm x 10mm (Ellman) (ZM)</v>
      </c>
      <c r="E462" s="786"/>
      <c r="F462" s="786"/>
      <c r="G462" s="786"/>
      <c r="J462" s="665">
        <f>Price_List_BA!L151</f>
        <v>37.200000000000003</v>
      </c>
      <c r="K462" s="665">
        <f>Price_List_BA!O151</f>
        <v>37.200000000000003</v>
      </c>
      <c r="L462" s="665">
        <f>Price_List_BA!P151</f>
        <v>38.315999999999967</v>
      </c>
    </row>
    <row r="463" spans="4:12" s="348" customFormat="1" hidden="1" outlineLevel="3" x14ac:dyDescent="0.2">
      <c r="D463" s="785" t="str">
        <f>Price_List_BA!D152</f>
        <v>Loop Electrodes - 20 mm x 8mm (Ellman) (ZM)</v>
      </c>
      <c r="E463" s="786"/>
      <c r="F463" s="786"/>
      <c r="G463" s="786"/>
      <c r="J463" s="665">
        <f>Price_List_BA!L152</f>
        <v>37.200000000000003</v>
      </c>
      <c r="K463" s="665">
        <f>Price_List_BA!O152</f>
        <v>37.200000000000003</v>
      </c>
      <c r="L463" s="665">
        <f>Price_List_BA!P152</f>
        <v>38.315999999999967</v>
      </c>
    </row>
    <row r="464" spans="4:12" s="348" customFormat="1" hidden="1" outlineLevel="3" x14ac:dyDescent="0.2">
      <c r="D464" s="785" t="str">
        <f>Price_List_BA!D153</f>
        <v>Loop Electrodes - 20 mm x 15mm (Ellman) (ZM)</v>
      </c>
      <c r="E464" s="786"/>
      <c r="F464" s="786"/>
      <c r="G464" s="786"/>
      <c r="J464" s="665">
        <f>Price_List_BA!L153</f>
        <v>37.200000000000003</v>
      </c>
      <c r="K464" s="665">
        <f>Price_List_BA!O153</f>
        <v>37.200000000000003</v>
      </c>
      <c r="L464" s="665">
        <f>Price_List_BA!P153</f>
        <v>38.315999999999967</v>
      </c>
    </row>
    <row r="465" spans="4:12" s="348" customFormat="1" ht="12.75" hidden="1" customHeight="1" outlineLevel="3" x14ac:dyDescent="0.2">
      <c r="D465" s="785" t="str">
        <f>Price_List_BA!D154</f>
        <v>Mackintosh (Plastic sheet for exam couch) (ZM)</v>
      </c>
      <c r="E465" s="786"/>
      <c r="F465" s="786"/>
      <c r="G465" s="786"/>
      <c r="J465" s="665">
        <f>Price_List_BA!L154</f>
        <v>20</v>
      </c>
      <c r="K465" s="665">
        <f>Price_List_BA!O154</f>
        <v>10</v>
      </c>
      <c r="L465" s="665">
        <f>Price_List_BA!P154</f>
        <v>10.452216748768478</v>
      </c>
    </row>
    <row r="466" spans="4:12" s="348" customFormat="1" ht="12.75" hidden="1" customHeight="1" outlineLevel="3" x14ac:dyDescent="0.2">
      <c r="D466" s="785" t="str">
        <f>Price_List_BA!D155</f>
        <v>Magnification Lens (ZM)</v>
      </c>
      <c r="E466" s="786"/>
      <c r="F466" s="786"/>
      <c r="G466" s="786"/>
      <c r="J466" s="665">
        <f>Price_List_BA!L155</f>
        <v>150</v>
      </c>
      <c r="K466" s="665">
        <f>Price_List_BA!O155</f>
        <v>15</v>
      </c>
      <c r="L466" s="665">
        <f>Price_List_BA!P155</f>
        <v>17.584575990773942</v>
      </c>
    </row>
    <row r="467" spans="4:12" s="348" customFormat="1" ht="12.75" hidden="1" customHeight="1" outlineLevel="3" x14ac:dyDescent="0.2">
      <c r="D467" s="785" t="str">
        <f>Price_List_BA!D156</f>
        <v>Medical Rubber Mackintosh Sheet (ZM)</v>
      </c>
      <c r="E467" s="786"/>
      <c r="F467" s="786"/>
      <c r="G467" s="786"/>
      <c r="J467" s="665">
        <f>Price_List_BA!L156</f>
        <v>30</v>
      </c>
      <c r="K467" s="665">
        <f>Price_List_BA!O156</f>
        <v>3.3333333333333335</v>
      </c>
      <c r="L467" s="665">
        <f>Price_List_BA!P156</f>
        <v>3.8530157105431031</v>
      </c>
    </row>
    <row r="468" spans="4:12" s="348" customFormat="1" ht="12.75" hidden="1" customHeight="1" outlineLevel="3" x14ac:dyDescent="0.2">
      <c r="D468" s="785" t="str">
        <f>Price_List_BA!D157</f>
        <v>Medical Rubber Mackintosh Sheet   (TZ)</v>
      </c>
      <c r="E468" s="786"/>
      <c r="F468" s="786"/>
      <c r="G468" s="786"/>
      <c r="J468" s="665">
        <f>Price_List_BA!L157</f>
        <v>46.875</v>
      </c>
      <c r="K468" s="665">
        <f>Price_List_BA!O157</f>
        <v>9.375</v>
      </c>
      <c r="L468" s="665">
        <f>Price_List_BA!P157</f>
        <v>10.235370534402009</v>
      </c>
    </row>
    <row r="469" spans="4:12" s="348" customFormat="1" ht="12.75" hidden="1" customHeight="1" outlineLevel="3" x14ac:dyDescent="0.2">
      <c r="D469" s="785" t="str">
        <f>Price_List_BA!D158</f>
        <v>Memory Card (ZM)</v>
      </c>
      <c r="E469" s="786"/>
      <c r="F469" s="786"/>
      <c r="G469" s="786"/>
      <c r="J469" s="665">
        <f>Price_List_BA!L158</f>
        <v>36</v>
      </c>
      <c r="K469" s="665">
        <f>Price_List_BA!O158</f>
        <v>4.5</v>
      </c>
      <c r="L469" s="665">
        <f>Price_List_BA!P158</f>
        <v>5.1284299977806134</v>
      </c>
    </row>
    <row r="470" spans="4:12" s="348" customFormat="1" ht="12.75" hidden="1" customHeight="1" outlineLevel="3" x14ac:dyDescent="0.2">
      <c r="D470" s="785" t="str">
        <f>Price_List_BA!D159</f>
        <v>Multi-Tip Cryo-Probe System with British adapter for NO2 includes gun, regulator, hose(2/3Tips included) (set) (ZM)</v>
      </c>
      <c r="E470" s="786"/>
      <c r="F470" s="786"/>
      <c r="G470" s="786"/>
      <c r="J470" s="665">
        <f>Price_List_BA!L159</f>
        <v>1800</v>
      </c>
      <c r="K470" s="665">
        <f>Price_List_BA!O159</f>
        <v>360</v>
      </c>
      <c r="L470" s="665">
        <f>Price_List_BA!P159</f>
        <v>393.03822852103718</v>
      </c>
    </row>
    <row r="471" spans="4:12" s="348" customFormat="1" ht="12.75" hidden="1" customHeight="1" outlineLevel="3" x14ac:dyDescent="0.2">
      <c r="D471" s="785" t="str">
        <f>Price_List_BA!D160</f>
        <v>Non-conducting speculum  Pederson  (ZM)</v>
      </c>
      <c r="E471" s="786"/>
      <c r="F471" s="786"/>
      <c r="G471" s="786"/>
      <c r="J471" s="665">
        <f>Price_List_BA!L160</f>
        <v>40</v>
      </c>
      <c r="K471" s="665">
        <f>Price_List_BA!O160</f>
        <v>4.4444444444444446</v>
      </c>
      <c r="L471" s="665">
        <f>Price_List_BA!P160</f>
        <v>5.1373542807241375</v>
      </c>
    </row>
    <row r="472" spans="4:12" s="348" customFormat="1" ht="12.75" hidden="1" customHeight="1" outlineLevel="3" x14ac:dyDescent="0.2">
      <c r="D472" s="785" t="str">
        <f>Price_List_BA!D161</f>
        <v>Non-conducting speculum (UG)</v>
      </c>
      <c r="E472" s="786"/>
      <c r="F472" s="786"/>
      <c r="G472" s="786"/>
      <c r="J472" s="665">
        <f>Price_List_BA!L161</f>
        <v>90</v>
      </c>
      <c r="K472" s="665">
        <f>Price_List_BA!O161</f>
        <v>18</v>
      </c>
      <c r="L472" s="665">
        <f>Price_List_BA!P161</f>
        <v>19.651911426051857</v>
      </c>
    </row>
    <row r="473" spans="4:12" s="348" customFormat="1" ht="12.75" hidden="1" customHeight="1" outlineLevel="3" x14ac:dyDescent="0.2">
      <c r="D473" s="785" t="str">
        <f>Price_List_BA!D162</f>
        <v>Nurses Table (ZM)</v>
      </c>
      <c r="E473" s="786"/>
      <c r="F473" s="786"/>
      <c r="G473" s="786"/>
      <c r="J473" s="665">
        <f>Price_List_BA!L162</f>
        <v>160</v>
      </c>
      <c r="K473" s="665">
        <f>Price_List_BA!O162</f>
        <v>16</v>
      </c>
      <c r="L473" s="665">
        <f>Price_List_BA!P162</f>
        <v>18.756881056825538</v>
      </c>
    </row>
    <row r="474" spans="4:12" s="348" customFormat="1" ht="12.75" hidden="1" customHeight="1" outlineLevel="3" x14ac:dyDescent="0.2">
      <c r="D474" s="785" t="str">
        <f>Price_List_BA!D163</f>
        <v>Pillow (ZM)</v>
      </c>
      <c r="E474" s="786"/>
      <c r="F474" s="786"/>
      <c r="G474" s="786"/>
      <c r="J474" s="665">
        <f>Price_List_BA!L163</f>
        <v>16</v>
      </c>
      <c r="K474" s="665">
        <f>Price_List_BA!O163</f>
        <v>8</v>
      </c>
      <c r="L474" s="665">
        <f>Price_List_BA!P163</f>
        <v>8.3617733990147833</v>
      </c>
    </row>
    <row r="475" spans="4:12" s="348" customFormat="1" ht="12.75" hidden="1" customHeight="1" outlineLevel="3" x14ac:dyDescent="0.2">
      <c r="D475" s="785" t="str">
        <f>Price_List_BA!D164</f>
        <v>Plastic apron (ZM)</v>
      </c>
      <c r="E475" s="786"/>
      <c r="F475" s="786"/>
      <c r="G475" s="786"/>
      <c r="J475" s="665">
        <f>Price_List_BA!L164</f>
        <v>5</v>
      </c>
      <c r="K475" s="665">
        <f>Price_List_BA!O164</f>
        <v>1.6666666666666667</v>
      </c>
      <c r="L475" s="665">
        <f>Price_List_BA!P164</f>
        <v>1.7676518166229902</v>
      </c>
    </row>
    <row r="476" spans="4:12" s="348" customFormat="1" ht="12.75" hidden="1" customHeight="1" outlineLevel="3" x14ac:dyDescent="0.2">
      <c r="D476" s="785" t="str">
        <f>Price_List_BA!D165</f>
        <v>Plastic apron  (TZ)</v>
      </c>
      <c r="E476" s="786"/>
      <c r="F476" s="786"/>
      <c r="G476" s="786"/>
      <c r="J476" s="665">
        <f>Price_List_BA!L165</f>
        <v>10.625</v>
      </c>
      <c r="K476" s="665">
        <f>Price_List_BA!O165</f>
        <v>1.1805555555555556</v>
      </c>
      <c r="L476" s="665">
        <f>Price_List_BA!P165</f>
        <v>1.364609730817349</v>
      </c>
    </row>
    <row r="477" spans="4:12" s="348" customFormat="1" ht="12.75" hidden="1" customHeight="1" outlineLevel="3" x14ac:dyDescent="0.2">
      <c r="D477" s="785" t="str">
        <f>Price_List_BA!D166</f>
        <v>Privacy screen (portable) (ZM)</v>
      </c>
      <c r="E477" s="786"/>
      <c r="F477" s="786"/>
      <c r="G477" s="786"/>
      <c r="J477" s="665">
        <f>Price_List_BA!L166</f>
        <v>18</v>
      </c>
      <c r="K477" s="665">
        <f>Price_List_BA!O166</f>
        <v>2.5714285714285716</v>
      </c>
      <c r="L477" s="665">
        <f>Price_List_BA!P166</f>
        <v>2.8891143675768967</v>
      </c>
    </row>
    <row r="478" spans="4:12" s="348" customFormat="1" ht="12.75" hidden="1" customHeight="1" outlineLevel="3" x14ac:dyDescent="0.2">
      <c r="D478" s="785" t="str">
        <f>Price_List_BA!D167</f>
        <v>Privacy screen (portable) (TZ)</v>
      </c>
      <c r="E478" s="786"/>
      <c r="F478" s="786"/>
      <c r="G478" s="786"/>
      <c r="J478" s="665">
        <f>Price_List_BA!L167</f>
        <v>106.25</v>
      </c>
      <c r="K478" s="665">
        <f>Price_List_BA!O167</f>
        <v>53.125</v>
      </c>
      <c r="L478" s="665">
        <f>Price_List_BA!P167</f>
        <v>55.527401477832541</v>
      </c>
    </row>
    <row r="479" spans="4:12" s="348" customFormat="1" ht="12.75" hidden="1" customHeight="1" outlineLevel="3" x14ac:dyDescent="0.2">
      <c r="D479" s="785" t="str">
        <f>Price_List_BA!D168</f>
        <v>Punch Biopsy Forceps  Titanium 10" (ZM)</v>
      </c>
      <c r="E479" s="786"/>
      <c r="F479" s="786"/>
      <c r="G479" s="786"/>
      <c r="J479" s="665">
        <f>Price_List_BA!L168</f>
        <v>215</v>
      </c>
      <c r="K479" s="665">
        <f>Price_List_BA!O168</f>
        <v>53.75</v>
      </c>
      <c r="L479" s="665">
        <f>Price_List_BA!P168</f>
        <v>57.840814716512753</v>
      </c>
    </row>
    <row r="480" spans="4:12" s="348" customFormat="1" ht="12.75" hidden="1" customHeight="1" outlineLevel="3" x14ac:dyDescent="0.2">
      <c r="D480" s="785" t="str">
        <f>Price_List_BA!D169</f>
        <v>Punch Biopsy Forceps (UG)</v>
      </c>
      <c r="E480" s="786"/>
      <c r="F480" s="786"/>
      <c r="G480" s="786"/>
      <c r="J480" s="665">
        <f>Price_List_BA!L169</f>
        <v>195</v>
      </c>
      <c r="K480" s="665">
        <f>Price_List_BA!O169</f>
        <v>48.75</v>
      </c>
      <c r="L480" s="665">
        <f>Price_List_BA!P169</f>
        <v>52.460273812651103</v>
      </c>
    </row>
    <row r="481" spans="4:12" s="348" customFormat="1" ht="12.75" hidden="1" customHeight="1" outlineLevel="3" x14ac:dyDescent="0.2">
      <c r="D481" s="785" t="str">
        <f>Price_List_BA!D170</f>
        <v>Radiotherapy Machine - intra-cavity ( internal)  (TZ)</v>
      </c>
      <c r="E481" s="786"/>
      <c r="F481" s="786"/>
      <c r="G481" s="786"/>
      <c r="J481" s="665">
        <f>Price_List_BA!L170</f>
        <v>125000</v>
      </c>
      <c r="K481" s="665">
        <f>Price_List_BA!O170</f>
        <v>31250</v>
      </c>
      <c r="L481" s="665">
        <f>Price_List_BA!P170</f>
        <v>33628.380649135324</v>
      </c>
    </row>
    <row r="482" spans="4:12" s="348" customFormat="1" ht="12.75" hidden="1" customHeight="1" outlineLevel="3" x14ac:dyDescent="0.2">
      <c r="D482" s="785" t="str">
        <f>Price_List_BA!D171</f>
        <v>Radiotherapy Machine - teletherapy (external) Cobalt-60  (TZ)</v>
      </c>
      <c r="E482" s="786"/>
      <c r="F482" s="786"/>
      <c r="G482" s="786"/>
      <c r="J482" s="665">
        <f>Price_List_BA!L171</f>
        <v>625000</v>
      </c>
      <c r="K482" s="665">
        <f>Price_List_BA!O171</f>
        <v>78125</v>
      </c>
      <c r="L482" s="665">
        <f>Price_List_BA!P171</f>
        <v>89035.243017024535</v>
      </c>
    </row>
    <row r="483" spans="4:12" s="348" customFormat="1" ht="12.75" hidden="1" customHeight="1" outlineLevel="3" x14ac:dyDescent="0.2">
      <c r="D483" s="785" t="str">
        <f>Price_List_BA!D172</f>
        <v>Radiotherapy Treatment Couch  (TZ)</v>
      </c>
      <c r="E483" s="786"/>
      <c r="F483" s="786"/>
      <c r="G483" s="786"/>
      <c r="J483" s="665">
        <f>Price_List_BA!L172</f>
        <v>93750</v>
      </c>
      <c r="K483" s="665">
        <f>Price_List_BA!O172</f>
        <v>18750</v>
      </c>
      <c r="L483" s="665">
        <f>Price_List_BA!P172</f>
        <v>20470.741068804018</v>
      </c>
    </row>
    <row r="484" spans="4:12" s="348" customFormat="1" ht="12.75" hidden="1" customHeight="1" outlineLevel="3" x14ac:dyDescent="0.2">
      <c r="D484" s="785" t="str">
        <f>Price_List_BA!D173</f>
        <v>Registration book, patient  (TZ)</v>
      </c>
      <c r="E484" s="786"/>
      <c r="F484" s="786"/>
      <c r="G484" s="786"/>
      <c r="J484" s="665">
        <f>Price_List_BA!L173</f>
        <v>2.1875</v>
      </c>
      <c r="K484" s="665">
        <f>Price_List_BA!O173</f>
        <v>0.24305555555555555</v>
      </c>
      <c r="L484" s="665">
        <f>Price_List_BA!P173</f>
        <v>0.28094906222710125</v>
      </c>
    </row>
    <row r="485" spans="4:12" s="348" customFormat="1" hidden="1" outlineLevel="3" x14ac:dyDescent="0.2">
      <c r="D485" s="785" t="str">
        <f>Price_List_BA!D174</f>
        <v>Retractor 3.5" Coated Lateral Wall (ZM)</v>
      </c>
      <c r="E485" s="786"/>
      <c r="F485" s="786"/>
      <c r="G485" s="786"/>
      <c r="J485" s="665">
        <f>Price_List_BA!L174</f>
        <v>165</v>
      </c>
      <c r="K485" s="665">
        <f>Price_List_BA!O174</f>
        <v>33</v>
      </c>
      <c r="L485" s="665">
        <f>Price_List_BA!P174</f>
        <v>36.028504281095074</v>
      </c>
    </row>
    <row r="486" spans="4:12" s="348" customFormat="1" hidden="1" outlineLevel="3" x14ac:dyDescent="0.2">
      <c r="D486" s="785" t="str">
        <f>Price_List_BA!D175</f>
        <v>Smoke evacuator (UG)</v>
      </c>
      <c r="E486" s="786"/>
      <c r="F486" s="786"/>
      <c r="G486" s="786"/>
      <c r="J486" s="665">
        <f>Price_List_BA!L175</f>
        <v>1990</v>
      </c>
      <c r="K486" s="665">
        <f>Price_List_BA!O175</f>
        <v>497.5</v>
      </c>
      <c r="L486" s="665">
        <f>Price_List_BA!P175</f>
        <v>535.36381993423436</v>
      </c>
    </row>
    <row r="487" spans="4:12" s="348" customFormat="1" hidden="1" outlineLevel="3" x14ac:dyDescent="0.2">
      <c r="D487" s="785" t="str">
        <f>Price_List_BA!D176</f>
        <v>Specimen Tube rack  (TZ)</v>
      </c>
      <c r="E487" s="786"/>
      <c r="F487" s="786"/>
      <c r="G487" s="786"/>
      <c r="J487" s="665">
        <f>Price_List_BA!L176</f>
        <v>10</v>
      </c>
      <c r="K487" s="665">
        <f>Price_List_BA!O176</f>
        <v>5</v>
      </c>
      <c r="L487" s="665">
        <f>Price_List_BA!P176</f>
        <v>5.2261083743842391</v>
      </c>
    </row>
    <row r="488" spans="4:12" s="348" customFormat="1" hidden="1" outlineLevel="3" x14ac:dyDescent="0.2">
      <c r="D488" s="785" t="str">
        <f>Price_List_BA!D177</f>
        <v>Speculum  (TZ)</v>
      </c>
      <c r="E488" s="786"/>
      <c r="F488" s="786"/>
      <c r="G488" s="786"/>
      <c r="J488" s="665">
        <f>Price_List_BA!L177</f>
        <v>18.75</v>
      </c>
      <c r="K488" s="665">
        <f>Price_List_BA!O177</f>
        <v>1.875</v>
      </c>
      <c r="L488" s="665">
        <f>Price_List_BA!P177</f>
        <v>2.1980719988467428</v>
      </c>
    </row>
    <row r="489" spans="4:12" s="348" customFormat="1" hidden="1" outlineLevel="3" x14ac:dyDescent="0.2">
      <c r="D489" s="785" t="str">
        <f>Price_List_BA!D178</f>
        <v>Speculum (reusable) (UG)</v>
      </c>
      <c r="E489" s="786"/>
      <c r="F489" s="786"/>
      <c r="G489" s="786"/>
      <c r="J489" s="665">
        <f>Price_List_BA!L178</f>
        <v>8.4809000000000001</v>
      </c>
      <c r="K489" s="665">
        <f>Price_List_BA!O178</f>
        <v>0.94232222222222228</v>
      </c>
      <c r="L489" s="665">
        <f>Price_List_BA!P178</f>
        <v>1.0892346979848335</v>
      </c>
    </row>
    <row r="490" spans="4:12" s="348" customFormat="1" hidden="1" outlineLevel="3" x14ac:dyDescent="0.2">
      <c r="D490" s="785" t="str">
        <f>Price_List_BA!D179</f>
        <v>Speculum (UG)</v>
      </c>
      <c r="E490" s="786"/>
      <c r="F490" s="786"/>
      <c r="G490" s="786"/>
      <c r="J490" s="665">
        <f>Price_List_BA!L179</f>
        <v>8.4809000000000001</v>
      </c>
      <c r="K490" s="665">
        <f>Price_List_BA!O179</f>
        <v>1.0601125</v>
      </c>
      <c r="L490" s="665">
        <f>Price_List_BA!P179</f>
        <v>1.2081583880049334</v>
      </c>
    </row>
    <row r="491" spans="4:12" s="348" customFormat="1" hidden="1" outlineLevel="3" x14ac:dyDescent="0.2">
      <c r="D491" s="785" t="str">
        <f>Price_List_BA!D180</f>
        <v>Speculum Graves' large  (ZM)</v>
      </c>
      <c r="E491" s="786"/>
      <c r="F491" s="786"/>
      <c r="G491" s="786"/>
      <c r="J491" s="665">
        <f>Price_List_BA!L180</f>
        <v>14</v>
      </c>
      <c r="K491" s="665">
        <f>Price_List_BA!O180</f>
        <v>2.3333333333333335</v>
      </c>
      <c r="L491" s="665">
        <f>Price_List_BA!P180</f>
        <v>2.5843650063024817</v>
      </c>
    </row>
    <row r="492" spans="4:12" s="348" customFormat="1" hidden="1" outlineLevel="3" x14ac:dyDescent="0.2">
      <c r="D492" s="785" t="str">
        <f>Price_List_BA!D181</f>
        <v>Speculum Graves' Medium (ZM)</v>
      </c>
      <c r="E492" s="786"/>
      <c r="F492" s="786"/>
      <c r="G492" s="786"/>
      <c r="J492" s="665">
        <f>Price_List_BA!L181</f>
        <v>14</v>
      </c>
      <c r="K492" s="665">
        <f>Price_List_BA!O181</f>
        <v>2.3333333333333335</v>
      </c>
      <c r="L492" s="665">
        <f>Price_List_BA!P181</f>
        <v>2.5843650063024817</v>
      </c>
    </row>
    <row r="493" spans="4:12" s="348" customFormat="1" hidden="1" outlineLevel="3" x14ac:dyDescent="0.2">
      <c r="D493" s="785" t="str">
        <f>Price_List_BA!D182</f>
        <v>Speculum  Graves'  Small (ZM)</v>
      </c>
      <c r="E493" s="786"/>
      <c r="F493" s="786"/>
      <c r="G493" s="786"/>
      <c r="J493" s="665">
        <f>Price_List_BA!L182</f>
        <v>14</v>
      </c>
      <c r="K493" s="665">
        <f>Price_List_BA!O182</f>
        <v>4.666666666666667</v>
      </c>
      <c r="L493" s="665">
        <f>Price_List_BA!P182</f>
        <v>4.9494250865443723</v>
      </c>
    </row>
    <row r="494" spans="4:12" s="348" customFormat="1" ht="12.75" hidden="1" customHeight="1" outlineLevel="3" x14ac:dyDescent="0.2">
      <c r="D494" s="785" t="str">
        <f>Price_List_BA!D183</f>
        <v>Speculum, endocervical (ZM)</v>
      </c>
      <c r="E494" s="786"/>
      <c r="F494" s="786"/>
      <c r="G494" s="786"/>
      <c r="J494" s="665">
        <f>Price_List_BA!L183</f>
        <v>50</v>
      </c>
      <c r="K494" s="665">
        <f>Price_List_BA!O183</f>
        <v>16.666666666666668</v>
      </c>
      <c r="L494" s="665">
        <f>Price_List_BA!P183</f>
        <v>17.676518166229901</v>
      </c>
    </row>
    <row r="495" spans="4:12" s="348" customFormat="1" ht="12.75" hidden="1" customHeight="1" outlineLevel="3" x14ac:dyDescent="0.2">
      <c r="D495" s="785" t="str">
        <f>Price_List_BA!D184</f>
        <v>Sponge holding forceps (UG)</v>
      </c>
      <c r="E495" s="786"/>
      <c r="F495" s="786"/>
      <c r="G495" s="786"/>
      <c r="J495" s="665">
        <f>Price_List_BA!L184</f>
        <v>8.1560000000000006</v>
      </c>
      <c r="K495" s="665">
        <f>Price_List_BA!O184</f>
        <v>2.718666666666667</v>
      </c>
      <c r="L495" s="665">
        <f>Price_List_BA!P184</f>
        <v>2.8833936432754217</v>
      </c>
    </row>
    <row r="496" spans="4:12" s="348" customFormat="1" ht="12.75" hidden="1" customHeight="1" outlineLevel="3" x14ac:dyDescent="0.2">
      <c r="D496" s="785" t="str">
        <f>Price_List_BA!D185</f>
        <v>Steel trolley (Two/three shelves) (ZM)</v>
      </c>
      <c r="E496" s="786"/>
      <c r="F496" s="786"/>
      <c r="G496" s="786"/>
      <c r="J496" s="665">
        <f>Price_List_BA!L185</f>
        <v>220</v>
      </c>
      <c r="K496" s="665">
        <f>Price_List_BA!O185</f>
        <v>55</v>
      </c>
      <c r="L496" s="665">
        <f>Price_List_BA!P185</f>
        <v>59.185949942478167</v>
      </c>
    </row>
    <row r="497" spans="4:12" s="348" customFormat="1" ht="12.75" hidden="1" customHeight="1" outlineLevel="3" x14ac:dyDescent="0.2">
      <c r="D497" s="785" t="str">
        <f>Price_List_BA!D186</f>
        <v>Step-on stool (ZM)</v>
      </c>
      <c r="E497" s="786"/>
      <c r="F497" s="786"/>
      <c r="G497" s="786"/>
      <c r="J497" s="665">
        <f>Price_List_BA!L186</f>
        <v>120</v>
      </c>
      <c r="K497" s="665">
        <f>Price_List_BA!O186</f>
        <v>13.333333333333334</v>
      </c>
      <c r="L497" s="665">
        <f>Price_List_BA!P186</f>
        <v>15.412062842172412</v>
      </c>
    </row>
    <row r="498" spans="4:12" s="348" customFormat="1" ht="12.75" hidden="1" customHeight="1" outlineLevel="3" x14ac:dyDescent="0.2">
      <c r="D498" s="785" t="str">
        <f>Price_List_BA!D187</f>
        <v>Sterilising Drum (ZM)</v>
      </c>
      <c r="E498" s="786"/>
      <c r="F498" s="786"/>
      <c r="G498" s="786"/>
      <c r="J498" s="665">
        <f>Price_List_BA!L187</f>
        <v>40</v>
      </c>
      <c r="K498" s="665">
        <f>Price_List_BA!O187</f>
        <v>10</v>
      </c>
      <c r="L498" s="665">
        <f>Price_List_BA!P187</f>
        <v>10.761081807723302</v>
      </c>
    </row>
    <row r="499" spans="4:12" s="348" customFormat="1" ht="12.75" hidden="1" customHeight="1" outlineLevel="3" x14ac:dyDescent="0.2">
      <c r="D499" s="785" t="str">
        <f>Price_List_BA!D188</f>
        <v>Sterilizer (UG)</v>
      </c>
      <c r="E499" s="786"/>
      <c r="F499" s="786"/>
      <c r="G499" s="786"/>
      <c r="J499" s="665">
        <f>Price_List_BA!L188</f>
        <v>1189.78</v>
      </c>
      <c r="K499" s="665">
        <f>Price_List_BA!O188</f>
        <v>198.29666666666665</v>
      </c>
      <c r="L499" s="665">
        <f>Price_List_BA!P188</f>
        <v>219.6304140856119</v>
      </c>
    </row>
    <row r="500" spans="4:12" s="348" customFormat="1" ht="12.75" hidden="1" customHeight="1" outlineLevel="3" x14ac:dyDescent="0.2">
      <c r="D500" s="785" t="str">
        <f>Price_List_BA!D189</f>
        <v>Television set (ZM)</v>
      </c>
      <c r="E500" s="786"/>
      <c r="F500" s="786"/>
      <c r="G500" s="786"/>
      <c r="J500" s="665">
        <f>Price_List_BA!L189</f>
        <v>200</v>
      </c>
      <c r="K500" s="665">
        <f>Price_List_BA!O189</f>
        <v>66.666666666666671</v>
      </c>
      <c r="L500" s="665">
        <f>Price_List_BA!P189</f>
        <v>70.706072664919603</v>
      </c>
    </row>
    <row r="501" spans="4:12" s="348" customFormat="1" ht="12.75" hidden="1" customHeight="1" outlineLevel="3" x14ac:dyDescent="0.2">
      <c r="D501" s="785" t="str">
        <f>Price_List_BA!D190</f>
        <v>Timer / wall clock (UG)</v>
      </c>
      <c r="E501" s="786"/>
      <c r="F501" s="786"/>
      <c r="G501" s="786"/>
      <c r="J501" s="665">
        <f>Price_List_BA!L190</f>
        <v>4.9939999999999998</v>
      </c>
      <c r="K501" s="665">
        <f>Price_List_BA!O190</f>
        <v>1.2484999999999999</v>
      </c>
      <c r="L501" s="665">
        <f>Price_List_BA!P190</f>
        <v>1.3435210636942543</v>
      </c>
    </row>
    <row r="502" spans="4:12" s="348" customFormat="1" ht="12.75" hidden="1" customHeight="1" outlineLevel="3" x14ac:dyDescent="0.2">
      <c r="D502" s="785" t="str">
        <f>Price_List_BA!D191</f>
        <v>Torch (UG)</v>
      </c>
      <c r="E502" s="786"/>
      <c r="F502" s="786"/>
      <c r="G502" s="786"/>
      <c r="J502" s="665">
        <f>Price_List_BA!L191</f>
        <v>39.595100000000002</v>
      </c>
      <c r="K502" s="665">
        <f>Price_List_BA!O191</f>
        <v>4.3994555555555559</v>
      </c>
      <c r="L502" s="665">
        <f>Price_List_BA!P191</f>
        <v>5.0853514120175074</v>
      </c>
    </row>
    <row r="503" spans="4:12" s="348" customFormat="1" ht="12.75" hidden="1" customHeight="1" outlineLevel="3" x14ac:dyDescent="0.2">
      <c r="D503" s="785" t="str">
        <f>Price_List_BA!D192</f>
        <v>Uterine Cervical Dilator (ZM)</v>
      </c>
      <c r="E503" s="786"/>
      <c r="F503" s="786"/>
      <c r="G503" s="786"/>
      <c r="J503" s="665">
        <f>Price_List_BA!L192</f>
        <v>30</v>
      </c>
      <c r="K503" s="665">
        <f>Price_List_BA!O192</f>
        <v>4.2857142857142856</v>
      </c>
      <c r="L503" s="665">
        <f>Price_List_BA!P192</f>
        <v>4.8151906126281609</v>
      </c>
    </row>
    <row r="504" spans="4:12" s="348" customFormat="1" ht="12.75" hidden="1" customHeight="1" outlineLevel="3" x14ac:dyDescent="0.2">
      <c r="D504" s="785" t="str">
        <f>Price_List_BA!D193</f>
        <v>Uterine Cervical Dilator  (TZ)</v>
      </c>
      <c r="E504" s="786"/>
      <c r="F504" s="786"/>
      <c r="G504" s="786"/>
      <c r="J504" s="665">
        <f>Price_List_BA!L193</f>
        <v>875</v>
      </c>
      <c r="K504" s="665">
        <f>Price_List_BA!O193</f>
        <v>291.66666666666669</v>
      </c>
      <c r="L504" s="665">
        <f>Price_List_BA!P193</f>
        <v>309.3390679090233</v>
      </c>
    </row>
    <row r="505" spans="4:12" s="348" customFormat="1" ht="12.75" hidden="1" customHeight="1" outlineLevel="3" x14ac:dyDescent="0.2">
      <c r="D505" s="785" t="str">
        <f>Price_List_BA!D194</f>
        <v>Uterine Probe (ZM)</v>
      </c>
      <c r="E505" s="786"/>
      <c r="F505" s="786"/>
      <c r="G505" s="786"/>
      <c r="J505" s="665">
        <f>Price_List_BA!L194</f>
        <v>46</v>
      </c>
      <c r="K505" s="665">
        <f>Price_List_BA!O194</f>
        <v>5.1111111111111107</v>
      </c>
      <c r="L505" s="665">
        <f>Price_List_BA!P194</f>
        <v>5.9079574228327578</v>
      </c>
    </row>
    <row r="506" spans="4:12" s="348" customFormat="1" ht="12.75" hidden="1" customHeight="1" outlineLevel="3" x14ac:dyDescent="0.2">
      <c r="D506" s="785" t="str">
        <f>Price_List_BA!D195</f>
        <v>Uterine Probe  (TZ)</v>
      </c>
      <c r="E506" s="786"/>
      <c r="F506" s="786"/>
      <c r="G506" s="786"/>
      <c r="J506" s="665">
        <f>Price_List_BA!L195</f>
        <v>43.75</v>
      </c>
      <c r="K506" s="665">
        <f>Price_List_BA!O195</f>
        <v>4.8611111111111107</v>
      </c>
      <c r="L506" s="665">
        <f>Price_List_BA!P195</f>
        <v>5.6189812445420255</v>
      </c>
    </row>
    <row r="507" spans="4:12" s="348" customFormat="1" ht="12.75" hidden="1" customHeight="1" outlineLevel="3" x14ac:dyDescent="0.2">
      <c r="D507" s="785" t="str">
        <f>Price_List_BA!D196</f>
        <v>Equipment Category 113</v>
      </c>
      <c r="E507" s="786"/>
      <c r="F507" s="786"/>
      <c r="G507" s="786"/>
      <c r="J507" s="665">
        <f>Price_List_BA!L196</f>
        <v>0</v>
      </c>
      <c r="K507" s="665">
        <f>Price_List_BA!O196</f>
        <v>0</v>
      </c>
      <c r="L507" s="665">
        <f>Price_List_BA!P196</f>
        <v>0</v>
      </c>
    </row>
    <row r="508" spans="4:12" s="348" customFormat="1" ht="12.75" hidden="1" customHeight="1" outlineLevel="3" x14ac:dyDescent="0.2">
      <c r="D508" s="785" t="str">
        <f>Price_List_BA!D197</f>
        <v>Equipment Category 114</v>
      </c>
      <c r="E508" s="786"/>
      <c r="F508" s="786"/>
      <c r="G508" s="786"/>
      <c r="J508" s="665">
        <f>Price_List_BA!L197</f>
        <v>0</v>
      </c>
      <c r="K508" s="665">
        <f>Price_List_BA!O197</f>
        <v>0</v>
      </c>
      <c r="L508" s="665">
        <f>Price_List_BA!P197</f>
        <v>0</v>
      </c>
    </row>
    <row r="509" spans="4:12" s="348" customFormat="1" ht="12.75" hidden="1" customHeight="1" outlineLevel="3" x14ac:dyDescent="0.2">
      <c r="D509" s="785" t="str">
        <f>Price_List_BA!D198</f>
        <v>Equipment Category 115</v>
      </c>
      <c r="E509" s="786"/>
      <c r="F509" s="786"/>
      <c r="G509" s="786"/>
      <c r="J509" s="665">
        <f>Price_List_BA!L198</f>
        <v>0</v>
      </c>
      <c r="K509" s="665">
        <f>Price_List_BA!O198</f>
        <v>0</v>
      </c>
      <c r="L509" s="665">
        <f>Price_List_BA!P198</f>
        <v>0</v>
      </c>
    </row>
    <row r="510" spans="4:12" s="348" customFormat="1" ht="12.75" hidden="1" customHeight="1" outlineLevel="3" x14ac:dyDescent="0.2">
      <c r="D510" s="785" t="str">
        <f>Price_List_BA!D199</f>
        <v>Equipment Category 116</v>
      </c>
      <c r="E510" s="786"/>
      <c r="F510" s="786"/>
      <c r="G510" s="786"/>
      <c r="J510" s="665">
        <f>Price_List_BA!L199</f>
        <v>0</v>
      </c>
      <c r="K510" s="665">
        <f>Price_List_BA!O199</f>
        <v>0</v>
      </c>
      <c r="L510" s="665">
        <f>Price_List_BA!P199</f>
        <v>0</v>
      </c>
    </row>
    <row r="511" spans="4:12" s="348" customFormat="1" ht="12.75" hidden="1" customHeight="1" outlineLevel="3" x14ac:dyDescent="0.2">
      <c r="D511" s="785" t="str">
        <f>Price_List_BA!D200</f>
        <v>Equipment Category 117</v>
      </c>
      <c r="E511" s="786"/>
      <c r="F511" s="786"/>
      <c r="G511" s="786"/>
      <c r="J511" s="665">
        <f>Price_List_BA!L200</f>
        <v>0</v>
      </c>
      <c r="K511" s="665">
        <f>Price_List_BA!O200</f>
        <v>0</v>
      </c>
      <c r="L511" s="665">
        <f>Price_List_BA!P200</f>
        <v>0</v>
      </c>
    </row>
    <row r="512" spans="4:12" s="348" customFormat="1" ht="12.75" hidden="1" customHeight="1" outlineLevel="3" x14ac:dyDescent="0.2">
      <c r="D512" s="785" t="str">
        <f>Price_List_BA!D201</f>
        <v>Equipment Category 118</v>
      </c>
      <c r="E512" s="786"/>
      <c r="F512" s="786"/>
      <c r="G512" s="786"/>
      <c r="J512" s="665">
        <f>Price_List_BA!L201</f>
        <v>0</v>
      </c>
      <c r="K512" s="665">
        <f>Price_List_BA!O201</f>
        <v>0</v>
      </c>
      <c r="L512" s="665">
        <f>Price_List_BA!P201</f>
        <v>0</v>
      </c>
    </row>
    <row r="513" spans="3:12" s="348" customFormat="1" ht="12.75" hidden="1" customHeight="1" outlineLevel="3" x14ac:dyDescent="0.2">
      <c r="D513" s="785" t="str">
        <f>Price_List_BA!D202</f>
        <v>Equipment Category 119</v>
      </c>
      <c r="E513" s="786"/>
      <c r="F513" s="786"/>
      <c r="G513" s="786"/>
      <c r="J513" s="665">
        <f>Price_List_BA!L202</f>
        <v>0</v>
      </c>
      <c r="K513" s="665">
        <f>Price_List_BA!O202</f>
        <v>0</v>
      </c>
      <c r="L513" s="665">
        <f>Price_List_BA!P202</f>
        <v>0</v>
      </c>
    </row>
    <row r="514" spans="3:12" s="348" customFormat="1" ht="12.75" hidden="1" customHeight="1" outlineLevel="3" x14ac:dyDescent="0.2">
      <c r="D514" s="785" t="str">
        <f>Price_List_BA!D203</f>
        <v>Equipment Category 120</v>
      </c>
      <c r="E514" s="786"/>
      <c r="F514" s="786"/>
      <c r="G514" s="786"/>
      <c r="J514" s="665">
        <f>Price_List_BA!L203</f>
        <v>0</v>
      </c>
      <c r="K514" s="665">
        <f>Price_List_BA!O203</f>
        <v>0</v>
      </c>
      <c r="L514" s="665">
        <f>Price_List_BA!P203</f>
        <v>0</v>
      </c>
    </row>
    <row r="515" spans="3:12" s="348" customFormat="1" ht="12.75" hidden="1" customHeight="1" outlineLevel="3" x14ac:dyDescent="0.2">
      <c r="D515" s="785" t="str">
        <f>Price_List_BA!D204</f>
        <v>Equipment Category 121</v>
      </c>
      <c r="E515" s="786"/>
      <c r="F515" s="786"/>
      <c r="G515" s="786"/>
      <c r="J515" s="665">
        <f>Price_List_BA!L204</f>
        <v>0</v>
      </c>
      <c r="K515" s="665">
        <f>Price_List_BA!O204</f>
        <v>0</v>
      </c>
      <c r="L515" s="665">
        <f>Price_List_BA!P204</f>
        <v>0</v>
      </c>
    </row>
    <row r="516" spans="3:12" s="348" customFormat="1" ht="12.75" hidden="1" customHeight="1" outlineLevel="3" x14ac:dyDescent="0.2">
      <c r="D516" s="785" t="str">
        <f>Price_List_BA!D205</f>
        <v>Equipment Category 122</v>
      </c>
      <c r="E516" s="786"/>
      <c r="F516" s="786"/>
      <c r="G516" s="786"/>
      <c r="J516" s="665">
        <f>Price_List_BA!L205</f>
        <v>0</v>
      </c>
      <c r="K516" s="665">
        <f>Price_List_BA!O205</f>
        <v>0</v>
      </c>
      <c r="L516" s="665">
        <f>Price_List_BA!P205</f>
        <v>0</v>
      </c>
    </row>
    <row r="517" spans="3:12" s="348" customFormat="1" ht="12.75" hidden="1" customHeight="1" outlineLevel="3" x14ac:dyDescent="0.2">
      <c r="D517" s="785" t="str">
        <f>Price_List_BA!D206</f>
        <v>Equipment Category 123</v>
      </c>
      <c r="E517" s="786"/>
      <c r="F517" s="786"/>
      <c r="G517" s="786"/>
      <c r="J517" s="665">
        <f>Price_List_BA!L206</f>
        <v>0</v>
      </c>
      <c r="K517" s="665">
        <f>Price_List_BA!O206</f>
        <v>0</v>
      </c>
      <c r="L517" s="665">
        <f>Price_List_BA!P206</f>
        <v>0</v>
      </c>
    </row>
    <row r="518" spans="3:12" s="348" customFormat="1" hidden="1" outlineLevel="3" x14ac:dyDescent="0.2"/>
    <row r="519" spans="3:12" s="348" customFormat="1" hidden="1" outlineLevel="2" x14ac:dyDescent="0.2"/>
    <row r="520" spans="3:12" s="348" customFormat="1" hidden="1" outlineLevel="2" x14ac:dyDescent="0.2"/>
    <row r="521" spans="3:12" s="348" customFormat="1" hidden="1" outlineLevel="2" x14ac:dyDescent="0.2"/>
    <row r="522" spans="3:12" s="348" customFormat="1" hidden="1" outlineLevel="4" x14ac:dyDescent="0.2">
      <c r="D522" s="671" t="s">
        <v>312</v>
      </c>
      <c r="I522" s="130">
        <f>IF(ISERROR(SUM(U$64:U$65,U$75:U$76,U$89:U$99,U$113:U$121,U157)),1,MIN(SUM(U$64:U$65,U$75:U$76,U$89:U$99,U$113:U$121,U157),1))</f>
        <v>0</v>
      </c>
    </row>
    <row r="523" spans="3:12" s="348" customFormat="1" hidden="1" outlineLevel="2" collapsed="1" x14ac:dyDescent="0.2">
      <c r="C523" s="671" t="s">
        <v>23</v>
      </c>
      <c r="I523" s="131">
        <f>IF(ISERROR(SUM(I522)),1,MIN(SUM(I522),1))</f>
        <v>0</v>
      </c>
    </row>
    <row r="524" spans="3:12" collapsed="1" x14ac:dyDescent="0.2"/>
  </sheetData>
  <sheetProtection password="F0F4" sheet="1" scenarios="1"/>
  <mergeCells count="495">
    <mergeCell ref="D343:G343"/>
    <mergeCell ref="D329:G329"/>
    <mergeCell ref="D336:G336"/>
    <mergeCell ref="D335:G335"/>
    <mergeCell ref="D334:G334"/>
    <mergeCell ref="D331:G331"/>
    <mergeCell ref="D332:G332"/>
    <mergeCell ref="D468:G468"/>
    <mergeCell ref="D467:G467"/>
    <mergeCell ref="D466:G466"/>
    <mergeCell ref="D465:G465"/>
    <mergeCell ref="D461:G461"/>
    <mergeCell ref="D463:G463"/>
    <mergeCell ref="D462:G462"/>
    <mergeCell ref="D398:G398"/>
    <mergeCell ref="D433:G433"/>
    <mergeCell ref="D432:G432"/>
    <mergeCell ref="D431:G431"/>
    <mergeCell ref="D430:G430"/>
    <mergeCell ref="D429:G429"/>
    <mergeCell ref="D401:G401"/>
    <mergeCell ref="D410:G410"/>
    <mergeCell ref="D406:G406"/>
    <mergeCell ref="D405:G405"/>
    <mergeCell ref="D41:I41"/>
    <mergeCell ref="D39:I39"/>
    <mergeCell ref="D42:I42"/>
    <mergeCell ref="D43:I43"/>
    <mergeCell ref="D44:I44"/>
    <mergeCell ref="K80:P80"/>
    <mergeCell ref="K81:P81"/>
    <mergeCell ref="D400:G400"/>
    <mergeCell ref="D259:G259"/>
    <mergeCell ref="D348:G348"/>
    <mergeCell ref="D374:G374"/>
    <mergeCell ref="D373:G373"/>
    <mergeCell ref="D362:G362"/>
    <mergeCell ref="D361:G361"/>
    <mergeCell ref="D360:G360"/>
    <mergeCell ref="D365:G365"/>
    <mergeCell ref="D364:G364"/>
    <mergeCell ref="D363:G363"/>
    <mergeCell ref="D370:G370"/>
    <mergeCell ref="D369:G369"/>
    <mergeCell ref="D381:G381"/>
    <mergeCell ref="D384:G384"/>
    <mergeCell ref="D387:G387"/>
    <mergeCell ref="D386:G386"/>
    <mergeCell ref="D338:G338"/>
    <mergeCell ref="K52:N52"/>
    <mergeCell ref="K69:P69"/>
    <mergeCell ref="K103:P103"/>
    <mergeCell ref="K70:P70"/>
    <mergeCell ref="K71:P71"/>
    <mergeCell ref="D55:I55"/>
    <mergeCell ref="K55:N55"/>
    <mergeCell ref="D56:I56"/>
    <mergeCell ref="K56:N56"/>
    <mergeCell ref="D315:G315"/>
    <mergeCell ref="D314:G314"/>
    <mergeCell ref="O117:Q117"/>
    <mergeCell ref="D127:I127"/>
    <mergeCell ref="D182:G182"/>
    <mergeCell ref="D214:G214"/>
    <mergeCell ref="D215:G215"/>
    <mergeCell ref="D216:G216"/>
    <mergeCell ref="D183:G183"/>
    <mergeCell ref="D241:G241"/>
    <mergeCell ref="D129:I129"/>
    <mergeCell ref="D187:G187"/>
    <mergeCell ref="D186:G186"/>
    <mergeCell ref="D176:G176"/>
    <mergeCell ref="D49:I49"/>
    <mergeCell ref="D308:G308"/>
    <mergeCell ref="D230:G230"/>
    <mergeCell ref="D229:G229"/>
    <mergeCell ref="D234:G234"/>
    <mergeCell ref="D233:G233"/>
    <mergeCell ref="D196:G196"/>
    <mergeCell ref="D195:G195"/>
    <mergeCell ref="D174:G174"/>
    <mergeCell ref="D76:G76"/>
    <mergeCell ref="D255:G255"/>
    <mergeCell ref="D105:I105"/>
    <mergeCell ref="D106:I106"/>
    <mergeCell ref="D172:G172"/>
    <mergeCell ref="D165:G165"/>
    <mergeCell ref="D177:G177"/>
    <mergeCell ref="D181:G181"/>
    <mergeCell ref="D180:G180"/>
    <mergeCell ref="D184:G184"/>
    <mergeCell ref="D261:G261"/>
    <mergeCell ref="D240:G240"/>
    <mergeCell ref="D178:G178"/>
    <mergeCell ref="D185:G185"/>
    <mergeCell ref="D170:G170"/>
    <mergeCell ref="D350:G350"/>
    <mergeCell ref="D232:G232"/>
    <mergeCell ref="D340:G340"/>
    <mergeCell ref="D341:G341"/>
    <mergeCell ref="D246:G246"/>
    <mergeCell ref="D202:G202"/>
    <mergeCell ref="D203:G203"/>
    <mergeCell ref="D204:G204"/>
    <mergeCell ref="D345:G345"/>
    <mergeCell ref="D275:G275"/>
    <mergeCell ref="D274:G274"/>
    <mergeCell ref="D270:G270"/>
    <mergeCell ref="D268:G268"/>
    <mergeCell ref="D267:G267"/>
    <mergeCell ref="D346:G346"/>
    <mergeCell ref="D317:G317"/>
    <mergeCell ref="D316:G316"/>
    <mergeCell ref="D266:G266"/>
    <mergeCell ref="D265:G265"/>
    <mergeCell ref="D264:G264"/>
    <mergeCell ref="D263:G263"/>
    <mergeCell ref="D262:G262"/>
    <mergeCell ref="D349:G349"/>
    <mergeCell ref="D344:G344"/>
    <mergeCell ref="D342:G342"/>
    <mergeCell ref="K129:P129"/>
    <mergeCell ref="D130:I130"/>
    <mergeCell ref="K130:P130"/>
    <mergeCell ref="D339:G339"/>
    <mergeCell ref="D231:G231"/>
    <mergeCell ref="K127:P127"/>
    <mergeCell ref="K128:P128"/>
    <mergeCell ref="D222:G222"/>
    <mergeCell ref="D228:G228"/>
    <mergeCell ref="D227:G227"/>
    <mergeCell ref="D226:G226"/>
    <mergeCell ref="D211:G211"/>
    <mergeCell ref="D200:G200"/>
    <mergeCell ref="D201:G201"/>
    <mergeCell ref="D188:G188"/>
    <mergeCell ref="D269:G269"/>
    <mergeCell ref="D276:G276"/>
    <mergeCell ref="D280:G280"/>
    <mergeCell ref="D299:G299"/>
    <mergeCell ref="D312:G312"/>
    <mergeCell ref="D190:G190"/>
    <mergeCell ref="D189:G189"/>
    <mergeCell ref="D217:G217"/>
    <mergeCell ref="D357:G357"/>
    <mergeCell ref="D356:G356"/>
    <mergeCell ref="D355:G355"/>
    <mergeCell ref="D347:G347"/>
    <mergeCell ref="D359:G359"/>
    <mergeCell ref="D388:G388"/>
    <mergeCell ref="D368:G368"/>
    <mergeCell ref="D367:G367"/>
    <mergeCell ref="D366:G366"/>
    <mergeCell ref="D377:G377"/>
    <mergeCell ref="D376:G376"/>
    <mergeCell ref="D375:G375"/>
    <mergeCell ref="D385:G385"/>
    <mergeCell ref="D378:G378"/>
    <mergeCell ref="D380:G380"/>
    <mergeCell ref="D379:G379"/>
    <mergeCell ref="D383:G383"/>
    <mergeCell ref="D382:G382"/>
    <mergeCell ref="D372:G372"/>
    <mergeCell ref="D358:G358"/>
    <mergeCell ref="D354:G354"/>
    <mergeCell ref="D353:G353"/>
    <mergeCell ref="D352:G352"/>
    <mergeCell ref="D351:G351"/>
    <mergeCell ref="K48:N48"/>
    <mergeCell ref="K49:N49"/>
    <mergeCell ref="D81:I81"/>
    <mergeCell ref="K50:N50"/>
    <mergeCell ref="K51:N51"/>
    <mergeCell ref="L111:N111"/>
    <mergeCell ref="K62:M62"/>
    <mergeCell ref="N62:N63"/>
    <mergeCell ref="D69:I69"/>
    <mergeCell ref="D64:G64"/>
    <mergeCell ref="D80:I80"/>
    <mergeCell ref="D65:G65"/>
    <mergeCell ref="D71:I71"/>
    <mergeCell ref="D83:I83"/>
    <mergeCell ref="D82:I82"/>
    <mergeCell ref="D103:I103"/>
    <mergeCell ref="D104:I104"/>
    <mergeCell ref="K68:P68"/>
    <mergeCell ref="M98:O98"/>
    <mergeCell ref="M99:O99"/>
    <mergeCell ref="M90:O90"/>
    <mergeCell ref="M91:O91"/>
    <mergeCell ref="M93:O93"/>
    <mergeCell ref="M94:O94"/>
    <mergeCell ref="D391:G391"/>
    <mergeCell ref="D423:G423"/>
    <mergeCell ref="D402:G402"/>
    <mergeCell ref="D399:G399"/>
    <mergeCell ref="D395:G395"/>
    <mergeCell ref="D412:G412"/>
    <mergeCell ref="D439:G439"/>
    <mergeCell ref="D438:G438"/>
    <mergeCell ref="D434:G434"/>
    <mergeCell ref="D407:G407"/>
    <mergeCell ref="D428:G428"/>
    <mergeCell ref="D408:G408"/>
    <mergeCell ref="D444:G444"/>
    <mergeCell ref="D419:G419"/>
    <mergeCell ref="D418:G418"/>
    <mergeCell ref="D417:G417"/>
    <mergeCell ref="D397:G397"/>
    <mergeCell ref="D425:G425"/>
    <mergeCell ref="D453:G453"/>
    <mergeCell ref="D424:G424"/>
    <mergeCell ref="D414:G414"/>
    <mergeCell ref="D416:G416"/>
    <mergeCell ref="D420:G420"/>
    <mergeCell ref="D421:G421"/>
    <mergeCell ref="D422:G422"/>
    <mergeCell ref="K47:N47"/>
    <mergeCell ref="D48:I48"/>
    <mergeCell ref="D70:I70"/>
    <mergeCell ref="J62:J63"/>
    <mergeCell ref="D118:G118"/>
    <mergeCell ref="I157:J157"/>
    <mergeCell ref="D160:G160"/>
    <mergeCell ref="D163:G163"/>
    <mergeCell ref="J73:J74"/>
    <mergeCell ref="N73:N74"/>
    <mergeCell ref="D52:I52"/>
    <mergeCell ref="D53:I53"/>
    <mergeCell ref="D54:I54"/>
    <mergeCell ref="D47:I47"/>
    <mergeCell ref="D68:I68"/>
    <mergeCell ref="D99:G99"/>
    <mergeCell ref="D77:G77"/>
    <mergeCell ref="D128:I128"/>
    <mergeCell ref="D97:G97"/>
    <mergeCell ref="D98:G98"/>
    <mergeCell ref="M92:O92"/>
    <mergeCell ref="D91:G91"/>
    <mergeCell ref="D89:G89"/>
    <mergeCell ref="D90:G90"/>
    <mergeCell ref="B3:F3"/>
    <mergeCell ref="G9:J9"/>
    <mergeCell ref="G10:J10"/>
    <mergeCell ref="D66:G66"/>
    <mergeCell ref="K66:M66"/>
    <mergeCell ref="M88:O88"/>
    <mergeCell ref="D75:G75"/>
    <mergeCell ref="K73:M73"/>
    <mergeCell ref="D92:G92"/>
    <mergeCell ref="M89:O89"/>
    <mergeCell ref="D50:I50"/>
    <mergeCell ref="D51:I51"/>
    <mergeCell ref="D45:I45"/>
    <mergeCell ref="D46:I46"/>
    <mergeCell ref="K46:N46"/>
    <mergeCell ref="K39:N39"/>
    <mergeCell ref="K40:N40"/>
    <mergeCell ref="K41:N41"/>
    <mergeCell ref="K42:N42"/>
    <mergeCell ref="K43:N43"/>
    <mergeCell ref="K44:N44"/>
    <mergeCell ref="K45:N45"/>
    <mergeCell ref="D40:I40"/>
    <mergeCell ref="K82:P82"/>
    <mergeCell ref="O119:Q119"/>
    <mergeCell ref="O120:Q120"/>
    <mergeCell ref="O121:Q121"/>
    <mergeCell ref="O118:Q118"/>
    <mergeCell ref="D120:G120"/>
    <mergeCell ref="D119:G119"/>
    <mergeCell ref="D95:G95"/>
    <mergeCell ref="D175:G175"/>
    <mergeCell ref="D169:G169"/>
    <mergeCell ref="D168:G168"/>
    <mergeCell ref="D116:G116"/>
    <mergeCell ref="D117:G117"/>
    <mergeCell ref="D113:G113"/>
    <mergeCell ref="D114:G114"/>
    <mergeCell ref="D115:G115"/>
    <mergeCell ref="D100:G100"/>
    <mergeCell ref="D121:G121"/>
    <mergeCell ref="C133:I133"/>
    <mergeCell ref="C132:I132"/>
    <mergeCell ref="D93:G93"/>
    <mergeCell ref="D94:G94"/>
    <mergeCell ref="O112:Q112"/>
    <mergeCell ref="O113:Q113"/>
    <mergeCell ref="O114:Q114"/>
    <mergeCell ref="O115:Q115"/>
    <mergeCell ref="O116:Q116"/>
    <mergeCell ref="K104:P104"/>
    <mergeCell ref="K105:P105"/>
    <mergeCell ref="K106:P106"/>
    <mergeCell ref="M95:O95"/>
    <mergeCell ref="M96:O96"/>
    <mergeCell ref="M97:O97"/>
    <mergeCell ref="D96:G96"/>
    <mergeCell ref="D209:G209"/>
    <mergeCell ref="D199:G199"/>
    <mergeCell ref="D212:G212"/>
    <mergeCell ref="D213:G213"/>
    <mergeCell ref="D193:G193"/>
    <mergeCell ref="D250:G250"/>
    <mergeCell ref="D260:G260"/>
    <mergeCell ref="D249:G249"/>
    <mergeCell ref="D248:G248"/>
    <mergeCell ref="D247:G247"/>
    <mergeCell ref="D235:G235"/>
    <mergeCell ref="D245:G245"/>
    <mergeCell ref="D244:G244"/>
    <mergeCell ref="D243:G243"/>
    <mergeCell ref="D242:G242"/>
    <mergeCell ref="D239:G239"/>
    <mergeCell ref="D223:G223"/>
    <mergeCell ref="D208:G208"/>
    <mergeCell ref="D205:G205"/>
    <mergeCell ref="D256:G256"/>
    <mergeCell ref="K53:N53"/>
    <mergeCell ref="K54:N54"/>
    <mergeCell ref="D413:G413"/>
    <mergeCell ref="D167:G167"/>
    <mergeCell ref="D166:G166"/>
    <mergeCell ref="D161:G161"/>
    <mergeCell ref="D162:G162"/>
    <mergeCell ref="D173:G173"/>
    <mergeCell ref="D171:G171"/>
    <mergeCell ref="K77:M77"/>
    <mergeCell ref="K83:P83"/>
    <mergeCell ref="D238:G238"/>
    <mergeCell ref="D237:G237"/>
    <mergeCell ref="D236:G236"/>
    <mergeCell ref="D210:G210"/>
    <mergeCell ref="D198:G198"/>
    <mergeCell ref="D254:G254"/>
    <mergeCell ref="D257:G257"/>
    <mergeCell ref="D179:G179"/>
    <mergeCell ref="D404:G404"/>
    <mergeCell ref="D396:G396"/>
    <mergeCell ref="D411:G411"/>
    <mergeCell ref="D392:G392"/>
    <mergeCell ref="D194:G194"/>
    <mergeCell ref="D295:G295"/>
    <mergeCell ref="D328:G328"/>
    <mergeCell ref="D327:G327"/>
    <mergeCell ref="D326:G326"/>
    <mergeCell ref="D258:G258"/>
    <mergeCell ref="D207:G207"/>
    <mergeCell ref="D218:G218"/>
    <mergeCell ref="D219:G219"/>
    <mergeCell ref="D220:G220"/>
    <mergeCell ref="D288:G288"/>
    <mergeCell ref="D287:G287"/>
    <mergeCell ref="D283:G283"/>
    <mergeCell ref="D282:G282"/>
    <mergeCell ref="D281:G281"/>
    <mergeCell ref="D279:G279"/>
    <mergeCell ref="D278:G278"/>
    <mergeCell ref="D253:G253"/>
    <mergeCell ref="D251:G251"/>
    <mergeCell ref="D252:G252"/>
    <mergeCell ref="D313:G313"/>
    <mergeCell ref="D311:G311"/>
    <mergeCell ref="D310:G310"/>
    <mergeCell ref="D309:G309"/>
    <mergeCell ref="D221:G221"/>
    <mergeCell ref="D297:G297"/>
    <mergeCell ref="D206:G206"/>
    <mergeCell ref="D296:G296"/>
    <mergeCell ref="D427:G427"/>
    <mergeCell ref="D330:G330"/>
    <mergeCell ref="D271:G271"/>
    <mergeCell ref="D286:G286"/>
    <mergeCell ref="D285:G285"/>
    <mergeCell ref="D284:G284"/>
    <mergeCell ref="D307:G307"/>
    <mergeCell ref="D306:G306"/>
    <mergeCell ref="D305:G305"/>
    <mergeCell ref="D294:G294"/>
    <mergeCell ref="D293:G293"/>
    <mergeCell ref="D292:G292"/>
    <mergeCell ref="D291:G291"/>
    <mergeCell ref="D290:G290"/>
    <mergeCell ref="D289:G289"/>
    <mergeCell ref="D304:G304"/>
    <mergeCell ref="D320:G320"/>
    <mergeCell ref="D318:G318"/>
    <mergeCell ref="D324:G324"/>
    <mergeCell ref="D323:G323"/>
    <mergeCell ref="D322:G322"/>
    <mergeCell ref="D510:G510"/>
    <mergeCell ref="D509:G509"/>
    <mergeCell ref="D508:G508"/>
    <mergeCell ref="D501:G501"/>
    <mergeCell ref="D464:G464"/>
    <mergeCell ref="D507:G507"/>
    <mergeCell ref="D506:G506"/>
    <mergeCell ref="D505:G505"/>
    <mergeCell ref="D325:G325"/>
    <mergeCell ref="D452:G452"/>
    <mergeCell ref="D451:G451"/>
    <mergeCell ref="D450:G450"/>
    <mergeCell ref="D449:G449"/>
    <mergeCell ref="D445:G445"/>
    <mergeCell ref="D460:G460"/>
    <mergeCell ref="D459:G459"/>
    <mergeCell ref="D456:G456"/>
    <mergeCell ref="D454:G454"/>
    <mergeCell ref="D455:G455"/>
    <mergeCell ref="D403:G403"/>
    <mergeCell ref="D333:G333"/>
    <mergeCell ref="D337:G337"/>
    <mergeCell ref="D389:G389"/>
    <mergeCell ref="D390:G390"/>
    <mergeCell ref="D516:G516"/>
    <mergeCell ref="D303:G303"/>
    <mergeCell ref="D302:G302"/>
    <mergeCell ref="D301:G301"/>
    <mergeCell ref="D300:G300"/>
    <mergeCell ref="D298:G298"/>
    <mergeCell ref="D277:G277"/>
    <mergeCell ref="D515:G515"/>
    <mergeCell ref="D514:G514"/>
    <mergeCell ref="D513:G513"/>
    <mergeCell ref="D512:G512"/>
    <mergeCell ref="D511:G511"/>
    <mergeCell ref="D498:G498"/>
    <mergeCell ref="D497:G497"/>
    <mergeCell ref="D500:G500"/>
    <mergeCell ref="D499:G499"/>
    <mergeCell ref="D504:G504"/>
    <mergeCell ref="D503:G503"/>
    <mergeCell ref="D502:G502"/>
    <mergeCell ref="D443:G443"/>
    <mergeCell ref="D442:G442"/>
    <mergeCell ref="D441:G441"/>
    <mergeCell ref="D440:G440"/>
    <mergeCell ref="D321:G321"/>
    <mergeCell ref="D272:G272"/>
    <mergeCell ref="D517:G517"/>
    <mergeCell ref="D483:G483"/>
    <mergeCell ref="D482:G482"/>
    <mergeCell ref="D495:G495"/>
    <mergeCell ref="D492:G492"/>
    <mergeCell ref="D472:G472"/>
    <mergeCell ref="D471:G471"/>
    <mergeCell ref="D493:G493"/>
    <mergeCell ref="D489:G489"/>
    <mergeCell ref="D488:G488"/>
    <mergeCell ref="D487:G487"/>
    <mergeCell ref="D486:G486"/>
    <mergeCell ref="D485:G485"/>
    <mergeCell ref="D484:G484"/>
    <mergeCell ref="D494:G494"/>
    <mergeCell ref="D481:G481"/>
    <mergeCell ref="D480:G480"/>
    <mergeCell ref="D479:G479"/>
    <mergeCell ref="D478:G478"/>
    <mergeCell ref="D477:G477"/>
    <mergeCell ref="D476:G476"/>
    <mergeCell ref="D475:G475"/>
    <mergeCell ref="D474:G474"/>
    <mergeCell ref="N31:P31"/>
    <mergeCell ref="N32:P32"/>
    <mergeCell ref="D491:G491"/>
    <mergeCell ref="D490:G490"/>
    <mergeCell ref="D496:G496"/>
    <mergeCell ref="D473:G473"/>
    <mergeCell ref="D164:G164"/>
    <mergeCell ref="D197:G197"/>
    <mergeCell ref="D415:G415"/>
    <mergeCell ref="D371:G371"/>
    <mergeCell ref="D319:G319"/>
    <mergeCell ref="D409:G409"/>
    <mergeCell ref="D458:G458"/>
    <mergeCell ref="D426:G426"/>
    <mergeCell ref="D437:G437"/>
    <mergeCell ref="D436:G436"/>
    <mergeCell ref="D435:G435"/>
    <mergeCell ref="D448:G448"/>
    <mergeCell ref="D447:G447"/>
    <mergeCell ref="D446:G446"/>
    <mergeCell ref="D457:G457"/>
    <mergeCell ref="D470:G470"/>
    <mergeCell ref="D469:G469"/>
    <mergeCell ref="D273:G273"/>
    <mergeCell ref="N23:P23"/>
    <mergeCell ref="N27:P27"/>
    <mergeCell ref="N20:P20"/>
    <mergeCell ref="N21:P21"/>
    <mergeCell ref="N22:P22"/>
    <mergeCell ref="N26:P26"/>
    <mergeCell ref="N28:P28"/>
    <mergeCell ref="N29:P29"/>
    <mergeCell ref="N30:P30"/>
  </mergeCells>
  <conditionalFormatting sqref="U64:U65">
    <cfRule type="cellIs" dxfId="111" priority="1" operator="notEqual">
      <formula>0</formula>
    </cfRule>
  </conditionalFormatting>
  <conditionalFormatting sqref="U75:U76">
    <cfRule type="cellIs" dxfId="110" priority="2" operator="notEqual">
      <formula>0</formula>
    </cfRule>
  </conditionalFormatting>
  <conditionalFormatting sqref="U113:U121">
    <cfRule type="cellIs" dxfId="109" priority="4" operator="notEqual">
      <formula>0</formula>
    </cfRule>
  </conditionalFormatting>
  <conditionalFormatting sqref="U157">
    <cfRule type="cellIs" dxfId="108" priority="5" operator="notEqual">
      <formula>0</formula>
    </cfRule>
  </conditionalFormatting>
  <conditionalFormatting sqref="I522">
    <cfRule type="cellIs" dxfId="107" priority="6" operator="notEqual">
      <formula>0</formula>
    </cfRule>
  </conditionalFormatting>
  <conditionalFormatting sqref="I523">
    <cfRule type="cellIs" dxfId="106" priority="7" operator="notEqual">
      <formula>0</formula>
    </cfRule>
  </conditionalFormatting>
  <conditionalFormatting sqref="U89:U99">
    <cfRule type="cellIs" dxfId="105" priority="8" operator="notEqual">
      <formula>0</formula>
    </cfRule>
  </conditionalFormatting>
  <dataValidations count="7">
    <dataValidation type="decimal" operator="greaterThanOrEqual" allowBlank="1" showDropDown="1" showErrorMessage="1" errorTitle="Invalid Assumption" error="Assumption must be a value greater than or equal to zero." sqref="J89:K99 J64:M65 I123 K113:K121 J75:M76 L160:L190 L193:L223 J395:L517 L226:L392">
      <formula1>0</formula1>
    </dataValidation>
    <dataValidation type="decimal" showDropDown="1" showErrorMessage="1" errorTitle="Invalid Assumption" error="Assumption must be between 0% and 100%." sqref="J15">
      <formula1>0</formula1>
      <formula2>1</formula2>
    </dataValidation>
    <dataValidation type="list" allowBlank="1" showInputMessage="1" showErrorMessage="1" errorTitle="Invalid Selection" error="Invalid selection. Please use the in-cell drop down to select the required item." sqref="D64:G65">
      <formula1>LU_Screen_Pers_Hosp</formula1>
    </dataValidation>
    <dataValidation type="list" allowBlank="1" showInputMessage="1" showErrorMessage="1" errorTitle="Invalid Selection" error="Invalid selection. Please use the in-cell drop down to select the required item." sqref="D75:G76">
      <formula1>LU_Screen_Pers_Oth</formula1>
    </dataValidation>
    <dataValidation type="list" allowBlank="1" showInputMessage="1" showErrorMessage="1" errorTitle="Invalid Selection" error="Invalid selection. Please use the in-cell drop down to select the required item." sqref="D113:G121">
      <formula1>LU_Screen_Equip</formula1>
    </dataValidation>
    <dataValidation type="custom" showErrorMessage="1" errorTitle="Invalid Assumption" error="Assumption must be a number." sqref="J39:J56 H26:L32 H21:L23">
      <formula1>NOT(ISERROR(H21/1))</formula1>
    </dataValidation>
    <dataValidation type="list" allowBlank="1" showInputMessage="1" showErrorMessage="1" errorTitle="Invalid Selection" error="Invalid selection. Please use the in-cell drop down to select the required item." sqref="D89:G99">
      <formula1>LU_Screen_Supplies</formula1>
    </dataValidation>
  </dataValidations>
  <hyperlinks>
    <hyperlink ref="A4" location="$A$5" tooltip="Go to Top of Sheet" display="$A$5"/>
    <hyperlink ref="B4" location="HL_Sheet_Main_38" tooltip="Go to Previous Sheet" display="HL_Sheet_Main_38"/>
    <hyperlink ref="C132:I132" location="HL_Screen_Ann_Ass" tooltip="Click to follow hyperlink." display="HL_Screen_Ann_Ass"/>
    <hyperlink ref="C133:I133" location="HL_Screen_Out" tooltip="Click to follow hyperlink." display="HL_Screen_Out"/>
    <hyperlink ref="C4" location="HL_Sheet_Main_18" tooltip="Go to Next Sheet" display="HL_Sheet_Main_18"/>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rgb="FFFFC000"/>
    <pageSetUpPr autoPageBreaks="0"/>
  </sheetPr>
  <dimension ref="A1:O267"/>
  <sheetViews>
    <sheetView showGridLines="0" zoomScaleNormal="100" workbookViewId="0">
      <pane ySplit="9" topLeftCell="A244" activePane="bottomLeft" state="frozen"/>
      <selection activeCell="N513" sqref="N513"/>
      <selection pane="bottomLeft" activeCell="F4" sqref="F4"/>
    </sheetView>
  </sheetViews>
  <sheetFormatPr defaultColWidth="11.7109375" defaultRowHeight="12.75" outlineLevelRow="2" outlineLevelCol="1" x14ac:dyDescent="0.2"/>
  <cols>
    <col min="1" max="1" width="3.7109375" style="105" customWidth="1"/>
    <col min="2" max="2" width="5.85546875" style="105" customWidth="1"/>
    <col min="3" max="4" width="3.85546875" style="105" customWidth="1"/>
    <col min="5" max="5" width="3.7109375" style="105" customWidth="1"/>
    <col min="6" max="6" width="11.7109375" style="105"/>
    <col min="7" max="7" width="14.7109375" style="105" customWidth="1"/>
    <col min="8" max="8" width="15.7109375" style="105" customWidth="1"/>
    <col min="9" max="9" width="11.7109375" style="105" customWidth="1"/>
    <col min="10" max="14" width="11.7109375" style="105" customWidth="1" outlineLevel="1"/>
    <col min="15" max="15" width="11.7109375" style="105" outlineLevel="1"/>
    <col min="16" max="16384" width="11.7109375" style="105"/>
  </cols>
  <sheetData>
    <row r="1" spans="1:15" ht="23.25" x14ac:dyDescent="0.2">
      <c r="A1" s="321"/>
      <c r="B1" s="106" t="s">
        <v>621</v>
      </c>
    </row>
    <row r="2" spans="1:15" ht="18.75" x14ac:dyDescent="0.2">
      <c r="B2" s="107" t="str">
        <f>Model_Name</f>
        <v>Zambia C4P* - Screening &amp; Treatment Tool</v>
      </c>
    </row>
    <row r="3" spans="1:15" x14ac:dyDescent="0.2">
      <c r="B3" s="722" t="s">
        <v>2</v>
      </c>
      <c r="C3" s="722"/>
      <c r="D3" s="722"/>
      <c r="E3" s="722"/>
      <c r="F3" s="722"/>
    </row>
    <row r="4" spans="1:15" x14ac:dyDescent="0.2">
      <c r="A4" s="108" t="s">
        <v>4</v>
      </c>
      <c r="B4" s="352" t="s">
        <v>6</v>
      </c>
      <c r="C4" s="110" t="s">
        <v>7</v>
      </c>
      <c r="D4" s="354" t="s">
        <v>27</v>
      </c>
      <c r="E4" s="355" t="s">
        <v>28</v>
      </c>
      <c r="F4" s="356" t="s">
        <v>29</v>
      </c>
    </row>
    <row r="5" spans="1:15" s="348" customFormat="1" x14ac:dyDescent="0.2">
      <c r="B5" s="200" t="str">
        <f>"Year Ending "&amp;INDEX(LU_TS_Mth_Names,DD_TS_Fin_Yr_End_Mth)</f>
        <v>Year Ending December</v>
      </c>
      <c r="C5" s="232"/>
      <c r="D5" s="232"/>
      <c r="E5" s="232"/>
      <c r="F5" s="232"/>
      <c r="G5" s="232"/>
      <c r="H5" s="232"/>
      <c r="I5" s="232"/>
      <c r="J5" s="455">
        <f t="shared" ref="J5:O5" si="0">J9</f>
        <v>2015</v>
      </c>
      <c r="K5" s="455">
        <f t="shared" si="0"/>
        <v>2016</v>
      </c>
      <c r="L5" s="455">
        <f t="shared" si="0"/>
        <v>2017</v>
      </c>
      <c r="M5" s="455">
        <f t="shared" si="0"/>
        <v>2018</v>
      </c>
      <c r="N5" s="455">
        <f t="shared" si="0"/>
        <v>2019</v>
      </c>
      <c r="O5" s="455">
        <f t="shared" si="0"/>
        <v>2020</v>
      </c>
    </row>
    <row r="6" spans="1:15" s="348" customFormat="1" hidden="1" outlineLevel="2" x14ac:dyDescent="0.2">
      <c r="B6" s="671" t="s">
        <v>70</v>
      </c>
      <c r="J6" s="118">
        <f t="shared" ref="J6:O6" si="1">EDATE(TS_Start_Date,(J8-1)*TS_Mths_In_Yr)</f>
        <v>42005</v>
      </c>
      <c r="K6" s="118">
        <f t="shared" si="1"/>
        <v>42370</v>
      </c>
      <c r="L6" s="118">
        <f t="shared" si="1"/>
        <v>42736</v>
      </c>
      <c r="M6" s="118">
        <f t="shared" si="1"/>
        <v>43101</v>
      </c>
      <c r="N6" s="118">
        <f t="shared" si="1"/>
        <v>43466</v>
      </c>
      <c r="O6" s="118">
        <f t="shared" si="1"/>
        <v>43831</v>
      </c>
    </row>
    <row r="7" spans="1:15" s="348" customFormat="1" hidden="1" outlineLevel="2" x14ac:dyDescent="0.2">
      <c r="B7" s="671" t="s">
        <v>71</v>
      </c>
      <c r="J7" s="118">
        <f t="shared" ref="J7:O7" si="2">EDATE(J6,TS_Mths_In_Yr)-1</f>
        <v>42369</v>
      </c>
      <c r="K7" s="118">
        <f t="shared" si="2"/>
        <v>42735</v>
      </c>
      <c r="L7" s="118">
        <f t="shared" si="2"/>
        <v>43100</v>
      </c>
      <c r="M7" s="118">
        <f t="shared" si="2"/>
        <v>43465</v>
      </c>
      <c r="N7" s="118">
        <f t="shared" si="2"/>
        <v>43830</v>
      </c>
      <c r="O7" s="118">
        <f t="shared" si="2"/>
        <v>44196</v>
      </c>
    </row>
    <row r="8" spans="1:15" s="348" customFormat="1" hidden="1" outlineLevel="2" x14ac:dyDescent="0.2">
      <c r="B8" s="671" t="s">
        <v>72</v>
      </c>
      <c r="J8" s="119">
        <f>COLUMNS($J8:J8)</f>
        <v>1</v>
      </c>
      <c r="K8" s="119">
        <f>COLUMNS($J8:K8)</f>
        <v>2</v>
      </c>
      <c r="L8" s="119">
        <f>COLUMNS($J8:L8)</f>
        <v>3</v>
      </c>
      <c r="M8" s="119">
        <f>COLUMNS($J8:M8)</f>
        <v>4</v>
      </c>
      <c r="N8" s="119">
        <f>COLUMNS($J8:N8)</f>
        <v>5</v>
      </c>
      <c r="O8" s="119">
        <f>COLUMNS($J8:O8)</f>
        <v>6</v>
      </c>
    </row>
    <row r="9" spans="1:15" s="348" customFormat="1" hidden="1" outlineLevel="2" x14ac:dyDescent="0.2">
      <c r="B9" s="120" t="s">
        <v>73</v>
      </c>
      <c r="C9" s="117"/>
      <c r="D9" s="117"/>
      <c r="E9" s="117"/>
      <c r="F9" s="117"/>
      <c r="G9" s="117"/>
      <c r="H9" s="117"/>
      <c r="I9" s="117"/>
      <c r="J9" s="121">
        <f t="shared" ref="J9:O9" si="3">YEAR(J7)</f>
        <v>2015</v>
      </c>
      <c r="K9" s="121">
        <f t="shared" si="3"/>
        <v>2016</v>
      </c>
      <c r="L9" s="121">
        <f t="shared" si="3"/>
        <v>2017</v>
      </c>
      <c r="M9" s="121">
        <f t="shared" si="3"/>
        <v>2018</v>
      </c>
      <c r="N9" s="121">
        <f t="shared" si="3"/>
        <v>2019</v>
      </c>
      <c r="O9" s="121">
        <f t="shared" si="3"/>
        <v>2020</v>
      </c>
    </row>
    <row r="10" spans="1:15" s="348" customFormat="1" collapsed="1" x14ac:dyDescent="0.2"/>
    <row r="11" spans="1:15" s="348" customFormat="1" x14ac:dyDescent="0.2"/>
    <row r="12" spans="1:15" s="348" customFormat="1" x14ac:dyDescent="0.2"/>
    <row r="13" spans="1:15" s="348" customFormat="1" ht="18.75" x14ac:dyDescent="0.2">
      <c r="B13" s="625" t="str">
        <f>HL_Screen_Ass &amp; "  Facilities"</f>
        <v>Visual Inspection with Acetic Acid - Assumptions  Facilities</v>
      </c>
    </row>
    <row r="14" spans="1:15" s="348" customFormat="1" x14ac:dyDescent="0.2"/>
    <row r="15" spans="1:15" s="348" customFormat="1" ht="15.75" x14ac:dyDescent="0.2">
      <c r="C15" s="124" t="str">
        <f>"Number Of Facilities To Offer "&amp;Screen_BA!G9</f>
        <v>Number Of Facilities To Offer Visual Inspection with Acetic Acid</v>
      </c>
    </row>
    <row r="16" spans="1:15" s="348" customFormat="1" ht="15" hidden="1" outlineLevel="1" x14ac:dyDescent="0.2">
      <c r="D16" s="667" t="s">
        <v>1611</v>
      </c>
      <c r="H16" s="314">
        <v>0</v>
      </c>
    </row>
    <row r="17" spans="4:15" s="348" customFormat="1" collapsed="1" x14ac:dyDescent="0.2"/>
    <row r="18" spans="4:15" s="348" customFormat="1" ht="15" x14ac:dyDescent="0.2">
      <c r="D18" s="669" t="str">
        <f ca="1">OFFSET(Labels_BA!D16,0,H16)</f>
        <v>Central Referral Hospital</v>
      </c>
    </row>
    <row r="19" spans="4:15" s="348" customFormat="1" x14ac:dyDescent="0.2"/>
    <row r="20" spans="4:15" s="348" customFormat="1" x14ac:dyDescent="0.2">
      <c r="D20" s="668" t="str">
        <f>Screen_BA!D137</f>
        <v>Central</v>
      </c>
      <c r="J20" s="372">
        <v>0</v>
      </c>
      <c r="K20" s="372">
        <v>0</v>
      </c>
      <c r="L20" s="372">
        <v>0</v>
      </c>
      <c r="M20" s="372">
        <v>0</v>
      </c>
      <c r="N20" s="372">
        <v>0</v>
      </c>
      <c r="O20" s="372">
        <v>0</v>
      </c>
    </row>
    <row r="21" spans="4:15" s="348" customFormat="1" x14ac:dyDescent="0.2">
      <c r="D21" s="668" t="str">
        <f>Screen_BA!D138</f>
        <v>Copperbelt</v>
      </c>
      <c r="J21" s="372">
        <v>2</v>
      </c>
      <c r="K21" s="372">
        <v>2</v>
      </c>
      <c r="L21" s="372">
        <v>2</v>
      </c>
      <c r="M21" s="372">
        <v>2</v>
      </c>
      <c r="N21" s="372">
        <v>2</v>
      </c>
      <c r="O21" s="372">
        <v>2</v>
      </c>
    </row>
    <row r="22" spans="4:15" s="348" customFormat="1" x14ac:dyDescent="0.2">
      <c r="D22" s="668" t="str">
        <f>Screen_BA!D139</f>
        <v>Eastern</v>
      </c>
      <c r="J22" s="372">
        <v>0</v>
      </c>
      <c r="K22" s="372">
        <v>0</v>
      </c>
      <c r="L22" s="372">
        <v>0</v>
      </c>
      <c r="M22" s="372">
        <v>0</v>
      </c>
      <c r="N22" s="372">
        <v>0</v>
      </c>
      <c r="O22" s="372">
        <v>0</v>
      </c>
    </row>
    <row r="23" spans="4:15" s="348" customFormat="1" x14ac:dyDescent="0.2">
      <c r="D23" s="668" t="str">
        <f>Screen_BA!D140</f>
        <v>Luapula</v>
      </c>
      <c r="J23" s="372">
        <v>0</v>
      </c>
      <c r="K23" s="372">
        <v>0</v>
      </c>
      <c r="L23" s="372">
        <v>0</v>
      </c>
      <c r="M23" s="372">
        <v>0</v>
      </c>
      <c r="N23" s="372">
        <v>0</v>
      </c>
      <c r="O23" s="372">
        <v>0</v>
      </c>
    </row>
    <row r="24" spans="4:15" s="348" customFormat="1" x14ac:dyDescent="0.2">
      <c r="D24" s="668" t="str">
        <f>Screen_BA!D141</f>
        <v>Lusaka</v>
      </c>
      <c r="J24" s="372">
        <v>1</v>
      </c>
      <c r="K24" s="372">
        <v>1</v>
      </c>
      <c r="L24" s="372">
        <v>1</v>
      </c>
      <c r="M24" s="372">
        <v>1</v>
      </c>
      <c r="N24" s="372">
        <v>1</v>
      </c>
      <c r="O24" s="372">
        <v>1</v>
      </c>
    </row>
    <row r="25" spans="4:15" s="348" customFormat="1" x14ac:dyDescent="0.2">
      <c r="D25" s="668" t="str">
        <f>Screen_BA!D142</f>
        <v>Muchinga</v>
      </c>
      <c r="J25" s="372">
        <v>0</v>
      </c>
      <c r="K25" s="372">
        <v>0</v>
      </c>
      <c r="L25" s="372">
        <v>0</v>
      </c>
      <c r="M25" s="372">
        <v>0</v>
      </c>
      <c r="N25" s="372">
        <v>0</v>
      </c>
      <c r="O25" s="372">
        <v>0</v>
      </c>
    </row>
    <row r="26" spans="4:15" s="348" customFormat="1" x14ac:dyDescent="0.2">
      <c r="D26" s="668" t="str">
        <f>Screen_BA!D143</f>
        <v>Northern</v>
      </c>
      <c r="J26" s="372">
        <v>0</v>
      </c>
      <c r="K26" s="372">
        <v>0</v>
      </c>
      <c r="L26" s="372">
        <v>0</v>
      </c>
      <c r="M26" s="372">
        <v>0</v>
      </c>
      <c r="N26" s="372">
        <v>0</v>
      </c>
      <c r="O26" s="372">
        <v>0</v>
      </c>
    </row>
    <row r="27" spans="4:15" s="348" customFormat="1" x14ac:dyDescent="0.2">
      <c r="D27" s="668" t="str">
        <f>Screen_BA!D144</f>
        <v>North-Western</v>
      </c>
      <c r="J27" s="372">
        <v>0</v>
      </c>
      <c r="K27" s="372">
        <v>0</v>
      </c>
      <c r="L27" s="372">
        <v>0</v>
      </c>
      <c r="M27" s="372">
        <v>0</v>
      </c>
      <c r="N27" s="372">
        <v>0</v>
      </c>
      <c r="O27" s="372">
        <v>0</v>
      </c>
    </row>
    <row r="28" spans="4:15" s="348" customFormat="1" x14ac:dyDescent="0.2">
      <c r="D28" s="668" t="str">
        <f>Screen_BA!D145</f>
        <v>Southern</v>
      </c>
      <c r="J28" s="372">
        <v>0</v>
      </c>
      <c r="K28" s="372">
        <v>0</v>
      </c>
      <c r="L28" s="372">
        <v>0</v>
      </c>
      <c r="M28" s="372">
        <v>0</v>
      </c>
      <c r="N28" s="372">
        <v>0</v>
      </c>
      <c r="O28" s="372">
        <v>0</v>
      </c>
    </row>
    <row r="29" spans="4:15" s="348" customFormat="1" x14ac:dyDescent="0.2">
      <c r="D29" s="668" t="str">
        <f>Screen_BA!D146</f>
        <v>Western</v>
      </c>
      <c r="J29" s="372">
        <v>0</v>
      </c>
      <c r="K29" s="372">
        <v>0</v>
      </c>
      <c r="L29" s="372">
        <v>0</v>
      </c>
      <c r="M29" s="372">
        <v>0</v>
      </c>
      <c r="N29" s="372">
        <v>0</v>
      </c>
      <c r="O29" s="372">
        <v>0</v>
      </c>
    </row>
    <row r="30" spans="4:15" s="348" customFormat="1" ht="15" x14ac:dyDescent="0.2">
      <c r="D30" s="667" t="s">
        <v>121</v>
      </c>
      <c r="J30" s="505">
        <f t="shared" ref="J30:O30" si="4">SUM(J20:J29)</f>
        <v>3</v>
      </c>
      <c r="K30" s="505">
        <f t="shared" si="4"/>
        <v>3</v>
      </c>
      <c r="L30" s="505">
        <f t="shared" si="4"/>
        <v>3</v>
      </c>
      <c r="M30" s="505">
        <f t="shared" si="4"/>
        <v>3</v>
      </c>
      <c r="N30" s="505">
        <f t="shared" si="4"/>
        <v>3</v>
      </c>
      <c r="O30" s="505">
        <f t="shared" si="4"/>
        <v>3</v>
      </c>
    </row>
    <row r="31" spans="4:15" s="348" customFormat="1" x14ac:dyDescent="0.2"/>
    <row r="32" spans="4:15" s="348" customFormat="1" ht="15" x14ac:dyDescent="0.2">
      <c r="D32" s="667" t="s">
        <v>1665</v>
      </c>
    </row>
    <row r="33" spans="4:15" s="348" customFormat="1" x14ac:dyDescent="0.2">
      <c r="D33" s="721" t="s">
        <v>1884</v>
      </c>
      <c r="E33" s="721"/>
      <c r="F33" s="721"/>
      <c r="G33" s="721"/>
      <c r="H33" s="721"/>
      <c r="I33" s="721"/>
    </row>
    <row r="34" spans="4:15" s="348" customFormat="1" x14ac:dyDescent="0.2">
      <c r="D34" s="721"/>
      <c r="E34" s="721"/>
      <c r="F34" s="721"/>
      <c r="G34" s="721"/>
      <c r="H34" s="721"/>
      <c r="I34" s="721"/>
    </row>
    <row r="35" spans="4:15" s="348" customFormat="1" x14ac:dyDescent="0.2">
      <c r="D35" s="721"/>
      <c r="E35" s="721"/>
      <c r="F35" s="721"/>
      <c r="G35" s="721"/>
      <c r="H35" s="721"/>
      <c r="I35" s="721"/>
    </row>
    <row r="36" spans="4:15" s="348" customFormat="1" x14ac:dyDescent="0.2">
      <c r="D36" s="721"/>
      <c r="E36" s="721"/>
      <c r="F36" s="721"/>
      <c r="G36" s="721"/>
      <c r="H36" s="721"/>
      <c r="I36" s="721"/>
    </row>
    <row r="37" spans="4:15" s="348" customFormat="1" x14ac:dyDescent="0.2"/>
    <row r="38" spans="4:15" s="348" customFormat="1" ht="15" hidden="1" outlineLevel="1" x14ac:dyDescent="0.2">
      <c r="D38" s="667" t="s">
        <v>1611</v>
      </c>
      <c r="H38" s="314">
        <v>1</v>
      </c>
    </row>
    <row r="39" spans="4:15" s="348" customFormat="1" collapsed="1" x14ac:dyDescent="0.2"/>
    <row r="40" spans="4:15" s="348" customFormat="1" ht="15" x14ac:dyDescent="0.2">
      <c r="D40" s="669" t="str">
        <f ca="1">OFFSET(Labels_BA!D16,0,H38)</f>
        <v>Provincial Hospital</v>
      </c>
    </row>
    <row r="41" spans="4:15" s="348" customFormat="1" x14ac:dyDescent="0.2"/>
    <row r="42" spans="4:15" s="348" customFormat="1" x14ac:dyDescent="0.2">
      <c r="D42" s="668" t="str">
        <f>Screen_BA!D137</f>
        <v>Central</v>
      </c>
      <c r="J42" s="372">
        <v>0</v>
      </c>
      <c r="K42" s="372">
        <v>0</v>
      </c>
      <c r="L42" s="372">
        <v>0</v>
      </c>
      <c r="M42" s="372">
        <v>0</v>
      </c>
      <c r="N42" s="372">
        <v>0</v>
      </c>
      <c r="O42" s="372">
        <v>0</v>
      </c>
    </row>
    <row r="43" spans="4:15" s="348" customFormat="1" x14ac:dyDescent="0.2">
      <c r="D43" s="668" t="str">
        <f>Screen_BA!D138</f>
        <v>Copperbelt</v>
      </c>
      <c r="J43" s="372">
        <v>1</v>
      </c>
      <c r="K43" s="372">
        <v>1</v>
      </c>
      <c r="L43" s="372">
        <v>1</v>
      </c>
      <c r="M43" s="372">
        <v>1</v>
      </c>
      <c r="N43" s="372">
        <v>1</v>
      </c>
      <c r="O43" s="372">
        <v>1</v>
      </c>
    </row>
    <row r="44" spans="4:15" s="348" customFormat="1" x14ac:dyDescent="0.2">
      <c r="D44" s="668" t="str">
        <f>Screen_BA!D139</f>
        <v>Eastern</v>
      </c>
      <c r="J44" s="372">
        <v>2</v>
      </c>
      <c r="K44" s="372">
        <v>2</v>
      </c>
      <c r="L44" s="372">
        <v>2</v>
      </c>
      <c r="M44" s="372">
        <v>2</v>
      </c>
      <c r="N44" s="372">
        <v>2</v>
      </c>
      <c r="O44" s="372">
        <v>2</v>
      </c>
    </row>
    <row r="45" spans="4:15" s="348" customFormat="1" x14ac:dyDescent="0.2">
      <c r="D45" s="668" t="str">
        <f>Screen_BA!D140</f>
        <v>Luapula</v>
      </c>
      <c r="J45" s="372">
        <v>1</v>
      </c>
      <c r="K45" s="372">
        <v>1</v>
      </c>
      <c r="L45" s="372">
        <v>1</v>
      </c>
      <c r="M45" s="372">
        <v>1</v>
      </c>
      <c r="N45" s="372">
        <v>1</v>
      </c>
      <c r="O45" s="372">
        <v>1</v>
      </c>
    </row>
    <row r="46" spans="4:15" s="348" customFormat="1" x14ac:dyDescent="0.2">
      <c r="D46" s="668" t="str">
        <f>Screen_BA!D141</f>
        <v>Lusaka</v>
      </c>
      <c r="J46" s="372">
        <v>0</v>
      </c>
      <c r="K46" s="372">
        <v>0</v>
      </c>
      <c r="L46" s="372">
        <v>0</v>
      </c>
      <c r="M46" s="372">
        <v>0</v>
      </c>
      <c r="N46" s="372">
        <v>0</v>
      </c>
      <c r="O46" s="372">
        <v>0</v>
      </c>
    </row>
    <row r="47" spans="4:15" s="348" customFormat="1" x14ac:dyDescent="0.2">
      <c r="D47" s="668" t="str">
        <f>Screen_BA!D142</f>
        <v>Muchinga</v>
      </c>
      <c r="J47" s="372">
        <v>0</v>
      </c>
      <c r="K47" s="372">
        <v>0</v>
      </c>
      <c r="L47" s="372">
        <v>0</v>
      </c>
      <c r="M47" s="372">
        <v>0</v>
      </c>
      <c r="N47" s="372">
        <v>0</v>
      </c>
      <c r="O47" s="372">
        <v>0</v>
      </c>
    </row>
    <row r="48" spans="4:15" s="348" customFormat="1" x14ac:dyDescent="0.2">
      <c r="D48" s="668" t="str">
        <f>Screen_BA!D143</f>
        <v>Northern</v>
      </c>
      <c r="J48" s="372">
        <v>1</v>
      </c>
      <c r="K48" s="372">
        <v>1</v>
      </c>
      <c r="L48" s="372">
        <v>1</v>
      </c>
      <c r="M48" s="372">
        <v>1</v>
      </c>
      <c r="N48" s="372">
        <v>1</v>
      </c>
      <c r="O48" s="372">
        <v>1</v>
      </c>
    </row>
    <row r="49" spans="4:15" s="348" customFormat="1" x14ac:dyDescent="0.2">
      <c r="D49" s="668" t="str">
        <f>Screen_BA!D144</f>
        <v>North-Western</v>
      </c>
      <c r="J49" s="372">
        <v>1</v>
      </c>
      <c r="K49" s="372">
        <v>1</v>
      </c>
      <c r="L49" s="372">
        <v>1</v>
      </c>
      <c r="M49" s="372">
        <v>1</v>
      </c>
      <c r="N49" s="372">
        <v>1</v>
      </c>
      <c r="O49" s="372">
        <v>1</v>
      </c>
    </row>
    <row r="50" spans="4:15" s="348" customFormat="1" x14ac:dyDescent="0.2">
      <c r="D50" s="668" t="str">
        <f>Screen_BA!D145</f>
        <v>Southern</v>
      </c>
      <c r="J50" s="372">
        <v>2</v>
      </c>
      <c r="K50" s="372">
        <v>2</v>
      </c>
      <c r="L50" s="372">
        <v>2</v>
      </c>
      <c r="M50" s="372">
        <v>2</v>
      </c>
      <c r="N50" s="372">
        <v>2</v>
      </c>
      <c r="O50" s="372">
        <v>2</v>
      </c>
    </row>
    <row r="51" spans="4:15" s="348" customFormat="1" x14ac:dyDescent="0.2">
      <c r="D51" s="668" t="str">
        <f>Screen_BA!D146</f>
        <v>Western</v>
      </c>
      <c r="J51" s="372">
        <v>1</v>
      </c>
      <c r="K51" s="372">
        <v>1</v>
      </c>
      <c r="L51" s="372">
        <v>1</v>
      </c>
      <c r="M51" s="372">
        <v>1</v>
      </c>
      <c r="N51" s="372">
        <v>1</v>
      </c>
      <c r="O51" s="372">
        <v>1</v>
      </c>
    </row>
    <row r="52" spans="4:15" s="348" customFormat="1" ht="15" x14ac:dyDescent="0.2">
      <c r="D52" s="667" t="s">
        <v>121</v>
      </c>
      <c r="J52" s="505">
        <f t="shared" ref="J52:O52" si="5">SUM(J42:J51)</f>
        <v>9</v>
      </c>
      <c r="K52" s="505">
        <f t="shared" si="5"/>
        <v>9</v>
      </c>
      <c r="L52" s="505">
        <f t="shared" si="5"/>
        <v>9</v>
      </c>
      <c r="M52" s="505">
        <f t="shared" si="5"/>
        <v>9</v>
      </c>
      <c r="N52" s="505">
        <f t="shared" si="5"/>
        <v>9</v>
      </c>
      <c r="O52" s="505">
        <f t="shared" si="5"/>
        <v>9</v>
      </c>
    </row>
    <row r="53" spans="4:15" s="348" customFormat="1" x14ac:dyDescent="0.2"/>
    <row r="54" spans="4:15" s="348" customFormat="1" ht="15" x14ac:dyDescent="0.2">
      <c r="D54" s="667" t="s">
        <v>1665</v>
      </c>
    </row>
    <row r="55" spans="4:15" s="348" customFormat="1" x14ac:dyDescent="0.2">
      <c r="D55" s="721" t="s">
        <v>1884</v>
      </c>
      <c r="E55" s="721"/>
      <c r="F55" s="721"/>
      <c r="G55" s="721"/>
      <c r="H55" s="721"/>
      <c r="I55" s="721"/>
    </row>
    <row r="56" spans="4:15" s="348" customFormat="1" x14ac:dyDescent="0.2">
      <c r="D56" s="721"/>
      <c r="E56" s="721"/>
      <c r="F56" s="721"/>
      <c r="G56" s="721"/>
      <c r="H56" s="721"/>
      <c r="I56" s="721"/>
    </row>
    <row r="57" spans="4:15" s="348" customFormat="1" x14ac:dyDescent="0.2">
      <c r="D57" s="721"/>
      <c r="E57" s="721"/>
      <c r="F57" s="721"/>
      <c r="G57" s="721"/>
      <c r="H57" s="721"/>
      <c r="I57" s="721"/>
    </row>
    <row r="58" spans="4:15" s="348" customFormat="1" x14ac:dyDescent="0.2">
      <c r="D58" s="721"/>
      <c r="E58" s="721"/>
      <c r="F58" s="721"/>
      <c r="G58" s="721"/>
      <c r="H58" s="721"/>
      <c r="I58" s="721"/>
    </row>
    <row r="59" spans="4:15" s="348" customFormat="1" ht="15" hidden="1" outlineLevel="1" x14ac:dyDescent="0.2">
      <c r="D59" s="667" t="s">
        <v>1611</v>
      </c>
      <c r="H59" s="314">
        <v>2</v>
      </c>
    </row>
    <row r="60" spans="4:15" s="348" customFormat="1" collapsed="1" x14ac:dyDescent="0.2"/>
    <row r="61" spans="4:15" s="348" customFormat="1" ht="15" x14ac:dyDescent="0.2">
      <c r="D61" s="669" t="str">
        <f ca="1">OFFSET(Labels_BA!D16,0,H59)</f>
        <v>District Hospital</v>
      </c>
    </row>
    <row r="62" spans="4:15" s="348" customFormat="1" x14ac:dyDescent="0.2"/>
    <row r="63" spans="4:15" s="348" customFormat="1" x14ac:dyDescent="0.2">
      <c r="D63" s="668" t="str">
        <f>Screen_BA!D137</f>
        <v>Central</v>
      </c>
      <c r="J63" s="372">
        <v>1</v>
      </c>
      <c r="K63" s="372">
        <v>1</v>
      </c>
      <c r="L63" s="372">
        <v>1</v>
      </c>
      <c r="M63" s="372">
        <v>1</v>
      </c>
      <c r="N63" s="372">
        <v>1</v>
      </c>
      <c r="O63" s="372">
        <v>1</v>
      </c>
    </row>
    <row r="64" spans="4:15" s="348" customFormat="1" x14ac:dyDescent="0.2">
      <c r="D64" s="668" t="str">
        <f>Screen_BA!D138</f>
        <v>Copperbelt</v>
      </c>
      <c r="J64" s="372">
        <v>0</v>
      </c>
      <c r="K64" s="372">
        <v>0</v>
      </c>
      <c r="L64" s="372">
        <v>0</v>
      </c>
      <c r="M64" s="372">
        <v>0</v>
      </c>
      <c r="N64" s="372">
        <v>0</v>
      </c>
      <c r="O64" s="372">
        <v>0</v>
      </c>
    </row>
    <row r="65" spans="4:15" s="348" customFormat="1" x14ac:dyDescent="0.2">
      <c r="D65" s="668" t="str">
        <f>Screen_BA!D139</f>
        <v>Eastern</v>
      </c>
      <c r="J65" s="372">
        <v>1</v>
      </c>
      <c r="K65" s="372">
        <v>1</v>
      </c>
      <c r="L65" s="372">
        <v>1</v>
      </c>
      <c r="M65" s="372">
        <v>1</v>
      </c>
      <c r="N65" s="372">
        <v>1</v>
      </c>
      <c r="O65" s="372">
        <v>1</v>
      </c>
    </row>
    <row r="66" spans="4:15" s="348" customFormat="1" x14ac:dyDescent="0.2">
      <c r="D66" s="668" t="str">
        <f>Screen_BA!D140</f>
        <v>Luapula</v>
      </c>
      <c r="J66" s="372">
        <v>2</v>
      </c>
      <c r="K66" s="372">
        <v>2</v>
      </c>
      <c r="L66" s="372">
        <v>2</v>
      </c>
      <c r="M66" s="372">
        <v>2</v>
      </c>
      <c r="N66" s="372">
        <v>2</v>
      </c>
      <c r="O66" s="372">
        <v>2</v>
      </c>
    </row>
    <row r="67" spans="4:15" s="348" customFormat="1" x14ac:dyDescent="0.2">
      <c r="D67" s="668" t="str">
        <f>Screen_BA!D141</f>
        <v>Lusaka</v>
      </c>
      <c r="J67" s="372">
        <v>0</v>
      </c>
      <c r="K67" s="372">
        <v>0</v>
      </c>
      <c r="L67" s="372">
        <v>0</v>
      </c>
      <c r="M67" s="372">
        <v>0</v>
      </c>
      <c r="N67" s="372">
        <v>0</v>
      </c>
      <c r="O67" s="372">
        <v>0</v>
      </c>
    </row>
    <row r="68" spans="4:15" s="348" customFormat="1" x14ac:dyDescent="0.2">
      <c r="D68" s="668" t="str">
        <f>Screen_BA!D142</f>
        <v>Muchinga</v>
      </c>
      <c r="J68" s="372">
        <v>0</v>
      </c>
      <c r="K68" s="372">
        <v>0</v>
      </c>
      <c r="L68" s="372">
        <v>0</v>
      </c>
      <c r="M68" s="372">
        <v>0</v>
      </c>
      <c r="N68" s="372">
        <v>0</v>
      </c>
      <c r="O68" s="372">
        <v>0</v>
      </c>
    </row>
    <row r="69" spans="4:15" s="348" customFormat="1" x14ac:dyDescent="0.2">
      <c r="D69" s="668" t="str">
        <f>Screen_BA!D143</f>
        <v>Northern</v>
      </c>
      <c r="J69" s="372">
        <v>0</v>
      </c>
      <c r="K69" s="372">
        <v>0</v>
      </c>
      <c r="L69" s="372">
        <v>0</v>
      </c>
      <c r="M69" s="372">
        <v>0</v>
      </c>
      <c r="N69" s="372">
        <v>0</v>
      </c>
      <c r="O69" s="372">
        <v>0</v>
      </c>
    </row>
    <row r="70" spans="4:15" s="348" customFormat="1" x14ac:dyDescent="0.2">
      <c r="D70" s="668" t="str">
        <f>Screen_BA!D144</f>
        <v>North-Western</v>
      </c>
      <c r="J70" s="372">
        <v>0</v>
      </c>
      <c r="K70" s="372">
        <v>0</v>
      </c>
      <c r="L70" s="372">
        <v>0</v>
      </c>
      <c r="M70" s="372">
        <v>0</v>
      </c>
      <c r="N70" s="372">
        <v>0</v>
      </c>
      <c r="O70" s="372">
        <v>0</v>
      </c>
    </row>
    <row r="71" spans="4:15" s="348" customFormat="1" x14ac:dyDescent="0.2">
      <c r="D71" s="668" t="str">
        <f>Screen_BA!D145</f>
        <v>Southern</v>
      </c>
      <c r="J71" s="372">
        <v>0</v>
      </c>
      <c r="K71" s="372">
        <v>0</v>
      </c>
      <c r="L71" s="372">
        <v>0</v>
      </c>
      <c r="M71" s="372">
        <v>0</v>
      </c>
      <c r="N71" s="372">
        <v>0</v>
      </c>
      <c r="O71" s="372">
        <v>0</v>
      </c>
    </row>
    <row r="72" spans="4:15" s="348" customFormat="1" x14ac:dyDescent="0.2">
      <c r="D72" s="668" t="str">
        <f>Screen_BA!D146</f>
        <v>Western</v>
      </c>
      <c r="J72" s="372">
        <v>2</v>
      </c>
      <c r="K72" s="372">
        <v>2</v>
      </c>
      <c r="L72" s="372">
        <v>2</v>
      </c>
      <c r="M72" s="372">
        <v>2</v>
      </c>
      <c r="N72" s="372">
        <v>2</v>
      </c>
      <c r="O72" s="372">
        <v>2</v>
      </c>
    </row>
    <row r="73" spans="4:15" s="348" customFormat="1" ht="15" x14ac:dyDescent="0.2">
      <c r="D73" s="667" t="s">
        <v>121</v>
      </c>
      <c r="J73" s="505">
        <f t="shared" ref="J73:O73" si="6">SUM(J63:J72)</f>
        <v>6</v>
      </c>
      <c r="K73" s="505">
        <f t="shared" si="6"/>
        <v>6</v>
      </c>
      <c r="L73" s="505">
        <f t="shared" si="6"/>
        <v>6</v>
      </c>
      <c r="M73" s="505">
        <f t="shared" si="6"/>
        <v>6</v>
      </c>
      <c r="N73" s="505">
        <f t="shared" si="6"/>
        <v>6</v>
      </c>
      <c r="O73" s="505">
        <f t="shared" si="6"/>
        <v>6</v>
      </c>
    </row>
    <row r="74" spans="4:15" s="348" customFormat="1" x14ac:dyDescent="0.2"/>
    <row r="75" spans="4:15" s="348" customFormat="1" ht="15" x14ac:dyDescent="0.2">
      <c r="D75" s="667" t="s">
        <v>1665</v>
      </c>
    </row>
    <row r="76" spans="4:15" s="348" customFormat="1" x14ac:dyDescent="0.2">
      <c r="D76" s="721" t="s">
        <v>1884</v>
      </c>
      <c r="E76" s="721"/>
      <c r="F76" s="721"/>
      <c r="G76" s="721"/>
      <c r="H76" s="721"/>
      <c r="I76" s="721"/>
    </row>
    <row r="77" spans="4:15" s="348" customFormat="1" x14ac:dyDescent="0.2">
      <c r="D77" s="721"/>
      <c r="E77" s="721"/>
      <c r="F77" s="721"/>
      <c r="G77" s="721"/>
      <c r="H77" s="721"/>
      <c r="I77" s="721"/>
    </row>
    <row r="78" spans="4:15" s="348" customFormat="1" x14ac:dyDescent="0.2">
      <c r="D78" s="721"/>
      <c r="E78" s="721"/>
      <c r="F78" s="721"/>
      <c r="G78" s="721"/>
      <c r="H78" s="721"/>
      <c r="I78" s="721"/>
    </row>
    <row r="79" spans="4:15" s="348" customFormat="1" x14ac:dyDescent="0.2">
      <c r="D79" s="721"/>
      <c r="E79" s="721"/>
      <c r="F79" s="721"/>
      <c r="G79" s="721"/>
      <c r="H79" s="721"/>
      <c r="I79" s="721"/>
    </row>
    <row r="80" spans="4:15" s="348" customFormat="1" ht="15" hidden="1" outlineLevel="1" x14ac:dyDescent="0.2">
      <c r="D80" s="667" t="s">
        <v>1611</v>
      </c>
      <c r="H80" s="314">
        <v>3</v>
      </c>
    </row>
    <row r="81" spans="4:15" s="348" customFormat="1" collapsed="1" x14ac:dyDescent="0.2"/>
    <row r="82" spans="4:15" s="348" customFormat="1" ht="15" x14ac:dyDescent="0.2">
      <c r="D82" s="669" t="str">
        <f ca="1">OFFSET(Labels_BA!D16,0,H80)</f>
        <v>Fixed Health Clinic</v>
      </c>
    </row>
    <row r="83" spans="4:15" s="348" customFormat="1" x14ac:dyDescent="0.2"/>
    <row r="84" spans="4:15" s="348" customFormat="1" x14ac:dyDescent="0.2">
      <c r="D84" s="668" t="str">
        <f>Screen_BA!D137</f>
        <v>Central</v>
      </c>
      <c r="J84" s="494">
        <v>1</v>
      </c>
      <c r="K84" s="494">
        <v>1</v>
      </c>
      <c r="L84" s="494">
        <v>1</v>
      </c>
      <c r="M84" s="494">
        <v>1</v>
      </c>
      <c r="N84" s="494">
        <v>1</v>
      </c>
      <c r="O84" s="494">
        <v>1</v>
      </c>
    </row>
    <row r="85" spans="4:15" s="348" customFormat="1" x14ac:dyDescent="0.2">
      <c r="D85" s="668" t="str">
        <f>Screen_BA!D138</f>
        <v>Copperbelt</v>
      </c>
      <c r="J85" s="494"/>
      <c r="K85" s="494"/>
      <c r="L85" s="494"/>
      <c r="M85" s="494"/>
      <c r="N85" s="494"/>
      <c r="O85" s="494"/>
    </row>
    <row r="86" spans="4:15" s="348" customFormat="1" x14ac:dyDescent="0.2">
      <c r="D86" s="668" t="str">
        <f>Screen_BA!D139</f>
        <v>Eastern</v>
      </c>
      <c r="J86" s="494">
        <v>1</v>
      </c>
      <c r="K86" s="494">
        <v>1</v>
      </c>
      <c r="L86" s="494">
        <v>1</v>
      </c>
      <c r="M86" s="494">
        <v>1</v>
      </c>
      <c r="N86" s="494">
        <v>1</v>
      </c>
      <c r="O86" s="494">
        <v>1</v>
      </c>
    </row>
    <row r="87" spans="4:15" s="348" customFormat="1" x14ac:dyDescent="0.2">
      <c r="D87" s="668" t="str">
        <f>Screen_BA!D140</f>
        <v>Luapula</v>
      </c>
      <c r="J87" s="494"/>
      <c r="K87" s="494"/>
      <c r="L87" s="494"/>
      <c r="M87" s="494"/>
      <c r="N87" s="494"/>
      <c r="O87" s="494"/>
    </row>
    <row r="88" spans="4:15" s="348" customFormat="1" x14ac:dyDescent="0.2">
      <c r="D88" s="668" t="str">
        <f>Screen_BA!D141</f>
        <v>Lusaka</v>
      </c>
      <c r="J88" s="494">
        <v>11</v>
      </c>
      <c r="K88" s="494">
        <v>11</v>
      </c>
      <c r="L88" s="494">
        <v>11</v>
      </c>
      <c r="M88" s="494">
        <v>11</v>
      </c>
      <c r="N88" s="494">
        <v>11</v>
      </c>
      <c r="O88" s="494">
        <v>11</v>
      </c>
    </row>
    <row r="89" spans="4:15" s="348" customFormat="1" x14ac:dyDescent="0.2">
      <c r="D89" s="668" t="str">
        <f>Screen_BA!D142</f>
        <v>Muchinga</v>
      </c>
      <c r="J89" s="494"/>
      <c r="K89" s="494"/>
      <c r="L89" s="494"/>
      <c r="M89" s="494"/>
      <c r="N89" s="494"/>
      <c r="O89" s="494"/>
    </row>
    <row r="90" spans="4:15" s="348" customFormat="1" x14ac:dyDescent="0.2">
      <c r="D90" s="668" t="str">
        <f>Screen_BA!D143</f>
        <v>Northern</v>
      </c>
      <c r="J90" s="494"/>
      <c r="K90" s="494"/>
      <c r="L90" s="494"/>
      <c r="M90" s="494"/>
      <c r="N90" s="494"/>
      <c r="O90" s="494"/>
    </row>
    <row r="91" spans="4:15" s="348" customFormat="1" x14ac:dyDescent="0.2">
      <c r="D91" s="668" t="str">
        <f>Screen_BA!D144</f>
        <v>North-Western</v>
      </c>
      <c r="J91" s="494"/>
      <c r="K91" s="494"/>
      <c r="L91" s="494"/>
      <c r="M91" s="494"/>
      <c r="N91" s="494"/>
      <c r="O91" s="494"/>
    </row>
    <row r="92" spans="4:15" s="348" customFormat="1" x14ac:dyDescent="0.2">
      <c r="D92" s="668" t="str">
        <f>Screen_BA!D145</f>
        <v>Southern</v>
      </c>
      <c r="J92" s="494">
        <v>1</v>
      </c>
      <c r="K92" s="494">
        <v>1</v>
      </c>
      <c r="L92" s="494">
        <v>1</v>
      </c>
      <c r="M92" s="494">
        <v>1</v>
      </c>
      <c r="N92" s="494">
        <v>1</v>
      </c>
      <c r="O92" s="494">
        <v>1</v>
      </c>
    </row>
    <row r="93" spans="4:15" s="348" customFormat="1" x14ac:dyDescent="0.2">
      <c r="D93" s="668" t="str">
        <f>Screen_BA!D146</f>
        <v>Western</v>
      </c>
      <c r="J93" s="494"/>
      <c r="K93" s="494"/>
      <c r="L93" s="494"/>
      <c r="M93" s="494"/>
      <c r="N93" s="494"/>
      <c r="O93" s="494"/>
    </row>
    <row r="94" spans="4:15" s="348" customFormat="1" ht="15" x14ac:dyDescent="0.2">
      <c r="D94" s="667" t="s">
        <v>121</v>
      </c>
      <c r="J94" s="505">
        <f t="shared" ref="J94:O94" si="7">SUM(J84:J93)</f>
        <v>14</v>
      </c>
      <c r="K94" s="505">
        <f t="shared" si="7"/>
        <v>14</v>
      </c>
      <c r="L94" s="505">
        <f t="shared" si="7"/>
        <v>14</v>
      </c>
      <c r="M94" s="505">
        <f t="shared" si="7"/>
        <v>14</v>
      </c>
      <c r="N94" s="505">
        <f t="shared" si="7"/>
        <v>14</v>
      </c>
      <c r="O94" s="505">
        <f t="shared" si="7"/>
        <v>14</v>
      </c>
    </row>
    <row r="95" spans="4:15" s="348" customFormat="1" x14ac:dyDescent="0.2"/>
    <row r="96" spans="4:15" s="348" customFormat="1" ht="15" x14ac:dyDescent="0.2">
      <c r="D96" s="667" t="s">
        <v>1665</v>
      </c>
    </row>
    <row r="97" spans="4:15" s="348" customFormat="1" x14ac:dyDescent="0.2">
      <c r="D97" s="721" t="s">
        <v>1884</v>
      </c>
      <c r="E97" s="721"/>
      <c r="F97" s="721"/>
      <c r="G97" s="721"/>
      <c r="H97" s="721"/>
      <c r="I97" s="721"/>
    </row>
    <row r="98" spans="4:15" s="348" customFormat="1" x14ac:dyDescent="0.2">
      <c r="D98" s="721"/>
      <c r="E98" s="721"/>
      <c r="F98" s="721"/>
      <c r="G98" s="721"/>
      <c r="H98" s="721"/>
      <c r="I98" s="721"/>
    </row>
    <row r="99" spans="4:15" s="348" customFormat="1" x14ac:dyDescent="0.2">
      <c r="D99" s="721"/>
      <c r="E99" s="721"/>
      <c r="F99" s="721"/>
      <c r="G99" s="721"/>
      <c r="H99" s="721"/>
      <c r="I99" s="721"/>
    </row>
    <row r="100" spans="4:15" s="348" customFormat="1" x14ac:dyDescent="0.2">
      <c r="D100" s="721"/>
      <c r="E100" s="721"/>
      <c r="F100" s="721"/>
      <c r="G100" s="721"/>
      <c r="H100" s="721"/>
      <c r="I100" s="721"/>
    </row>
    <row r="101" spans="4:15" s="348" customFormat="1" ht="15" hidden="1" outlineLevel="1" x14ac:dyDescent="0.2">
      <c r="D101" s="667" t="s">
        <v>1611</v>
      </c>
      <c r="H101" s="314">
        <v>4</v>
      </c>
    </row>
    <row r="102" spans="4:15" s="348" customFormat="1" collapsed="1" x14ac:dyDescent="0.2"/>
    <row r="103" spans="4:15" s="348" customFormat="1" ht="15" x14ac:dyDescent="0.2">
      <c r="D103" s="669" t="str">
        <f ca="1">OFFSET(Labels_BA!D16,0,H101)</f>
        <v>PCI Mobile Health Team</v>
      </c>
    </row>
    <row r="104" spans="4:15" s="348" customFormat="1" x14ac:dyDescent="0.2"/>
    <row r="105" spans="4:15" s="348" customFormat="1" x14ac:dyDescent="0.2">
      <c r="D105" s="668" t="str">
        <f>Screen_BA!D137</f>
        <v>Central</v>
      </c>
      <c r="J105" s="372"/>
      <c r="K105" s="372"/>
      <c r="L105" s="372"/>
      <c r="M105" s="372"/>
      <c r="N105" s="372"/>
      <c r="O105" s="372"/>
    </row>
    <row r="106" spans="4:15" s="348" customFormat="1" x14ac:dyDescent="0.2">
      <c r="D106" s="668" t="str">
        <f>Screen_BA!D138</f>
        <v>Copperbelt</v>
      </c>
      <c r="J106" s="372"/>
      <c r="K106" s="372"/>
      <c r="L106" s="372"/>
      <c r="M106" s="372"/>
      <c r="N106" s="372"/>
      <c r="O106" s="372"/>
    </row>
    <row r="107" spans="4:15" s="348" customFormat="1" x14ac:dyDescent="0.2">
      <c r="D107" s="668" t="str">
        <f>Screen_BA!D139</f>
        <v>Eastern</v>
      </c>
      <c r="J107" s="372"/>
      <c r="K107" s="372"/>
      <c r="L107" s="372"/>
      <c r="M107" s="372"/>
      <c r="N107" s="372"/>
      <c r="O107" s="372"/>
    </row>
    <row r="108" spans="4:15" s="348" customFormat="1" x14ac:dyDescent="0.2">
      <c r="D108" s="668" t="str">
        <f>Screen_BA!D140</f>
        <v>Luapula</v>
      </c>
      <c r="J108" s="372"/>
      <c r="K108" s="372"/>
      <c r="L108" s="372"/>
      <c r="M108" s="372"/>
      <c r="N108" s="372"/>
      <c r="O108" s="372"/>
    </row>
    <row r="109" spans="4:15" s="348" customFormat="1" x14ac:dyDescent="0.2">
      <c r="D109" s="668" t="str">
        <f>Screen_BA!D141</f>
        <v>Lusaka</v>
      </c>
      <c r="J109" s="372"/>
      <c r="K109" s="372"/>
      <c r="L109" s="372"/>
      <c r="M109" s="372"/>
      <c r="N109" s="372"/>
      <c r="O109" s="372"/>
    </row>
    <row r="110" spans="4:15" s="348" customFormat="1" x14ac:dyDescent="0.2">
      <c r="D110" s="668" t="str">
        <f>Screen_BA!D142</f>
        <v>Muchinga</v>
      </c>
      <c r="J110" s="372"/>
      <c r="K110" s="372"/>
      <c r="L110" s="372"/>
      <c r="M110" s="372"/>
      <c r="N110" s="372"/>
      <c r="O110" s="372"/>
    </row>
    <row r="111" spans="4:15" s="348" customFormat="1" x14ac:dyDescent="0.2">
      <c r="D111" s="668" t="str">
        <f>Screen_BA!D143</f>
        <v>Northern</v>
      </c>
      <c r="J111" s="372"/>
      <c r="K111" s="372"/>
      <c r="L111" s="372"/>
      <c r="M111" s="372"/>
      <c r="N111" s="372"/>
      <c r="O111" s="372"/>
    </row>
    <row r="112" spans="4:15" s="348" customFormat="1" x14ac:dyDescent="0.2">
      <c r="D112" s="668" t="str">
        <f>Screen_BA!D144</f>
        <v>North-Western</v>
      </c>
      <c r="J112" s="372"/>
      <c r="K112" s="372"/>
      <c r="L112" s="372"/>
      <c r="M112" s="372"/>
      <c r="N112" s="372"/>
      <c r="O112" s="372"/>
    </row>
    <row r="113" spans="4:15" s="348" customFormat="1" x14ac:dyDescent="0.2">
      <c r="D113" s="668" t="str">
        <f>Screen_BA!D145</f>
        <v>Southern</v>
      </c>
      <c r="J113" s="372"/>
      <c r="K113" s="372"/>
      <c r="L113" s="372"/>
      <c r="M113" s="372"/>
      <c r="N113" s="372"/>
      <c r="O113" s="372"/>
    </row>
    <row r="114" spans="4:15" s="348" customFormat="1" x14ac:dyDescent="0.2">
      <c r="D114" s="668" t="str">
        <f>Screen_BA!D146</f>
        <v>Western</v>
      </c>
      <c r="J114" s="372"/>
      <c r="K114" s="372"/>
      <c r="L114" s="372"/>
      <c r="M114" s="372"/>
      <c r="N114" s="372"/>
      <c r="O114" s="372"/>
    </row>
    <row r="115" spans="4:15" s="348" customFormat="1" ht="15" x14ac:dyDescent="0.2">
      <c r="D115" s="667" t="s">
        <v>121</v>
      </c>
      <c r="J115" s="505">
        <f t="shared" ref="J115:O115" si="8">SUM(J105:J114)</f>
        <v>0</v>
      </c>
      <c r="K115" s="505">
        <f t="shared" si="8"/>
        <v>0</v>
      </c>
      <c r="L115" s="505">
        <f t="shared" si="8"/>
        <v>0</v>
      </c>
      <c r="M115" s="505">
        <f t="shared" si="8"/>
        <v>0</v>
      </c>
      <c r="N115" s="505">
        <f t="shared" si="8"/>
        <v>0</v>
      </c>
      <c r="O115" s="505">
        <f t="shared" si="8"/>
        <v>0</v>
      </c>
    </row>
    <row r="116" spans="4:15" s="348" customFormat="1" x14ac:dyDescent="0.2"/>
    <row r="117" spans="4:15" s="348" customFormat="1" ht="15" x14ac:dyDescent="0.2">
      <c r="D117" s="667" t="s">
        <v>1665</v>
      </c>
    </row>
    <row r="118" spans="4:15" s="348" customFormat="1" x14ac:dyDescent="0.2">
      <c r="D118" s="721" t="s">
        <v>1884</v>
      </c>
      <c r="E118" s="721"/>
      <c r="F118" s="721"/>
      <c r="G118" s="721"/>
      <c r="H118" s="721"/>
      <c r="I118" s="721"/>
    </row>
    <row r="119" spans="4:15" s="348" customFormat="1" x14ac:dyDescent="0.2">
      <c r="D119" s="721"/>
      <c r="E119" s="721"/>
      <c r="F119" s="721"/>
      <c r="G119" s="721"/>
      <c r="H119" s="721"/>
      <c r="I119" s="721"/>
    </row>
    <row r="120" spans="4:15" s="348" customFormat="1" x14ac:dyDescent="0.2">
      <c r="D120" s="721"/>
      <c r="E120" s="721"/>
      <c r="F120" s="721"/>
      <c r="G120" s="721"/>
      <c r="H120" s="721"/>
      <c r="I120" s="721"/>
    </row>
    <row r="121" spans="4:15" s="348" customFormat="1" x14ac:dyDescent="0.2">
      <c r="D121" s="721"/>
      <c r="E121" s="721"/>
      <c r="F121" s="721"/>
      <c r="G121" s="721"/>
      <c r="H121" s="721"/>
      <c r="I121" s="721"/>
    </row>
    <row r="122" spans="4:15" s="348" customFormat="1" ht="15" hidden="1" outlineLevel="1" x14ac:dyDescent="0.2">
      <c r="D122" s="667" t="s">
        <v>1611</v>
      </c>
      <c r="H122" s="314">
        <v>5</v>
      </c>
    </row>
    <row r="123" spans="4:15" s="348" customFormat="1" collapsed="1" x14ac:dyDescent="0.2"/>
    <row r="124" spans="4:15" s="348" customFormat="1" ht="15" x14ac:dyDescent="0.2">
      <c r="D124" s="669" t="str">
        <f ca="1">OFFSET(Labels_BA!D16,0,H122)</f>
        <v>Gov't Mobile Health Team (Hospital)</v>
      </c>
    </row>
    <row r="125" spans="4:15" s="348" customFormat="1" x14ac:dyDescent="0.2"/>
    <row r="126" spans="4:15" s="348" customFormat="1" x14ac:dyDescent="0.2">
      <c r="D126" s="668" t="str">
        <f>Screen_BA!D137</f>
        <v>Central</v>
      </c>
      <c r="J126" s="494">
        <v>2</v>
      </c>
      <c r="K126" s="494">
        <v>2</v>
      </c>
      <c r="L126" s="494">
        <v>2</v>
      </c>
      <c r="M126" s="494">
        <v>2</v>
      </c>
      <c r="N126" s="494">
        <v>2</v>
      </c>
      <c r="O126" s="494">
        <v>2</v>
      </c>
    </row>
    <row r="127" spans="4:15" s="348" customFormat="1" x14ac:dyDescent="0.2">
      <c r="D127" s="668" t="str">
        <f>Screen_BA!D138</f>
        <v>Copperbelt</v>
      </c>
      <c r="J127" s="494">
        <v>2</v>
      </c>
      <c r="K127" s="494">
        <v>2</v>
      </c>
      <c r="L127" s="494">
        <v>2</v>
      </c>
      <c r="M127" s="494">
        <v>2</v>
      </c>
      <c r="N127" s="494">
        <v>2</v>
      </c>
      <c r="O127" s="494">
        <v>2</v>
      </c>
    </row>
    <row r="128" spans="4:15" s="348" customFormat="1" x14ac:dyDescent="0.2">
      <c r="D128" s="668" t="str">
        <f>Screen_BA!D139</f>
        <v>Eastern</v>
      </c>
      <c r="J128" s="494">
        <v>2</v>
      </c>
      <c r="K128" s="494">
        <v>2</v>
      </c>
      <c r="L128" s="494">
        <v>2</v>
      </c>
      <c r="M128" s="494">
        <v>2</v>
      </c>
      <c r="N128" s="494">
        <v>2</v>
      </c>
      <c r="O128" s="494">
        <v>2</v>
      </c>
    </row>
    <row r="129" spans="4:15" s="348" customFormat="1" x14ac:dyDescent="0.2">
      <c r="D129" s="668" t="str">
        <f>Screen_BA!D140</f>
        <v>Luapula</v>
      </c>
      <c r="J129" s="494">
        <v>2</v>
      </c>
      <c r="K129" s="494">
        <v>2</v>
      </c>
      <c r="L129" s="494">
        <v>2</v>
      </c>
      <c r="M129" s="494">
        <v>2</v>
      </c>
      <c r="N129" s="494">
        <v>2</v>
      </c>
      <c r="O129" s="494">
        <v>2</v>
      </c>
    </row>
    <row r="130" spans="4:15" s="348" customFormat="1" x14ac:dyDescent="0.2">
      <c r="D130" s="668" t="str">
        <f>Screen_BA!D141</f>
        <v>Lusaka</v>
      </c>
      <c r="J130" s="494">
        <v>2</v>
      </c>
      <c r="K130" s="494">
        <v>2</v>
      </c>
      <c r="L130" s="494">
        <v>2</v>
      </c>
      <c r="M130" s="494">
        <v>2</v>
      </c>
      <c r="N130" s="494">
        <v>2</v>
      </c>
      <c r="O130" s="494">
        <v>2</v>
      </c>
    </row>
    <row r="131" spans="4:15" s="348" customFormat="1" x14ac:dyDescent="0.2">
      <c r="D131" s="668" t="str">
        <f>Screen_BA!D142</f>
        <v>Muchinga</v>
      </c>
      <c r="J131" s="494">
        <v>1</v>
      </c>
      <c r="K131" s="494">
        <v>1</v>
      </c>
      <c r="L131" s="494">
        <v>1</v>
      </c>
      <c r="M131" s="494">
        <v>1</v>
      </c>
      <c r="N131" s="494">
        <v>1</v>
      </c>
      <c r="O131" s="494">
        <v>1</v>
      </c>
    </row>
    <row r="132" spans="4:15" s="348" customFormat="1" x14ac:dyDescent="0.2">
      <c r="D132" s="668" t="str">
        <f>Screen_BA!D143</f>
        <v>Northern</v>
      </c>
      <c r="J132" s="494">
        <v>1</v>
      </c>
      <c r="K132" s="494">
        <v>1</v>
      </c>
      <c r="L132" s="494">
        <v>1</v>
      </c>
      <c r="M132" s="494">
        <v>1</v>
      </c>
      <c r="N132" s="494">
        <v>1</v>
      </c>
      <c r="O132" s="494">
        <v>1</v>
      </c>
    </row>
    <row r="133" spans="4:15" s="348" customFormat="1" x14ac:dyDescent="0.2">
      <c r="D133" s="668" t="str">
        <f>Screen_BA!D144</f>
        <v>North-Western</v>
      </c>
      <c r="J133" s="494">
        <v>2</v>
      </c>
      <c r="K133" s="494">
        <v>2</v>
      </c>
      <c r="L133" s="494">
        <v>2</v>
      </c>
      <c r="M133" s="494">
        <v>2</v>
      </c>
      <c r="N133" s="494">
        <v>2</v>
      </c>
      <c r="O133" s="494">
        <v>2</v>
      </c>
    </row>
    <row r="134" spans="4:15" s="348" customFormat="1" x14ac:dyDescent="0.2">
      <c r="D134" s="668" t="str">
        <f>Screen_BA!D145</f>
        <v>Southern</v>
      </c>
      <c r="J134" s="494">
        <v>2</v>
      </c>
      <c r="K134" s="494">
        <v>2</v>
      </c>
      <c r="L134" s="494">
        <v>2</v>
      </c>
      <c r="M134" s="494">
        <v>2</v>
      </c>
      <c r="N134" s="494">
        <v>2</v>
      </c>
      <c r="O134" s="494">
        <v>2</v>
      </c>
    </row>
    <row r="135" spans="4:15" s="348" customFormat="1" x14ac:dyDescent="0.2">
      <c r="D135" s="668" t="str">
        <f>Screen_BA!D146</f>
        <v>Western</v>
      </c>
      <c r="J135" s="494">
        <v>2</v>
      </c>
      <c r="K135" s="494">
        <v>2</v>
      </c>
      <c r="L135" s="494">
        <v>2</v>
      </c>
      <c r="M135" s="494">
        <v>2</v>
      </c>
      <c r="N135" s="494">
        <v>2</v>
      </c>
      <c r="O135" s="494">
        <v>2</v>
      </c>
    </row>
    <row r="136" spans="4:15" s="348" customFormat="1" ht="15" x14ac:dyDescent="0.2">
      <c r="D136" s="667" t="s">
        <v>121</v>
      </c>
      <c r="J136" s="505">
        <f t="shared" ref="J136:O136" si="9">SUM(J126:J135)</f>
        <v>18</v>
      </c>
      <c r="K136" s="505">
        <f t="shared" si="9"/>
        <v>18</v>
      </c>
      <c r="L136" s="505">
        <f t="shared" si="9"/>
        <v>18</v>
      </c>
      <c r="M136" s="505">
        <f t="shared" si="9"/>
        <v>18</v>
      </c>
      <c r="N136" s="505">
        <f t="shared" si="9"/>
        <v>18</v>
      </c>
      <c r="O136" s="505">
        <f t="shared" si="9"/>
        <v>18</v>
      </c>
    </row>
    <row r="137" spans="4:15" s="348" customFormat="1" x14ac:dyDescent="0.2"/>
    <row r="138" spans="4:15" s="348" customFormat="1" ht="15" x14ac:dyDescent="0.2">
      <c r="D138" s="667" t="s">
        <v>1665</v>
      </c>
    </row>
    <row r="139" spans="4:15" s="348" customFormat="1" x14ac:dyDescent="0.2">
      <c r="D139" s="721"/>
      <c r="E139" s="721"/>
      <c r="F139" s="721"/>
      <c r="G139" s="721"/>
      <c r="H139" s="721"/>
      <c r="I139" s="721"/>
    </row>
    <row r="140" spans="4:15" s="348" customFormat="1" x14ac:dyDescent="0.2">
      <c r="D140" s="721"/>
      <c r="E140" s="721"/>
      <c r="F140" s="721"/>
      <c r="G140" s="721"/>
      <c r="H140" s="721"/>
      <c r="I140" s="721"/>
    </row>
    <row r="141" spans="4:15" s="348" customFormat="1" x14ac:dyDescent="0.2">
      <c r="D141" s="721"/>
      <c r="E141" s="721"/>
      <c r="F141" s="721"/>
      <c r="G141" s="721"/>
      <c r="H141" s="721"/>
      <c r="I141" s="721"/>
    </row>
    <row r="142" spans="4:15" s="348" customFormat="1" x14ac:dyDescent="0.2">
      <c r="D142" s="721"/>
      <c r="E142" s="721"/>
      <c r="F142" s="721"/>
      <c r="G142" s="721"/>
      <c r="H142" s="721"/>
      <c r="I142" s="721"/>
    </row>
    <row r="143" spans="4:15" s="348" customFormat="1" ht="15" hidden="1" outlineLevel="1" x14ac:dyDescent="0.2">
      <c r="D143" s="667" t="s">
        <v>1611</v>
      </c>
      <c r="H143" s="314">
        <v>6</v>
      </c>
    </row>
    <row r="144" spans="4:15" s="348" customFormat="1" collapsed="1" x14ac:dyDescent="0.2"/>
    <row r="145" spans="4:15" s="348" customFormat="1" ht="15" x14ac:dyDescent="0.2">
      <c r="D145" s="669" t="str">
        <f ca="1">OFFSET(Labels_BA!D16,0,H143)</f>
        <v>CIDRZ Mobile Health Team</v>
      </c>
    </row>
    <row r="146" spans="4:15" s="348" customFormat="1" x14ac:dyDescent="0.2"/>
    <row r="147" spans="4:15" s="348" customFormat="1" x14ac:dyDescent="0.2">
      <c r="D147" s="668" t="str">
        <f>Screen_BA!D137</f>
        <v>Central</v>
      </c>
      <c r="J147" s="372">
        <v>0</v>
      </c>
      <c r="K147" s="372">
        <v>0</v>
      </c>
      <c r="L147" s="372">
        <v>0</v>
      </c>
      <c r="M147" s="372">
        <v>0</v>
      </c>
      <c r="N147" s="372">
        <v>0</v>
      </c>
      <c r="O147" s="372">
        <v>0</v>
      </c>
    </row>
    <row r="148" spans="4:15" s="348" customFormat="1" x14ac:dyDescent="0.2">
      <c r="D148" s="668" t="str">
        <f>Screen_BA!D138</f>
        <v>Copperbelt</v>
      </c>
      <c r="J148" s="372">
        <v>0</v>
      </c>
      <c r="K148" s="372">
        <v>0</v>
      </c>
      <c r="L148" s="372">
        <v>0</v>
      </c>
      <c r="M148" s="372">
        <v>0</v>
      </c>
      <c r="N148" s="372">
        <v>0</v>
      </c>
      <c r="O148" s="372">
        <v>0</v>
      </c>
    </row>
    <row r="149" spans="4:15" s="348" customFormat="1" x14ac:dyDescent="0.2">
      <c r="D149" s="668" t="str">
        <f>Screen_BA!D139</f>
        <v>Eastern</v>
      </c>
      <c r="J149" s="372">
        <v>0</v>
      </c>
      <c r="K149" s="372">
        <v>0</v>
      </c>
      <c r="L149" s="372">
        <v>0</v>
      </c>
      <c r="M149" s="372">
        <v>0</v>
      </c>
      <c r="N149" s="372">
        <v>0</v>
      </c>
      <c r="O149" s="372">
        <v>0</v>
      </c>
    </row>
    <row r="150" spans="4:15" s="348" customFormat="1" x14ac:dyDescent="0.2">
      <c r="D150" s="668" t="str">
        <f>Screen_BA!D140</f>
        <v>Luapula</v>
      </c>
      <c r="J150" s="372">
        <v>0</v>
      </c>
      <c r="K150" s="372">
        <v>0</v>
      </c>
      <c r="L150" s="372">
        <v>0</v>
      </c>
      <c r="M150" s="372">
        <v>0</v>
      </c>
      <c r="N150" s="372">
        <v>0</v>
      </c>
      <c r="O150" s="372">
        <v>0</v>
      </c>
    </row>
    <row r="151" spans="4:15" s="348" customFormat="1" x14ac:dyDescent="0.2">
      <c r="D151" s="668" t="str">
        <f>Screen_BA!D141</f>
        <v>Lusaka</v>
      </c>
      <c r="J151" s="372">
        <v>0</v>
      </c>
      <c r="K151" s="372">
        <v>0</v>
      </c>
      <c r="L151" s="372">
        <v>0</v>
      </c>
      <c r="M151" s="372">
        <v>0</v>
      </c>
      <c r="N151" s="372">
        <v>0</v>
      </c>
      <c r="O151" s="372">
        <v>0</v>
      </c>
    </row>
    <row r="152" spans="4:15" s="348" customFormat="1" x14ac:dyDescent="0.2">
      <c r="D152" s="668" t="str">
        <f>Screen_BA!D142</f>
        <v>Muchinga</v>
      </c>
      <c r="J152" s="372">
        <v>0</v>
      </c>
      <c r="K152" s="372">
        <v>0</v>
      </c>
      <c r="L152" s="372">
        <v>0</v>
      </c>
      <c r="M152" s="372">
        <v>0</v>
      </c>
      <c r="N152" s="372">
        <v>0</v>
      </c>
      <c r="O152" s="372">
        <v>0</v>
      </c>
    </row>
    <row r="153" spans="4:15" s="348" customFormat="1" x14ac:dyDescent="0.2">
      <c r="D153" s="668" t="str">
        <f>Screen_BA!D143</f>
        <v>Northern</v>
      </c>
      <c r="J153" s="372">
        <v>0</v>
      </c>
      <c r="K153" s="372">
        <v>0</v>
      </c>
      <c r="L153" s="372">
        <v>0</v>
      </c>
      <c r="M153" s="372">
        <v>0</v>
      </c>
      <c r="N153" s="372">
        <v>0</v>
      </c>
      <c r="O153" s="372">
        <v>0</v>
      </c>
    </row>
    <row r="154" spans="4:15" s="348" customFormat="1" x14ac:dyDescent="0.2">
      <c r="D154" s="668" t="str">
        <f>Screen_BA!D144</f>
        <v>North-Western</v>
      </c>
      <c r="J154" s="372">
        <v>0</v>
      </c>
      <c r="K154" s="372">
        <v>0</v>
      </c>
      <c r="L154" s="372">
        <v>0</v>
      </c>
      <c r="M154" s="372">
        <v>0</v>
      </c>
      <c r="N154" s="372">
        <v>0</v>
      </c>
      <c r="O154" s="372">
        <v>0</v>
      </c>
    </row>
    <row r="155" spans="4:15" s="348" customFormat="1" x14ac:dyDescent="0.2">
      <c r="D155" s="668" t="str">
        <f>Screen_BA!D145</f>
        <v>Southern</v>
      </c>
      <c r="J155" s="372">
        <v>0</v>
      </c>
      <c r="K155" s="372">
        <v>0</v>
      </c>
      <c r="L155" s="372">
        <v>0</v>
      </c>
      <c r="M155" s="372">
        <v>0</v>
      </c>
      <c r="N155" s="372">
        <v>0</v>
      </c>
      <c r="O155" s="372">
        <v>0</v>
      </c>
    </row>
    <row r="156" spans="4:15" s="348" customFormat="1" x14ac:dyDescent="0.2">
      <c r="D156" s="668" t="str">
        <f>Screen_BA!D146</f>
        <v>Western</v>
      </c>
      <c r="J156" s="372">
        <v>0</v>
      </c>
      <c r="K156" s="372">
        <v>0</v>
      </c>
      <c r="L156" s="372">
        <v>0</v>
      </c>
      <c r="M156" s="372">
        <v>0</v>
      </c>
      <c r="N156" s="372">
        <v>0</v>
      </c>
      <c r="O156" s="372">
        <v>0</v>
      </c>
    </row>
    <row r="157" spans="4:15" s="348" customFormat="1" ht="15" x14ac:dyDescent="0.2">
      <c r="D157" s="667" t="s">
        <v>121</v>
      </c>
      <c r="J157" s="505">
        <f t="shared" ref="J157:O157" si="10">SUM(J147:J156)</f>
        <v>0</v>
      </c>
      <c r="K157" s="505">
        <f t="shared" si="10"/>
        <v>0</v>
      </c>
      <c r="L157" s="505">
        <f t="shared" si="10"/>
        <v>0</v>
      </c>
      <c r="M157" s="505">
        <f t="shared" si="10"/>
        <v>0</v>
      </c>
      <c r="N157" s="505">
        <f t="shared" si="10"/>
        <v>0</v>
      </c>
      <c r="O157" s="505">
        <f t="shared" si="10"/>
        <v>0</v>
      </c>
    </row>
    <row r="158" spans="4:15" s="348" customFormat="1" x14ac:dyDescent="0.2"/>
    <row r="159" spans="4:15" s="348" customFormat="1" ht="15" x14ac:dyDescent="0.2">
      <c r="D159" s="667" t="s">
        <v>1665</v>
      </c>
    </row>
    <row r="160" spans="4:15" s="348" customFormat="1" x14ac:dyDescent="0.2">
      <c r="D160" s="721" t="s">
        <v>1884</v>
      </c>
      <c r="E160" s="721"/>
      <c r="F160" s="721"/>
      <c r="G160" s="721"/>
      <c r="H160" s="721"/>
      <c r="I160" s="721"/>
    </row>
    <row r="161" spans="4:15" s="348" customFormat="1" x14ac:dyDescent="0.2">
      <c r="D161" s="721"/>
      <c r="E161" s="721"/>
      <c r="F161" s="721"/>
      <c r="G161" s="721"/>
      <c r="H161" s="721"/>
      <c r="I161" s="721"/>
    </row>
    <row r="162" spans="4:15" s="348" customFormat="1" x14ac:dyDescent="0.2">
      <c r="D162" s="721"/>
      <c r="E162" s="721"/>
      <c r="F162" s="721"/>
      <c r="G162" s="721"/>
      <c r="H162" s="721"/>
      <c r="I162" s="721"/>
    </row>
    <row r="163" spans="4:15" s="348" customFormat="1" x14ac:dyDescent="0.2">
      <c r="D163" s="721"/>
      <c r="E163" s="721"/>
      <c r="F163" s="721"/>
      <c r="G163" s="721"/>
      <c r="H163" s="721"/>
      <c r="I163" s="721"/>
    </row>
    <row r="164" spans="4:15" s="348" customFormat="1" ht="15" hidden="1" outlineLevel="1" x14ac:dyDescent="0.2">
      <c r="D164" s="667" t="s">
        <v>1611</v>
      </c>
      <c r="H164" s="314">
        <v>7</v>
      </c>
    </row>
    <row r="165" spans="4:15" s="348" customFormat="1" collapsed="1" x14ac:dyDescent="0.2"/>
    <row r="166" spans="4:15" s="348" customFormat="1" ht="15" x14ac:dyDescent="0.2">
      <c r="D166" s="669" t="str">
        <f ca="1">OFFSET(Labels_BA!D16,0,H164)</f>
        <v>Facility Type 8</v>
      </c>
    </row>
    <row r="167" spans="4:15" s="348" customFormat="1" x14ac:dyDescent="0.2"/>
    <row r="168" spans="4:15" s="348" customFormat="1" x14ac:dyDescent="0.2">
      <c r="D168" s="668" t="str">
        <f>Screen_BA!D137</f>
        <v>Central</v>
      </c>
      <c r="J168" s="372">
        <v>0</v>
      </c>
      <c r="K168" s="372">
        <v>0</v>
      </c>
      <c r="L168" s="372">
        <v>0</v>
      </c>
      <c r="M168" s="372">
        <v>0</v>
      </c>
      <c r="N168" s="372">
        <v>0</v>
      </c>
      <c r="O168" s="372">
        <v>0</v>
      </c>
    </row>
    <row r="169" spans="4:15" s="348" customFormat="1" x14ac:dyDescent="0.2">
      <c r="D169" s="668" t="str">
        <f>Screen_BA!D138</f>
        <v>Copperbelt</v>
      </c>
      <c r="J169" s="372">
        <v>0</v>
      </c>
      <c r="K169" s="372">
        <v>0</v>
      </c>
      <c r="L169" s="372">
        <v>0</v>
      </c>
      <c r="M169" s="372">
        <v>0</v>
      </c>
      <c r="N169" s="372">
        <v>0</v>
      </c>
      <c r="O169" s="372">
        <v>0</v>
      </c>
    </row>
    <row r="170" spans="4:15" s="348" customFormat="1" x14ac:dyDescent="0.2">
      <c r="D170" s="668" t="str">
        <f>Screen_BA!D139</f>
        <v>Eastern</v>
      </c>
      <c r="J170" s="372">
        <v>0</v>
      </c>
      <c r="K170" s="372">
        <v>0</v>
      </c>
      <c r="L170" s="372">
        <v>0</v>
      </c>
      <c r="M170" s="372">
        <v>0</v>
      </c>
      <c r="N170" s="372">
        <v>0</v>
      </c>
      <c r="O170" s="372">
        <v>0</v>
      </c>
    </row>
    <row r="171" spans="4:15" s="348" customFormat="1" x14ac:dyDescent="0.2">
      <c r="D171" s="668" t="str">
        <f>Screen_BA!D140</f>
        <v>Luapula</v>
      </c>
      <c r="J171" s="372">
        <v>0</v>
      </c>
      <c r="K171" s="372">
        <v>0</v>
      </c>
      <c r="L171" s="372">
        <v>0</v>
      </c>
      <c r="M171" s="372">
        <v>0</v>
      </c>
      <c r="N171" s="372">
        <v>0</v>
      </c>
      <c r="O171" s="372">
        <v>0</v>
      </c>
    </row>
    <row r="172" spans="4:15" s="348" customFormat="1" x14ac:dyDescent="0.2">
      <c r="D172" s="668" t="str">
        <f>Screen_BA!D141</f>
        <v>Lusaka</v>
      </c>
      <c r="J172" s="372">
        <v>0</v>
      </c>
      <c r="K172" s="372">
        <v>0</v>
      </c>
      <c r="L172" s="372">
        <v>0</v>
      </c>
      <c r="M172" s="372">
        <v>0</v>
      </c>
      <c r="N172" s="372">
        <v>0</v>
      </c>
      <c r="O172" s="372">
        <v>0</v>
      </c>
    </row>
    <row r="173" spans="4:15" s="348" customFormat="1" x14ac:dyDescent="0.2">
      <c r="D173" s="668" t="str">
        <f>Screen_BA!D142</f>
        <v>Muchinga</v>
      </c>
      <c r="J173" s="372">
        <v>0</v>
      </c>
      <c r="K173" s="372">
        <v>0</v>
      </c>
      <c r="L173" s="372">
        <v>0</v>
      </c>
      <c r="M173" s="372">
        <v>0</v>
      </c>
      <c r="N173" s="372">
        <v>0</v>
      </c>
      <c r="O173" s="372">
        <v>0</v>
      </c>
    </row>
    <row r="174" spans="4:15" s="348" customFormat="1" x14ac:dyDescent="0.2">
      <c r="D174" s="668" t="str">
        <f>Screen_BA!D143</f>
        <v>Northern</v>
      </c>
      <c r="J174" s="372">
        <v>0</v>
      </c>
      <c r="K174" s="372">
        <v>0</v>
      </c>
      <c r="L174" s="372">
        <v>0</v>
      </c>
      <c r="M174" s="372">
        <v>0</v>
      </c>
      <c r="N174" s="372">
        <v>0</v>
      </c>
      <c r="O174" s="372">
        <v>0</v>
      </c>
    </row>
    <row r="175" spans="4:15" s="348" customFormat="1" x14ac:dyDescent="0.2">
      <c r="D175" s="668" t="str">
        <f>Screen_BA!D144</f>
        <v>North-Western</v>
      </c>
      <c r="J175" s="372">
        <v>0</v>
      </c>
      <c r="K175" s="372">
        <v>0</v>
      </c>
      <c r="L175" s="372">
        <v>0</v>
      </c>
      <c r="M175" s="372">
        <v>0</v>
      </c>
      <c r="N175" s="372">
        <v>0</v>
      </c>
      <c r="O175" s="372">
        <v>0</v>
      </c>
    </row>
    <row r="176" spans="4:15" s="348" customFormat="1" x14ac:dyDescent="0.2">
      <c r="D176" s="668" t="str">
        <f>Screen_BA!D145</f>
        <v>Southern</v>
      </c>
      <c r="J176" s="372">
        <v>0</v>
      </c>
      <c r="K176" s="372">
        <v>0</v>
      </c>
      <c r="L176" s="372">
        <v>0</v>
      </c>
      <c r="M176" s="372">
        <v>0</v>
      </c>
      <c r="N176" s="372">
        <v>0</v>
      </c>
      <c r="O176" s="372">
        <v>0</v>
      </c>
    </row>
    <row r="177" spans="4:15" s="348" customFormat="1" x14ac:dyDescent="0.2">
      <c r="D177" s="668" t="str">
        <f>Screen_BA!D146</f>
        <v>Western</v>
      </c>
      <c r="J177" s="372">
        <v>0</v>
      </c>
      <c r="K177" s="372">
        <v>0</v>
      </c>
      <c r="L177" s="372">
        <v>0</v>
      </c>
      <c r="M177" s="372">
        <v>0</v>
      </c>
      <c r="N177" s="372">
        <v>0</v>
      </c>
      <c r="O177" s="372">
        <v>0</v>
      </c>
    </row>
    <row r="178" spans="4:15" s="348" customFormat="1" ht="15" x14ac:dyDescent="0.2">
      <c r="D178" s="667" t="s">
        <v>121</v>
      </c>
      <c r="J178" s="505">
        <f t="shared" ref="J178:O178" si="11">SUM(J168:J177)</f>
        <v>0</v>
      </c>
      <c r="K178" s="505">
        <f t="shared" si="11"/>
        <v>0</v>
      </c>
      <c r="L178" s="505">
        <f t="shared" si="11"/>
        <v>0</v>
      </c>
      <c r="M178" s="505">
        <f t="shared" si="11"/>
        <v>0</v>
      </c>
      <c r="N178" s="505">
        <f t="shared" si="11"/>
        <v>0</v>
      </c>
      <c r="O178" s="505">
        <f t="shared" si="11"/>
        <v>0</v>
      </c>
    </row>
    <row r="179" spans="4:15" s="348" customFormat="1" x14ac:dyDescent="0.2"/>
    <row r="180" spans="4:15" s="348" customFormat="1" ht="15" x14ac:dyDescent="0.2">
      <c r="D180" s="667" t="s">
        <v>1665</v>
      </c>
    </row>
    <row r="181" spans="4:15" s="348" customFormat="1" x14ac:dyDescent="0.2">
      <c r="D181" s="721"/>
      <c r="E181" s="721"/>
      <c r="F181" s="721"/>
      <c r="G181" s="721"/>
      <c r="H181" s="721"/>
      <c r="I181" s="721"/>
    </row>
    <row r="182" spans="4:15" s="348" customFormat="1" x14ac:dyDescent="0.2">
      <c r="D182" s="721"/>
      <c r="E182" s="721"/>
      <c r="F182" s="721"/>
      <c r="G182" s="721"/>
      <c r="H182" s="721"/>
      <c r="I182" s="721"/>
    </row>
    <row r="183" spans="4:15" s="348" customFormat="1" x14ac:dyDescent="0.2">
      <c r="D183" s="721"/>
      <c r="E183" s="721"/>
      <c r="F183" s="721"/>
      <c r="G183" s="721"/>
      <c r="H183" s="721"/>
      <c r="I183" s="721"/>
    </row>
    <row r="184" spans="4:15" s="348" customFormat="1" x14ac:dyDescent="0.2">
      <c r="D184" s="721"/>
      <c r="E184" s="721"/>
      <c r="F184" s="721"/>
      <c r="G184" s="721"/>
      <c r="H184" s="721"/>
      <c r="I184" s="721"/>
    </row>
    <row r="185" spans="4:15" s="348" customFormat="1" ht="15" hidden="1" outlineLevel="1" x14ac:dyDescent="0.2">
      <c r="D185" s="667" t="s">
        <v>1611</v>
      </c>
      <c r="H185" s="314">
        <v>8</v>
      </c>
    </row>
    <row r="186" spans="4:15" s="348" customFormat="1" collapsed="1" x14ac:dyDescent="0.2"/>
    <row r="187" spans="4:15" s="348" customFormat="1" ht="15" x14ac:dyDescent="0.2">
      <c r="D187" s="669" t="str">
        <f ca="1">OFFSET(Labels_BA!D16,0,H185)</f>
        <v>Facility Type 9</v>
      </c>
    </row>
    <row r="188" spans="4:15" s="348" customFormat="1" x14ac:dyDescent="0.2"/>
    <row r="189" spans="4:15" s="348" customFormat="1" x14ac:dyDescent="0.2">
      <c r="D189" s="668" t="str">
        <f>Screen_BA!D137</f>
        <v>Central</v>
      </c>
      <c r="J189" s="372">
        <v>0</v>
      </c>
      <c r="K189" s="372">
        <v>0</v>
      </c>
      <c r="L189" s="372">
        <v>0</v>
      </c>
      <c r="M189" s="372">
        <v>0</v>
      </c>
      <c r="N189" s="372">
        <v>0</v>
      </c>
      <c r="O189" s="372">
        <v>0</v>
      </c>
    </row>
    <row r="190" spans="4:15" s="348" customFormat="1" x14ac:dyDescent="0.2">
      <c r="D190" s="668" t="str">
        <f>Screen_BA!D138</f>
        <v>Copperbelt</v>
      </c>
      <c r="J190" s="372">
        <v>0</v>
      </c>
      <c r="K190" s="372">
        <v>0</v>
      </c>
      <c r="L190" s="372">
        <v>0</v>
      </c>
      <c r="M190" s="372">
        <v>0</v>
      </c>
      <c r="N190" s="372">
        <v>0</v>
      </c>
      <c r="O190" s="372">
        <v>0</v>
      </c>
    </row>
    <row r="191" spans="4:15" s="348" customFormat="1" x14ac:dyDescent="0.2">
      <c r="D191" s="668" t="str">
        <f>Screen_BA!D139</f>
        <v>Eastern</v>
      </c>
      <c r="J191" s="372">
        <v>0</v>
      </c>
      <c r="K191" s="372">
        <v>0</v>
      </c>
      <c r="L191" s="372">
        <v>0</v>
      </c>
      <c r="M191" s="372">
        <v>0</v>
      </c>
      <c r="N191" s="372">
        <v>0</v>
      </c>
      <c r="O191" s="372">
        <v>0</v>
      </c>
    </row>
    <row r="192" spans="4:15" s="348" customFormat="1" x14ac:dyDescent="0.2">
      <c r="D192" s="668" t="str">
        <f>Screen_BA!D140</f>
        <v>Luapula</v>
      </c>
      <c r="J192" s="372">
        <v>0</v>
      </c>
      <c r="K192" s="372">
        <v>0</v>
      </c>
      <c r="L192" s="372">
        <v>0</v>
      </c>
      <c r="M192" s="372">
        <v>0</v>
      </c>
      <c r="N192" s="372">
        <v>0</v>
      </c>
      <c r="O192" s="372">
        <v>0</v>
      </c>
    </row>
    <row r="193" spans="4:15" s="348" customFormat="1" x14ac:dyDescent="0.2">
      <c r="D193" s="668" t="str">
        <f>Screen_BA!D141</f>
        <v>Lusaka</v>
      </c>
      <c r="J193" s="372">
        <v>0</v>
      </c>
      <c r="K193" s="372">
        <v>0</v>
      </c>
      <c r="L193" s="372">
        <v>0</v>
      </c>
      <c r="M193" s="372">
        <v>0</v>
      </c>
      <c r="N193" s="372">
        <v>0</v>
      </c>
      <c r="O193" s="372">
        <v>0</v>
      </c>
    </row>
    <row r="194" spans="4:15" s="348" customFormat="1" x14ac:dyDescent="0.2">
      <c r="D194" s="668" t="str">
        <f>Screen_BA!D142</f>
        <v>Muchinga</v>
      </c>
      <c r="J194" s="372">
        <v>0</v>
      </c>
      <c r="K194" s="372">
        <v>0</v>
      </c>
      <c r="L194" s="372">
        <v>0</v>
      </c>
      <c r="M194" s="372">
        <v>0</v>
      </c>
      <c r="N194" s="372">
        <v>0</v>
      </c>
      <c r="O194" s="372">
        <v>0</v>
      </c>
    </row>
    <row r="195" spans="4:15" s="348" customFormat="1" x14ac:dyDescent="0.2">
      <c r="D195" s="668" t="str">
        <f>Screen_BA!D143</f>
        <v>Northern</v>
      </c>
      <c r="J195" s="372">
        <v>0</v>
      </c>
      <c r="K195" s="372">
        <v>0</v>
      </c>
      <c r="L195" s="372">
        <v>0</v>
      </c>
      <c r="M195" s="372">
        <v>0</v>
      </c>
      <c r="N195" s="372">
        <v>0</v>
      </c>
      <c r="O195" s="372">
        <v>0</v>
      </c>
    </row>
    <row r="196" spans="4:15" s="348" customFormat="1" x14ac:dyDescent="0.2">
      <c r="D196" s="668" t="str">
        <f>Screen_BA!D144</f>
        <v>North-Western</v>
      </c>
      <c r="J196" s="372">
        <v>0</v>
      </c>
      <c r="K196" s="372">
        <v>0</v>
      </c>
      <c r="L196" s="372">
        <v>0</v>
      </c>
      <c r="M196" s="372">
        <v>0</v>
      </c>
      <c r="N196" s="372">
        <v>0</v>
      </c>
      <c r="O196" s="372">
        <v>0</v>
      </c>
    </row>
    <row r="197" spans="4:15" s="348" customFormat="1" x14ac:dyDescent="0.2">
      <c r="D197" s="668" t="str">
        <f>Screen_BA!D145</f>
        <v>Southern</v>
      </c>
      <c r="J197" s="372">
        <v>0</v>
      </c>
      <c r="K197" s="372">
        <v>0</v>
      </c>
      <c r="L197" s="372">
        <v>0</v>
      </c>
      <c r="M197" s="372">
        <v>0</v>
      </c>
      <c r="N197" s="372">
        <v>0</v>
      </c>
      <c r="O197" s="372">
        <v>0</v>
      </c>
    </row>
    <row r="198" spans="4:15" s="348" customFormat="1" x14ac:dyDescent="0.2">
      <c r="D198" s="668" t="str">
        <f>Screen_BA!D146</f>
        <v>Western</v>
      </c>
      <c r="J198" s="372">
        <v>0</v>
      </c>
      <c r="K198" s="372">
        <v>0</v>
      </c>
      <c r="L198" s="372">
        <v>0</v>
      </c>
      <c r="M198" s="372">
        <v>0</v>
      </c>
      <c r="N198" s="372">
        <v>0</v>
      </c>
      <c r="O198" s="372">
        <v>0</v>
      </c>
    </row>
    <row r="199" spans="4:15" s="348" customFormat="1" ht="15" x14ac:dyDescent="0.2">
      <c r="D199" s="667" t="s">
        <v>121</v>
      </c>
      <c r="J199" s="505">
        <f t="shared" ref="J199:O199" si="12">SUM(J189:J198)</f>
        <v>0</v>
      </c>
      <c r="K199" s="505">
        <f t="shared" si="12"/>
        <v>0</v>
      </c>
      <c r="L199" s="505">
        <f t="shared" si="12"/>
        <v>0</v>
      </c>
      <c r="M199" s="505">
        <f t="shared" si="12"/>
        <v>0</v>
      </c>
      <c r="N199" s="505">
        <f t="shared" si="12"/>
        <v>0</v>
      </c>
      <c r="O199" s="505">
        <f t="shared" si="12"/>
        <v>0</v>
      </c>
    </row>
    <row r="200" spans="4:15" s="348" customFormat="1" x14ac:dyDescent="0.2"/>
    <row r="201" spans="4:15" s="348" customFormat="1" ht="15" x14ac:dyDescent="0.2">
      <c r="D201" s="667" t="s">
        <v>1665</v>
      </c>
    </row>
    <row r="202" spans="4:15" s="348" customFormat="1" x14ac:dyDescent="0.2">
      <c r="D202" s="721"/>
      <c r="E202" s="721"/>
      <c r="F202" s="721"/>
      <c r="G202" s="721"/>
      <c r="H202" s="721"/>
      <c r="I202" s="721"/>
    </row>
    <row r="203" spans="4:15" s="348" customFormat="1" x14ac:dyDescent="0.2">
      <c r="D203" s="721"/>
      <c r="E203" s="721"/>
      <c r="F203" s="721"/>
      <c r="G203" s="721"/>
      <c r="H203" s="721"/>
      <c r="I203" s="721"/>
    </row>
    <row r="204" spans="4:15" s="348" customFormat="1" x14ac:dyDescent="0.2">
      <c r="D204" s="721"/>
      <c r="E204" s="721"/>
      <c r="F204" s="721"/>
      <c r="G204" s="721"/>
      <c r="H204" s="721"/>
      <c r="I204" s="721"/>
    </row>
    <row r="205" spans="4:15" s="348" customFormat="1" x14ac:dyDescent="0.2">
      <c r="D205" s="721"/>
      <c r="E205" s="721"/>
      <c r="F205" s="721"/>
      <c r="G205" s="721"/>
      <c r="H205" s="721"/>
      <c r="I205" s="721"/>
    </row>
    <row r="206" spans="4:15" s="348" customFormat="1" ht="15" hidden="1" outlineLevel="1" x14ac:dyDescent="0.2">
      <c r="D206" s="667" t="s">
        <v>1611</v>
      </c>
      <c r="H206" s="314">
        <v>9</v>
      </c>
    </row>
    <row r="207" spans="4:15" s="348" customFormat="1" collapsed="1" x14ac:dyDescent="0.2"/>
    <row r="208" spans="4:15" s="348" customFormat="1" ht="15" x14ac:dyDescent="0.2">
      <c r="D208" s="669" t="str">
        <f ca="1">OFFSET(Labels_BA!D16,0,H206)</f>
        <v>Facility Type 10</v>
      </c>
    </row>
    <row r="209" spans="4:15" s="348" customFormat="1" x14ac:dyDescent="0.2"/>
    <row r="210" spans="4:15" s="348" customFormat="1" hidden="1" x14ac:dyDescent="0.2">
      <c r="D210" s="668" t="str">
        <f>Screen_BA!D137</f>
        <v>Central</v>
      </c>
      <c r="J210" s="372">
        <v>0</v>
      </c>
      <c r="K210" s="372">
        <v>0</v>
      </c>
      <c r="L210" s="372">
        <v>0</v>
      </c>
      <c r="M210" s="372">
        <v>0</v>
      </c>
      <c r="N210" s="372">
        <v>0</v>
      </c>
      <c r="O210" s="372">
        <v>0</v>
      </c>
    </row>
    <row r="211" spans="4:15" s="348" customFormat="1" hidden="1" x14ac:dyDescent="0.2">
      <c r="D211" s="668" t="str">
        <f>Screen_BA!D138</f>
        <v>Copperbelt</v>
      </c>
      <c r="J211" s="372">
        <v>0</v>
      </c>
      <c r="K211" s="372">
        <v>0</v>
      </c>
      <c r="L211" s="372">
        <v>0</v>
      </c>
      <c r="M211" s="372">
        <v>0</v>
      </c>
      <c r="N211" s="372">
        <v>0</v>
      </c>
      <c r="O211" s="372">
        <v>0</v>
      </c>
    </row>
    <row r="212" spans="4:15" s="348" customFormat="1" hidden="1" x14ac:dyDescent="0.2">
      <c r="D212" s="668" t="str">
        <f>Screen_BA!D139</f>
        <v>Eastern</v>
      </c>
      <c r="J212" s="372">
        <v>0</v>
      </c>
      <c r="K212" s="372">
        <v>0</v>
      </c>
      <c r="L212" s="372">
        <v>0</v>
      </c>
      <c r="M212" s="372">
        <v>0</v>
      </c>
      <c r="N212" s="372">
        <v>0</v>
      </c>
      <c r="O212" s="372">
        <v>0</v>
      </c>
    </row>
    <row r="213" spans="4:15" s="348" customFormat="1" hidden="1" x14ac:dyDescent="0.2">
      <c r="D213" s="668" t="str">
        <f>Screen_BA!D140</f>
        <v>Luapula</v>
      </c>
      <c r="J213" s="372">
        <v>0</v>
      </c>
      <c r="K213" s="372">
        <v>0</v>
      </c>
      <c r="L213" s="372">
        <v>0</v>
      </c>
      <c r="M213" s="372">
        <v>0</v>
      </c>
      <c r="N213" s="372">
        <v>0</v>
      </c>
      <c r="O213" s="372">
        <v>0</v>
      </c>
    </row>
    <row r="214" spans="4:15" s="348" customFormat="1" hidden="1" x14ac:dyDescent="0.2">
      <c r="D214" s="668" t="str">
        <f>Screen_BA!D141</f>
        <v>Lusaka</v>
      </c>
      <c r="J214" s="372">
        <v>0</v>
      </c>
      <c r="K214" s="372">
        <v>0</v>
      </c>
      <c r="L214" s="372">
        <v>0</v>
      </c>
      <c r="M214" s="372">
        <v>0</v>
      </c>
      <c r="N214" s="372">
        <v>0</v>
      </c>
      <c r="O214" s="372">
        <v>0</v>
      </c>
    </row>
    <row r="215" spans="4:15" s="348" customFormat="1" hidden="1" x14ac:dyDescent="0.2">
      <c r="D215" s="668" t="str">
        <f>Screen_BA!D142</f>
        <v>Muchinga</v>
      </c>
      <c r="J215" s="372">
        <v>0</v>
      </c>
      <c r="K215" s="372">
        <v>0</v>
      </c>
      <c r="L215" s="372">
        <v>0</v>
      </c>
      <c r="M215" s="372">
        <v>0</v>
      </c>
      <c r="N215" s="372">
        <v>0</v>
      </c>
      <c r="O215" s="372">
        <v>0</v>
      </c>
    </row>
    <row r="216" spans="4:15" s="348" customFormat="1" hidden="1" x14ac:dyDescent="0.2">
      <c r="D216" s="668" t="str">
        <f>Screen_BA!D143</f>
        <v>Northern</v>
      </c>
      <c r="J216" s="372">
        <v>0</v>
      </c>
      <c r="K216" s="372">
        <v>0</v>
      </c>
      <c r="L216" s="372">
        <v>0</v>
      </c>
      <c r="M216" s="372">
        <v>0</v>
      </c>
      <c r="N216" s="372">
        <v>0</v>
      </c>
      <c r="O216" s="372">
        <v>0</v>
      </c>
    </row>
    <row r="217" spans="4:15" s="348" customFormat="1" hidden="1" x14ac:dyDescent="0.2">
      <c r="D217" s="668" t="str">
        <f>Screen_BA!D144</f>
        <v>North-Western</v>
      </c>
      <c r="J217" s="372">
        <v>0</v>
      </c>
      <c r="K217" s="372">
        <v>0</v>
      </c>
      <c r="L217" s="372">
        <v>0</v>
      </c>
      <c r="M217" s="372">
        <v>0</v>
      </c>
      <c r="N217" s="372">
        <v>0</v>
      </c>
      <c r="O217" s="372">
        <v>0</v>
      </c>
    </row>
    <row r="218" spans="4:15" s="348" customFormat="1" hidden="1" x14ac:dyDescent="0.2">
      <c r="D218" s="668" t="str">
        <f>Screen_BA!D145</f>
        <v>Southern</v>
      </c>
      <c r="J218" s="372">
        <v>0</v>
      </c>
      <c r="K218" s="372">
        <v>0</v>
      </c>
      <c r="L218" s="372">
        <v>0</v>
      </c>
      <c r="M218" s="372">
        <v>0</v>
      </c>
      <c r="N218" s="372">
        <v>0</v>
      </c>
      <c r="O218" s="372">
        <v>0</v>
      </c>
    </row>
    <row r="219" spans="4:15" s="348" customFormat="1" hidden="1" x14ac:dyDescent="0.2">
      <c r="D219" s="668" t="str">
        <f>Screen_BA!D146</f>
        <v>Western</v>
      </c>
      <c r="J219" s="372">
        <v>0</v>
      </c>
      <c r="K219" s="372">
        <v>0</v>
      </c>
      <c r="L219" s="372">
        <v>0</v>
      </c>
      <c r="M219" s="372">
        <v>0</v>
      </c>
      <c r="N219" s="372">
        <v>0</v>
      </c>
      <c r="O219" s="372">
        <v>0</v>
      </c>
    </row>
    <row r="220" spans="4:15" s="348" customFormat="1" ht="15" x14ac:dyDescent="0.2">
      <c r="D220" s="667" t="s">
        <v>121</v>
      </c>
      <c r="J220" s="505">
        <f t="shared" ref="J220:O220" si="13">SUM(J210:J219)</f>
        <v>0</v>
      </c>
      <c r="K220" s="505">
        <f t="shared" si="13"/>
        <v>0</v>
      </c>
      <c r="L220" s="505">
        <f t="shared" si="13"/>
        <v>0</v>
      </c>
      <c r="M220" s="505">
        <f t="shared" si="13"/>
        <v>0</v>
      </c>
      <c r="N220" s="505">
        <f t="shared" si="13"/>
        <v>0</v>
      </c>
      <c r="O220" s="505">
        <f t="shared" si="13"/>
        <v>0</v>
      </c>
    </row>
    <row r="221" spans="4:15" s="348" customFormat="1" x14ac:dyDescent="0.2"/>
    <row r="222" spans="4:15" s="348" customFormat="1" ht="15" x14ac:dyDescent="0.2">
      <c r="D222" s="667" t="s">
        <v>1665</v>
      </c>
    </row>
    <row r="223" spans="4:15" s="348" customFormat="1" x14ac:dyDescent="0.2">
      <c r="D223" s="721"/>
      <c r="E223" s="721"/>
      <c r="F223" s="721"/>
      <c r="G223" s="721"/>
      <c r="H223" s="721"/>
      <c r="I223" s="721"/>
    </row>
    <row r="224" spans="4:15" s="348" customFormat="1" x14ac:dyDescent="0.2">
      <c r="D224" s="721"/>
      <c r="E224" s="721"/>
      <c r="F224" s="721"/>
      <c r="G224" s="721"/>
      <c r="H224" s="721"/>
      <c r="I224" s="721"/>
    </row>
    <row r="225" spans="3:15" s="348" customFormat="1" x14ac:dyDescent="0.2">
      <c r="D225" s="721"/>
      <c r="E225" s="721"/>
      <c r="F225" s="721"/>
      <c r="G225" s="721"/>
      <c r="H225" s="721"/>
      <c r="I225" s="721"/>
    </row>
    <row r="226" spans="3:15" s="348" customFormat="1" x14ac:dyDescent="0.2">
      <c r="D226" s="721"/>
      <c r="E226" s="721"/>
      <c r="F226" s="721"/>
      <c r="G226" s="721"/>
      <c r="H226" s="721"/>
      <c r="I226" s="721"/>
    </row>
    <row r="227" spans="3:15" s="348" customFormat="1" x14ac:dyDescent="0.2"/>
    <row r="228" spans="3:15" s="348" customFormat="1" x14ac:dyDescent="0.2"/>
    <row r="229" spans="3:15" s="348" customFormat="1" ht="15.75" x14ac:dyDescent="0.2">
      <c r="C229" s="664" t="s">
        <v>1612</v>
      </c>
    </row>
    <row r="230" spans="3:15" s="348" customFormat="1" x14ac:dyDescent="0.2"/>
    <row r="231" spans="3:15" s="348" customFormat="1" x14ac:dyDescent="0.2">
      <c r="D231" s="668" t="str">
        <f>Screen_BA!D137</f>
        <v>Central</v>
      </c>
      <c r="J231" s="672">
        <f t="shared" ref="J231:O240" si="14">SUM(J20,J42,J63,J84,J105,J126,J147,J168,J189,J210)</f>
        <v>4</v>
      </c>
      <c r="K231" s="672">
        <f t="shared" si="14"/>
        <v>4</v>
      </c>
      <c r="L231" s="672">
        <f t="shared" si="14"/>
        <v>4</v>
      </c>
      <c r="M231" s="672">
        <f t="shared" si="14"/>
        <v>4</v>
      </c>
      <c r="N231" s="672">
        <f t="shared" si="14"/>
        <v>4</v>
      </c>
      <c r="O231" s="672">
        <f t="shared" si="14"/>
        <v>4</v>
      </c>
    </row>
    <row r="232" spans="3:15" s="348" customFormat="1" x14ac:dyDescent="0.2">
      <c r="D232" s="668" t="str">
        <f>Screen_BA!D138</f>
        <v>Copperbelt</v>
      </c>
      <c r="J232" s="672">
        <f t="shared" si="14"/>
        <v>5</v>
      </c>
      <c r="K232" s="672">
        <f t="shared" si="14"/>
        <v>5</v>
      </c>
      <c r="L232" s="672">
        <f t="shared" si="14"/>
        <v>5</v>
      </c>
      <c r="M232" s="672">
        <f t="shared" si="14"/>
        <v>5</v>
      </c>
      <c r="N232" s="672">
        <f t="shared" si="14"/>
        <v>5</v>
      </c>
      <c r="O232" s="672">
        <f t="shared" si="14"/>
        <v>5</v>
      </c>
    </row>
    <row r="233" spans="3:15" s="348" customFormat="1" x14ac:dyDescent="0.2">
      <c r="D233" s="668" t="str">
        <f>Screen_BA!D139</f>
        <v>Eastern</v>
      </c>
      <c r="J233" s="672">
        <f t="shared" si="14"/>
        <v>6</v>
      </c>
      <c r="K233" s="672">
        <f t="shared" si="14"/>
        <v>6</v>
      </c>
      <c r="L233" s="672">
        <f t="shared" si="14"/>
        <v>6</v>
      </c>
      <c r="M233" s="672">
        <f t="shared" si="14"/>
        <v>6</v>
      </c>
      <c r="N233" s="672">
        <f t="shared" si="14"/>
        <v>6</v>
      </c>
      <c r="O233" s="672">
        <f t="shared" si="14"/>
        <v>6</v>
      </c>
    </row>
    <row r="234" spans="3:15" s="348" customFormat="1" x14ac:dyDescent="0.2">
      <c r="D234" s="668" t="str">
        <f>Screen_BA!D140</f>
        <v>Luapula</v>
      </c>
      <c r="J234" s="672">
        <f t="shared" si="14"/>
        <v>5</v>
      </c>
      <c r="K234" s="672">
        <f t="shared" si="14"/>
        <v>5</v>
      </c>
      <c r="L234" s="672">
        <f t="shared" si="14"/>
        <v>5</v>
      </c>
      <c r="M234" s="672">
        <f t="shared" si="14"/>
        <v>5</v>
      </c>
      <c r="N234" s="672">
        <f t="shared" si="14"/>
        <v>5</v>
      </c>
      <c r="O234" s="672">
        <f t="shared" si="14"/>
        <v>5</v>
      </c>
    </row>
    <row r="235" spans="3:15" s="348" customFormat="1" x14ac:dyDescent="0.2">
      <c r="D235" s="668" t="str">
        <f>Screen_BA!D141</f>
        <v>Lusaka</v>
      </c>
      <c r="J235" s="672">
        <f t="shared" si="14"/>
        <v>14</v>
      </c>
      <c r="K235" s="672">
        <f t="shared" si="14"/>
        <v>14</v>
      </c>
      <c r="L235" s="672">
        <f t="shared" si="14"/>
        <v>14</v>
      </c>
      <c r="M235" s="672">
        <f t="shared" si="14"/>
        <v>14</v>
      </c>
      <c r="N235" s="672">
        <f t="shared" si="14"/>
        <v>14</v>
      </c>
      <c r="O235" s="672">
        <f t="shared" si="14"/>
        <v>14</v>
      </c>
    </row>
    <row r="236" spans="3:15" s="348" customFormat="1" x14ac:dyDescent="0.2">
      <c r="D236" s="668" t="str">
        <f>Screen_BA!D142</f>
        <v>Muchinga</v>
      </c>
      <c r="J236" s="672">
        <f t="shared" si="14"/>
        <v>1</v>
      </c>
      <c r="K236" s="672">
        <f t="shared" si="14"/>
        <v>1</v>
      </c>
      <c r="L236" s="672">
        <f t="shared" si="14"/>
        <v>1</v>
      </c>
      <c r="M236" s="672">
        <f t="shared" si="14"/>
        <v>1</v>
      </c>
      <c r="N236" s="672">
        <f t="shared" si="14"/>
        <v>1</v>
      </c>
      <c r="O236" s="672">
        <f t="shared" si="14"/>
        <v>1</v>
      </c>
    </row>
    <row r="237" spans="3:15" s="348" customFormat="1" x14ac:dyDescent="0.2">
      <c r="D237" s="668" t="str">
        <f>Screen_BA!D143</f>
        <v>Northern</v>
      </c>
      <c r="J237" s="672">
        <f t="shared" si="14"/>
        <v>2</v>
      </c>
      <c r="K237" s="672">
        <f t="shared" si="14"/>
        <v>2</v>
      </c>
      <c r="L237" s="672">
        <f t="shared" si="14"/>
        <v>2</v>
      </c>
      <c r="M237" s="672">
        <f t="shared" si="14"/>
        <v>2</v>
      </c>
      <c r="N237" s="672">
        <f t="shared" si="14"/>
        <v>2</v>
      </c>
      <c r="O237" s="672">
        <f t="shared" si="14"/>
        <v>2</v>
      </c>
    </row>
    <row r="238" spans="3:15" s="348" customFormat="1" x14ac:dyDescent="0.2">
      <c r="D238" s="668" t="str">
        <f>Screen_BA!D144</f>
        <v>North-Western</v>
      </c>
      <c r="J238" s="672">
        <f t="shared" si="14"/>
        <v>3</v>
      </c>
      <c r="K238" s="672">
        <f t="shared" si="14"/>
        <v>3</v>
      </c>
      <c r="L238" s="672">
        <f t="shared" si="14"/>
        <v>3</v>
      </c>
      <c r="M238" s="672">
        <f t="shared" si="14"/>
        <v>3</v>
      </c>
      <c r="N238" s="672">
        <f t="shared" si="14"/>
        <v>3</v>
      </c>
      <c r="O238" s="672">
        <f t="shared" si="14"/>
        <v>3</v>
      </c>
    </row>
    <row r="239" spans="3:15" s="348" customFormat="1" x14ac:dyDescent="0.2">
      <c r="D239" s="668" t="str">
        <f>Screen_BA!D145</f>
        <v>Southern</v>
      </c>
      <c r="J239" s="672">
        <f t="shared" si="14"/>
        <v>5</v>
      </c>
      <c r="K239" s="672">
        <f t="shared" si="14"/>
        <v>5</v>
      </c>
      <c r="L239" s="672">
        <f t="shared" si="14"/>
        <v>5</v>
      </c>
      <c r="M239" s="672">
        <f t="shared" si="14"/>
        <v>5</v>
      </c>
      <c r="N239" s="672">
        <f t="shared" si="14"/>
        <v>5</v>
      </c>
      <c r="O239" s="672">
        <f t="shared" si="14"/>
        <v>5</v>
      </c>
    </row>
    <row r="240" spans="3:15" s="348" customFormat="1" x14ac:dyDescent="0.2">
      <c r="D240" s="668" t="str">
        <f>Screen_BA!D146</f>
        <v>Western</v>
      </c>
      <c r="J240" s="672">
        <f t="shared" si="14"/>
        <v>5</v>
      </c>
      <c r="K240" s="672">
        <f t="shared" si="14"/>
        <v>5</v>
      </c>
      <c r="L240" s="672">
        <f t="shared" si="14"/>
        <v>5</v>
      </c>
      <c r="M240" s="672">
        <f t="shared" si="14"/>
        <v>5</v>
      </c>
      <c r="N240" s="672">
        <f t="shared" si="14"/>
        <v>5</v>
      </c>
      <c r="O240" s="672">
        <f t="shared" si="14"/>
        <v>5</v>
      </c>
    </row>
    <row r="241" spans="3:15" s="348" customFormat="1" ht="15.75" thickBot="1" x14ac:dyDescent="0.25">
      <c r="D241" s="667" t="s">
        <v>1613</v>
      </c>
      <c r="J241" s="506">
        <f t="shared" ref="J241:O241" si="15">SUM(J231:J240)</f>
        <v>50</v>
      </c>
      <c r="K241" s="506">
        <f t="shared" si="15"/>
        <v>50</v>
      </c>
      <c r="L241" s="506">
        <f t="shared" si="15"/>
        <v>50</v>
      </c>
      <c r="M241" s="506">
        <f t="shared" si="15"/>
        <v>50</v>
      </c>
      <c r="N241" s="506">
        <f t="shared" si="15"/>
        <v>50</v>
      </c>
      <c r="O241" s="506">
        <f t="shared" si="15"/>
        <v>50</v>
      </c>
    </row>
    <row r="242" spans="3:15" s="348" customFormat="1" ht="13.5" thickTop="1" x14ac:dyDescent="0.2"/>
    <row r="243" spans="3:15" s="348" customFormat="1" x14ac:dyDescent="0.2"/>
    <row r="244" spans="3:15" s="348" customFormat="1" ht="15.75" x14ac:dyDescent="0.2">
      <c r="C244" s="664" t="s">
        <v>1698</v>
      </c>
    </row>
    <row r="245" spans="3:15" s="348" customFormat="1" x14ac:dyDescent="0.2"/>
    <row r="246" spans="3:15" s="348" customFormat="1" ht="17.25" customHeight="1" x14ac:dyDescent="0.2">
      <c r="D246" s="671" t="s">
        <v>184</v>
      </c>
      <c r="H246" s="677" t="b">
        <v>1</v>
      </c>
    </row>
    <row r="247" spans="3:15" s="348" customFormat="1" x14ac:dyDescent="0.2">
      <c r="D247" s="671" t="s">
        <v>1699</v>
      </c>
    </row>
    <row r="248" spans="3:15" s="348" customFormat="1" x14ac:dyDescent="0.2">
      <c r="E248" s="671" t="s">
        <v>1700</v>
      </c>
    </row>
    <row r="249" spans="3:15" s="348" customFormat="1" x14ac:dyDescent="0.2">
      <c r="E249" s="671" t="s">
        <v>1701</v>
      </c>
    </row>
    <row r="250" spans="3:15" s="348" customFormat="1" x14ac:dyDescent="0.2"/>
    <row r="251" spans="3:15" s="348" customFormat="1" ht="15" x14ac:dyDescent="0.2">
      <c r="D251" s="669" t="str">
        <f>Labels_BA!G10</f>
        <v>Province</v>
      </c>
    </row>
    <row r="252" spans="3:15" s="348" customFormat="1" outlineLevel="1" x14ac:dyDescent="0.2">
      <c r="D252" s="668" t="str">
        <f>Screen_BA!D137</f>
        <v>Central</v>
      </c>
      <c r="J252" s="145">
        <f ca="1">Reg_Pop_Ann_TO!J333</f>
        <v>45197</v>
      </c>
      <c r="K252" s="145">
        <f ca="1">Reg_Pop_Ann_TO!K333</f>
        <v>46253</v>
      </c>
      <c r="L252" s="145">
        <f ca="1">Reg_Pop_Ann_TO!L333</f>
        <v>47389</v>
      </c>
      <c r="M252" s="145">
        <f ca="1">Reg_Pop_Ann_TO!M333</f>
        <v>53356</v>
      </c>
      <c r="N252" s="145">
        <f ca="1">Reg_Pop_Ann_TO!N333</f>
        <v>59395</v>
      </c>
      <c r="O252" s="145">
        <f ca="1">Reg_Pop_Ann_TO!O333</f>
        <v>65503</v>
      </c>
    </row>
    <row r="253" spans="3:15" s="348" customFormat="1" outlineLevel="1" x14ac:dyDescent="0.2">
      <c r="D253" s="668" t="str">
        <f>Screen_BA!D138</f>
        <v>Copperbelt</v>
      </c>
      <c r="J253" s="145">
        <f ca="1">Reg_Pop_Ann_TO!J334</f>
        <v>77270</v>
      </c>
      <c r="K253" s="145">
        <f ca="1">Reg_Pop_Ann_TO!K334</f>
        <v>79239</v>
      </c>
      <c r="L253" s="145">
        <f ca="1">Reg_Pop_Ann_TO!L334</f>
        <v>81434</v>
      </c>
      <c r="M253" s="145">
        <f ca="1">Reg_Pop_Ann_TO!M334</f>
        <v>90448</v>
      </c>
      <c r="N253" s="145">
        <f ca="1">Reg_Pop_Ann_TO!N334</f>
        <v>99494</v>
      </c>
      <c r="O253" s="145">
        <f ca="1">Reg_Pop_Ann_TO!O334</f>
        <v>108499</v>
      </c>
    </row>
    <row r="254" spans="3:15" s="348" customFormat="1" outlineLevel="1" x14ac:dyDescent="0.2">
      <c r="D254" s="668" t="str">
        <f>Screen_BA!D139</f>
        <v>Eastern</v>
      </c>
      <c r="J254" s="145">
        <f ca="1">Reg_Pop_Ann_TO!J335</f>
        <v>55121</v>
      </c>
      <c r="K254" s="145">
        <f ca="1">Reg_Pop_Ann_TO!K335</f>
        <v>56290</v>
      </c>
      <c r="L254" s="145">
        <f ca="1">Reg_Pop_Ann_TO!L335</f>
        <v>57485</v>
      </c>
      <c r="M254" s="145">
        <f ca="1">Reg_Pop_Ann_TO!M335</f>
        <v>67323</v>
      </c>
      <c r="N254" s="145">
        <f ca="1">Reg_Pop_Ann_TO!N335</f>
        <v>77234</v>
      </c>
      <c r="O254" s="145">
        <f ca="1">Reg_Pop_Ann_TO!O335</f>
        <v>87235</v>
      </c>
    </row>
    <row r="255" spans="3:15" s="348" customFormat="1" outlineLevel="1" x14ac:dyDescent="0.2">
      <c r="D255" s="668" t="str">
        <f>Screen_BA!D140</f>
        <v>Luapula</v>
      </c>
      <c r="J255" s="145">
        <f ca="1">Reg_Pop_Ann_TO!J336</f>
        <v>34422</v>
      </c>
      <c r="K255" s="145">
        <f ca="1">Reg_Pop_Ann_TO!K336</f>
        <v>34821</v>
      </c>
      <c r="L255" s="145">
        <f ca="1">Reg_Pop_Ann_TO!L336</f>
        <v>35249</v>
      </c>
      <c r="M255" s="145">
        <f ca="1">Reg_Pop_Ann_TO!M336</f>
        <v>42362</v>
      </c>
      <c r="N255" s="145">
        <f ca="1">Reg_Pop_Ann_TO!N336</f>
        <v>49573</v>
      </c>
      <c r="O255" s="145">
        <f ca="1">Reg_Pop_Ann_TO!O336</f>
        <v>56828</v>
      </c>
    </row>
    <row r="256" spans="3:15" s="348" customFormat="1" outlineLevel="1" x14ac:dyDescent="0.2">
      <c r="D256" s="668" t="str">
        <f>Screen_BA!D141</f>
        <v>Lusaka</v>
      </c>
      <c r="J256" s="145">
        <f ca="1">Reg_Pop_Ann_TO!J337</f>
        <v>103171</v>
      </c>
      <c r="K256" s="145">
        <f ca="1">Reg_Pop_Ann_TO!K337</f>
        <v>106852</v>
      </c>
      <c r="L256" s="145">
        <f ca="1">Reg_Pop_Ann_TO!L337</f>
        <v>110611</v>
      </c>
      <c r="M256" s="145">
        <f ca="1">Reg_Pop_Ann_TO!M337</f>
        <v>138421</v>
      </c>
      <c r="N256" s="145">
        <f ca="1">Reg_Pop_Ann_TO!N337</f>
        <v>166325</v>
      </c>
      <c r="O256" s="145">
        <f ca="1">Reg_Pop_Ann_TO!O337</f>
        <v>194332</v>
      </c>
    </row>
    <row r="257" spans="3:15" s="348" customFormat="1" outlineLevel="1" x14ac:dyDescent="0.2">
      <c r="D257" s="668" t="str">
        <f>Screen_BA!D142</f>
        <v>Muchinga</v>
      </c>
      <c r="J257" s="145">
        <f ca="1">Reg_Pop_Ann_TO!J338</f>
        <v>26604</v>
      </c>
      <c r="K257" s="145">
        <f ca="1">Reg_Pop_Ann_TO!K338</f>
        <v>27973</v>
      </c>
      <c r="L257" s="145">
        <f ca="1">Reg_Pop_Ann_TO!L338</f>
        <v>29385</v>
      </c>
      <c r="M257" s="145">
        <f ca="1">Reg_Pop_Ann_TO!M338</f>
        <v>31296</v>
      </c>
      <c r="N257" s="145">
        <f ca="1">Reg_Pop_Ann_TO!N338</f>
        <v>33257</v>
      </c>
      <c r="O257" s="145">
        <f ca="1">Reg_Pop_Ann_TO!O338</f>
        <v>35273</v>
      </c>
    </row>
    <row r="258" spans="3:15" s="348" customFormat="1" outlineLevel="1" x14ac:dyDescent="0.2">
      <c r="D258" s="668" t="str">
        <f>Screen_BA!D143</f>
        <v>Northern</v>
      </c>
      <c r="J258" s="145">
        <f ca="1">Reg_Pop_Ann_TO!J339</f>
        <v>38350</v>
      </c>
      <c r="K258" s="145">
        <f ca="1">Reg_Pop_Ann_TO!K339</f>
        <v>39567</v>
      </c>
      <c r="L258" s="145">
        <f ca="1">Reg_Pop_Ann_TO!L339</f>
        <v>40820</v>
      </c>
      <c r="M258" s="145">
        <f ca="1">Reg_Pop_Ann_TO!M339</f>
        <v>44487</v>
      </c>
      <c r="N258" s="145">
        <f ca="1">Reg_Pop_Ann_TO!N339</f>
        <v>48198</v>
      </c>
      <c r="O258" s="145">
        <f ca="1">Reg_Pop_Ann_TO!O339</f>
        <v>51959</v>
      </c>
    </row>
    <row r="259" spans="3:15" s="348" customFormat="1" outlineLevel="1" x14ac:dyDescent="0.2">
      <c r="D259" s="668" t="str">
        <f>Screen_BA!D144</f>
        <v>North-Western</v>
      </c>
      <c r="J259" s="145">
        <f ca="1">Reg_Pop_Ann_TO!J340</f>
        <v>23423</v>
      </c>
      <c r="K259" s="145">
        <f ca="1">Reg_Pop_Ann_TO!K340</f>
        <v>23858</v>
      </c>
      <c r="L259" s="145">
        <f ca="1">Reg_Pop_Ann_TO!L340</f>
        <v>24339</v>
      </c>
      <c r="M259" s="145">
        <f ca="1">Reg_Pop_Ann_TO!M340</f>
        <v>27699</v>
      </c>
      <c r="N259" s="145">
        <f ca="1">Reg_Pop_Ann_TO!N340</f>
        <v>31104</v>
      </c>
      <c r="O259" s="145">
        <f ca="1">Reg_Pop_Ann_TO!O340</f>
        <v>34551</v>
      </c>
    </row>
    <row r="260" spans="3:15" s="348" customFormat="1" outlineLevel="1" x14ac:dyDescent="0.2">
      <c r="D260" s="668" t="str">
        <f>Screen_BA!D145</f>
        <v>Southern</v>
      </c>
      <c r="J260" s="145">
        <f ca="1">Reg_Pop_Ann_TO!J341</f>
        <v>56843</v>
      </c>
      <c r="K260" s="145">
        <f ca="1">Reg_Pop_Ann_TO!K341</f>
        <v>58267</v>
      </c>
      <c r="L260" s="145">
        <f ca="1">Reg_Pop_Ann_TO!L341</f>
        <v>59763</v>
      </c>
      <c r="M260" s="145">
        <f ca="1">Reg_Pop_Ann_TO!M341</f>
        <v>68001</v>
      </c>
      <c r="N260" s="145">
        <f ca="1">Reg_Pop_Ann_TO!N341</f>
        <v>76304</v>
      </c>
      <c r="O260" s="145">
        <f ca="1">Reg_Pop_Ann_TO!O341</f>
        <v>84667</v>
      </c>
    </row>
    <row r="261" spans="3:15" s="348" customFormat="1" outlineLevel="1" x14ac:dyDescent="0.2">
      <c r="D261" s="668" t="str">
        <f>Screen_BA!D146</f>
        <v>Western</v>
      </c>
      <c r="J261" s="145">
        <f ca="1">Reg_Pop_Ann_TO!J342</f>
        <v>31222</v>
      </c>
      <c r="K261" s="145">
        <f ca="1">Reg_Pop_Ann_TO!K342</f>
        <v>31129</v>
      </c>
      <c r="L261" s="145">
        <f ca="1">Reg_Pop_Ann_TO!L342</f>
        <v>31050</v>
      </c>
      <c r="M261" s="145">
        <f ca="1">Reg_Pop_Ann_TO!M342</f>
        <v>37668</v>
      </c>
      <c r="N261" s="145">
        <f ca="1">Reg_Pop_Ann_TO!N342</f>
        <v>44319</v>
      </c>
      <c r="O261" s="145">
        <f ca="1">Reg_Pop_Ann_TO!O342</f>
        <v>50609</v>
      </c>
    </row>
    <row r="262" spans="3:15" s="348" customFormat="1" ht="15" x14ac:dyDescent="0.2">
      <c r="D262" s="359" t="str">
        <f>"Total "&amp;C244</f>
        <v>Total Estimated Demand for Screening (Imported from Reg Population Module)</v>
      </c>
      <c r="J262" s="160">
        <f t="shared" ref="J262:O262" ca="1" si="16">SUM(J252:J261)</f>
        <v>491623</v>
      </c>
      <c r="K262" s="160">
        <f t="shared" ca="1" si="16"/>
        <v>504249</v>
      </c>
      <c r="L262" s="160">
        <f t="shared" ca="1" si="16"/>
        <v>517525</v>
      </c>
      <c r="M262" s="160">
        <f t="shared" ca="1" si="16"/>
        <v>601061</v>
      </c>
      <c r="N262" s="160">
        <f t="shared" ca="1" si="16"/>
        <v>685203</v>
      </c>
      <c r="O262" s="160">
        <f t="shared" ca="1" si="16"/>
        <v>769456</v>
      </c>
    </row>
    <row r="263" spans="3:15" s="348" customFormat="1" x14ac:dyDescent="0.2"/>
    <row r="264" spans="3:15" s="348" customFormat="1" x14ac:dyDescent="0.2"/>
    <row r="265" spans="3:15" s="348" customFormat="1" x14ac:dyDescent="0.2"/>
    <row r="266" spans="3:15" s="348" customFormat="1" x14ac:dyDescent="0.2">
      <c r="C266" s="722" t="str">
        <f>"Go to "&amp;HL_Screen_Ass</f>
        <v>Go to Visual Inspection with Acetic Acid - Assumptions</v>
      </c>
      <c r="D266" s="777"/>
      <c r="E266" s="777"/>
      <c r="F266" s="777"/>
      <c r="G266" s="777"/>
      <c r="H266" s="777"/>
      <c r="I266" s="777"/>
    </row>
    <row r="267" spans="3:15" s="348" customFormat="1" x14ac:dyDescent="0.2">
      <c r="C267" s="722" t="str">
        <f>"Go to "&amp;HL_Screen_Out</f>
        <v>Go to VIA Outputs</v>
      </c>
      <c r="D267" s="777"/>
      <c r="E267" s="777"/>
      <c r="F267" s="777"/>
      <c r="G267" s="777"/>
      <c r="H267" s="777"/>
      <c r="I267" s="777"/>
    </row>
  </sheetData>
  <sheetProtection password="F0F4" sheet="1" scenarios="1"/>
  <mergeCells count="43">
    <mergeCell ref="C266:I266"/>
    <mergeCell ref="C267:I267"/>
    <mergeCell ref="B3:F3"/>
    <mergeCell ref="D33:I33"/>
    <mergeCell ref="D34:I34"/>
    <mergeCell ref="D35:I35"/>
    <mergeCell ref="D36:I36"/>
    <mergeCell ref="D55:I55"/>
    <mergeCell ref="D56:I56"/>
    <mergeCell ref="D57:I57"/>
    <mergeCell ref="D58:I58"/>
    <mergeCell ref="D76:I76"/>
    <mergeCell ref="D77:I77"/>
    <mergeCell ref="D78:I78"/>
    <mergeCell ref="D79:I79"/>
    <mergeCell ref="D97:I97"/>
    <mergeCell ref="D98:I98"/>
    <mergeCell ref="D99:I99"/>
    <mergeCell ref="D100:I100"/>
    <mergeCell ref="D118:I118"/>
    <mergeCell ref="D119:I119"/>
    <mergeCell ref="D120:I120"/>
    <mergeCell ref="D121:I121"/>
    <mergeCell ref="D139:I139"/>
    <mergeCell ref="D140:I140"/>
    <mergeCell ref="D141:I141"/>
    <mergeCell ref="D142:I142"/>
    <mergeCell ref="D160:I160"/>
    <mergeCell ref="D161:I161"/>
    <mergeCell ref="D162:I162"/>
    <mergeCell ref="D163:I163"/>
    <mergeCell ref="D181:I181"/>
    <mergeCell ref="D182:I182"/>
    <mergeCell ref="D183:I183"/>
    <mergeCell ref="D184:I184"/>
    <mergeCell ref="D202:I202"/>
    <mergeCell ref="D225:I225"/>
    <mergeCell ref="D226:I226"/>
    <mergeCell ref="D203:I203"/>
    <mergeCell ref="D204:I204"/>
    <mergeCell ref="D205:I205"/>
    <mergeCell ref="D223:I223"/>
    <mergeCell ref="D224:I224"/>
  </mergeCells>
  <dataValidations disablePrompts="1" count="12">
    <dataValidation type="custom" showDropDown="1" showErrorMessage="1" errorTitle="Check Box Cell Link" error="The value in a check box cell link must be either &quot;TRUE&quot; or &quot;FALSE&quot;" sqref="H246">
      <formula1>ISLOGICAL(H246)</formula1>
    </dataValidation>
    <dataValidation type="decimal" operator="greaterThanOrEqual" allowBlank="1" showDropDown="1" showErrorMessage="1" errorTitle="Invalid Assumption" error="Assumption must be a value greater than or equal to zero." sqref="J252:O261">
      <formula1>0</formula1>
    </dataValidation>
    <dataValidation type="custom" showErrorMessage="1" errorTitle="Invalid Assumption" error="Assumption must be a number." sqref="J210:O220">
      <formula1>NOT(ISERROR(J210/1))</formula1>
    </dataValidation>
    <dataValidation type="decimal" operator="greaterThanOrEqual" allowBlank="1" showDropDown="1" showErrorMessage="1" errorTitle="Invalid Assumption" error="Assumption must be a value greater than or equal to zero." sqref="J189:O198">
      <formula1>0</formula1>
    </dataValidation>
    <dataValidation type="decimal" operator="greaterThanOrEqual" allowBlank="1" showDropDown="1" showErrorMessage="1" errorTitle="Invalid Assumption" error="Assumption must be a value greater than or equal to zero." sqref="J168:O177">
      <formula1>0</formula1>
    </dataValidation>
    <dataValidation type="decimal" operator="greaterThanOrEqual" allowBlank="1" showDropDown="1" showErrorMessage="1" errorTitle="Invalid Assumption" error="Assumption must be a value greater than or equal to zero." sqref="J105:O114">
      <formula1>0</formula1>
    </dataValidation>
    <dataValidation type="decimal" operator="greaterThanOrEqual" allowBlank="1" showDropDown="1" showErrorMessage="1" errorTitle="Invalid Assumption" error="Assumption must be a value greater than or equal to zero." sqref="J126:O135">
      <formula1>0</formula1>
    </dataValidation>
    <dataValidation type="decimal" operator="greaterThanOrEqual" allowBlank="1" showDropDown="1" showErrorMessage="1" errorTitle="Invalid Assumption" error="Assumption must be a value greater than or equal to zero." sqref="J147:O156">
      <formula1>0</formula1>
    </dataValidation>
    <dataValidation type="decimal" operator="greaterThanOrEqual" allowBlank="1" showDropDown="1" showErrorMessage="1" errorTitle="Invalid Assumption" error="Assumption must be a value greater than or equal to zero." sqref="J84:O93">
      <formula1>0</formula1>
    </dataValidation>
    <dataValidation type="decimal" operator="greaterThanOrEqual" allowBlank="1" showDropDown="1" showErrorMessage="1" errorTitle="Invalid Assumption" error="Assumption must be a value greater than or equal to zero." sqref="J20:O29">
      <formula1>0</formula1>
    </dataValidation>
    <dataValidation type="decimal" operator="greaterThanOrEqual" allowBlank="1" showDropDown="1" showErrorMessage="1" errorTitle="Invalid Assumption" error="Assumption must be a value greater than or equal to zero." sqref="J63:O72">
      <formula1>0</formula1>
    </dataValidation>
    <dataValidation type="decimal" operator="greaterThanOrEqual" allowBlank="1" showDropDown="1" showErrorMessage="1" errorTitle="Invalid Assumption" error="Assumption must be a value greater than or equal to zero." sqref="J42:O51">
      <formula1>0</formula1>
    </dataValidation>
  </dataValidations>
  <hyperlinks>
    <hyperlink ref="A4" location="$A$10" tooltip="Go to Top of Sheet" display="$A$10"/>
    <hyperlink ref="C4" location="HL_Sheet_Main_22" tooltip="Go to Next Sheet" display="HL_Sheet_Main_22"/>
    <hyperlink ref="C266:I266" location="HL_Screen_Ass" tooltip="Click to follow hyperlink." display="HL_Screen_Ass"/>
    <hyperlink ref="C267:I267" location="HL_Screen_Out" tooltip="Click to follow hyperlink." display="HL_Screen_Out"/>
    <hyperlink ref="B4" location="HL_Sheet_Main_14" tooltip="Go to Previous Sheet" display="HL_Sheet_Main_14"/>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4993" r:id="rId4" name="bpmCheckBoxScreen1">
              <controlPr defaultSize="0" autoFill="0" autoLine="0" autoPict="0">
                <anchor moveWithCells="1">
                  <from>
                    <xdr:col>7</xdr:col>
                    <xdr:colOff>352425</xdr:colOff>
                    <xdr:row>245</xdr:row>
                    <xdr:rowOff>0</xdr:rowOff>
                  </from>
                  <to>
                    <xdr:col>8</xdr:col>
                    <xdr:colOff>0</xdr:colOff>
                    <xdr:row>246</xdr:row>
                    <xdr:rowOff>0</xdr:rowOff>
                  </to>
                </anchor>
              </controlPr>
            </control>
          </mc:Choice>
        </mc:AlternateContent>
      </controls>
    </mc:Choice>
  </mc:AlternateConten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rgb="FFFFC000"/>
    <pageSetUpPr autoPageBreaks="0"/>
  </sheetPr>
  <dimension ref="A1:U544"/>
  <sheetViews>
    <sheetView showGridLines="0" zoomScaleNormal="100" workbookViewId="0">
      <pane xSplit="1" ySplit="4" topLeftCell="B5" activePane="bottomRight" state="frozen"/>
      <selection activeCell="N513" sqref="N513"/>
      <selection pane="topRight" activeCell="N513" sqref="N513"/>
      <selection pane="bottomLeft" activeCell="N513" sqref="N513"/>
      <selection pane="bottomRight" activeCell="D36" sqref="D36"/>
    </sheetView>
  </sheetViews>
  <sheetFormatPr defaultColWidth="11.7109375" defaultRowHeight="12.75" outlineLevelRow="2" outlineLevelCol="2" x14ac:dyDescent="0.2"/>
  <cols>
    <col min="1" max="5" width="3.7109375" style="105" customWidth="1"/>
    <col min="6" max="9" width="11.7109375" style="105"/>
    <col min="10" max="15" width="15.7109375" style="105" customWidth="1"/>
    <col min="16" max="20" width="11.7109375" style="105"/>
    <col min="21" max="21" width="11.7109375" style="105" customWidth="1" outlineLevel="2"/>
    <col min="22" max="16384" width="11.7109375" style="105"/>
  </cols>
  <sheetData>
    <row r="1" spans="1:10" ht="23.25" x14ac:dyDescent="0.2">
      <c r="A1" s="321"/>
      <c r="B1" s="106" t="s">
        <v>623</v>
      </c>
    </row>
    <row r="2" spans="1:10" ht="18.75" x14ac:dyDescent="0.2">
      <c r="B2" s="107" t="str">
        <f>Model_Name</f>
        <v>Zambia C4P* - Screening &amp; Treatment Tool</v>
      </c>
    </row>
    <row r="3" spans="1:10" x14ac:dyDescent="0.2">
      <c r="B3" s="722" t="s">
        <v>2</v>
      </c>
      <c r="C3" s="722"/>
      <c r="D3" s="722"/>
      <c r="E3" s="722"/>
      <c r="F3" s="722"/>
    </row>
    <row r="4" spans="1:10" x14ac:dyDescent="0.2">
      <c r="A4" s="108" t="s">
        <v>4</v>
      </c>
      <c r="B4" s="109" t="s">
        <v>6</v>
      </c>
      <c r="C4" s="110" t="s">
        <v>7</v>
      </c>
      <c r="D4" s="354" t="s">
        <v>27</v>
      </c>
      <c r="E4" s="355" t="s">
        <v>28</v>
      </c>
      <c r="F4" s="356" t="s">
        <v>29</v>
      </c>
    </row>
    <row r="5" spans="1:10" s="348" customFormat="1" x14ac:dyDescent="0.2"/>
    <row r="6" spans="1:10" s="348" customFormat="1" x14ac:dyDescent="0.2"/>
    <row r="7" spans="1:10" s="348" customFormat="1" ht="18.75" x14ac:dyDescent="0.2">
      <c r="B7" s="569" t="str">
        <f>G9 &amp; " Assumptions"</f>
        <v>Biopsy and Histopathology Assumptions</v>
      </c>
    </row>
    <row r="8" spans="1:10" s="348" customFormat="1" x14ac:dyDescent="0.2"/>
    <row r="9" spans="1:10" s="348" customFormat="1" x14ac:dyDescent="0.2">
      <c r="C9" s="671" t="s">
        <v>77</v>
      </c>
      <c r="G9" s="723" t="s">
        <v>140</v>
      </c>
      <c r="H9" s="723"/>
      <c r="I9" s="723"/>
      <c r="J9" s="723"/>
    </row>
    <row r="10" spans="1:10" s="348" customFormat="1" x14ac:dyDescent="0.2">
      <c r="C10" s="671" t="s">
        <v>79</v>
      </c>
      <c r="G10" s="721" t="s">
        <v>139</v>
      </c>
      <c r="H10" s="721"/>
      <c r="I10" s="721"/>
      <c r="J10" s="721"/>
    </row>
    <row r="11" spans="1:10" s="348" customFormat="1" x14ac:dyDescent="0.2"/>
    <row r="12" spans="1:10" s="348" customFormat="1" x14ac:dyDescent="0.2">
      <c r="C12" s="671" t="s">
        <v>192</v>
      </c>
      <c r="J12" s="122">
        <f>IFERROR(INDEX(J$16:J$22,MATCH($G$10,$C$16:$C$22,0)),0)</f>
        <v>0.01</v>
      </c>
    </row>
    <row r="13" spans="1:10" s="348" customFormat="1" x14ac:dyDescent="0.2">
      <c r="C13" s="671" t="s">
        <v>142</v>
      </c>
      <c r="J13" s="412">
        <v>0.5</v>
      </c>
    </row>
    <row r="14" spans="1:10" s="348" customFormat="1" x14ac:dyDescent="0.2"/>
    <row r="15" spans="1:10" s="348" customFormat="1" ht="15" x14ac:dyDescent="0.2">
      <c r="C15" s="667" t="s">
        <v>405</v>
      </c>
    </row>
    <row r="16" spans="1:10" s="348" customFormat="1" x14ac:dyDescent="0.2">
      <c r="C16" s="668" t="str">
        <f>Reg_Pop_Ann_TA!D57</f>
        <v>BIOP-H</v>
      </c>
      <c r="J16" s="122">
        <f>Reg_Pop_Ann_TA!H57</f>
        <v>0.01</v>
      </c>
    </row>
    <row r="17" spans="3:16" s="348" customFormat="1" x14ac:dyDescent="0.2">
      <c r="C17" s="668" t="str">
        <f>Reg_Pop_Ann_TA!D58</f>
        <v>Cryo -SV</v>
      </c>
      <c r="J17" s="122">
        <f>Reg_Pop_Ann_TA!H58</f>
        <v>0.106</v>
      </c>
    </row>
    <row r="18" spans="3:16" s="348" customFormat="1" x14ac:dyDescent="0.2">
      <c r="C18" s="668" t="str">
        <f>Reg_Pop_Ann_TA!D59</f>
        <v>LEEP with BIOP-H</v>
      </c>
      <c r="J18" s="122">
        <f>Reg_Pop_Ann_TA!H59</f>
        <v>6.3E-2</v>
      </c>
    </row>
    <row r="19" spans="3:16" s="348" customFormat="1" x14ac:dyDescent="0.2">
      <c r="C19" s="668" t="str">
        <f>Reg_Pop_Ann_TA!D60</f>
        <v>SURG</v>
      </c>
      <c r="J19" s="122">
        <f>Reg_Pop_Ann_TA!H60</f>
        <v>0</v>
      </c>
    </row>
    <row r="20" spans="3:16" s="348" customFormat="1" x14ac:dyDescent="0.2">
      <c r="C20" s="668" t="str">
        <f>Reg_Pop_Ann_TA!D61</f>
        <v>Chemo</v>
      </c>
      <c r="J20" s="122">
        <f>Reg_Pop_Ann_TA!H61</f>
        <v>0</v>
      </c>
    </row>
    <row r="21" spans="3:16" s="348" customFormat="1" x14ac:dyDescent="0.2">
      <c r="C21" s="668" t="str">
        <f>Reg_Pop_Ann_TA!D62</f>
        <v>RADIO</v>
      </c>
      <c r="J21" s="122">
        <f>Reg_Pop_Ann_TA!H62</f>
        <v>0</v>
      </c>
    </row>
    <row r="22" spans="3:16" s="348" customFormat="1" x14ac:dyDescent="0.2">
      <c r="C22" s="668" t="str">
        <f>Reg_Pop_Ann_TA!D63</f>
        <v>PALL</v>
      </c>
      <c r="J22" s="122">
        <f>Reg_Pop_Ann_TA!H63</f>
        <v>0</v>
      </c>
    </row>
    <row r="23" spans="3:16" s="348" customFormat="1" x14ac:dyDescent="0.2"/>
    <row r="24" spans="3:16" s="348" customFormat="1" ht="18.75" x14ac:dyDescent="0.2">
      <c r="C24" s="115" t="str">
        <f>"Annual Capacity per Individual Facility Type - "&amp;Diag_Short_Code</f>
        <v>Annual Capacity per Individual Facility Type - BIOP-H</v>
      </c>
    </row>
    <row r="25" spans="3:16" s="348" customFormat="1" x14ac:dyDescent="0.2"/>
    <row r="26" spans="3:16" s="348" customFormat="1" ht="38.25" x14ac:dyDescent="0.2">
      <c r="C26" s="671" t="s">
        <v>1752</v>
      </c>
      <c r="H26" s="676" t="s">
        <v>1746</v>
      </c>
      <c r="I26" s="676" t="s">
        <v>1747</v>
      </c>
      <c r="J26" s="676" t="s">
        <v>1749</v>
      </c>
      <c r="K26" s="676" t="s">
        <v>1748</v>
      </c>
      <c r="L26" s="676" t="s">
        <v>1750</v>
      </c>
      <c r="N26" s="802" t="s">
        <v>1759</v>
      </c>
      <c r="O26" s="803"/>
      <c r="P26" s="803"/>
    </row>
    <row r="27" spans="3:16" s="348" customFormat="1" x14ac:dyDescent="0.2">
      <c r="D27" s="668" t="str">
        <f>Labels_BA!D16</f>
        <v>Central Referral Hospital</v>
      </c>
      <c r="H27" s="458">
        <v>220</v>
      </c>
      <c r="I27" s="458">
        <v>8</v>
      </c>
      <c r="J27" s="458">
        <v>60</v>
      </c>
      <c r="K27" s="458">
        <v>19</v>
      </c>
      <c r="L27" s="487">
        <f>IFERROR((H27*I27*J27)/K27,0)</f>
        <v>5557.894736842105</v>
      </c>
      <c r="N27" s="721" t="s">
        <v>1791</v>
      </c>
      <c r="O27" s="721"/>
      <c r="P27" s="721"/>
    </row>
    <row r="28" spans="3:16" s="348" customFormat="1" x14ac:dyDescent="0.2">
      <c r="D28" s="668" t="str">
        <f>Labels_BA!E16</f>
        <v>Provincial Hospital</v>
      </c>
      <c r="H28" s="570">
        <v>220</v>
      </c>
      <c r="I28" s="458">
        <v>8</v>
      </c>
      <c r="J28" s="458">
        <v>60</v>
      </c>
      <c r="K28" s="458"/>
      <c r="L28" s="487">
        <f>IFERROR((H28*I28*J28)/K28,0)</f>
        <v>0</v>
      </c>
      <c r="N28" s="721" t="s">
        <v>1792</v>
      </c>
      <c r="O28" s="721"/>
      <c r="P28" s="721"/>
    </row>
    <row r="29" spans="3:16" s="348" customFormat="1" x14ac:dyDescent="0.2">
      <c r="D29" s="668" t="str">
        <f>Labels_BA!F16</f>
        <v>District Hospital</v>
      </c>
      <c r="H29" s="458">
        <v>220</v>
      </c>
      <c r="I29" s="458">
        <v>8</v>
      </c>
      <c r="J29" s="458">
        <v>60</v>
      </c>
      <c r="K29" s="458"/>
      <c r="L29" s="487">
        <f>IFERROR((H29*I29*J29)/K29,0)</f>
        <v>0</v>
      </c>
    </row>
    <row r="30" spans="3:16" s="348" customFormat="1" x14ac:dyDescent="0.2"/>
    <row r="31" spans="3:16" s="348" customFormat="1" x14ac:dyDescent="0.2">
      <c r="C31" s="671" t="s">
        <v>1751</v>
      </c>
    </row>
    <row r="32" spans="3:16" s="348" customFormat="1" x14ac:dyDescent="0.2">
      <c r="D32" s="668" t="str">
        <f>Labels_BA!G16</f>
        <v>Fixed Health Clinic</v>
      </c>
      <c r="H32" s="458">
        <v>220</v>
      </c>
      <c r="I32" s="458">
        <v>8</v>
      </c>
      <c r="J32" s="458">
        <v>60</v>
      </c>
      <c r="K32" s="458">
        <v>0</v>
      </c>
      <c r="L32" s="487">
        <f t="shared" ref="L32:L38" si="0">IFERROR((H32*I32*J32)/K32,0)</f>
        <v>0</v>
      </c>
      <c r="N32" s="721">
        <v>51</v>
      </c>
      <c r="O32" s="721"/>
      <c r="P32" s="721"/>
    </row>
    <row r="33" spans="3:16" s="348" customFormat="1" x14ac:dyDescent="0.2">
      <c r="D33" s="668" t="str">
        <f>Labels_BA!H16</f>
        <v>PCI Mobile Health Team</v>
      </c>
      <c r="H33" s="458">
        <v>220</v>
      </c>
      <c r="I33" s="458">
        <v>8</v>
      </c>
      <c r="J33" s="458">
        <v>60</v>
      </c>
      <c r="K33" s="458">
        <v>0</v>
      </c>
      <c r="L33" s="487">
        <f t="shared" si="0"/>
        <v>0</v>
      </c>
      <c r="N33" s="721"/>
      <c r="O33" s="721"/>
      <c r="P33" s="721"/>
    </row>
    <row r="34" spans="3:16" s="348" customFormat="1" x14ac:dyDescent="0.2">
      <c r="D34" s="668" t="str">
        <f>Labels_BA!I16</f>
        <v>Gov't Mobile Health Team (Hospital)</v>
      </c>
      <c r="H34" s="458">
        <v>220</v>
      </c>
      <c r="I34" s="458">
        <v>8</v>
      </c>
      <c r="J34" s="458">
        <v>60</v>
      </c>
      <c r="K34" s="458">
        <v>0</v>
      </c>
      <c r="L34" s="487">
        <f t="shared" si="0"/>
        <v>0</v>
      </c>
      <c r="N34" s="721"/>
      <c r="O34" s="721"/>
      <c r="P34" s="721"/>
    </row>
    <row r="35" spans="3:16" s="348" customFormat="1" x14ac:dyDescent="0.2">
      <c r="D35" s="668" t="str">
        <f>Labels_BA!J16</f>
        <v>CIDRZ Mobile Health Team</v>
      </c>
      <c r="H35" s="458">
        <v>220</v>
      </c>
      <c r="I35" s="458">
        <v>8</v>
      </c>
      <c r="J35" s="458">
        <v>60</v>
      </c>
      <c r="K35" s="458">
        <v>0</v>
      </c>
      <c r="L35" s="487">
        <f t="shared" si="0"/>
        <v>0</v>
      </c>
      <c r="N35" s="721"/>
      <c r="O35" s="721"/>
      <c r="P35" s="721"/>
    </row>
    <row r="36" spans="3:16" s="348" customFormat="1" x14ac:dyDescent="0.2">
      <c r="D36" s="668" t="str">
        <f>Labels_BA!K16</f>
        <v>Facility Type 8</v>
      </c>
      <c r="H36" s="458">
        <v>220</v>
      </c>
      <c r="I36" s="458">
        <v>8</v>
      </c>
      <c r="J36" s="458">
        <v>60</v>
      </c>
      <c r="K36" s="458">
        <v>0</v>
      </c>
      <c r="L36" s="487">
        <f t="shared" si="0"/>
        <v>0</v>
      </c>
      <c r="N36" s="721"/>
      <c r="O36" s="721"/>
      <c r="P36" s="721"/>
    </row>
    <row r="37" spans="3:16" s="348" customFormat="1" x14ac:dyDescent="0.2">
      <c r="D37" s="668" t="str">
        <f>Labels_BA!L16</f>
        <v>Facility Type 9</v>
      </c>
      <c r="H37" s="458">
        <v>220</v>
      </c>
      <c r="I37" s="458">
        <v>8</v>
      </c>
      <c r="J37" s="458">
        <v>60</v>
      </c>
      <c r="K37" s="458">
        <v>0</v>
      </c>
      <c r="L37" s="487">
        <f t="shared" si="0"/>
        <v>0</v>
      </c>
      <c r="N37" s="721"/>
      <c r="O37" s="721"/>
      <c r="P37" s="721"/>
    </row>
    <row r="38" spans="3:16" s="348" customFormat="1" x14ac:dyDescent="0.2">
      <c r="D38" s="668" t="str">
        <f>Labels_BA!M16</f>
        <v>Facility Type 10</v>
      </c>
      <c r="H38" s="458">
        <v>220</v>
      </c>
      <c r="I38" s="458">
        <v>8</v>
      </c>
      <c r="J38" s="458">
        <v>60</v>
      </c>
      <c r="K38" s="458">
        <v>0</v>
      </c>
      <c r="L38" s="487">
        <f t="shared" si="0"/>
        <v>0</v>
      </c>
      <c r="N38" s="721"/>
      <c r="O38" s="721"/>
      <c r="P38" s="721"/>
    </row>
    <row r="39" spans="3:16" s="348" customFormat="1" x14ac:dyDescent="0.2"/>
    <row r="40" spans="3:16" s="348" customFormat="1" x14ac:dyDescent="0.2"/>
    <row r="41" spans="3:16" s="348" customFormat="1" x14ac:dyDescent="0.2"/>
    <row r="42" spans="3:16" s="348" customFormat="1" x14ac:dyDescent="0.2"/>
    <row r="43" spans="3:16" s="348" customFormat="1" x14ac:dyDescent="0.2"/>
    <row r="44" spans="3:16" s="348" customFormat="1" x14ac:dyDescent="0.2"/>
    <row r="45" spans="3:16" s="348" customFormat="1" x14ac:dyDescent="0.2">
      <c r="D45" s="671" t="s">
        <v>846</v>
      </c>
      <c r="K45" s="671" t="s">
        <v>847</v>
      </c>
    </row>
    <row r="46" spans="3:16" s="348" customFormat="1" x14ac:dyDescent="0.2">
      <c r="C46" s="314">
        <v>1</v>
      </c>
      <c r="D46" s="721"/>
      <c r="E46" s="721"/>
      <c r="F46" s="721"/>
      <c r="G46" s="721"/>
      <c r="H46" s="721"/>
      <c r="I46" s="721"/>
      <c r="K46" s="721" t="s">
        <v>956</v>
      </c>
      <c r="L46" s="721"/>
      <c r="M46" s="721"/>
      <c r="N46" s="721"/>
    </row>
    <row r="47" spans="3:16" s="348" customFormat="1" x14ac:dyDescent="0.2">
      <c r="C47" s="314">
        <v>2</v>
      </c>
      <c r="D47" s="721"/>
      <c r="E47" s="721"/>
      <c r="F47" s="721"/>
      <c r="G47" s="721"/>
      <c r="H47" s="721"/>
      <c r="I47" s="721"/>
      <c r="K47" s="721"/>
      <c r="L47" s="721"/>
      <c r="M47" s="721"/>
      <c r="N47" s="721"/>
    </row>
    <row r="48" spans="3:16" s="348" customFormat="1" x14ac:dyDescent="0.2">
      <c r="C48" s="314">
        <v>3</v>
      </c>
      <c r="D48" s="721"/>
      <c r="E48" s="721"/>
      <c r="F48" s="721"/>
      <c r="G48" s="721"/>
      <c r="H48" s="721"/>
      <c r="I48" s="721"/>
      <c r="K48" s="721"/>
      <c r="L48" s="721"/>
      <c r="M48" s="721"/>
      <c r="N48" s="721"/>
    </row>
    <row r="49" spans="3:21" s="348" customFormat="1" x14ac:dyDescent="0.2">
      <c r="C49" s="314">
        <v>4</v>
      </c>
      <c r="D49" s="721"/>
      <c r="E49" s="721"/>
      <c r="F49" s="721"/>
      <c r="G49" s="721"/>
      <c r="H49" s="721"/>
      <c r="I49" s="721"/>
      <c r="K49" s="721"/>
      <c r="L49" s="721"/>
      <c r="M49" s="721"/>
      <c r="N49" s="721"/>
    </row>
    <row r="50" spans="3:21" s="348" customFormat="1" x14ac:dyDescent="0.2">
      <c r="C50" s="314">
        <v>5</v>
      </c>
      <c r="D50" s="721"/>
      <c r="E50" s="721"/>
      <c r="F50" s="721"/>
      <c r="G50" s="721"/>
      <c r="H50" s="721"/>
      <c r="I50" s="721"/>
      <c r="K50" s="721"/>
      <c r="L50" s="721"/>
      <c r="M50" s="721"/>
      <c r="N50" s="721"/>
    </row>
    <row r="51" spans="3:21" s="348" customFormat="1" x14ac:dyDescent="0.2"/>
    <row r="52" spans="3:21" s="348" customFormat="1" x14ac:dyDescent="0.2">
      <c r="D52" s="678" t="str">
        <f>"Source of Annual Capacity Estimates for  "&amp;C26</f>
        <v>Source of Annual Capacity Estimates for  Fixed Hospital Sites</v>
      </c>
      <c r="K52" s="678" t="str">
        <f>"Source of Annual Capacity Estimates for  "&amp;C31</f>
        <v>Source of Annual Capacity Estimates for  Other Facility Types</v>
      </c>
    </row>
    <row r="53" spans="3:21" s="348" customFormat="1" x14ac:dyDescent="0.2">
      <c r="D53" s="721"/>
      <c r="E53" s="721"/>
      <c r="F53" s="721"/>
      <c r="G53" s="721"/>
      <c r="H53" s="721"/>
      <c r="I53" s="721"/>
      <c r="K53" s="721"/>
      <c r="L53" s="721"/>
      <c r="M53" s="721"/>
      <c r="N53" s="721"/>
    </row>
    <row r="54" spans="3:21" s="348" customFormat="1" x14ac:dyDescent="0.2">
      <c r="D54" s="721"/>
      <c r="E54" s="721"/>
      <c r="F54" s="721"/>
      <c r="G54" s="721"/>
      <c r="H54" s="721"/>
      <c r="I54" s="721"/>
      <c r="K54" s="721"/>
      <c r="L54" s="721"/>
      <c r="M54" s="721"/>
      <c r="N54" s="721"/>
    </row>
    <row r="55" spans="3:21" s="348" customFormat="1" x14ac:dyDescent="0.2">
      <c r="D55" s="721"/>
      <c r="E55" s="721"/>
      <c r="F55" s="721"/>
      <c r="G55" s="721"/>
      <c r="H55" s="721"/>
      <c r="I55" s="721"/>
      <c r="K55" s="721"/>
      <c r="L55" s="721"/>
      <c r="M55" s="721"/>
      <c r="N55" s="721"/>
    </row>
    <row r="56" spans="3:21" s="348" customFormat="1" x14ac:dyDescent="0.2"/>
    <row r="57" spans="3:21" s="348" customFormat="1" ht="15.75" x14ac:dyDescent="0.2">
      <c r="C57" s="124" t="str">
        <f>"Personnel Required for "&amp;G10</f>
        <v>Personnel Required for BIOP-H</v>
      </c>
    </row>
    <row r="58" spans="3:21" s="348" customFormat="1" x14ac:dyDescent="0.2"/>
    <row r="59" spans="3:21" s="348" customFormat="1" ht="15" x14ac:dyDescent="0.2">
      <c r="J59" s="849" t="str">
        <f>"Cost Per Minute ("&amp;$I$143&amp;")"</f>
        <v>Cost Per Minute (USD)</v>
      </c>
      <c r="K59" s="772" t="s">
        <v>112</v>
      </c>
      <c r="L59" s="773"/>
      <c r="M59" s="773"/>
      <c r="N59" s="851" t="str">
        <f>"Cost ("&amp;$I$143&amp;")"</f>
        <v>Cost (USD)</v>
      </c>
    </row>
    <row r="60" spans="3:21" s="348" customFormat="1" ht="30" x14ac:dyDescent="0.2">
      <c r="D60" s="524" t="str">
        <f>C26</f>
        <v>Fixed Hospital Sites</v>
      </c>
      <c r="J60" s="850"/>
      <c r="K60" s="159" t="s">
        <v>109</v>
      </c>
      <c r="L60" s="159" t="s">
        <v>110</v>
      </c>
      <c r="M60" s="159" t="s">
        <v>111</v>
      </c>
      <c r="N60" s="852"/>
      <c r="U60" s="671" t="s">
        <v>312</v>
      </c>
    </row>
    <row r="61" spans="3:21" s="348" customFormat="1" x14ac:dyDescent="0.2">
      <c r="D61" s="721" t="s">
        <v>1649</v>
      </c>
      <c r="E61" s="721"/>
      <c r="F61" s="721"/>
      <c r="G61" s="721"/>
      <c r="J61" s="147">
        <f>IFERROR(INDEX($L$146:$L$176,MATCH(D61,LU_Diag_Pers_Hosp,0)),0)</f>
        <v>0.33333333333333331</v>
      </c>
      <c r="K61" s="187">
        <v>3</v>
      </c>
      <c r="L61" s="188">
        <v>6</v>
      </c>
      <c r="M61" s="250">
        <v>2</v>
      </c>
      <c r="N61" s="145">
        <f>J61*SUM(K61:M61)</f>
        <v>3.6666666666666665</v>
      </c>
      <c r="U61" s="119">
        <f>IF(AND(ISERROR(MATCH(D61,LU_Diag_Pers_Hosp,0)),SUM(K61:M61)),1,0)</f>
        <v>0</v>
      </c>
    </row>
    <row r="62" spans="3:21" s="348" customFormat="1" x14ac:dyDescent="0.2">
      <c r="D62" s="721" t="s">
        <v>1276</v>
      </c>
      <c r="E62" s="721"/>
      <c r="F62" s="721"/>
      <c r="G62" s="721"/>
      <c r="J62" s="147">
        <f>IFERROR(INDEX($L$146:$L$176,MATCH(D62,LU_Diag_Pers_Hosp,0)),0)</f>
        <v>5.7114882506527402E-2</v>
      </c>
      <c r="K62" s="221">
        <v>3</v>
      </c>
      <c r="L62" s="182">
        <v>6</v>
      </c>
      <c r="M62" s="571">
        <v>2</v>
      </c>
      <c r="N62" s="148">
        <f>J62*SUM(K62:M62)</f>
        <v>0.62826370757180139</v>
      </c>
      <c r="U62" s="119">
        <f>IF(AND(ISERROR(MATCH(D62,LU_Diag_Pers_Hosp,0)),SUM(K62:M62)),1,0)</f>
        <v>0</v>
      </c>
    </row>
    <row r="63" spans="3:21" s="348" customFormat="1" x14ac:dyDescent="0.2">
      <c r="D63" s="721"/>
      <c r="E63" s="721"/>
      <c r="F63" s="721"/>
      <c r="G63" s="721"/>
      <c r="J63" s="149">
        <f>IFERROR(INDEX($L$146:$L$176,MATCH(D63,LU_Diag_Pers_Hosp,0)),0)</f>
        <v>0</v>
      </c>
      <c r="K63" s="224">
        <v>0</v>
      </c>
      <c r="L63" s="225">
        <v>0</v>
      </c>
      <c r="M63" s="572">
        <v>0</v>
      </c>
      <c r="N63" s="148">
        <f>J63*SUM(K63:M63)</f>
        <v>0</v>
      </c>
      <c r="U63" s="119">
        <f>IF(AND(ISERROR(MATCH(D63,LU_Diag_Pers_Hosp,0)),SUM(K63:M63)),1,0)</f>
        <v>0</v>
      </c>
    </row>
    <row r="64" spans="3:21" s="348" customFormat="1" ht="15" x14ac:dyDescent="0.2">
      <c r="D64" s="782" t="s">
        <v>113</v>
      </c>
      <c r="E64" s="783"/>
      <c r="F64" s="783"/>
      <c r="G64" s="783"/>
      <c r="J64" s="672"/>
      <c r="K64" s="832"/>
      <c r="L64" s="833"/>
      <c r="M64" s="834"/>
      <c r="N64" s="136">
        <f>SUM(N61:N63)</f>
        <v>4.2949303742384677</v>
      </c>
      <c r="U64" s="672"/>
    </row>
    <row r="65" spans="4:21" s="348" customFormat="1" ht="15" x14ac:dyDescent="0.2">
      <c r="D65" s="667" t="s">
        <v>949</v>
      </c>
      <c r="K65" s="671" t="s">
        <v>950</v>
      </c>
    </row>
    <row r="66" spans="4:21" s="348" customFormat="1" x14ac:dyDescent="0.2">
      <c r="D66" s="721" t="s">
        <v>1574</v>
      </c>
      <c r="E66" s="721"/>
      <c r="F66" s="721"/>
      <c r="G66" s="721"/>
      <c r="H66" s="721"/>
      <c r="I66" s="721"/>
      <c r="K66" s="721" t="s">
        <v>1574</v>
      </c>
      <c r="L66" s="721"/>
      <c r="M66" s="721"/>
      <c r="N66" s="721"/>
      <c r="O66" s="721"/>
      <c r="P66" s="721"/>
    </row>
    <row r="67" spans="4:21" s="348" customFormat="1" x14ac:dyDescent="0.2">
      <c r="D67" s="721"/>
      <c r="E67" s="721"/>
      <c r="F67" s="721"/>
      <c r="G67" s="721"/>
      <c r="H67" s="721"/>
      <c r="I67" s="721"/>
      <c r="K67" s="721"/>
      <c r="L67" s="721"/>
      <c r="M67" s="721"/>
      <c r="N67" s="721"/>
      <c r="O67" s="721"/>
      <c r="P67" s="721"/>
    </row>
    <row r="68" spans="4:21" s="348" customFormat="1" x14ac:dyDescent="0.2">
      <c r="D68" s="721"/>
      <c r="E68" s="721"/>
      <c r="F68" s="721"/>
      <c r="G68" s="721"/>
      <c r="H68" s="721"/>
      <c r="I68" s="721"/>
      <c r="K68" s="721"/>
      <c r="L68" s="721"/>
      <c r="M68" s="721"/>
      <c r="N68" s="721"/>
      <c r="O68" s="721"/>
      <c r="P68" s="721"/>
    </row>
    <row r="69" spans="4:21" s="348" customFormat="1" x14ac:dyDescent="0.2">
      <c r="D69" s="721"/>
      <c r="E69" s="721"/>
      <c r="F69" s="721"/>
      <c r="G69" s="721"/>
      <c r="H69" s="721"/>
      <c r="I69" s="721"/>
      <c r="K69" s="721"/>
      <c r="L69" s="721"/>
      <c r="M69" s="721"/>
      <c r="N69" s="721"/>
      <c r="O69" s="721"/>
      <c r="P69" s="721"/>
    </row>
    <row r="70" spans="4:21" s="348" customFormat="1" x14ac:dyDescent="0.2"/>
    <row r="71" spans="4:21" s="348" customFormat="1" ht="15" x14ac:dyDescent="0.2">
      <c r="J71" s="849" t="str">
        <f>"Cost Per Minute ("&amp;$I$143&amp;")"</f>
        <v>Cost Per Minute (USD)</v>
      </c>
      <c r="K71" s="772" t="s">
        <v>112</v>
      </c>
      <c r="L71" s="773"/>
      <c r="M71" s="773"/>
      <c r="N71" s="851" t="str">
        <f>"Cost ("&amp;$I$143&amp;")"</f>
        <v>Cost (USD)</v>
      </c>
    </row>
    <row r="72" spans="4:21" s="348" customFormat="1" ht="30" x14ac:dyDescent="0.2">
      <c r="D72" s="669" t="str">
        <f>C31</f>
        <v>Other Facility Types</v>
      </c>
      <c r="J72" s="850"/>
      <c r="K72" s="159" t="s">
        <v>109</v>
      </c>
      <c r="L72" s="159" t="s">
        <v>110</v>
      </c>
      <c r="M72" s="159" t="s">
        <v>111</v>
      </c>
      <c r="N72" s="852"/>
      <c r="U72" s="671" t="s">
        <v>312</v>
      </c>
    </row>
    <row r="73" spans="4:21" s="348" customFormat="1" x14ac:dyDescent="0.2">
      <c r="D73" s="721" t="s">
        <v>1649</v>
      </c>
      <c r="E73" s="721"/>
      <c r="F73" s="721"/>
      <c r="G73" s="721"/>
      <c r="J73" s="147">
        <f>IFERROR(INDEX($L$179:$L$209,MATCH(D73,LU_Diag_Pers_Oth,0)),0)</f>
        <v>0.3125</v>
      </c>
      <c r="K73" s="187">
        <v>3</v>
      </c>
      <c r="L73" s="188">
        <v>6</v>
      </c>
      <c r="M73" s="250">
        <v>2</v>
      </c>
      <c r="N73" s="145">
        <f>J73*SUM(K73:M73)</f>
        <v>3.4375</v>
      </c>
      <c r="U73" s="119">
        <f>IF(AND(ISERROR(MATCH(D73,LU_Diag_Pers_Oth,0)),SUM(K73:M73)),1,0)</f>
        <v>0</v>
      </c>
    </row>
    <row r="74" spans="4:21" s="348" customFormat="1" x14ac:dyDescent="0.2">
      <c r="D74" s="721" t="s">
        <v>1276</v>
      </c>
      <c r="E74" s="721"/>
      <c r="F74" s="721"/>
      <c r="G74" s="721"/>
      <c r="J74" s="147">
        <f>IFERROR(INDEX($L$179:$L$209,MATCH(D74,LU_Diag_Pers_Oth,0)),0)</f>
        <v>5.7114882506527402E-2</v>
      </c>
      <c r="K74" s="221">
        <v>3</v>
      </c>
      <c r="L74" s="182">
        <v>6</v>
      </c>
      <c r="M74" s="571">
        <v>2</v>
      </c>
      <c r="N74" s="148">
        <f>J74*SUM(K74:M74)</f>
        <v>0.62826370757180139</v>
      </c>
      <c r="U74" s="119">
        <f>IF(AND(ISERROR(MATCH(D74,LU_Diag_Pers_Oth,0)),SUM(K74:M74)),1,0)</f>
        <v>0</v>
      </c>
    </row>
    <row r="75" spans="4:21" s="348" customFormat="1" x14ac:dyDescent="0.2">
      <c r="D75" s="721" t="s">
        <v>1257</v>
      </c>
      <c r="E75" s="721"/>
      <c r="F75" s="721"/>
      <c r="G75" s="721"/>
      <c r="J75" s="149">
        <f>IFERROR(INDEX($L$179:$L$209,MATCH(D75,LU_Diag_Pers_Oth,0)),0)</f>
        <v>0</v>
      </c>
      <c r="K75" s="224">
        <v>0</v>
      </c>
      <c r="L75" s="225">
        <v>0</v>
      </c>
      <c r="M75" s="572">
        <v>0</v>
      </c>
      <c r="N75" s="148">
        <f>J75*SUM(K75:M75)</f>
        <v>0</v>
      </c>
      <c r="U75" s="119">
        <f>IF(AND(ISERROR(MATCH(D75,LU_Diag_Pers_Oth,0)),SUM(K75:M75)),1,0)</f>
        <v>0</v>
      </c>
    </row>
    <row r="76" spans="4:21" s="348" customFormat="1" ht="15" x14ac:dyDescent="0.2">
      <c r="D76" s="782" t="s">
        <v>287</v>
      </c>
      <c r="E76" s="783"/>
      <c r="F76" s="783"/>
      <c r="G76" s="783"/>
      <c r="J76" s="672"/>
      <c r="K76" s="832"/>
      <c r="L76" s="833"/>
      <c r="M76" s="834"/>
      <c r="N76" s="136">
        <f>SUM(N73:N75)</f>
        <v>4.0657637075718016</v>
      </c>
      <c r="U76" s="672"/>
    </row>
    <row r="77" spans="4:21" s="348" customFormat="1" ht="15" x14ac:dyDescent="0.2">
      <c r="D77" s="667" t="s">
        <v>949</v>
      </c>
      <c r="K77" s="671" t="s">
        <v>950</v>
      </c>
    </row>
    <row r="78" spans="4:21" s="348" customFormat="1" x14ac:dyDescent="0.2">
      <c r="D78" s="721" t="s">
        <v>1574</v>
      </c>
      <c r="E78" s="721"/>
      <c r="F78" s="721"/>
      <c r="G78" s="721"/>
      <c r="H78" s="721"/>
      <c r="I78" s="721"/>
      <c r="K78" s="721"/>
      <c r="L78" s="721"/>
      <c r="M78" s="721"/>
      <c r="N78" s="721"/>
      <c r="O78" s="721"/>
      <c r="P78" s="721"/>
    </row>
    <row r="79" spans="4:21" s="348" customFormat="1" x14ac:dyDescent="0.2">
      <c r="D79" s="721" t="s">
        <v>1793</v>
      </c>
      <c r="E79" s="721"/>
      <c r="F79" s="721"/>
      <c r="G79" s="721"/>
      <c r="H79" s="721"/>
      <c r="I79" s="721"/>
      <c r="K79" s="721"/>
      <c r="L79" s="721"/>
      <c r="M79" s="721"/>
      <c r="N79" s="721"/>
      <c r="O79" s="721"/>
      <c r="P79" s="721"/>
    </row>
    <row r="80" spans="4:21" s="348" customFormat="1" x14ac:dyDescent="0.2">
      <c r="D80" s="721"/>
      <c r="E80" s="721"/>
      <c r="F80" s="721"/>
      <c r="G80" s="721"/>
      <c r="H80" s="721"/>
      <c r="I80" s="721"/>
      <c r="K80" s="721"/>
      <c r="L80" s="721"/>
      <c r="M80" s="721"/>
      <c r="N80" s="721"/>
      <c r="O80" s="721"/>
      <c r="P80" s="721"/>
    </row>
    <row r="81" spans="3:21" s="348" customFormat="1" x14ac:dyDescent="0.2">
      <c r="D81" s="721"/>
      <c r="E81" s="721"/>
      <c r="F81" s="721"/>
      <c r="G81" s="721"/>
      <c r="H81" s="721"/>
      <c r="I81" s="721"/>
      <c r="K81" s="721"/>
      <c r="L81" s="721"/>
      <c r="M81" s="721"/>
      <c r="N81" s="721"/>
      <c r="O81" s="721"/>
      <c r="P81" s="721"/>
    </row>
    <row r="82" spans="3:21" s="348" customFormat="1" x14ac:dyDescent="0.2"/>
    <row r="83" spans="3:21" s="348" customFormat="1" x14ac:dyDescent="0.2"/>
    <row r="84" spans="3:21" s="348" customFormat="1" ht="15.75" x14ac:dyDescent="0.2">
      <c r="C84" s="124" t="str">
        <f>"Supplies Required for "&amp;G10</f>
        <v>Supplies Required for BIOP-H</v>
      </c>
    </row>
    <row r="85" spans="3:21" s="348" customFormat="1" x14ac:dyDescent="0.2"/>
    <row r="86" spans="3:21" s="348" customFormat="1" ht="30" x14ac:dyDescent="0.2">
      <c r="D86" s="667" t="s">
        <v>106</v>
      </c>
      <c r="H86" s="671" t="s">
        <v>951</v>
      </c>
      <c r="J86" s="132" t="str">
        <f>"Cost per Unit ("&amp;$I$143&amp;")"</f>
        <v>Cost per Unit (USD)</v>
      </c>
      <c r="K86" s="366" t="s">
        <v>107</v>
      </c>
      <c r="L86" s="132" t="str">
        <f>"Total Cost ("&amp;$I$143&amp;")"</f>
        <v>Total Cost (USD)</v>
      </c>
      <c r="M86" s="725" t="s">
        <v>74</v>
      </c>
      <c r="N86" s="726"/>
      <c r="O86" s="726"/>
      <c r="U86" s="671" t="s">
        <v>312</v>
      </c>
    </row>
    <row r="87" spans="3:21" s="348" customFormat="1" x14ac:dyDescent="0.2">
      <c r="D87" s="723" t="s">
        <v>1257</v>
      </c>
      <c r="E87" s="723"/>
      <c r="F87" s="723"/>
      <c r="G87" s="723"/>
      <c r="H87" s="668" t="str">
        <f t="shared" ref="H87:H92" si="1">IFERROR(INDEX($J$212:$J$378,MATCH(D87,LU_Diag_Supplies,0)),0)</f>
        <v>SU</v>
      </c>
      <c r="J87" s="137">
        <f t="shared" ref="J87:J92" si="2">IFERROR(INDEX($L$212:$L$378,MATCH(D87,LU_Diag_Supplies,0)),0)</f>
        <v>0</v>
      </c>
      <c r="K87" s="370">
        <v>50</v>
      </c>
      <c r="L87" s="138">
        <f t="shared" ref="L87:L92" si="3">J87*K87</f>
        <v>0</v>
      </c>
      <c r="M87" s="723"/>
      <c r="N87" s="723"/>
      <c r="O87" s="723"/>
      <c r="U87" s="119">
        <f t="shared" ref="U87:U92" si="4">IF(AND(ISERROR(MATCH(D87,LU_Diag_Supplies,0)),K87),1,0)</f>
        <v>0</v>
      </c>
    </row>
    <row r="88" spans="3:21" s="348" customFormat="1" x14ac:dyDescent="0.2">
      <c r="D88" s="723" t="s">
        <v>1257</v>
      </c>
      <c r="E88" s="723"/>
      <c r="F88" s="723"/>
      <c r="G88" s="723"/>
      <c r="H88" s="668" t="str">
        <f t="shared" si="1"/>
        <v>SU</v>
      </c>
      <c r="J88" s="137">
        <f t="shared" si="2"/>
        <v>0</v>
      </c>
      <c r="K88" s="370">
        <v>2.5</v>
      </c>
      <c r="L88" s="138">
        <f t="shared" si="3"/>
        <v>0</v>
      </c>
      <c r="M88" s="723"/>
      <c r="N88" s="723"/>
      <c r="O88" s="723"/>
      <c r="U88" s="119">
        <f t="shared" si="4"/>
        <v>0</v>
      </c>
    </row>
    <row r="89" spans="3:21" s="348" customFormat="1" x14ac:dyDescent="0.2">
      <c r="D89" s="723" t="s">
        <v>1257</v>
      </c>
      <c r="E89" s="723"/>
      <c r="F89" s="723"/>
      <c r="G89" s="723"/>
      <c r="H89" s="668" t="str">
        <f t="shared" si="1"/>
        <v>SU</v>
      </c>
      <c r="J89" s="137">
        <f t="shared" si="2"/>
        <v>0</v>
      </c>
      <c r="K89" s="370">
        <v>1</v>
      </c>
      <c r="L89" s="138">
        <f t="shared" si="3"/>
        <v>0</v>
      </c>
      <c r="M89" s="723"/>
      <c r="N89" s="723"/>
      <c r="O89" s="723"/>
      <c r="U89" s="119">
        <f t="shared" si="4"/>
        <v>0</v>
      </c>
    </row>
    <row r="90" spans="3:21" s="348" customFormat="1" x14ac:dyDescent="0.2">
      <c r="D90" s="723" t="s">
        <v>1449</v>
      </c>
      <c r="E90" s="723"/>
      <c r="F90" s="723"/>
      <c r="G90" s="723"/>
      <c r="H90" s="668" t="str">
        <f t="shared" si="1"/>
        <v>piece</v>
      </c>
      <c r="J90" s="137">
        <f t="shared" si="2"/>
        <v>0.32350000000000001</v>
      </c>
      <c r="K90" s="370">
        <v>1</v>
      </c>
      <c r="L90" s="138">
        <f t="shared" si="3"/>
        <v>0.32350000000000001</v>
      </c>
      <c r="M90" s="723"/>
      <c r="N90" s="723"/>
      <c r="O90" s="723"/>
      <c r="U90" s="119">
        <f t="shared" si="4"/>
        <v>0</v>
      </c>
    </row>
    <row r="91" spans="3:21" s="348" customFormat="1" x14ac:dyDescent="0.2">
      <c r="D91" s="723" t="s">
        <v>1257</v>
      </c>
      <c r="E91" s="723"/>
      <c r="F91" s="723"/>
      <c r="G91" s="723"/>
      <c r="H91" s="668" t="str">
        <f t="shared" si="1"/>
        <v>SU</v>
      </c>
      <c r="J91" s="137">
        <f t="shared" si="2"/>
        <v>0</v>
      </c>
      <c r="K91" s="370">
        <v>0.01</v>
      </c>
      <c r="L91" s="138">
        <f t="shared" si="3"/>
        <v>0</v>
      </c>
      <c r="M91" s="723"/>
      <c r="N91" s="723"/>
      <c r="O91" s="723"/>
      <c r="U91" s="119">
        <f t="shared" si="4"/>
        <v>0</v>
      </c>
    </row>
    <row r="92" spans="3:21" s="348" customFormat="1" x14ac:dyDescent="0.2">
      <c r="D92" s="723" t="s">
        <v>1403</v>
      </c>
      <c r="E92" s="723"/>
      <c r="F92" s="723"/>
      <c r="G92" s="723"/>
      <c r="H92" s="668" t="str">
        <f t="shared" si="1"/>
        <v>mililiter</v>
      </c>
      <c r="J92" s="137">
        <f t="shared" si="2"/>
        <v>0.34903395999999998</v>
      </c>
      <c r="K92" s="370">
        <v>5</v>
      </c>
      <c r="L92" s="138">
        <f t="shared" si="3"/>
        <v>1.7451697999999998</v>
      </c>
      <c r="M92" s="723" t="s">
        <v>1794</v>
      </c>
      <c r="N92" s="723"/>
      <c r="O92" s="723"/>
      <c r="U92" s="119">
        <f t="shared" si="4"/>
        <v>0</v>
      </c>
    </row>
    <row r="93" spans="3:21" s="348" customFormat="1" ht="15" x14ac:dyDescent="0.2">
      <c r="D93" s="782" t="s">
        <v>108</v>
      </c>
      <c r="E93" s="783"/>
      <c r="F93" s="783"/>
      <c r="G93" s="783"/>
      <c r="H93" s="669"/>
      <c r="J93" s="139"/>
      <c r="K93" s="672"/>
      <c r="L93" s="140">
        <f>SUM(L87:L92)</f>
        <v>2.0686697999999999</v>
      </c>
      <c r="M93" s="669"/>
      <c r="N93" s="669"/>
      <c r="O93" s="669"/>
      <c r="U93" s="672"/>
    </row>
    <row r="94" spans="3:21" s="348" customFormat="1" x14ac:dyDescent="0.2"/>
    <row r="95" spans="3:21" s="348" customFormat="1" ht="15" x14ac:dyDescent="0.2">
      <c r="D95" s="667" t="s">
        <v>952</v>
      </c>
      <c r="K95" s="671" t="s">
        <v>958</v>
      </c>
    </row>
    <row r="96" spans="3:21" s="348" customFormat="1" x14ac:dyDescent="0.2">
      <c r="D96" s="721" t="s">
        <v>957</v>
      </c>
      <c r="E96" s="721"/>
      <c r="F96" s="721"/>
      <c r="G96" s="721"/>
      <c r="H96" s="721"/>
      <c r="I96" s="721"/>
      <c r="K96" s="721"/>
      <c r="L96" s="721"/>
      <c r="M96" s="721"/>
      <c r="N96" s="721"/>
      <c r="O96" s="721"/>
      <c r="P96" s="721"/>
    </row>
    <row r="97" spans="3:21" s="348" customFormat="1" x14ac:dyDescent="0.2">
      <c r="D97" s="721" t="s">
        <v>1795</v>
      </c>
      <c r="E97" s="721"/>
      <c r="F97" s="721"/>
      <c r="G97" s="721"/>
      <c r="H97" s="721"/>
      <c r="I97" s="721"/>
      <c r="K97" s="721"/>
      <c r="L97" s="721"/>
      <c r="M97" s="721"/>
      <c r="N97" s="721"/>
      <c r="O97" s="721"/>
      <c r="P97" s="721"/>
    </row>
    <row r="98" spans="3:21" s="348" customFormat="1" x14ac:dyDescent="0.2">
      <c r="D98" s="721"/>
      <c r="E98" s="721"/>
      <c r="F98" s="721"/>
      <c r="G98" s="721"/>
      <c r="H98" s="721"/>
      <c r="I98" s="721"/>
      <c r="K98" s="721"/>
      <c r="L98" s="721"/>
      <c r="M98" s="721"/>
      <c r="N98" s="721"/>
      <c r="O98" s="721"/>
      <c r="P98" s="721"/>
    </row>
    <row r="99" spans="3:21" s="348" customFormat="1" x14ac:dyDescent="0.2">
      <c r="D99" s="721"/>
      <c r="E99" s="721"/>
      <c r="F99" s="721"/>
      <c r="G99" s="721"/>
      <c r="H99" s="721"/>
      <c r="I99" s="721"/>
      <c r="K99" s="721"/>
      <c r="L99" s="721"/>
      <c r="M99" s="721"/>
      <c r="N99" s="721"/>
      <c r="O99" s="721"/>
      <c r="P99" s="721"/>
    </row>
    <row r="100" spans="3:21" s="348" customFormat="1" ht="15.75" x14ac:dyDescent="0.2">
      <c r="C100" s="124" t="str">
        <f>"Equipment Required to Activate a Health Facility to Provide "&amp;G10&amp;" Service"</f>
        <v>Equipment Required to Activate a Health Facility to Provide BIOP-H Service</v>
      </c>
    </row>
    <row r="101" spans="3:21" s="348" customFormat="1" x14ac:dyDescent="0.2"/>
    <row r="102" spans="3:21" s="348" customFormat="1" ht="30" x14ac:dyDescent="0.2">
      <c r="J102" s="141" t="str">
        <f>"Cost per Unit ("&amp;$I$143&amp;")"</f>
        <v>Cost per Unit (USD)</v>
      </c>
      <c r="L102" s="849" t="str">
        <f>"Total Cost per Site ("&amp;$I$143&amp;")"</f>
        <v>Total Cost per Site (USD)</v>
      </c>
      <c r="M102" s="862"/>
      <c r="N102" s="863"/>
    </row>
    <row r="103" spans="3:21" s="348" customFormat="1" ht="39.6" customHeight="1" x14ac:dyDescent="0.2">
      <c r="D103" s="667" t="s">
        <v>106</v>
      </c>
      <c r="J103" s="142" t="s">
        <v>117</v>
      </c>
      <c r="K103" s="675" t="s">
        <v>116</v>
      </c>
      <c r="L103" s="575" t="str">
        <f>J103</f>
        <v>Facility</v>
      </c>
      <c r="M103" s="288" t="s">
        <v>632</v>
      </c>
      <c r="N103" s="288" t="s">
        <v>633</v>
      </c>
      <c r="O103" s="870" t="s">
        <v>74</v>
      </c>
      <c r="P103" s="871"/>
      <c r="Q103" s="872"/>
      <c r="U103" s="671" t="s">
        <v>312</v>
      </c>
    </row>
    <row r="104" spans="3:21" s="348" customFormat="1" x14ac:dyDescent="0.2">
      <c r="D104" s="721" t="s">
        <v>1316</v>
      </c>
      <c r="E104" s="721"/>
      <c r="F104" s="721"/>
      <c r="G104" s="721"/>
      <c r="J104" s="144">
        <f>IFERROR(INDEX($J$381:$J$503,MATCH(D104,LU_Diag_Equip,0)),0)</f>
        <v>15</v>
      </c>
      <c r="K104" s="220">
        <v>3</v>
      </c>
      <c r="L104" s="145">
        <f t="shared" ref="L104:L106" si="5">J104*$K104</f>
        <v>45</v>
      </c>
      <c r="M104" s="146">
        <f>IFERROR(INDEX($K$381:$K$503,MATCH(D104,LU_Diag_Equip,0)),0)*K104</f>
        <v>11.25</v>
      </c>
      <c r="N104" s="146">
        <f>IFERROR(INDEX($L$381:$L$503,MATCH(D104,LU_Diag_Equip,0)),0)*K104</f>
        <v>12.106217033688715</v>
      </c>
      <c r="O104" s="864"/>
      <c r="P104" s="865"/>
      <c r="Q104" s="866"/>
      <c r="U104" s="119">
        <f>IF(AND(ISERROR(MATCH(D104,LU_Diag_Equip,0)),K104),1,0)</f>
        <v>0</v>
      </c>
    </row>
    <row r="105" spans="3:21" s="348" customFormat="1" x14ac:dyDescent="0.2">
      <c r="D105" s="721" t="s">
        <v>1257</v>
      </c>
      <c r="E105" s="721"/>
      <c r="F105" s="721"/>
      <c r="G105" s="721"/>
      <c r="J105" s="147">
        <f>IFERROR(INDEX($J$381:$J$503,MATCH(D105,LU_Diag_Equip,0)),0)</f>
        <v>0</v>
      </c>
      <c r="K105" s="191"/>
      <c r="L105" s="148">
        <f t="shared" si="5"/>
        <v>0</v>
      </c>
      <c r="M105" s="146">
        <f>IFERROR(INDEX($K$381:$K$503,MATCH(D105,LU_Diag_Equip,0)),0)*K105</f>
        <v>0</v>
      </c>
      <c r="N105" s="146">
        <f>IFERROR(INDEX($L$381:$L$503,MATCH(D105,LU_Diag_Equip,0)),0)*K105</f>
        <v>0</v>
      </c>
      <c r="O105" s="867"/>
      <c r="P105" s="868"/>
      <c r="Q105" s="869"/>
      <c r="U105" s="119">
        <f>IF(AND(ISERROR(MATCH(D105,LU_Diag_Equip,0)),K105),1,0)</f>
        <v>0</v>
      </c>
    </row>
    <row r="106" spans="3:21" s="348" customFormat="1" x14ac:dyDescent="0.2">
      <c r="D106" s="721" t="s">
        <v>1257</v>
      </c>
      <c r="E106" s="721"/>
      <c r="F106" s="721"/>
      <c r="G106" s="721"/>
      <c r="J106" s="149">
        <f>IFERROR(INDEX($J$381:$J$503,MATCH(D106,LU_Diag_Equip,0)),0)</f>
        <v>0</v>
      </c>
      <c r="K106" s="193">
        <v>0</v>
      </c>
      <c r="L106" s="576">
        <f t="shared" si="5"/>
        <v>0</v>
      </c>
      <c r="M106" s="574">
        <f>IFERROR(INDEX($K$381:$K$503,MATCH(D106,LU_Diag_Equip,0)),0)*K106</f>
        <v>0</v>
      </c>
      <c r="N106" s="574">
        <f>IFERROR(INDEX($L$381:$L$503,MATCH(D106,LU_Diag_Equip,0)),0)*K106</f>
        <v>0</v>
      </c>
      <c r="O106" s="859"/>
      <c r="P106" s="860"/>
      <c r="Q106" s="861"/>
      <c r="U106" s="119">
        <f>IF(AND(ISERROR(MATCH(D106,LU_Diag_Equip,0)),K106),1,0)</f>
        <v>0</v>
      </c>
    </row>
    <row r="107" spans="3:21" s="348" customFormat="1" ht="15" x14ac:dyDescent="0.2">
      <c r="D107" s="573" t="s">
        <v>191</v>
      </c>
      <c r="L107" s="514">
        <f>SUM(L104:L106)</f>
        <v>45</v>
      </c>
      <c r="M107" s="153">
        <f t="shared" ref="M107:N107" si="6">SUM(M104:M106)</f>
        <v>11.25</v>
      </c>
      <c r="N107" s="154">
        <f t="shared" si="6"/>
        <v>12.106217033688715</v>
      </c>
    </row>
    <row r="108" spans="3:21" s="348" customFormat="1" x14ac:dyDescent="0.2">
      <c r="D108" s="671" t="s">
        <v>120</v>
      </c>
      <c r="I108" s="184">
        <v>0.15</v>
      </c>
      <c r="M108" s="153">
        <f>M107*$I$108</f>
        <v>1.6875</v>
      </c>
      <c r="N108" s="154">
        <f>N107*$I$108</f>
        <v>1.8159325550533072</v>
      </c>
    </row>
    <row r="109" spans="3:21" s="348" customFormat="1" ht="15" x14ac:dyDescent="0.2">
      <c r="D109" s="667" t="s">
        <v>121</v>
      </c>
      <c r="M109" s="155">
        <f>SUM(M107:M108)</f>
        <v>12.9375</v>
      </c>
      <c r="N109" s="156">
        <f>SUM(N107:N108)</f>
        <v>13.922149588742021</v>
      </c>
    </row>
    <row r="110" spans="3:21" s="348" customFormat="1" x14ac:dyDescent="0.2"/>
    <row r="111" spans="3:21" s="348" customFormat="1" ht="15" x14ac:dyDescent="0.2">
      <c r="D111" s="667" t="s">
        <v>959</v>
      </c>
      <c r="K111" s="671" t="s">
        <v>959</v>
      </c>
    </row>
    <row r="112" spans="3:21" s="348" customFormat="1" x14ac:dyDescent="0.2">
      <c r="D112" s="721"/>
      <c r="E112" s="721"/>
      <c r="F112" s="721"/>
      <c r="G112" s="721"/>
      <c r="H112" s="721"/>
      <c r="I112" s="721"/>
      <c r="K112" s="721"/>
      <c r="L112" s="721"/>
      <c r="M112" s="721"/>
      <c r="N112" s="721"/>
      <c r="O112" s="721"/>
      <c r="P112" s="721"/>
    </row>
    <row r="113" spans="3:21" s="348" customFormat="1" x14ac:dyDescent="0.2">
      <c r="D113" s="721"/>
      <c r="E113" s="721"/>
      <c r="F113" s="721"/>
      <c r="G113" s="721"/>
      <c r="H113" s="721"/>
      <c r="I113" s="721"/>
      <c r="K113" s="721"/>
      <c r="L113" s="721"/>
      <c r="M113" s="721"/>
      <c r="N113" s="721"/>
      <c r="O113" s="721"/>
      <c r="P113" s="721"/>
    </row>
    <row r="114" spans="3:21" s="348" customFormat="1" x14ac:dyDescent="0.2">
      <c r="D114" s="721"/>
      <c r="E114" s="721"/>
      <c r="F114" s="721"/>
      <c r="G114" s="721"/>
      <c r="H114" s="721"/>
      <c r="I114" s="721"/>
      <c r="K114" s="721"/>
      <c r="L114" s="721"/>
      <c r="M114" s="721"/>
      <c r="N114" s="721"/>
      <c r="O114" s="721"/>
      <c r="P114" s="721"/>
    </row>
    <row r="115" spans="3:21" s="348" customFormat="1" x14ac:dyDescent="0.2">
      <c r="D115" s="721"/>
      <c r="E115" s="721"/>
      <c r="F115" s="721"/>
      <c r="G115" s="721"/>
      <c r="H115" s="721"/>
      <c r="I115" s="721"/>
      <c r="K115" s="721"/>
      <c r="L115" s="721"/>
      <c r="M115" s="721"/>
      <c r="N115" s="721"/>
      <c r="O115" s="721"/>
      <c r="P115" s="721"/>
    </row>
    <row r="116" spans="3:21" s="348" customFormat="1" x14ac:dyDescent="0.2"/>
    <row r="117" spans="3:21" s="348" customFormat="1" ht="15.75" x14ac:dyDescent="0.2">
      <c r="C117" s="124" t="str">
        <f>"Lab Tests &amp; Other Direct Costs for "&amp;G10</f>
        <v>Lab Tests &amp; Other Direct Costs for BIOP-H</v>
      </c>
    </row>
    <row r="118" spans="3:21" s="348" customFormat="1" x14ac:dyDescent="0.2"/>
    <row r="119" spans="3:21" s="348" customFormat="1" ht="30" x14ac:dyDescent="0.2">
      <c r="D119" s="667" t="s">
        <v>106</v>
      </c>
      <c r="J119" s="132" t="str">
        <f>"Cost per Unit ("&amp;$I$143&amp;")"</f>
        <v>Cost per Unit (USD)</v>
      </c>
      <c r="K119" s="366" t="s">
        <v>107</v>
      </c>
      <c r="L119" s="132" t="str">
        <f>"Total Cost ("&amp;$I$143&amp;")"</f>
        <v>Total Cost (USD)</v>
      </c>
      <c r="M119" s="725" t="s">
        <v>74</v>
      </c>
      <c r="N119" s="726"/>
      <c r="O119" s="726"/>
      <c r="U119" s="671" t="s">
        <v>312</v>
      </c>
    </row>
    <row r="120" spans="3:21" s="348" customFormat="1" x14ac:dyDescent="0.2">
      <c r="D120" s="721" t="s">
        <v>1564</v>
      </c>
      <c r="E120" s="721"/>
      <c r="F120" s="721"/>
      <c r="G120" s="721"/>
      <c r="J120" s="137">
        <f>IFERROR(INDEX($L$506:$L$538,MATCH(D120,LU_Diag_Lab_Oth,0)),0)</f>
        <v>10.45</v>
      </c>
      <c r="K120" s="183">
        <v>1</v>
      </c>
      <c r="L120" s="161">
        <f>J120*K120</f>
        <v>10.45</v>
      </c>
      <c r="M120" s="721"/>
      <c r="N120" s="721"/>
      <c r="O120" s="721"/>
      <c r="U120" s="119">
        <f>IF(AND(ISERROR(MATCH(D120,LU_Diag_Lab_Oth,0)),K120),1,0)</f>
        <v>0</v>
      </c>
    </row>
    <row r="121" spans="3:21" s="348" customFormat="1" ht="15" x14ac:dyDescent="0.2">
      <c r="D121" s="782" t="s">
        <v>108</v>
      </c>
      <c r="E121" s="783"/>
      <c r="F121" s="783"/>
      <c r="G121" s="783"/>
      <c r="J121" s="139"/>
      <c r="K121" s="672"/>
      <c r="L121" s="162">
        <f>SUM(L120:L120)</f>
        <v>10.45</v>
      </c>
      <c r="M121" s="669"/>
      <c r="N121" s="669"/>
      <c r="O121" s="669"/>
      <c r="U121" s="672"/>
    </row>
    <row r="122" spans="3:21" s="348" customFormat="1" x14ac:dyDescent="0.2">
      <c r="D122" s="671" t="s">
        <v>961</v>
      </c>
      <c r="K122" s="671" t="s">
        <v>960</v>
      </c>
    </row>
    <row r="123" spans="3:21" s="348" customFormat="1" x14ac:dyDescent="0.2">
      <c r="D123" s="721"/>
      <c r="E123" s="721"/>
      <c r="F123" s="721"/>
      <c r="G123" s="721"/>
      <c r="H123" s="721"/>
      <c r="I123" s="721"/>
      <c r="K123" s="721"/>
      <c r="L123" s="721"/>
      <c r="M123" s="721"/>
      <c r="N123" s="721"/>
      <c r="O123" s="721"/>
      <c r="P123" s="721"/>
    </row>
    <row r="124" spans="3:21" s="348" customFormat="1" x14ac:dyDescent="0.2">
      <c r="D124" s="721"/>
      <c r="E124" s="721"/>
      <c r="F124" s="721"/>
      <c r="G124" s="721"/>
      <c r="H124" s="721"/>
      <c r="I124" s="721"/>
      <c r="K124" s="721"/>
      <c r="L124" s="721"/>
      <c r="M124" s="721"/>
      <c r="N124" s="721"/>
      <c r="O124" s="721"/>
      <c r="P124" s="721"/>
    </row>
    <row r="125" spans="3:21" s="348" customFormat="1" x14ac:dyDescent="0.2">
      <c r="D125" s="721"/>
      <c r="E125" s="721"/>
      <c r="F125" s="721"/>
      <c r="G125" s="721"/>
      <c r="H125" s="721"/>
      <c r="I125" s="721"/>
      <c r="K125" s="721"/>
      <c r="L125" s="721"/>
      <c r="M125" s="721"/>
      <c r="N125" s="721"/>
      <c r="O125" s="721"/>
      <c r="P125" s="721"/>
    </row>
    <row r="126" spans="3:21" s="348" customFormat="1" x14ac:dyDescent="0.2">
      <c r="D126" s="721"/>
      <c r="E126" s="721"/>
      <c r="F126" s="721"/>
      <c r="G126" s="721"/>
      <c r="H126" s="721"/>
      <c r="I126" s="721"/>
      <c r="K126" s="721"/>
      <c r="L126" s="721"/>
      <c r="M126" s="721"/>
      <c r="N126" s="721"/>
      <c r="O126" s="721"/>
      <c r="P126" s="721"/>
    </row>
    <row r="127" spans="3:21" s="348" customFormat="1" x14ac:dyDescent="0.2"/>
    <row r="128" spans="3:21" s="348" customFormat="1" x14ac:dyDescent="0.2"/>
    <row r="129" spans="3:21" s="348" customFormat="1" ht="15.75" x14ac:dyDescent="0.2">
      <c r="C129" s="664" t="s">
        <v>1610</v>
      </c>
    </row>
    <row r="130" spans="3:21" s="348" customFormat="1" x14ac:dyDescent="0.2">
      <c r="D130" s="668" t="str">
        <f>Plac_Start_Facs_BA!C10</f>
        <v>Central</v>
      </c>
    </row>
    <row r="131" spans="3:21" s="348" customFormat="1" x14ac:dyDescent="0.2">
      <c r="D131" s="668" t="str">
        <f>Plac_Start_Facs_BA!C11</f>
        <v>Copperbelt</v>
      </c>
    </row>
    <row r="132" spans="3:21" s="348" customFormat="1" x14ac:dyDescent="0.2">
      <c r="D132" s="668" t="str">
        <f>Plac_Start_Facs_BA!C12</f>
        <v>Eastern</v>
      </c>
    </row>
    <row r="133" spans="3:21" s="348" customFormat="1" x14ac:dyDescent="0.2">
      <c r="D133" s="668" t="str">
        <f>Plac_Start_Facs_BA!C13</f>
        <v>Luapula</v>
      </c>
    </row>
    <row r="134" spans="3:21" s="348" customFormat="1" x14ac:dyDescent="0.2">
      <c r="D134" s="668" t="str">
        <f>Plac_Start_Facs_BA!C14</f>
        <v>Lusaka</v>
      </c>
    </row>
    <row r="135" spans="3:21" s="348" customFormat="1" x14ac:dyDescent="0.2">
      <c r="D135" s="668" t="str">
        <f>Plac_Start_Facs_BA!C15</f>
        <v>Muchinga</v>
      </c>
    </row>
    <row r="136" spans="3:21" s="348" customFormat="1" x14ac:dyDescent="0.2">
      <c r="D136" s="668" t="str">
        <f>Plac_Start_Facs_BA!C16</f>
        <v>Northern</v>
      </c>
    </row>
    <row r="137" spans="3:21" s="348" customFormat="1" x14ac:dyDescent="0.2">
      <c r="D137" s="668" t="str">
        <f>Plac_Start_Facs_BA!C17</f>
        <v>North-Western</v>
      </c>
    </row>
    <row r="138" spans="3:21" s="348" customFormat="1" x14ac:dyDescent="0.2">
      <c r="D138" s="668" t="str">
        <f>Plac_Start_Facs_BA!C18</f>
        <v>Southern</v>
      </c>
    </row>
    <row r="139" spans="3:21" s="348" customFormat="1" x14ac:dyDescent="0.2">
      <c r="D139" s="668" t="str">
        <f>Plac_Start_Facs_BA!C19</f>
        <v>Western</v>
      </c>
    </row>
    <row r="140" spans="3:21" s="348" customFormat="1" x14ac:dyDescent="0.2"/>
    <row r="141" spans="3:21" s="348" customFormat="1" ht="15.75" hidden="1" outlineLevel="2" x14ac:dyDescent="0.2">
      <c r="C141" s="664" t="s">
        <v>303</v>
      </c>
    </row>
    <row r="142" spans="3:21" s="348" customFormat="1" hidden="1" outlineLevel="2" x14ac:dyDescent="0.2">
      <c r="U142" s="671" t="s">
        <v>312</v>
      </c>
    </row>
    <row r="143" spans="3:21" s="348" customFormat="1" ht="14.45" hidden="1" customHeight="1" outlineLevel="2" x14ac:dyDescent="0.2">
      <c r="D143" s="667" t="s">
        <v>302</v>
      </c>
      <c r="I143" s="785" t="str">
        <f>Price_List_BA!G10</f>
        <v>USD</v>
      </c>
      <c r="J143" s="786"/>
      <c r="U143" s="119">
        <f>IF(ISERROR(MATCH(I143,LU_Diag_Curr,0)),1,0)</f>
        <v>0</v>
      </c>
    </row>
    <row r="144" spans="3:21" s="348" customFormat="1" hidden="1" outlineLevel="2" x14ac:dyDescent="0.2"/>
    <row r="145" spans="4:12" s="348" customFormat="1" ht="25.5" hidden="1" outlineLevel="2" x14ac:dyDescent="0.2">
      <c r="D145" s="359" t="str">
        <f>"Personnel - "&amp;D60</f>
        <v>Personnel - Fixed Hospital Sites</v>
      </c>
      <c r="L145" s="365" t="str">
        <f>"Cost per Unit ("&amp;$I$143&amp;"/Unit)"</f>
        <v>Cost per Unit (USD/Unit)</v>
      </c>
    </row>
    <row r="146" spans="4:12" s="348" customFormat="1" ht="12.95" hidden="1" customHeight="1" outlineLevel="2" x14ac:dyDescent="0.2">
      <c r="D146" s="785" t="str">
        <f>Price_List_BA!D14</f>
        <v>_Not Applicable</v>
      </c>
      <c r="E146" s="786"/>
      <c r="F146" s="786"/>
      <c r="G146" s="786"/>
      <c r="L146" s="127">
        <f>Price_List_BA!L14</f>
        <v>0</v>
      </c>
    </row>
    <row r="147" spans="4:12" s="348" customFormat="1" ht="12.95" hidden="1" customHeight="1" outlineLevel="2" x14ac:dyDescent="0.2">
      <c r="D147" s="785" t="str">
        <f>Price_List_BA!D15</f>
        <v>Biomedical scientist (ZM)</v>
      </c>
      <c r="E147" s="786"/>
      <c r="F147" s="786"/>
      <c r="G147" s="786"/>
      <c r="L147" s="127">
        <f>Price_List_BA!L15</f>
        <v>9.6099869451697087E-2</v>
      </c>
    </row>
    <row r="148" spans="4:12" s="348" customFormat="1" ht="12.95" hidden="1" customHeight="1" outlineLevel="2" x14ac:dyDescent="0.2">
      <c r="D148" s="785" t="str">
        <f>Price_List_BA!D16</f>
        <v>Clinical officer  (ZM)</v>
      </c>
      <c r="E148" s="786"/>
      <c r="F148" s="786"/>
      <c r="G148" s="786"/>
      <c r="L148" s="127">
        <f>Price_List_BA!L16</f>
        <v>5.4314893385552607E-2</v>
      </c>
    </row>
    <row r="149" spans="4:12" s="348" customFormat="1" ht="12.95" hidden="1" customHeight="1" outlineLevel="2" x14ac:dyDescent="0.2">
      <c r="D149" s="785" t="str">
        <f>Price_List_BA!D17</f>
        <v>Consultant  (ZM)</v>
      </c>
      <c r="E149" s="786"/>
      <c r="F149" s="786"/>
      <c r="G149" s="786"/>
      <c r="L149" s="127">
        <f>Price_List_BA!L17</f>
        <v>0.39408430337975103</v>
      </c>
    </row>
    <row r="150" spans="4:12" s="348" customFormat="1" hidden="1" outlineLevel="2" x14ac:dyDescent="0.2">
      <c r="D150" s="785" t="str">
        <f>Price_List_BA!D18</f>
        <v>General Medical Doctor</v>
      </c>
      <c r="E150" s="786"/>
      <c r="F150" s="786"/>
      <c r="G150" s="786"/>
      <c r="L150" s="127">
        <f>Price_List_BA!L18</f>
        <v>0.33333333333333331</v>
      </c>
    </row>
    <row r="151" spans="4:12" s="348" customFormat="1" ht="12.95" hidden="1" customHeight="1" outlineLevel="2" x14ac:dyDescent="0.2">
      <c r="D151" s="785" t="str">
        <f>Price_List_BA!D19</f>
        <v>Junior Resident Medical officer  (ZM)</v>
      </c>
      <c r="E151" s="786"/>
      <c r="F151" s="786"/>
      <c r="G151" s="786"/>
      <c r="L151" s="127">
        <f>Price_List_BA!L19</f>
        <v>0.30300363087467391</v>
      </c>
    </row>
    <row r="152" spans="4:12" s="348" customFormat="1" ht="12.95" hidden="1" customHeight="1" outlineLevel="2" x14ac:dyDescent="0.2">
      <c r="D152" s="785" t="str">
        <f>Price_List_BA!D20</f>
        <v>Lab Scientist (ZM)</v>
      </c>
      <c r="E152" s="786"/>
      <c r="F152" s="786"/>
      <c r="G152" s="786"/>
      <c r="L152" s="127">
        <f>Price_List_BA!L20</f>
        <v>9.6099869451697087E-2</v>
      </c>
    </row>
    <row r="153" spans="4:12" s="348" customFormat="1" ht="12.95" hidden="1" customHeight="1" outlineLevel="2" x14ac:dyDescent="0.2">
      <c r="D153" s="785" t="str">
        <f>Price_List_BA!D21</f>
        <v>Lab Technician (ZM)</v>
      </c>
      <c r="E153" s="786"/>
      <c r="F153" s="786"/>
      <c r="G153" s="786"/>
      <c r="L153" s="127">
        <f>Price_List_BA!L21</f>
        <v>4.7519582245430833E-2</v>
      </c>
    </row>
    <row r="154" spans="4:12" s="348" customFormat="1" ht="12.95" hidden="1" customHeight="1" outlineLevel="2" x14ac:dyDescent="0.2">
      <c r="D154" s="785" t="str">
        <f>Price_List_BA!D22</f>
        <v>Lab Technologist (ZM)</v>
      </c>
      <c r="E154" s="786"/>
      <c r="F154" s="786"/>
      <c r="G154" s="786"/>
      <c r="L154" s="127">
        <f>Price_List_BA!L22</f>
        <v>5.4308093994778019E-2</v>
      </c>
    </row>
    <row r="155" spans="4:12" s="348" customFormat="1" ht="12.95" hidden="1" customHeight="1" outlineLevel="2" x14ac:dyDescent="0.2">
      <c r="D155" s="785" t="str">
        <f>Price_List_BA!D23</f>
        <v>Medical Physicist (ZM)</v>
      </c>
      <c r="E155" s="786"/>
      <c r="F155" s="786"/>
      <c r="G155" s="786"/>
      <c r="L155" s="127">
        <f>Price_List_BA!L23</f>
        <v>0.15991895126196667</v>
      </c>
    </row>
    <row r="156" spans="4:12" s="348" customFormat="1" ht="12.95" hidden="1" customHeight="1" outlineLevel="2" x14ac:dyDescent="0.2">
      <c r="D156" s="785" t="str">
        <f>Price_List_BA!D24</f>
        <v>Nursing Officer (ZM)</v>
      </c>
      <c r="E156" s="786"/>
      <c r="F156" s="786"/>
      <c r="G156" s="786"/>
      <c r="L156" s="127">
        <f>Price_List_BA!L24</f>
        <v>9.6099869451697087E-2</v>
      </c>
    </row>
    <row r="157" spans="4:12" s="348" customFormat="1" ht="12.95" hidden="1" customHeight="1" outlineLevel="2" x14ac:dyDescent="0.2">
      <c r="D157" s="785" t="str">
        <f>Price_List_BA!D25</f>
        <v>Pathologist (ZM)</v>
      </c>
      <c r="E157" s="786"/>
      <c r="F157" s="786"/>
      <c r="G157" s="786"/>
      <c r="L157" s="127">
        <f>Price_List_BA!L25</f>
        <v>0.39408430337975103</v>
      </c>
    </row>
    <row r="158" spans="4:12" s="348" customFormat="1" ht="12.95" hidden="1" customHeight="1" outlineLevel="2" x14ac:dyDescent="0.2">
      <c r="D158" s="785" t="str">
        <f>Price_List_BA!D26</f>
        <v>Pharmacy Technologist (ZM)</v>
      </c>
      <c r="E158" s="786"/>
      <c r="F158" s="786"/>
      <c r="G158" s="786"/>
      <c r="L158" s="127">
        <f>Price_List_BA!L26</f>
        <v>5.4312173629242816E-2</v>
      </c>
    </row>
    <row r="159" spans="4:12" s="348" customFormat="1" ht="12.95" hidden="1" customHeight="1" outlineLevel="2" x14ac:dyDescent="0.2">
      <c r="D159" s="785" t="str">
        <f>Price_List_BA!D27</f>
        <v>Principal Nursing Officer (ZM)</v>
      </c>
      <c r="E159" s="786"/>
      <c r="F159" s="786"/>
      <c r="G159" s="786"/>
      <c r="L159" s="127">
        <f>Price_List_BA!L27</f>
        <v>0.15919413620539585</v>
      </c>
    </row>
    <row r="160" spans="4:12" s="348" customFormat="1" ht="12.95" hidden="1" customHeight="1" outlineLevel="2" x14ac:dyDescent="0.2">
      <c r="D160" s="785" t="str">
        <f>Price_List_BA!D28</f>
        <v>Principal Pharmacist (ZM)</v>
      </c>
      <c r="E160" s="786"/>
      <c r="F160" s="786"/>
      <c r="G160" s="786"/>
      <c r="L160" s="127">
        <f>Price_List_BA!L28</f>
        <v>0.15919560940673019</v>
      </c>
    </row>
    <row r="161" spans="4:12" s="348" customFormat="1" ht="12.95" hidden="1" customHeight="1" outlineLevel="2" x14ac:dyDescent="0.2">
      <c r="D161" s="785" t="str">
        <f>Price_List_BA!D29</f>
        <v>Principal Radiographer (ZM)</v>
      </c>
      <c r="E161" s="786"/>
      <c r="F161" s="786"/>
      <c r="G161" s="786"/>
      <c r="L161" s="127">
        <f>Price_List_BA!L29</f>
        <v>0.15919855580939896</v>
      </c>
    </row>
    <row r="162" spans="4:12" s="348" customFormat="1" ht="12.95" hidden="1" customHeight="1" outlineLevel="2" x14ac:dyDescent="0.2">
      <c r="D162" s="785" t="str">
        <f>Price_List_BA!D30</f>
        <v>Principal Therapist - Radiation (ZM)</v>
      </c>
      <c r="E162" s="786"/>
      <c r="F162" s="786"/>
      <c r="G162" s="786"/>
      <c r="L162" s="127">
        <f>Price_List_BA!L30</f>
        <v>0.15919708260806459</v>
      </c>
    </row>
    <row r="163" spans="4:12" s="348" customFormat="1" ht="12.95" hidden="1" customHeight="1" outlineLevel="2" x14ac:dyDescent="0.2">
      <c r="D163" s="785" t="str">
        <f>Price_List_BA!D31</f>
        <v>Radiation Lab Scientist (ZM)</v>
      </c>
      <c r="E163" s="786"/>
      <c r="F163" s="786"/>
      <c r="G163" s="786"/>
      <c r="L163" s="127">
        <f>Price_List_BA!L31</f>
        <v>9.6099869451697087E-2</v>
      </c>
    </row>
    <row r="164" spans="4:12" s="348" customFormat="1" ht="12.95" hidden="1" customHeight="1" outlineLevel="2" x14ac:dyDescent="0.2">
      <c r="D164" s="785" t="str">
        <f>Price_List_BA!D32</f>
        <v>Radiation Protection Officer (ZM)</v>
      </c>
      <c r="E164" s="786"/>
      <c r="F164" s="786"/>
      <c r="G164" s="786"/>
      <c r="L164" s="127">
        <f>Price_List_BA!L32</f>
        <v>9.6099869451697087E-2</v>
      </c>
    </row>
    <row r="165" spans="4:12" s="348" customFormat="1" ht="12.95" hidden="1" customHeight="1" outlineLevel="2" x14ac:dyDescent="0.2">
      <c r="D165" s="785" t="str">
        <f>Price_List_BA!D33</f>
        <v>Radiographer (ZM)</v>
      </c>
      <c r="E165" s="786"/>
      <c r="F165" s="786"/>
      <c r="G165" s="786"/>
      <c r="L165" s="127">
        <f>Price_List_BA!L33</f>
        <v>9.6099869451697087E-2</v>
      </c>
    </row>
    <row r="166" spans="4:12" s="348" customFormat="1" ht="12.95" hidden="1" customHeight="1" outlineLevel="2" x14ac:dyDescent="0.2">
      <c r="D166" s="785" t="str">
        <f>Price_List_BA!D34</f>
        <v>Registered Nurse (ZM)</v>
      </c>
      <c r="E166" s="786"/>
      <c r="F166" s="786"/>
      <c r="G166" s="786"/>
      <c r="L166" s="127">
        <f>Price_List_BA!L34</f>
        <v>5.7114882506527402E-2</v>
      </c>
    </row>
    <row r="167" spans="4:12" s="348" customFormat="1" ht="12.95" hidden="1" customHeight="1" outlineLevel="2" x14ac:dyDescent="0.2">
      <c r="D167" s="785" t="str">
        <f>Price_List_BA!D35</f>
        <v>Senior Enrolled Nurse (ZM)</v>
      </c>
      <c r="E167" s="786"/>
      <c r="F167" s="786"/>
      <c r="G167" s="786"/>
      <c r="L167" s="127">
        <f>Price_List_BA!L35</f>
        <v>5.4313533507397704E-2</v>
      </c>
    </row>
    <row r="168" spans="4:12" s="348" customFormat="1" ht="12.75" hidden="1" customHeight="1" outlineLevel="2" x14ac:dyDescent="0.2">
      <c r="D168" s="785" t="str">
        <f>Price_List_BA!D36</f>
        <v>Senior Nursing Officer (ZM)</v>
      </c>
      <c r="E168" s="786"/>
      <c r="F168" s="786"/>
      <c r="G168" s="786"/>
      <c r="L168" s="127">
        <f>Price_List_BA!L36</f>
        <v>0.12206946257615311</v>
      </c>
    </row>
    <row r="169" spans="4:12" s="348" customFormat="1" ht="12.75" hidden="1" customHeight="1" outlineLevel="2" x14ac:dyDescent="0.2">
      <c r="D169" s="785" t="str">
        <f>Price_List_BA!D37</f>
        <v>Senior Radiation protection Officer (ZM)</v>
      </c>
      <c r="E169" s="786"/>
      <c r="F169" s="786"/>
      <c r="G169" s="786"/>
      <c r="L169" s="127">
        <f>Price_List_BA!L37</f>
        <v>0.12207093577748751</v>
      </c>
    </row>
    <row r="170" spans="4:12" s="348" customFormat="1" ht="12.75" hidden="1" customHeight="1" outlineLevel="2" x14ac:dyDescent="0.2">
      <c r="D170" s="785" t="str">
        <f>Price_List_BA!D38</f>
        <v>Senior Radiographer (ZM)</v>
      </c>
      <c r="E170" s="786"/>
      <c r="F170" s="786"/>
      <c r="G170" s="786"/>
      <c r="L170" s="127">
        <f>Price_List_BA!L38</f>
        <v>0.12207240897882186</v>
      </c>
    </row>
    <row r="171" spans="4:12" s="348" customFormat="1" ht="12.75" hidden="1" customHeight="1" outlineLevel="2" x14ac:dyDescent="0.2">
      <c r="D171" s="785" t="str">
        <f>Price_List_BA!D39</f>
        <v>Zambia Enrolled Nurse (ZEN) (ZM)</v>
      </c>
      <c r="E171" s="786"/>
      <c r="F171" s="786"/>
      <c r="G171" s="786"/>
      <c r="L171" s="127">
        <f>Price_List_BA!L39</f>
        <v>5.4309453872933025E-2</v>
      </c>
    </row>
    <row r="172" spans="4:12" s="348" customFormat="1" hidden="1" outlineLevel="2" x14ac:dyDescent="0.2">
      <c r="D172" s="785" t="str">
        <f>Price_List_BA!D40</f>
        <v>Personnel - Hospital Cadre - Other 27</v>
      </c>
      <c r="E172" s="786"/>
      <c r="F172" s="786"/>
      <c r="G172" s="786"/>
      <c r="L172" s="127">
        <f>Price_List_BA!L40</f>
        <v>0</v>
      </c>
    </row>
    <row r="173" spans="4:12" s="348" customFormat="1" hidden="1" outlineLevel="2" x14ac:dyDescent="0.2">
      <c r="D173" s="785" t="str">
        <f>Price_List_BA!D41</f>
        <v>Personnel - Hospital Cadre - Other 28</v>
      </c>
      <c r="E173" s="786"/>
      <c r="F173" s="786"/>
      <c r="G173" s="786"/>
      <c r="L173" s="127">
        <f>Price_List_BA!L41</f>
        <v>0</v>
      </c>
    </row>
    <row r="174" spans="4:12" s="348" customFormat="1" hidden="1" outlineLevel="2" x14ac:dyDescent="0.2">
      <c r="D174" s="785" t="str">
        <f>Price_List_BA!D42</f>
        <v>Personnel - Hospital Cadre - Other 29</v>
      </c>
      <c r="E174" s="786"/>
      <c r="F174" s="786"/>
      <c r="G174" s="786"/>
      <c r="L174" s="127">
        <f>Price_List_BA!L42</f>
        <v>0</v>
      </c>
    </row>
    <row r="175" spans="4:12" s="348" customFormat="1" hidden="1" outlineLevel="2" x14ac:dyDescent="0.2">
      <c r="D175" s="785" t="str">
        <f>Price_List_BA!D43</f>
        <v>Personnel - Hospital Cadre - Other 30</v>
      </c>
      <c r="E175" s="786"/>
      <c r="F175" s="786"/>
      <c r="G175" s="786"/>
      <c r="L175" s="127">
        <f>Price_List_BA!L43</f>
        <v>0</v>
      </c>
    </row>
    <row r="176" spans="4:12" s="348" customFormat="1" hidden="1" outlineLevel="2" x14ac:dyDescent="0.2">
      <c r="D176" s="785" t="str">
        <f>Price_List_BA!D44</f>
        <v>Personnel - Hospital Cadre - Other 31</v>
      </c>
      <c r="E176" s="786"/>
      <c r="F176" s="786"/>
      <c r="G176" s="786"/>
      <c r="L176" s="127">
        <f>Price_List_BA!L44</f>
        <v>0</v>
      </c>
    </row>
    <row r="177" spans="4:12" s="348" customFormat="1" hidden="1" outlineLevel="2" x14ac:dyDescent="0.2"/>
    <row r="178" spans="4:12" s="348" customFormat="1" ht="25.5" hidden="1" outlineLevel="2" x14ac:dyDescent="0.2">
      <c r="D178" s="359" t="str">
        <f>"Personnel - "&amp;D72</f>
        <v>Personnel - Other Facility Types</v>
      </c>
      <c r="L178" s="365" t="str">
        <f>"Cost per Unit ("&amp;$I$143&amp;"/Unit)"</f>
        <v>Cost per Unit (USD/Unit)</v>
      </c>
    </row>
    <row r="179" spans="4:12" s="348" customFormat="1" ht="12.95" hidden="1" customHeight="1" outlineLevel="2" x14ac:dyDescent="0.2">
      <c r="D179" s="785" t="str">
        <f>Price_List_BA!D47</f>
        <v>_Not Applicable</v>
      </c>
      <c r="E179" s="786"/>
      <c r="F179" s="786"/>
      <c r="G179" s="786"/>
      <c r="L179" s="127">
        <f>Price_List_BA!L47</f>
        <v>0</v>
      </c>
    </row>
    <row r="180" spans="4:12" s="348" customFormat="1" ht="12.95" hidden="1" customHeight="1" outlineLevel="2" x14ac:dyDescent="0.2">
      <c r="D180" s="785" t="str">
        <f>Price_List_BA!D48</f>
        <v>Biomedical scientist (ZM)</v>
      </c>
      <c r="E180" s="786"/>
      <c r="F180" s="786"/>
      <c r="G180" s="786"/>
      <c r="L180" s="127">
        <f>Price_List_BA!L48</f>
        <v>9.6099869451697087E-2</v>
      </c>
    </row>
    <row r="181" spans="4:12" s="348" customFormat="1" ht="12.95" hidden="1" customHeight="1" outlineLevel="2" x14ac:dyDescent="0.2">
      <c r="D181" s="785" t="str">
        <f>Price_List_BA!D49</f>
        <v>Clinical officer  (ZM)</v>
      </c>
      <c r="E181" s="786"/>
      <c r="F181" s="786"/>
      <c r="G181" s="786"/>
      <c r="L181" s="127">
        <f>Price_List_BA!L49</f>
        <v>5.4314893385552607E-2</v>
      </c>
    </row>
    <row r="182" spans="4:12" s="348" customFormat="1" ht="12.95" hidden="1" customHeight="1" outlineLevel="2" x14ac:dyDescent="0.2">
      <c r="D182" s="785" t="str">
        <f>Price_List_BA!D50</f>
        <v>Consultant  (ZM)</v>
      </c>
      <c r="E182" s="786"/>
      <c r="F182" s="786"/>
      <c r="G182" s="786"/>
      <c r="L182" s="127">
        <f>Price_List_BA!L50</f>
        <v>0.39408430337975103</v>
      </c>
    </row>
    <row r="183" spans="4:12" s="348" customFormat="1" hidden="1" outlineLevel="2" x14ac:dyDescent="0.2">
      <c r="D183" s="785" t="str">
        <f>Price_List_BA!D51</f>
        <v>General Medical Doctor</v>
      </c>
      <c r="E183" s="786"/>
      <c r="F183" s="786"/>
      <c r="G183" s="786"/>
      <c r="L183" s="127">
        <f>Price_List_BA!L51</f>
        <v>0.3125</v>
      </c>
    </row>
    <row r="184" spans="4:12" s="348" customFormat="1" ht="12.95" hidden="1" customHeight="1" outlineLevel="2" x14ac:dyDescent="0.2">
      <c r="D184" s="785" t="str">
        <f>Price_List_BA!D52</f>
        <v>Junior Resident Medical officer  (ZM)</v>
      </c>
      <c r="E184" s="786"/>
      <c r="F184" s="786"/>
      <c r="G184" s="786"/>
      <c r="L184" s="127">
        <f>Price_List_BA!L52</f>
        <v>0.30300363087467391</v>
      </c>
    </row>
    <row r="185" spans="4:12" s="348" customFormat="1" ht="12.95" hidden="1" customHeight="1" outlineLevel="2" x14ac:dyDescent="0.2">
      <c r="D185" s="785" t="str">
        <f>Price_List_BA!D53</f>
        <v>Lab Scientist (ZM)</v>
      </c>
      <c r="E185" s="786"/>
      <c r="F185" s="786"/>
      <c r="G185" s="786"/>
      <c r="L185" s="127">
        <f>Price_List_BA!L53</f>
        <v>9.6099869451697087E-2</v>
      </c>
    </row>
    <row r="186" spans="4:12" s="348" customFormat="1" ht="12.75" hidden="1" customHeight="1" outlineLevel="2" x14ac:dyDescent="0.2">
      <c r="D186" s="785" t="str">
        <f>Price_List_BA!D54</f>
        <v>Lab Technician (ZM)</v>
      </c>
      <c r="E186" s="786"/>
      <c r="F186" s="786"/>
      <c r="G186" s="786"/>
      <c r="L186" s="127">
        <f>Price_List_BA!L54</f>
        <v>4.7519582245430833E-2</v>
      </c>
    </row>
    <row r="187" spans="4:12" s="348" customFormat="1" ht="12.75" hidden="1" customHeight="1" outlineLevel="2" x14ac:dyDescent="0.2">
      <c r="D187" s="785" t="str">
        <f>Price_List_BA!D55</f>
        <v>Lab Technologist (ZM)</v>
      </c>
      <c r="E187" s="786"/>
      <c r="F187" s="786"/>
      <c r="G187" s="786"/>
      <c r="L187" s="127">
        <f>Price_List_BA!L55</f>
        <v>5.4308093994778019E-2</v>
      </c>
    </row>
    <row r="188" spans="4:12" s="348" customFormat="1" ht="12.75" hidden="1" customHeight="1" outlineLevel="2" x14ac:dyDescent="0.2">
      <c r="D188" s="785" t="str">
        <f>Price_List_BA!D56</f>
        <v>Medical Physicist (ZM)</v>
      </c>
      <c r="E188" s="786"/>
      <c r="F188" s="786"/>
      <c r="G188" s="786"/>
      <c r="L188" s="127">
        <f>Price_List_BA!L56</f>
        <v>0.15991895126196667</v>
      </c>
    </row>
    <row r="189" spans="4:12" s="348" customFormat="1" ht="12.75" hidden="1" customHeight="1" outlineLevel="2" x14ac:dyDescent="0.2">
      <c r="D189" s="785" t="str">
        <f>Price_List_BA!D57</f>
        <v>Nursing Officer (ZM)</v>
      </c>
      <c r="E189" s="786"/>
      <c r="F189" s="786"/>
      <c r="G189" s="786"/>
      <c r="L189" s="127">
        <f>Price_List_BA!L57</f>
        <v>9.6099869451697087E-2</v>
      </c>
    </row>
    <row r="190" spans="4:12" s="348" customFormat="1" ht="12.75" hidden="1" customHeight="1" outlineLevel="2" x14ac:dyDescent="0.2">
      <c r="D190" s="785" t="str">
        <f>Price_List_BA!D58</f>
        <v>Pathologist (ZM)</v>
      </c>
      <c r="E190" s="786"/>
      <c r="F190" s="786"/>
      <c r="G190" s="786"/>
      <c r="L190" s="127">
        <f>Price_List_BA!L58</f>
        <v>0.39408430337975103</v>
      </c>
    </row>
    <row r="191" spans="4:12" s="348" customFormat="1" ht="12.75" hidden="1" customHeight="1" outlineLevel="2" x14ac:dyDescent="0.2">
      <c r="D191" s="785" t="str">
        <f>Price_List_BA!D59</f>
        <v>Pharmacy Technologist (ZM)</v>
      </c>
      <c r="E191" s="786"/>
      <c r="F191" s="786"/>
      <c r="G191" s="786"/>
      <c r="L191" s="127">
        <f>Price_List_BA!L59</f>
        <v>5.4312173629242816E-2</v>
      </c>
    </row>
    <row r="192" spans="4:12" s="348" customFormat="1" ht="12.75" hidden="1" customHeight="1" outlineLevel="2" x14ac:dyDescent="0.2">
      <c r="D192" s="785" t="str">
        <f>Price_List_BA!D60</f>
        <v>Principal Nursing Officer (ZM)</v>
      </c>
      <c r="E192" s="786"/>
      <c r="F192" s="786"/>
      <c r="G192" s="786"/>
      <c r="L192" s="127">
        <f>Price_List_BA!L60</f>
        <v>0.15919413620539585</v>
      </c>
    </row>
    <row r="193" spans="4:12" s="348" customFormat="1" ht="12.75" hidden="1" customHeight="1" outlineLevel="2" x14ac:dyDescent="0.2">
      <c r="D193" s="785" t="str">
        <f>Price_List_BA!D61</f>
        <v>Principal Pharmacist (ZM)</v>
      </c>
      <c r="E193" s="786"/>
      <c r="F193" s="786"/>
      <c r="G193" s="786"/>
      <c r="L193" s="127">
        <f>Price_List_BA!L61</f>
        <v>0.15919560940673019</v>
      </c>
    </row>
    <row r="194" spans="4:12" s="348" customFormat="1" ht="12.75" hidden="1" customHeight="1" outlineLevel="2" x14ac:dyDescent="0.2">
      <c r="D194" s="785" t="str">
        <f>Price_List_BA!D62</f>
        <v>Principal Radiographer (ZM)</v>
      </c>
      <c r="E194" s="786"/>
      <c r="F194" s="786"/>
      <c r="G194" s="786"/>
      <c r="L194" s="127">
        <f>Price_List_BA!L62</f>
        <v>0.15919855580939896</v>
      </c>
    </row>
    <row r="195" spans="4:12" s="348" customFormat="1" ht="12.95" hidden="1" customHeight="1" outlineLevel="2" x14ac:dyDescent="0.2">
      <c r="D195" s="785" t="str">
        <f>Price_List_BA!D63</f>
        <v>Principal Therapist - Radiation (ZM)</v>
      </c>
      <c r="E195" s="786"/>
      <c r="F195" s="786"/>
      <c r="G195" s="786"/>
      <c r="L195" s="127">
        <f>Price_List_BA!L63</f>
        <v>0.15919708260806459</v>
      </c>
    </row>
    <row r="196" spans="4:12" s="348" customFormat="1" ht="12.95" hidden="1" customHeight="1" outlineLevel="2" x14ac:dyDescent="0.2">
      <c r="D196" s="785" t="str">
        <f>Price_List_BA!D64</f>
        <v>Radiation Lab Scientist (ZM)</v>
      </c>
      <c r="E196" s="786"/>
      <c r="F196" s="786"/>
      <c r="G196" s="786"/>
      <c r="L196" s="127">
        <f>Price_List_BA!L64</f>
        <v>9.6099869451697087E-2</v>
      </c>
    </row>
    <row r="197" spans="4:12" s="348" customFormat="1" ht="12.95" hidden="1" customHeight="1" outlineLevel="2" x14ac:dyDescent="0.2">
      <c r="D197" s="785" t="str">
        <f>Price_List_BA!D65</f>
        <v>Radiation Protection Officer (ZM)</v>
      </c>
      <c r="E197" s="786"/>
      <c r="F197" s="786"/>
      <c r="G197" s="786"/>
      <c r="L197" s="127">
        <f>Price_List_BA!L65</f>
        <v>9.6099869451697087E-2</v>
      </c>
    </row>
    <row r="198" spans="4:12" s="348" customFormat="1" ht="12.95" hidden="1" customHeight="1" outlineLevel="2" x14ac:dyDescent="0.2">
      <c r="D198" s="785" t="str">
        <f>Price_List_BA!D66</f>
        <v>Radiographer (ZM)</v>
      </c>
      <c r="E198" s="786"/>
      <c r="F198" s="786"/>
      <c r="G198" s="786"/>
      <c r="L198" s="127">
        <f>Price_List_BA!L66</f>
        <v>9.6099869451697087E-2</v>
      </c>
    </row>
    <row r="199" spans="4:12" s="348" customFormat="1" ht="12.95" hidden="1" customHeight="1" outlineLevel="2" x14ac:dyDescent="0.2">
      <c r="D199" s="785" t="str">
        <f>Price_List_BA!D67</f>
        <v>Registered Nurse (ZM)</v>
      </c>
      <c r="E199" s="786"/>
      <c r="F199" s="786"/>
      <c r="G199" s="786"/>
      <c r="L199" s="127">
        <f>Price_List_BA!L67</f>
        <v>5.7114882506527402E-2</v>
      </c>
    </row>
    <row r="200" spans="4:12" s="348" customFormat="1" ht="12.75" hidden="1" customHeight="1" outlineLevel="2" x14ac:dyDescent="0.2">
      <c r="D200" s="785" t="str">
        <f>Price_List_BA!D68</f>
        <v>Senior Enrolled Nurse (ZM)</v>
      </c>
      <c r="E200" s="786"/>
      <c r="F200" s="786"/>
      <c r="G200" s="786"/>
      <c r="L200" s="127">
        <f>Price_List_BA!L68</f>
        <v>5.4313533507397704E-2</v>
      </c>
    </row>
    <row r="201" spans="4:12" s="348" customFormat="1" ht="12.75" hidden="1" customHeight="1" outlineLevel="2" x14ac:dyDescent="0.2">
      <c r="D201" s="785" t="str">
        <f>Price_List_BA!D69</f>
        <v>Senior Nursing Officer (ZM)</v>
      </c>
      <c r="E201" s="786"/>
      <c r="F201" s="786"/>
      <c r="G201" s="786"/>
      <c r="L201" s="127">
        <f>Price_List_BA!L69</f>
        <v>0.12206946257615311</v>
      </c>
    </row>
    <row r="202" spans="4:12" s="348" customFormat="1" ht="12.75" hidden="1" customHeight="1" outlineLevel="2" x14ac:dyDescent="0.2">
      <c r="D202" s="785" t="str">
        <f>Price_List_BA!D70</f>
        <v>Senior Radiation protection Officer (ZM)</v>
      </c>
      <c r="E202" s="786"/>
      <c r="F202" s="786"/>
      <c r="G202" s="786"/>
      <c r="L202" s="127">
        <f>Price_List_BA!L70</f>
        <v>0.12207093577748751</v>
      </c>
    </row>
    <row r="203" spans="4:12" s="348" customFormat="1" hidden="1" outlineLevel="2" x14ac:dyDescent="0.2">
      <c r="D203" s="785" t="str">
        <f>Price_List_BA!D71</f>
        <v>Senior Radiographer (ZM)</v>
      </c>
      <c r="E203" s="786"/>
      <c r="F203" s="786"/>
      <c r="G203" s="786"/>
      <c r="L203" s="127">
        <f>Price_List_BA!L71</f>
        <v>0.12207240897882186</v>
      </c>
    </row>
    <row r="204" spans="4:12" s="348" customFormat="1" hidden="1" outlineLevel="2" x14ac:dyDescent="0.2">
      <c r="D204" s="785" t="str">
        <f>Price_List_BA!D72</f>
        <v>Zambia Enrolled Nurse (ZEN) (ZM)</v>
      </c>
      <c r="E204" s="786"/>
      <c r="F204" s="786"/>
      <c r="G204" s="786"/>
      <c r="L204" s="127">
        <f>Price_List_BA!L72</f>
        <v>5.4309453872933025E-2</v>
      </c>
    </row>
    <row r="205" spans="4:12" s="348" customFormat="1" hidden="1" outlineLevel="2" x14ac:dyDescent="0.2">
      <c r="D205" s="785" t="str">
        <f>Price_List_BA!D73</f>
        <v>Personnel - Other Category 27</v>
      </c>
      <c r="E205" s="786"/>
      <c r="F205" s="786"/>
      <c r="G205" s="786"/>
      <c r="L205" s="127">
        <f>Price_List_BA!L73</f>
        <v>0</v>
      </c>
    </row>
    <row r="206" spans="4:12" s="348" customFormat="1" hidden="1" outlineLevel="2" x14ac:dyDescent="0.2">
      <c r="D206" s="785" t="str">
        <f>Price_List_BA!D74</f>
        <v>Personnel - Other Category 28</v>
      </c>
      <c r="E206" s="786"/>
      <c r="F206" s="786"/>
      <c r="G206" s="786"/>
      <c r="L206" s="127">
        <f>Price_List_BA!L74</f>
        <v>0</v>
      </c>
    </row>
    <row r="207" spans="4:12" s="348" customFormat="1" hidden="1" outlineLevel="2" x14ac:dyDescent="0.2">
      <c r="D207" s="785" t="str">
        <f>Price_List_BA!D75</f>
        <v>Personnel - Other Category 29</v>
      </c>
      <c r="E207" s="786"/>
      <c r="F207" s="786"/>
      <c r="G207" s="786"/>
      <c r="L207" s="127">
        <f>Price_List_BA!L75</f>
        <v>0</v>
      </c>
    </row>
    <row r="208" spans="4:12" s="348" customFormat="1" hidden="1" outlineLevel="2" x14ac:dyDescent="0.2">
      <c r="D208" s="785" t="str">
        <f>Price_List_BA!D76</f>
        <v>Personnel - Other Category 30</v>
      </c>
      <c r="E208" s="786"/>
      <c r="F208" s="786"/>
      <c r="G208" s="786"/>
      <c r="L208" s="127">
        <f>Price_List_BA!L76</f>
        <v>0</v>
      </c>
    </row>
    <row r="209" spans="4:12" s="348" customFormat="1" ht="12.95" hidden="1" customHeight="1" outlineLevel="2" x14ac:dyDescent="0.2">
      <c r="D209" s="785">
        <f>Price_List_BA!D77</f>
        <v>0</v>
      </c>
      <c r="E209" s="786"/>
      <c r="F209" s="786"/>
      <c r="G209" s="786"/>
      <c r="L209" s="127">
        <f>Price_List_BA!L77</f>
        <v>0</v>
      </c>
    </row>
    <row r="210" spans="4:12" s="348" customFormat="1" hidden="1" outlineLevel="2" x14ac:dyDescent="0.2"/>
    <row r="211" spans="4:12" s="348" customFormat="1" ht="25.5" hidden="1" outlineLevel="2" x14ac:dyDescent="0.2">
      <c r="D211" s="667" t="s">
        <v>316</v>
      </c>
      <c r="J211" s="671" t="s">
        <v>951</v>
      </c>
      <c r="L211" s="365" t="str">
        <f>"Cost per Unit ("&amp;$I$143&amp;"/Unit)"</f>
        <v>Cost per Unit (USD/Unit)</v>
      </c>
    </row>
    <row r="212" spans="4:12" s="348" customFormat="1" ht="12.95" hidden="1" customHeight="1" outlineLevel="2" x14ac:dyDescent="0.2">
      <c r="D212" s="785" t="str">
        <f>Price_List_BA!D210</f>
        <v>_Not Applicable</v>
      </c>
      <c r="E212" s="786"/>
      <c r="F212" s="786"/>
      <c r="G212" s="786"/>
      <c r="J212" s="668" t="str">
        <f>Price_List_BA!J210</f>
        <v>SU</v>
      </c>
      <c r="L212" s="127">
        <f>Price_List_BA!L210</f>
        <v>0</v>
      </c>
    </row>
    <row r="213" spans="4:12" s="348" customFormat="1" ht="12.95" hidden="1" customHeight="1" outlineLevel="2" x14ac:dyDescent="0.2">
      <c r="D213" s="785" t="str">
        <f>Price_List_BA!D211</f>
        <v>10 ml syringes with long 27-gauge needle (UG)</v>
      </c>
      <c r="E213" s="786"/>
      <c r="F213" s="786"/>
      <c r="G213" s="786"/>
      <c r="J213" s="668" t="str">
        <f>Price_List_BA!J211</f>
        <v>each</v>
      </c>
      <c r="L213" s="127">
        <f>Price_List_BA!L211</f>
        <v>0.18578</v>
      </c>
    </row>
    <row r="214" spans="4:12" s="348" customFormat="1" ht="12.95" hidden="1" customHeight="1" outlineLevel="2" x14ac:dyDescent="0.2">
      <c r="D214" s="785" t="str">
        <f>Price_List_BA!D212</f>
        <v>100% alcohol (UG)</v>
      </c>
      <c r="E214" s="786"/>
      <c r="F214" s="786"/>
      <c r="G214" s="786"/>
      <c r="J214" s="668" t="str">
        <f>Price_List_BA!J212</f>
        <v>mililiter</v>
      </c>
      <c r="L214" s="127">
        <f>Price_List_BA!L212</f>
        <v>1.9224106655010398E-2</v>
      </c>
    </row>
    <row r="215" spans="4:12" s="348" customFormat="1" ht="12.95" hidden="1" customHeight="1" outlineLevel="2" x14ac:dyDescent="0.2">
      <c r="D215" s="785" t="str">
        <f>Price_List_BA!D213</f>
        <v>100% Ethanol (UG)</v>
      </c>
      <c r="E215" s="786"/>
      <c r="F215" s="786"/>
      <c r="G215" s="786"/>
      <c r="J215" s="668" t="str">
        <f>Price_List_BA!J213</f>
        <v>mililiter</v>
      </c>
      <c r="L215" s="127">
        <f>Price_List_BA!L213</f>
        <v>1.9224106655010398E-2</v>
      </c>
    </row>
    <row r="216" spans="4:12" s="348" customFormat="1" ht="12.95" hidden="1" customHeight="1" outlineLevel="2" x14ac:dyDescent="0.2">
      <c r="D216" s="785" t="str">
        <f>Price_List_BA!D214</f>
        <v>5% acetic acid (UG)</v>
      </c>
      <c r="E216" s="786"/>
      <c r="F216" s="786"/>
      <c r="G216" s="786"/>
      <c r="J216" s="668" t="str">
        <f>Price_List_BA!J214</f>
        <v>mililiter</v>
      </c>
      <c r="L216" s="127">
        <f>Price_List_BA!L214</f>
        <v>1.52988744399519E-2</v>
      </c>
    </row>
    <row r="217" spans="4:12" s="348" customFormat="1" ht="12.95" hidden="1" customHeight="1" outlineLevel="2" x14ac:dyDescent="0.2">
      <c r="D217" s="785" t="str">
        <f>Price_List_BA!D215</f>
        <v>Acetic acid (UG)</v>
      </c>
      <c r="E217" s="786"/>
      <c r="F217" s="786"/>
      <c r="G217" s="786"/>
      <c r="J217" s="668" t="str">
        <f>Price_List_BA!J215</f>
        <v>mililiter</v>
      </c>
      <c r="L217" s="127">
        <f>Price_List_BA!L215</f>
        <v>1.47739525734892E-2</v>
      </c>
    </row>
    <row r="218" spans="4:12" s="348" customFormat="1" ht="12.95" hidden="1" customHeight="1" outlineLevel="2" x14ac:dyDescent="0.2">
      <c r="D218" s="785" t="str">
        <f>Price_List_BA!D216</f>
        <v>Acetic acid, 3–5% dilution (ZM)</v>
      </c>
      <c r="E218" s="786"/>
      <c r="F218" s="786"/>
      <c r="G218" s="786"/>
      <c r="J218" s="668" t="str">
        <f>Price_List_BA!J216</f>
        <v>centilitre</v>
      </c>
      <c r="L218" s="127">
        <f>Price_List_BA!L216</f>
        <v>3.4000000000000002E-2</v>
      </c>
    </row>
    <row r="219" spans="4:12" s="348" customFormat="1" ht="12.95" hidden="1" customHeight="1" outlineLevel="2" x14ac:dyDescent="0.2">
      <c r="D219" s="785" t="str">
        <f>Price_List_BA!D217</f>
        <v>Acetic acid, 3–5% dilution (TZ)</v>
      </c>
      <c r="E219" s="786"/>
      <c r="F219" s="786"/>
      <c r="G219" s="786"/>
      <c r="J219" s="668" t="str">
        <f>Price_List_BA!J217</f>
        <v>centilitre</v>
      </c>
      <c r="L219" s="127">
        <f>Price_List_BA!L217</f>
        <v>3.5000000000000003E-2</v>
      </c>
    </row>
    <row r="220" spans="4:12" s="348" customFormat="1" ht="12.95" hidden="1" customHeight="1" outlineLevel="2" x14ac:dyDescent="0.2">
      <c r="D220" s="785" t="str">
        <f>Price_List_BA!D218</f>
        <v>Alcohol, 60-90% isopropyl or ethyl (TZ)</v>
      </c>
      <c r="E220" s="786"/>
      <c r="F220" s="786"/>
      <c r="G220" s="786"/>
      <c r="J220" s="668" t="str">
        <f>Price_List_BA!J218</f>
        <v>centilitre</v>
      </c>
      <c r="L220" s="127">
        <f>Price_List_BA!L218</f>
        <v>8.2500000000000004E-2</v>
      </c>
    </row>
    <row r="221" spans="4:12" s="348" customFormat="1" ht="12.95" hidden="1" customHeight="1" outlineLevel="2" x14ac:dyDescent="0.2">
      <c r="D221" s="785" t="str">
        <f>Price_List_BA!D219</f>
        <v>Alcohol, 60-90% isopropyl or ethyl 95% (ZM)</v>
      </c>
      <c r="E221" s="786"/>
      <c r="F221" s="786"/>
      <c r="G221" s="786"/>
      <c r="J221" s="668" t="str">
        <f>Price_List_BA!J219</f>
        <v>centilitre</v>
      </c>
      <c r="L221" s="127">
        <f>Price_List_BA!L219</f>
        <v>4.4125300000000006E-2</v>
      </c>
    </row>
    <row r="222" spans="4:12" s="348" customFormat="1" ht="12.95" hidden="1" customHeight="1" outlineLevel="2" x14ac:dyDescent="0.2">
      <c r="D222" s="785" t="str">
        <f>Price_List_BA!D220</f>
        <v>Amitriptyline hydrochloride( 25mg) (ZM)</v>
      </c>
      <c r="E222" s="786"/>
      <c r="F222" s="786"/>
      <c r="G222" s="786"/>
      <c r="J222" s="668" t="str">
        <f>Price_List_BA!J220</f>
        <v>25 mg</v>
      </c>
      <c r="L222" s="127">
        <f>Price_List_BA!L220</f>
        <v>7.3106999999999998E-3</v>
      </c>
    </row>
    <row r="223" spans="4:12" s="348" customFormat="1" ht="12.95" hidden="1" customHeight="1" outlineLevel="2" x14ac:dyDescent="0.2">
      <c r="D223" s="785" t="str">
        <f>Price_List_BA!D221</f>
        <v>Amitriptyline hydrochloride( 25mg) (TZ)</v>
      </c>
      <c r="E223" s="786"/>
      <c r="F223" s="786"/>
      <c r="G223" s="786"/>
      <c r="J223" s="668" t="str">
        <f>Price_List_BA!J221</f>
        <v>each</v>
      </c>
      <c r="L223" s="127">
        <f>Price_List_BA!L221</f>
        <v>1.8749999999999999E-3</v>
      </c>
    </row>
    <row r="224" spans="4:12" s="348" customFormat="1" ht="12.95" hidden="1" customHeight="1" outlineLevel="2" x14ac:dyDescent="0.2">
      <c r="D224" s="785" t="str">
        <f>Price_List_BA!D222</f>
        <v>Anticeptic solution (UG)</v>
      </c>
      <c r="E224" s="786"/>
      <c r="F224" s="786"/>
      <c r="G224" s="786"/>
      <c r="J224" s="668" t="str">
        <f>Price_List_BA!J222</f>
        <v>mililiter</v>
      </c>
      <c r="L224" s="127">
        <f>Price_List_BA!L222</f>
        <v>1.9869626497533474E-2</v>
      </c>
    </row>
    <row r="225" spans="4:12" s="348" customFormat="1" ht="12.95" hidden="1" customHeight="1" outlineLevel="2" x14ac:dyDescent="0.2">
      <c r="D225" s="785" t="str">
        <f>Price_List_BA!D223</f>
        <v>Arithromycin (250g) (ZM)</v>
      </c>
      <c r="E225" s="786"/>
      <c r="F225" s="786"/>
      <c r="G225" s="786"/>
      <c r="J225" s="668" t="str">
        <f>Price_List_BA!J223</f>
        <v>tablet</v>
      </c>
      <c r="L225" s="127">
        <f>Price_List_BA!L223</f>
        <v>1.0514359999999998</v>
      </c>
    </row>
    <row r="226" spans="4:12" s="348" customFormat="1" ht="12.95" hidden="1" customHeight="1" outlineLevel="2" x14ac:dyDescent="0.2">
      <c r="D226" s="785" t="str">
        <f>Price_List_BA!D224</f>
        <v>Arithromycin (250g) (UG)</v>
      </c>
      <c r="E226" s="786"/>
      <c r="F226" s="786"/>
      <c r="G226" s="786"/>
      <c r="J226" s="668" t="str">
        <f>Price_List_BA!J224</f>
        <v>tablet</v>
      </c>
      <c r="L226" s="127">
        <f>Price_List_BA!L224</f>
        <v>3.8652518850398859E-2</v>
      </c>
    </row>
    <row r="227" spans="4:12" s="348" customFormat="1" ht="12.95" hidden="1" customHeight="1" outlineLevel="2" x14ac:dyDescent="0.2">
      <c r="D227" s="785" t="str">
        <f>Price_List_BA!D225</f>
        <v>Arithromycin (5g) (UG)</v>
      </c>
      <c r="E227" s="786"/>
      <c r="F227" s="786"/>
      <c r="G227" s="786"/>
      <c r="J227" s="668" t="str">
        <f>Price_List_BA!J225</f>
        <v>tablet</v>
      </c>
      <c r="L227" s="127">
        <f>Price_List_BA!L225</f>
        <v>0.77305037700797719</v>
      </c>
    </row>
    <row r="228" spans="4:12" s="348" customFormat="1" ht="12.95" hidden="1" customHeight="1" outlineLevel="2" x14ac:dyDescent="0.2">
      <c r="D228" s="785" t="str">
        <f>Price_List_BA!D226</f>
        <v>Atropine (ZM)</v>
      </c>
      <c r="E228" s="786"/>
      <c r="F228" s="786"/>
      <c r="G228" s="786"/>
      <c r="J228" s="668" t="str">
        <f>Price_List_BA!J226</f>
        <v>SU</v>
      </c>
      <c r="L228" s="127">
        <f>Price_List_BA!L226</f>
        <v>0</v>
      </c>
    </row>
    <row r="229" spans="4:12" s="348" customFormat="1" ht="12.95" hidden="1" customHeight="1" outlineLevel="2" x14ac:dyDescent="0.2">
      <c r="D229" s="785" t="str">
        <f>Price_List_BA!D227</f>
        <v>Ball electrode (UG)</v>
      </c>
      <c r="E229" s="786"/>
      <c r="F229" s="786"/>
      <c r="G229" s="786"/>
      <c r="J229" s="668" t="str">
        <f>Price_List_BA!J227</f>
        <v>each</v>
      </c>
      <c r="L229" s="127">
        <f>Price_List_BA!L227</f>
        <v>9</v>
      </c>
    </row>
    <row r="230" spans="4:12" s="348" customFormat="1" ht="12.95" hidden="1" customHeight="1" outlineLevel="2" x14ac:dyDescent="0.2">
      <c r="D230" s="785" t="str">
        <f>Price_List_BA!D228</f>
        <v>Bed linen sheet (100 uses) (ZM)</v>
      </c>
      <c r="E230" s="786"/>
      <c r="F230" s="786"/>
      <c r="G230" s="786"/>
      <c r="J230" s="668" t="str">
        <f>Price_List_BA!J228</f>
        <v>sheet use</v>
      </c>
      <c r="L230" s="127">
        <f>Price_List_BA!L228</f>
        <v>4.3299999999999998E-2</v>
      </c>
    </row>
    <row r="231" spans="4:12" s="348" customFormat="1" ht="12.95" hidden="1" customHeight="1" outlineLevel="2" x14ac:dyDescent="0.2">
      <c r="D231" s="785" t="str">
        <f>Price_List_BA!D229</f>
        <v>Bed linen sheet (TZ)</v>
      </c>
      <c r="E231" s="786"/>
      <c r="F231" s="786"/>
      <c r="G231" s="786"/>
      <c r="J231" s="668" t="str">
        <f>Price_List_BA!J229</f>
        <v>1 use</v>
      </c>
      <c r="L231" s="127">
        <f>Price_List_BA!L229</f>
        <v>6.25E-2</v>
      </c>
    </row>
    <row r="232" spans="4:12" s="348" customFormat="1" ht="12.95" hidden="1" customHeight="1" outlineLevel="2" x14ac:dyDescent="0.2">
      <c r="D232" s="785" t="str">
        <f>Price_List_BA!D230</f>
        <v>Bin Liner (ZM)</v>
      </c>
      <c r="E232" s="786"/>
      <c r="F232" s="786"/>
      <c r="G232" s="786"/>
      <c r="J232" s="668" t="str">
        <f>Price_List_BA!J230</f>
        <v>liner</v>
      </c>
      <c r="L232" s="127">
        <f>Price_List_BA!L230</f>
        <v>0.234987</v>
      </c>
    </row>
    <row r="233" spans="4:12" s="348" customFormat="1" ht="12.95" hidden="1" customHeight="1" outlineLevel="2" x14ac:dyDescent="0.2">
      <c r="D233" s="785" t="str">
        <f>Price_List_BA!D231</f>
        <v>Bleach (JIK)</v>
      </c>
      <c r="E233" s="786"/>
      <c r="F233" s="786"/>
      <c r="G233" s="786"/>
      <c r="J233" s="668" t="str">
        <f>Price_List_BA!J231</f>
        <v>mililiter</v>
      </c>
      <c r="L233" s="127">
        <f>Price_List_BA!L231</f>
        <v>2.2666666666666664E-3</v>
      </c>
    </row>
    <row r="234" spans="4:12" s="348" customFormat="1" ht="12.95" hidden="1" customHeight="1" outlineLevel="2" x14ac:dyDescent="0.2">
      <c r="D234" s="785" t="str">
        <f>Price_List_BA!D232</f>
        <v>Bleach (UG)</v>
      </c>
      <c r="E234" s="786"/>
      <c r="F234" s="786"/>
      <c r="G234" s="786"/>
      <c r="J234" s="668" t="str">
        <f>Price_List_BA!J232</f>
        <v>mililiter</v>
      </c>
      <c r="L234" s="127">
        <f>Price_List_BA!L232</f>
        <v>1.5735985138236267E-3</v>
      </c>
    </row>
    <row r="235" spans="4:12" s="348" customFormat="1" ht="12.95" hidden="1" customHeight="1" outlineLevel="2" x14ac:dyDescent="0.2">
      <c r="D235" s="785" t="str">
        <f>Price_List_BA!D233</f>
        <v>careHPV DCM tube (UG)</v>
      </c>
      <c r="E235" s="786"/>
      <c r="F235" s="786"/>
      <c r="G235" s="786"/>
      <c r="J235" s="668" t="str">
        <f>Price_List_BA!J233</f>
        <v>tube</v>
      </c>
      <c r="L235" s="127">
        <f>Price_List_BA!L233</f>
        <v>0.22799999999999998</v>
      </c>
    </row>
    <row r="236" spans="4:12" s="348" customFormat="1" ht="12.95" hidden="1" customHeight="1" outlineLevel="2" x14ac:dyDescent="0.2">
      <c r="D236" s="785" t="str">
        <f>Price_List_BA!D234</f>
        <v>Catheter -Urine (TZ)</v>
      </c>
      <c r="E236" s="786"/>
      <c r="F236" s="786"/>
      <c r="G236" s="786"/>
      <c r="J236" s="668" t="str">
        <f>Price_List_BA!J234</f>
        <v>1 catheter set</v>
      </c>
      <c r="L236" s="127">
        <f>Price_List_BA!L234</f>
        <v>0.875</v>
      </c>
    </row>
    <row r="237" spans="4:12" s="348" customFormat="1" ht="12.95" hidden="1" customHeight="1" outlineLevel="2" x14ac:dyDescent="0.2">
      <c r="D237" s="785" t="str">
        <f>Price_List_BA!D235</f>
        <v>Cervical brush (UG)</v>
      </c>
      <c r="E237" s="786"/>
      <c r="F237" s="786"/>
      <c r="G237" s="786"/>
      <c r="J237" s="668" t="str">
        <f>Price_List_BA!J235</f>
        <v>brush</v>
      </c>
      <c r="L237" s="127">
        <f>Price_List_BA!L235</f>
        <v>1.1399999999999999E-2</v>
      </c>
    </row>
    <row r="238" spans="4:12" s="348" customFormat="1" ht="12.95" hidden="1" customHeight="1" outlineLevel="2" x14ac:dyDescent="0.2">
      <c r="D238" s="785" t="str">
        <f>Price_List_BA!D236</f>
        <v>Chlorine 0.5% (Jik-diluted) (ZM)</v>
      </c>
      <c r="E238" s="786"/>
      <c r="F238" s="786"/>
      <c r="G238" s="786"/>
      <c r="J238" s="668" t="str">
        <f>Price_List_BA!J236</f>
        <v>mililiter</v>
      </c>
      <c r="L238" s="127">
        <f>Price_List_BA!L236</f>
        <v>4.5999999999999999E-3</v>
      </c>
    </row>
    <row r="239" spans="4:12" s="348" customFormat="1" ht="12.95" hidden="1" customHeight="1" outlineLevel="2" x14ac:dyDescent="0.2">
      <c r="D239" s="785" t="str">
        <f>Price_List_BA!D237</f>
        <v>Chlorine 0.5% (Jik-diluted)  (TZ)</v>
      </c>
      <c r="E239" s="786"/>
      <c r="F239" s="786"/>
      <c r="G239" s="786"/>
      <c r="J239" s="668" t="str">
        <f>Price_List_BA!J237</f>
        <v>centilitre</v>
      </c>
      <c r="L239" s="127">
        <f>Price_List_BA!L237</f>
        <v>1.375E-2</v>
      </c>
    </row>
    <row r="240" spans="4:12" s="348" customFormat="1" ht="12.95" hidden="1" customHeight="1" outlineLevel="2" x14ac:dyDescent="0.2">
      <c r="D240" s="785" t="str">
        <f>Price_List_BA!D238</f>
        <v>Cidex (2-4% glutaraldehyde) (ZM)</v>
      </c>
      <c r="E240" s="786"/>
      <c r="F240" s="786"/>
      <c r="G240" s="786"/>
      <c r="J240" s="668" t="str">
        <f>Price_List_BA!J238</f>
        <v>mililiter</v>
      </c>
      <c r="L240" s="127">
        <f>Price_List_BA!L238</f>
        <v>1.9321200000000001E-3</v>
      </c>
    </row>
    <row r="241" spans="4:12" s="348" customFormat="1" ht="12.95" hidden="1" customHeight="1" outlineLevel="2" x14ac:dyDescent="0.2">
      <c r="D241" s="785" t="str">
        <f>Price_List_BA!D239</f>
        <v>Cidex (2-4% glutaraldehyde) (TZ)</v>
      </c>
      <c r="E241" s="786"/>
      <c r="F241" s="786"/>
      <c r="G241" s="786"/>
      <c r="J241" s="668" t="str">
        <f>Price_List_BA!J239</f>
        <v>centilitre</v>
      </c>
      <c r="L241" s="127">
        <f>Price_List_BA!L239</f>
        <v>0.140625</v>
      </c>
    </row>
    <row r="242" spans="4:12" s="348" customFormat="1" ht="12.95" hidden="1" customHeight="1" outlineLevel="2" x14ac:dyDescent="0.2">
      <c r="D242" s="785" t="str">
        <f>Price_List_BA!D240</f>
        <v>Ciprofloxacin (500mg) (UG)</v>
      </c>
      <c r="E242" s="786"/>
      <c r="F242" s="786"/>
      <c r="G242" s="786"/>
      <c r="J242" s="668" t="str">
        <f>Price_List_BA!J240</f>
        <v>tablet</v>
      </c>
      <c r="L242" s="127">
        <f>Price_List_BA!L240</f>
        <v>3.4291683968965141E-2</v>
      </c>
    </row>
    <row r="243" spans="4:12" s="348" customFormat="1" ht="12.95" hidden="1" customHeight="1" outlineLevel="2" x14ac:dyDescent="0.2">
      <c r="D243" s="785" t="str">
        <f>Price_List_BA!D241</f>
        <v>Ciprofloxacin (500mg) 250MG (ZM)</v>
      </c>
      <c r="E243" s="786"/>
      <c r="F243" s="786"/>
      <c r="G243" s="786"/>
      <c r="J243" s="668" t="str">
        <f>Price_List_BA!J241</f>
        <v>tablet</v>
      </c>
      <c r="L243" s="127">
        <f>Price_List_BA!L241</f>
        <v>4.9088000000000005E-3</v>
      </c>
    </row>
    <row r="244" spans="4:12" s="348" customFormat="1" ht="12.95" hidden="1" customHeight="1" outlineLevel="2" x14ac:dyDescent="0.2">
      <c r="D244" s="785" t="str">
        <f>Price_List_BA!D242</f>
        <v>Cisplatin (50 mg) (ZM)</v>
      </c>
      <c r="E244" s="786"/>
      <c r="F244" s="786"/>
      <c r="G244" s="786"/>
      <c r="J244" s="668" t="str">
        <f>Price_List_BA!J242</f>
        <v>vial</v>
      </c>
      <c r="L244" s="127">
        <f>Price_List_BA!L242</f>
        <v>14</v>
      </c>
    </row>
    <row r="245" spans="4:12" s="348" customFormat="1" ht="12.95" hidden="1" customHeight="1" outlineLevel="2" x14ac:dyDescent="0.2">
      <c r="D245" s="785" t="str">
        <f>Price_List_BA!D243</f>
        <v>Cisplatin (50 mg) (TZ)</v>
      </c>
      <c r="E245" s="786"/>
      <c r="F245" s="786"/>
      <c r="G245" s="786"/>
      <c r="J245" s="668" t="str">
        <f>Price_List_BA!J243</f>
        <v>50 mg vial</v>
      </c>
      <c r="L245" s="127">
        <f>Price_List_BA!L243</f>
        <v>15.63</v>
      </c>
    </row>
    <row r="246" spans="4:12" s="348" customFormat="1" ht="12.95" hidden="1" customHeight="1" outlineLevel="2" x14ac:dyDescent="0.2">
      <c r="D246" s="785" t="str">
        <f>Price_List_BA!D244</f>
        <v>Citokit (UG)</v>
      </c>
      <c r="E246" s="786"/>
      <c r="F246" s="786"/>
      <c r="G246" s="786"/>
      <c r="J246" s="668" t="str">
        <f>Price_List_BA!J244</f>
        <v>kit</v>
      </c>
      <c r="L246" s="127">
        <f>Price_List_BA!L244</f>
        <v>2.0981313517648346</v>
      </c>
    </row>
    <row r="247" spans="4:12" s="348" customFormat="1" ht="12.95" hidden="1" customHeight="1" outlineLevel="2" x14ac:dyDescent="0.2">
      <c r="D247" s="785" t="str">
        <f>Price_List_BA!D245</f>
        <v>Colostomy Bag (TZ)</v>
      </c>
      <c r="E247" s="786"/>
      <c r="F247" s="786"/>
      <c r="G247" s="786"/>
      <c r="J247" s="668" t="str">
        <f>Price_List_BA!J245</f>
        <v>each</v>
      </c>
      <c r="L247" s="127">
        <f>Price_List_BA!L245</f>
        <v>2.5</v>
      </c>
    </row>
    <row r="248" spans="4:12" s="348" customFormat="1" ht="12.75" hidden="1" customHeight="1" outlineLevel="2" x14ac:dyDescent="0.2">
      <c r="D248" s="785" t="str">
        <f>Price_List_BA!D246</f>
        <v>Condom  (TZ)</v>
      </c>
      <c r="E248" s="786"/>
      <c r="F248" s="786"/>
      <c r="G248" s="786"/>
      <c r="J248" s="668" t="str">
        <f>Price_List_BA!J246</f>
        <v>each</v>
      </c>
      <c r="L248" s="127">
        <f>Price_List_BA!L246</f>
        <v>0.3125</v>
      </c>
    </row>
    <row r="249" spans="4:12" s="348" customFormat="1" ht="12.75" hidden="1" customHeight="1" outlineLevel="2" x14ac:dyDescent="0.2">
      <c r="D249" s="785" t="str">
        <f>Price_List_BA!D247</f>
        <v>Condom MALE (ZM)</v>
      </c>
      <c r="E249" s="786"/>
      <c r="F249" s="786"/>
      <c r="G249" s="786"/>
      <c r="J249" s="668" t="str">
        <f>Price_List_BA!J247</f>
        <v>each</v>
      </c>
      <c r="L249" s="127">
        <f>Price_List_BA!L247</f>
        <v>1.2946041666666666E-2</v>
      </c>
    </row>
    <row r="250" spans="4:12" s="348" customFormat="1" ht="12.75" hidden="1" customHeight="1" outlineLevel="2" x14ac:dyDescent="0.2">
      <c r="D250" s="785" t="str">
        <f>Price_List_BA!D248</f>
        <v>Cotton swab (ZM)</v>
      </c>
      <c r="E250" s="786"/>
      <c r="F250" s="786"/>
      <c r="G250" s="786"/>
      <c r="J250" s="668" t="str">
        <f>Price_List_BA!J248</f>
        <v>swab</v>
      </c>
      <c r="L250" s="127">
        <f>Price_List_BA!L248</f>
        <v>1.0200000000000001E-2</v>
      </c>
    </row>
    <row r="251" spans="4:12" s="348" customFormat="1" ht="12.75" hidden="1" customHeight="1" outlineLevel="2" x14ac:dyDescent="0.2">
      <c r="D251" s="785" t="str">
        <f>Price_List_BA!D249</f>
        <v>Cotton swab (TZ)</v>
      </c>
      <c r="E251" s="786"/>
      <c r="F251" s="786"/>
      <c r="G251" s="786"/>
      <c r="J251" s="668" t="str">
        <f>Price_List_BA!J249</f>
        <v>each</v>
      </c>
      <c r="L251" s="127">
        <f>Price_List_BA!L249</f>
        <v>2.75E-2</v>
      </c>
    </row>
    <row r="252" spans="4:12" s="348" customFormat="1" ht="12.75" hidden="1" customHeight="1" outlineLevel="2" x14ac:dyDescent="0.2">
      <c r="D252" s="785" t="str">
        <f>Price_List_BA!D250</f>
        <v>Cotton swabs (UG)</v>
      </c>
      <c r="E252" s="786"/>
      <c r="F252" s="786"/>
      <c r="G252" s="786"/>
      <c r="J252" s="668" t="str">
        <f>Price_List_BA!J250</f>
        <v>swab</v>
      </c>
      <c r="L252" s="127">
        <f>Price_List_BA!L250</f>
        <v>6.9238334608239596E-3</v>
      </c>
    </row>
    <row r="253" spans="4:12" s="348" customFormat="1" ht="12.75" hidden="1" customHeight="1" outlineLevel="2" x14ac:dyDescent="0.2">
      <c r="D253" s="785" t="str">
        <f>Price_List_BA!D251</f>
        <v>Cotton Wool, roll, non-sterile (ZM)</v>
      </c>
      <c r="E253" s="786"/>
      <c r="F253" s="786"/>
      <c r="G253" s="786"/>
      <c r="J253" s="668" t="str">
        <f>Price_List_BA!J251</f>
        <v>1/100 roll</v>
      </c>
      <c r="L253" s="127">
        <f>Price_List_BA!L251</f>
        <v>7.1200000000000005E-3</v>
      </c>
    </row>
    <row r="254" spans="4:12" s="348" customFormat="1" ht="12.75" hidden="1" customHeight="1" outlineLevel="2" x14ac:dyDescent="0.2">
      <c r="D254" s="785" t="str">
        <f>Price_List_BA!D252</f>
        <v>Cotton Wool, roll, non-sterile (TZ)</v>
      </c>
      <c r="E254" s="786"/>
      <c r="F254" s="786"/>
      <c r="G254" s="786"/>
      <c r="J254" s="668" t="str">
        <f>Price_List_BA!J252</f>
        <v>1 gram</v>
      </c>
      <c r="L254" s="127">
        <f>Price_List_BA!L252</f>
        <v>3.0000000000000001E-3</v>
      </c>
    </row>
    <row r="255" spans="4:12" s="348" customFormat="1" ht="12.75" hidden="1" customHeight="1" outlineLevel="2" x14ac:dyDescent="0.2">
      <c r="D255" s="785" t="str">
        <f>Price_List_BA!D253</f>
        <v xml:space="preserve">Dexamethasone (ZM) </v>
      </c>
      <c r="E255" s="786"/>
      <c r="F255" s="786"/>
      <c r="G255" s="786"/>
      <c r="J255" s="668" t="str">
        <f>Price_List_BA!J253</f>
        <v>4mg</v>
      </c>
      <c r="L255" s="127">
        <f>Price_List_BA!L253</f>
        <v>0.25</v>
      </c>
    </row>
    <row r="256" spans="4:12" s="348" customFormat="1" ht="12.75" hidden="1" customHeight="1" outlineLevel="2" x14ac:dyDescent="0.2">
      <c r="D256" s="785" t="str">
        <f>Price_List_BA!D254</f>
        <v>Diclofenac (50mg) (ZM)</v>
      </c>
      <c r="E256" s="786"/>
      <c r="F256" s="786"/>
      <c r="G256" s="786"/>
      <c r="J256" s="668" t="str">
        <f>Price_List_BA!J254</f>
        <v>tablet</v>
      </c>
      <c r="L256" s="127">
        <f>Price_List_BA!L254</f>
        <v>3.3939999999999999E-3</v>
      </c>
    </row>
    <row r="257" spans="4:12" s="348" customFormat="1" ht="12.75" hidden="1" customHeight="1" outlineLevel="2" x14ac:dyDescent="0.2">
      <c r="D257" s="785" t="str">
        <f>Price_List_BA!D255</f>
        <v>Diclofenac (50mg) (TZ)</v>
      </c>
      <c r="E257" s="786"/>
      <c r="F257" s="786"/>
      <c r="G257" s="786"/>
      <c r="J257" s="668" t="str">
        <f>Price_List_BA!J255</f>
        <v>tablet</v>
      </c>
      <c r="L257" s="127">
        <f>Price_List_BA!L255</f>
        <v>1.5625</v>
      </c>
    </row>
    <row r="258" spans="4:12" s="348" customFormat="1" ht="12.75" hidden="1" customHeight="1" outlineLevel="2" x14ac:dyDescent="0.2">
      <c r="D258" s="785" t="str">
        <f>Price_List_BA!D256</f>
        <v>Distilled water (ZM)</v>
      </c>
      <c r="E258" s="786"/>
      <c r="F258" s="786"/>
      <c r="G258" s="786"/>
      <c r="J258" s="668" t="str">
        <f>Price_List_BA!J256</f>
        <v>mililiter</v>
      </c>
      <c r="L258" s="127">
        <f>Price_List_BA!L256</f>
        <v>2.3199999999999997E-4</v>
      </c>
    </row>
    <row r="259" spans="4:12" s="348" customFormat="1" ht="12.75" hidden="1" customHeight="1" outlineLevel="2" x14ac:dyDescent="0.2">
      <c r="D259" s="785" t="str">
        <f>Price_List_BA!D257</f>
        <v>Distilled water (UG)</v>
      </c>
      <c r="E259" s="786"/>
      <c r="F259" s="786"/>
      <c r="G259" s="786"/>
      <c r="J259" s="668" t="str">
        <f>Price_List_BA!J257</f>
        <v>mililiter</v>
      </c>
      <c r="L259" s="127">
        <f>Price_List_BA!L257</f>
        <v>2.3680472079554149E-4</v>
      </c>
    </row>
    <row r="260" spans="4:12" s="348" customFormat="1" ht="12.75" hidden="1" customHeight="1" outlineLevel="2" x14ac:dyDescent="0.2">
      <c r="D260" s="785" t="str">
        <f>Price_List_BA!D258</f>
        <v>Dulcolax (10mg) (ZM)</v>
      </c>
      <c r="E260" s="786"/>
      <c r="F260" s="786"/>
      <c r="G260" s="786"/>
      <c r="J260" s="668" t="str">
        <f>Price_List_BA!J258</f>
        <v>tablet</v>
      </c>
      <c r="L260" s="127">
        <f>Price_List_BA!L258</f>
        <v>0.1</v>
      </c>
    </row>
    <row r="261" spans="4:12" s="348" customFormat="1" ht="12.75" hidden="1" customHeight="1" outlineLevel="2" x14ac:dyDescent="0.2">
      <c r="D261" s="785" t="str">
        <f>Price_List_BA!D259</f>
        <v>Dulcolax (10mg) (TZ)</v>
      </c>
      <c r="E261" s="786"/>
      <c r="F261" s="786"/>
      <c r="G261" s="786"/>
      <c r="J261" s="668" t="str">
        <f>Price_List_BA!J259</f>
        <v>tablet</v>
      </c>
      <c r="L261" s="127">
        <f>Price_List_BA!L259</f>
        <v>0.625</v>
      </c>
    </row>
    <row r="262" spans="4:12" s="348" customFormat="1" ht="12.75" hidden="1" customHeight="1" outlineLevel="2" x14ac:dyDescent="0.2">
      <c r="D262" s="785" t="str">
        <f>Price_List_BA!D260</f>
        <v>Emend (ZM)</v>
      </c>
      <c r="E262" s="786"/>
      <c r="F262" s="786"/>
      <c r="G262" s="786"/>
      <c r="J262" s="668" t="str">
        <f>Price_List_BA!J260</f>
        <v>SU</v>
      </c>
      <c r="L262" s="127">
        <f>Price_List_BA!L260</f>
        <v>0</v>
      </c>
    </row>
    <row r="263" spans="4:12" s="348" customFormat="1" ht="12.75" hidden="1" customHeight="1" outlineLevel="2" x14ac:dyDescent="0.2">
      <c r="D263" s="785" t="str">
        <f>Price_List_BA!D261</f>
        <v>Formalin (UG)</v>
      </c>
      <c r="E263" s="786"/>
      <c r="F263" s="786"/>
      <c r="G263" s="786"/>
      <c r="J263" s="668" t="str">
        <f>Price_List_BA!J261</f>
        <v>mililiter</v>
      </c>
      <c r="L263" s="127">
        <f>Price_List_BA!L261</f>
        <v>6.5566604742651096E-3</v>
      </c>
    </row>
    <row r="264" spans="4:12" s="348" customFormat="1" ht="12.75" hidden="1" customHeight="1" outlineLevel="2" x14ac:dyDescent="0.2">
      <c r="D264" s="785" t="str">
        <f>Price_List_BA!D262</f>
        <v>Formalin AR 40% (ZM)</v>
      </c>
      <c r="E264" s="786"/>
      <c r="F264" s="786"/>
      <c r="G264" s="786"/>
      <c r="J264" s="668" t="str">
        <f>Price_List_BA!J262</f>
        <v>mililiter</v>
      </c>
      <c r="L264" s="127">
        <f>Price_List_BA!L262</f>
        <v>0.34903395999999998</v>
      </c>
    </row>
    <row r="265" spans="4:12" s="348" customFormat="1" ht="12.75" hidden="1" customHeight="1" outlineLevel="2" x14ac:dyDescent="0.2">
      <c r="D265" s="785" t="str">
        <f>Price_List_BA!D263</f>
        <v>Formalin AR 40% (TZ)</v>
      </c>
      <c r="E265" s="786"/>
      <c r="F265" s="786"/>
      <c r="G265" s="786"/>
      <c r="J265" s="668" t="str">
        <f>Price_List_BA!J263</f>
        <v>centilitre</v>
      </c>
      <c r="L265" s="127">
        <f>Price_List_BA!L263</f>
        <v>0.03</v>
      </c>
    </row>
    <row r="266" spans="4:12" s="348" customFormat="1" ht="12.75" hidden="1" customHeight="1" outlineLevel="2" x14ac:dyDescent="0.2">
      <c r="D266" s="785" t="str">
        <f>Price_List_BA!D264</f>
        <v>Frusamide (ZM)</v>
      </c>
      <c r="E266" s="786"/>
      <c r="F266" s="786"/>
      <c r="G266" s="786"/>
      <c r="J266" s="668" t="str">
        <f>Price_List_BA!J264</f>
        <v>20mg</v>
      </c>
      <c r="L266" s="127">
        <f>Price_List_BA!L264</f>
        <v>0.5</v>
      </c>
    </row>
    <row r="267" spans="4:12" s="348" customFormat="1" ht="12.75" hidden="1" customHeight="1" outlineLevel="2" x14ac:dyDescent="0.2">
      <c r="D267" s="785" t="str">
        <f>Price_List_BA!D265</f>
        <v>Gas - N2O (UG)</v>
      </c>
      <c r="E267" s="786"/>
      <c r="F267" s="786"/>
      <c r="G267" s="786"/>
      <c r="J267" s="668" t="str">
        <f>Price_List_BA!J265</f>
        <v>litre</v>
      </c>
      <c r="L267" s="127">
        <f>Price_List_BA!L265</f>
        <v>0.21116458854315942</v>
      </c>
    </row>
    <row r="268" spans="4:12" s="348" customFormat="1" ht="12.75" hidden="1" customHeight="1" outlineLevel="2" x14ac:dyDescent="0.2">
      <c r="D268" s="785" t="str">
        <f>Price_List_BA!D266</f>
        <v>Gas Cylinder (Nitrous Oxide) 72 kg. (ZM)</v>
      </c>
      <c r="E268" s="786"/>
      <c r="F268" s="786"/>
      <c r="G268" s="786"/>
      <c r="J268" s="668" t="str">
        <f>Price_List_BA!J266</f>
        <v>application</v>
      </c>
      <c r="L268" s="127">
        <f>Price_List_BA!L266</f>
        <v>37.333333333333336</v>
      </c>
    </row>
    <row r="269" spans="4:12" s="348" customFormat="1" ht="12.75" hidden="1" customHeight="1" outlineLevel="2" x14ac:dyDescent="0.2">
      <c r="D269" s="785" t="str">
        <f>Price_List_BA!D267</f>
        <v>Gas Cylinder (TZ)</v>
      </c>
      <c r="E269" s="786"/>
      <c r="F269" s="786"/>
      <c r="G269" s="786"/>
      <c r="J269" s="668" t="str">
        <f>Price_List_BA!J267</f>
        <v>1/15th of a cylinder</v>
      </c>
      <c r="L269" s="127">
        <f>Price_List_BA!L267</f>
        <v>1.6666666666666667</v>
      </c>
    </row>
    <row r="270" spans="4:12" s="348" customFormat="1" ht="12.75" hidden="1" customHeight="1" outlineLevel="2" x14ac:dyDescent="0.2">
      <c r="D270" s="785" t="str">
        <f>Price_List_BA!D268</f>
        <v>Gauze (UG)</v>
      </c>
      <c r="E270" s="786"/>
      <c r="F270" s="786"/>
      <c r="G270" s="786"/>
      <c r="J270" s="668" t="str">
        <f>Price_List_BA!J268</f>
        <v>piece</v>
      </c>
      <c r="L270" s="127">
        <f>Price_List_BA!L268</f>
        <v>1.2239099551961501E-2</v>
      </c>
    </row>
    <row r="271" spans="4:12" s="348" customFormat="1" ht="12.75" hidden="1" customHeight="1" outlineLevel="2" x14ac:dyDescent="0.2">
      <c r="D271" s="785" t="str">
        <f>Price_List_BA!D269</f>
        <v>Gauze hospital quality 10x4 cm (TZ)</v>
      </c>
      <c r="E271" s="786"/>
      <c r="F271" s="786"/>
      <c r="G271" s="786"/>
      <c r="J271" s="668" t="str">
        <f>Price_List_BA!J269</f>
        <v>each</v>
      </c>
      <c r="L271" s="127">
        <f>Price_List_BA!L269</f>
        <v>0.3125</v>
      </c>
    </row>
    <row r="272" spans="4:12" s="348" customFormat="1" ht="12.75" hidden="1" customHeight="1" outlineLevel="2" x14ac:dyDescent="0.2">
      <c r="D272" s="785" t="str">
        <f>Price_List_BA!D270</f>
        <v>Gauze, Non-Sterile (ZM)</v>
      </c>
      <c r="E272" s="786"/>
      <c r="F272" s="786"/>
      <c r="G272" s="786"/>
      <c r="J272" s="668" t="str">
        <f>Price_List_BA!J270</f>
        <v>1/2 roll</v>
      </c>
      <c r="L272" s="127">
        <f>Price_List_BA!L270</f>
        <v>6.7035000000000003E-3</v>
      </c>
    </row>
    <row r="273" spans="4:12" s="348" customFormat="1" ht="12.75" hidden="1" customHeight="1" outlineLevel="2" x14ac:dyDescent="0.2">
      <c r="D273" s="785" t="str">
        <f>Price_List_BA!D271</f>
        <v>Gauze, Non-Sterile (TZ)</v>
      </c>
      <c r="E273" s="786"/>
      <c r="F273" s="786"/>
      <c r="G273" s="786"/>
      <c r="J273" s="668" t="str">
        <f>Price_List_BA!J271</f>
        <v>1/100 of roll</v>
      </c>
      <c r="L273" s="127">
        <f>Price_List_BA!L271</f>
        <v>0.125</v>
      </c>
    </row>
    <row r="274" spans="4:12" s="348" customFormat="1" ht="12.75" hidden="1" customHeight="1" outlineLevel="2" x14ac:dyDescent="0.2">
      <c r="D274" s="785" t="str">
        <f>Price_List_BA!D272</f>
        <v>Gauze, Sterile (ZM)</v>
      </c>
      <c r="E274" s="786"/>
      <c r="F274" s="786"/>
      <c r="G274" s="786"/>
      <c r="J274" s="668" t="str">
        <f>Price_List_BA!J272</f>
        <v>roll</v>
      </c>
      <c r="L274" s="127">
        <f>Price_List_BA!L272</f>
        <v>4.7962999999999999E-2</v>
      </c>
    </row>
    <row r="275" spans="4:12" s="348" customFormat="1" ht="12.75" hidden="1" customHeight="1" outlineLevel="2" x14ac:dyDescent="0.2">
      <c r="D275" s="785" t="str">
        <f>Price_List_BA!D273</f>
        <v>Gauze, Sterile (TZ)</v>
      </c>
      <c r="E275" s="786"/>
      <c r="F275" s="786"/>
      <c r="G275" s="786"/>
      <c r="J275" s="668" t="str">
        <f>Price_List_BA!J273</f>
        <v>1/100 of roll</v>
      </c>
      <c r="L275" s="127">
        <f>Price_List_BA!L273</f>
        <v>0.125</v>
      </c>
    </row>
    <row r="276" spans="4:12" s="348" customFormat="1" ht="12.75" hidden="1" customHeight="1" outlineLevel="2" x14ac:dyDescent="0.2">
      <c r="D276" s="785" t="str">
        <f>Price_List_BA!D274</f>
        <v>Gloves (UG)</v>
      </c>
      <c r="E276" s="786"/>
      <c r="F276" s="786"/>
      <c r="G276" s="786"/>
      <c r="J276" s="668" t="str">
        <f>Price_List_BA!J274</f>
        <v>pair</v>
      </c>
      <c r="L276" s="127">
        <f>Price_List_BA!L274</f>
        <v>0.10490656758824179</v>
      </c>
    </row>
    <row r="277" spans="4:12" s="348" customFormat="1" ht="12.75" hidden="1" customHeight="1" outlineLevel="2" x14ac:dyDescent="0.2">
      <c r="D277" s="785" t="str">
        <f>Price_List_BA!D275</f>
        <v>Gloves, Non-Sterile, Examination, latex, assorted sizes, disp. (ZM)</v>
      </c>
      <c r="E277" s="786"/>
      <c r="F277" s="786"/>
      <c r="G277" s="786"/>
      <c r="J277" s="668" t="str">
        <f>Price_List_BA!J275</f>
        <v>each</v>
      </c>
      <c r="L277" s="127">
        <f>Price_List_BA!L275</f>
        <v>7.2000000000000008E-2</v>
      </c>
    </row>
    <row r="278" spans="4:12" s="348" customFormat="1" ht="12.75" hidden="1" customHeight="1" outlineLevel="2" x14ac:dyDescent="0.2">
      <c r="D278" s="785" t="str">
        <f>Price_List_BA!D276</f>
        <v>Gloves, Non-Sterile, Examination, latex, medium, disp. (TZ)</v>
      </c>
      <c r="E278" s="786"/>
      <c r="F278" s="786"/>
      <c r="G278" s="786"/>
      <c r="J278" s="668" t="str">
        <f>Price_List_BA!J276</f>
        <v>each</v>
      </c>
      <c r="L278" s="127">
        <f>Price_List_BA!L276</f>
        <v>4.2699999999999995E-2</v>
      </c>
    </row>
    <row r="279" spans="4:12" s="348" customFormat="1" ht="12.75" hidden="1" customHeight="1" outlineLevel="2" x14ac:dyDescent="0.2">
      <c r="D279" s="785" t="str">
        <f>Price_List_BA!D277</f>
        <v>Gloves, Sterile (TZ)</v>
      </c>
      <c r="E279" s="786"/>
      <c r="F279" s="786"/>
      <c r="G279" s="786"/>
      <c r="J279" s="668" t="str">
        <f>Price_List_BA!J277</f>
        <v>each</v>
      </c>
      <c r="L279" s="127">
        <f>Price_List_BA!L277</f>
        <v>0.92500000000000004</v>
      </c>
    </row>
    <row r="280" spans="4:12" s="348" customFormat="1" ht="12.75" hidden="1" customHeight="1" outlineLevel="2" x14ac:dyDescent="0.2">
      <c r="D280" s="785" t="str">
        <f>Price_List_BA!D278</f>
        <v>Gloves, Sterile 7.5 (ZM)</v>
      </c>
      <c r="E280" s="786"/>
      <c r="F280" s="786"/>
      <c r="G280" s="786"/>
      <c r="J280" s="668" t="str">
        <f>Price_List_BA!J278</f>
        <v>each</v>
      </c>
      <c r="L280" s="127">
        <f>Price_List_BA!L278</f>
        <v>0.21932200000000002</v>
      </c>
    </row>
    <row r="281" spans="4:12" s="348" customFormat="1" ht="12.75" hidden="1" customHeight="1" outlineLevel="2" x14ac:dyDescent="0.2">
      <c r="D281" s="785" t="str">
        <f>Price_List_BA!D279</f>
        <v>Halothane (ZM)</v>
      </c>
      <c r="E281" s="786"/>
      <c r="F281" s="786"/>
      <c r="G281" s="786"/>
      <c r="J281" s="668" t="str">
        <f>Price_List_BA!J279</f>
        <v>millilitre</v>
      </c>
      <c r="L281" s="127">
        <f>Price_List_BA!L279</f>
        <v>0</v>
      </c>
    </row>
    <row r="282" spans="4:12" s="348" customFormat="1" ht="12.75" hidden="1" customHeight="1" outlineLevel="2" x14ac:dyDescent="0.2">
      <c r="D282" s="785" t="str">
        <f>Price_List_BA!D280</f>
        <v>IV canula 22G  (ZM)</v>
      </c>
      <c r="E282" s="786"/>
      <c r="F282" s="786"/>
      <c r="G282" s="786"/>
      <c r="J282" s="668" t="str">
        <f>Price_List_BA!J280</f>
        <v>canula</v>
      </c>
      <c r="L282" s="127">
        <f>Price_List_BA!L280</f>
        <v>0.130548</v>
      </c>
    </row>
    <row r="283" spans="4:12" s="348" customFormat="1" ht="12.75" hidden="1" customHeight="1" outlineLevel="2" x14ac:dyDescent="0.2">
      <c r="D283" s="785" t="str">
        <f>Price_List_BA!D281</f>
        <v>IV canula 22G (each) (TZ)</v>
      </c>
      <c r="E283" s="786"/>
      <c r="F283" s="786"/>
      <c r="G283" s="786"/>
      <c r="J283" s="668" t="str">
        <f>Price_List_BA!J281</f>
        <v>each</v>
      </c>
      <c r="L283" s="127">
        <f>Price_List_BA!L281</f>
        <v>0.16250000000000001</v>
      </c>
    </row>
    <row r="284" spans="4:12" s="348" customFormat="1" ht="12.75" hidden="1" customHeight="1" outlineLevel="2" x14ac:dyDescent="0.2">
      <c r="D284" s="785" t="str">
        <f>Price_List_BA!D282</f>
        <v>IV giving set (each) (TZ)</v>
      </c>
      <c r="E284" s="786"/>
      <c r="F284" s="786"/>
      <c r="G284" s="786"/>
      <c r="J284" s="668" t="str">
        <f>Price_List_BA!J282</f>
        <v>set</v>
      </c>
      <c r="L284" s="127">
        <f>Price_List_BA!L282</f>
        <v>0.15</v>
      </c>
    </row>
    <row r="285" spans="4:12" s="348" customFormat="1" ht="12.75" hidden="1" customHeight="1" outlineLevel="2" x14ac:dyDescent="0.2">
      <c r="D285" s="785" t="str">
        <f>Price_List_BA!D283</f>
        <v>IV giving set (closed system) (ZM)</v>
      </c>
      <c r="E285" s="786"/>
      <c r="F285" s="786"/>
      <c r="G285" s="786"/>
      <c r="J285" s="668" t="str">
        <f>Price_List_BA!J283</f>
        <v>SU</v>
      </c>
      <c r="L285" s="127">
        <f>Price_List_BA!L283</f>
        <v>0</v>
      </c>
    </row>
    <row r="286" spans="4:12" s="348" customFormat="1" ht="12.75" hidden="1" customHeight="1" outlineLevel="2" x14ac:dyDescent="0.2">
      <c r="D286" s="785" t="str">
        <f>Price_List_BA!D284</f>
        <v>IV line (set) (ZM)</v>
      </c>
      <c r="E286" s="786"/>
      <c r="F286" s="786"/>
      <c r="G286" s="786"/>
      <c r="J286" s="668" t="str">
        <f>Price_List_BA!J284</f>
        <v>set</v>
      </c>
      <c r="L286" s="127">
        <f>Price_List_BA!L284</f>
        <v>0.120104</v>
      </c>
    </row>
    <row r="287" spans="4:12" s="348" customFormat="1" ht="12.75" hidden="1" customHeight="1" outlineLevel="2" x14ac:dyDescent="0.2">
      <c r="D287" s="785" t="str">
        <f>Price_List_BA!D285</f>
        <v>IV line (set) (TZ)</v>
      </c>
      <c r="E287" s="786"/>
      <c r="F287" s="786"/>
      <c r="G287" s="786"/>
      <c r="J287" s="668" t="str">
        <f>Price_List_BA!J285</f>
        <v>set</v>
      </c>
      <c r="L287" s="127">
        <f>Price_List_BA!L285</f>
        <v>0.9375</v>
      </c>
    </row>
    <row r="288" spans="4:12" s="348" customFormat="1" ht="12.75" hidden="1" customHeight="1" outlineLevel="2" x14ac:dyDescent="0.2">
      <c r="D288" s="785" t="str">
        <f>Price_List_BA!D286</f>
        <v>Ketamine (ZM)</v>
      </c>
      <c r="E288" s="786"/>
      <c r="F288" s="786"/>
      <c r="G288" s="786"/>
      <c r="J288" s="668" t="str">
        <f>Price_List_BA!J286</f>
        <v>SU</v>
      </c>
      <c r="L288" s="127">
        <f>Price_List_BA!L286</f>
        <v>0</v>
      </c>
    </row>
    <row r="289" spans="4:12" s="348" customFormat="1" ht="12.75" hidden="1" customHeight="1" outlineLevel="2" x14ac:dyDescent="0.2">
      <c r="D289" s="785" t="str">
        <f>Price_List_BA!D287</f>
        <v>Kitchen Towel (ZM)</v>
      </c>
      <c r="E289" s="786"/>
      <c r="F289" s="786"/>
      <c r="G289" s="786"/>
      <c r="J289" s="668" t="str">
        <f>Price_List_BA!J287</f>
        <v>application</v>
      </c>
      <c r="L289" s="127">
        <f>Price_List_BA!L287</f>
        <v>1.3999999999999999E-2</v>
      </c>
    </row>
    <row r="290" spans="4:12" s="348" customFormat="1" ht="12.75" hidden="1" customHeight="1" outlineLevel="2" x14ac:dyDescent="0.2">
      <c r="D290" s="785" t="str">
        <f>Price_List_BA!D288</f>
        <v>K-Y jelly  (TZ)</v>
      </c>
      <c r="E290" s="786"/>
      <c r="F290" s="786"/>
      <c r="G290" s="786"/>
      <c r="J290" s="668" t="str">
        <f>Price_List_BA!J288</f>
        <v>1/100 of tube</v>
      </c>
      <c r="L290" s="127">
        <f>Price_List_BA!L288</f>
        <v>8.4375000000000006E-2</v>
      </c>
    </row>
    <row r="291" spans="4:12" s="348" customFormat="1" ht="12.75" hidden="1" customHeight="1" outlineLevel="2" x14ac:dyDescent="0.2">
      <c r="D291" s="785" t="str">
        <f>Price_List_BA!D289</f>
        <v>K-Y jelly Tube w/ 100 applcations ea) (ZM)</v>
      </c>
      <c r="E291" s="786"/>
      <c r="F291" s="786"/>
      <c r="G291" s="786"/>
      <c r="J291" s="668" t="str">
        <f>Price_List_BA!J289</f>
        <v>1 application</v>
      </c>
      <c r="L291" s="127">
        <f>Price_List_BA!L289</f>
        <v>4.4999999999999998E-2</v>
      </c>
    </row>
    <row r="292" spans="4:12" s="348" customFormat="1" ht="12.75" hidden="1" customHeight="1" outlineLevel="2" x14ac:dyDescent="0.2">
      <c r="D292" s="785" t="str">
        <f>Price_List_BA!D290</f>
        <v>Label (TZ)</v>
      </c>
      <c r="E292" s="786"/>
      <c r="F292" s="786"/>
      <c r="G292" s="786"/>
      <c r="J292" s="668" t="str">
        <f>Price_List_BA!J290</f>
        <v>label</v>
      </c>
      <c r="L292" s="127">
        <f>Price_List_BA!L290</f>
        <v>3.125E-2</v>
      </c>
    </row>
    <row r="293" spans="4:12" s="348" customFormat="1" ht="12.75" hidden="1" customHeight="1" outlineLevel="2" x14ac:dyDescent="0.2">
      <c r="D293" s="785" t="str">
        <f>Price_List_BA!D291</f>
        <v>Lidocaine 1% or 2% without epinephrine (UG)</v>
      </c>
      <c r="E293" s="786"/>
      <c r="F293" s="786"/>
      <c r="G293" s="786"/>
      <c r="J293" s="668" t="str">
        <f>Price_List_BA!J291</f>
        <v>mililitre</v>
      </c>
      <c r="L293" s="127">
        <f>Price_List_BA!L291</f>
        <v>6.6747459294066225E-2</v>
      </c>
    </row>
    <row r="294" spans="4:12" s="348" customFormat="1" ht="12.75" hidden="1" customHeight="1" outlineLevel="2" x14ac:dyDescent="0.2">
      <c r="D294" s="785" t="str">
        <f>Price_List_BA!D292</f>
        <v>Lidocaine 2% with epinephrine 1:80000 (ZM)</v>
      </c>
      <c r="E294" s="786"/>
      <c r="F294" s="786"/>
      <c r="G294" s="786"/>
      <c r="J294" s="668" t="str">
        <f>Price_List_BA!J292</f>
        <v>unknown</v>
      </c>
      <c r="L294" s="127">
        <f>Price_List_BA!L292</f>
        <v>0.9</v>
      </c>
    </row>
    <row r="295" spans="4:12" s="348" customFormat="1" ht="12.75" hidden="1" customHeight="1" outlineLevel="2" x14ac:dyDescent="0.2">
      <c r="D295" s="785" t="str">
        <f>Price_List_BA!D293</f>
        <v>Lidocaine: 2% with adrenalin 1:80000 (TZ)</v>
      </c>
      <c r="E295" s="786"/>
      <c r="F295" s="786"/>
      <c r="G295" s="786"/>
      <c r="J295" s="668" t="str">
        <f>Price_List_BA!J293</f>
        <v>centilitre</v>
      </c>
      <c r="L295" s="127">
        <f>Price_List_BA!L293</f>
        <v>0.13750000000000001</v>
      </c>
    </row>
    <row r="296" spans="4:12" s="348" customFormat="1" ht="12.75" hidden="1" customHeight="1" outlineLevel="2" x14ac:dyDescent="0.2">
      <c r="D296" s="785" t="str">
        <f>Price_List_BA!D294</f>
        <v>Liquid soap (UG)</v>
      </c>
      <c r="E296" s="786"/>
      <c r="F296" s="786"/>
      <c r="G296" s="786"/>
      <c r="J296" s="668" t="str">
        <f>Price_List_BA!J294</f>
        <v>mililiter</v>
      </c>
      <c r="L296" s="127">
        <f>Price_List_BA!L294</f>
        <v>5.4194295705387399E-4</v>
      </c>
    </row>
    <row r="297" spans="4:12" s="348" customFormat="1" ht="12.75" hidden="1" customHeight="1" outlineLevel="2" x14ac:dyDescent="0.2">
      <c r="D297" s="785" t="str">
        <f>Price_List_BA!D295</f>
        <v>Lugol's iodine (UG)</v>
      </c>
      <c r="E297" s="786"/>
      <c r="F297" s="786"/>
      <c r="G297" s="786"/>
      <c r="J297" s="668" t="str">
        <f>Price_List_BA!J295</f>
        <v>mililiter</v>
      </c>
      <c r="L297" s="127">
        <f>Price_List_BA!L295</f>
        <v>1.2621571412960299E-2</v>
      </c>
    </row>
    <row r="298" spans="4:12" s="348" customFormat="1" ht="12.75" hidden="1" customHeight="1" outlineLevel="2" x14ac:dyDescent="0.2">
      <c r="D298" s="785" t="str">
        <f>Price_List_BA!D296</f>
        <v>Mannitol (ZM)</v>
      </c>
      <c r="E298" s="786"/>
      <c r="F298" s="786"/>
      <c r="G298" s="786"/>
      <c r="J298" s="668" t="str">
        <f>Price_List_BA!J296</f>
        <v>SU</v>
      </c>
      <c r="L298" s="127">
        <f>Price_List_BA!L296</f>
        <v>0</v>
      </c>
    </row>
    <row r="299" spans="4:12" s="348" customFormat="1" ht="12.75" hidden="1" customHeight="1" outlineLevel="2" x14ac:dyDescent="0.2">
      <c r="D299" s="785" t="str">
        <f>Price_List_BA!D297</f>
        <v>Metronizadol (200mg) (ZM)</v>
      </c>
      <c r="E299" s="786"/>
      <c r="F299" s="786"/>
      <c r="G299" s="786"/>
      <c r="J299" s="668" t="str">
        <f>Price_List_BA!J297</f>
        <v>tablet</v>
      </c>
      <c r="L299" s="127">
        <f>Price_List_BA!L297</f>
        <v>3.7859E-3</v>
      </c>
    </row>
    <row r="300" spans="4:12" s="348" customFormat="1" ht="12.75" hidden="1" customHeight="1" outlineLevel="2" x14ac:dyDescent="0.2">
      <c r="D300" s="785" t="str">
        <f>Price_List_BA!D298</f>
        <v>Metronizadol (200mg) (UG)</v>
      </c>
      <c r="E300" s="786"/>
      <c r="F300" s="786"/>
      <c r="G300" s="786"/>
      <c r="J300" s="668" t="str">
        <f>Price_List_BA!J298</f>
        <v>tablet</v>
      </c>
      <c r="L300" s="127">
        <f>Price_List_BA!L298</f>
        <v>3.9235056278002405E-3</v>
      </c>
    </row>
    <row r="301" spans="4:12" s="348" customFormat="1" ht="12.75" hidden="1" customHeight="1" outlineLevel="2" x14ac:dyDescent="0.2">
      <c r="D301" s="785" t="str">
        <f>Price_List_BA!D299</f>
        <v>Metronizadol (400mg) (UG)</v>
      </c>
      <c r="E301" s="786"/>
      <c r="F301" s="786"/>
      <c r="G301" s="786"/>
      <c r="J301" s="668" t="str">
        <f>Price_List_BA!J299</f>
        <v>tablet</v>
      </c>
      <c r="L301" s="127">
        <f>Price_List_BA!L299</f>
        <v>7.847011255600481E-3</v>
      </c>
    </row>
    <row r="302" spans="4:12" s="348" customFormat="1" ht="12.75" hidden="1" customHeight="1" outlineLevel="2" x14ac:dyDescent="0.2">
      <c r="D302" s="785" t="str">
        <f>Price_List_BA!D300</f>
        <v>Mictomycin  C (10mg) (TZ)</v>
      </c>
      <c r="E302" s="786"/>
      <c r="F302" s="786"/>
      <c r="G302" s="786"/>
      <c r="J302" s="668" t="str">
        <f>Price_List_BA!J300</f>
        <v>10mg</v>
      </c>
      <c r="L302" s="127">
        <f>Price_List_BA!L300</f>
        <v>18.75</v>
      </c>
    </row>
    <row r="303" spans="4:12" s="348" customFormat="1" ht="12.75" hidden="1" customHeight="1" outlineLevel="2" x14ac:dyDescent="0.2">
      <c r="D303" s="785" t="str">
        <f>Price_List_BA!D301</f>
        <v>Mitomycin  C (10mg) (ZM)</v>
      </c>
      <c r="E303" s="786"/>
      <c r="F303" s="786"/>
      <c r="G303" s="786"/>
      <c r="J303" s="668" t="str">
        <f>Price_List_BA!J301</f>
        <v>vial</v>
      </c>
      <c r="L303" s="127">
        <f>Price_List_BA!L301</f>
        <v>27.5</v>
      </c>
    </row>
    <row r="304" spans="4:12" s="348" customFormat="1" ht="12.75" hidden="1" customHeight="1" outlineLevel="2" x14ac:dyDescent="0.2">
      <c r="D304" s="785" t="str">
        <f>Price_List_BA!D302</f>
        <v>Monsel's solution (UG)</v>
      </c>
      <c r="E304" s="786"/>
      <c r="F304" s="786"/>
      <c r="G304" s="786"/>
      <c r="J304" s="668" t="str">
        <f>Price_List_BA!J302</f>
        <v>mililiter</v>
      </c>
      <c r="L304" s="127">
        <f>Price_List_BA!L302</f>
        <v>0.41111111111111109</v>
      </c>
    </row>
    <row r="305" spans="4:12" s="348" customFormat="1" ht="12.75" hidden="1" customHeight="1" outlineLevel="2" x14ac:dyDescent="0.2">
      <c r="D305" s="785" t="str">
        <f>Price_List_BA!D303</f>
        <v>Monsel's solution (ZM)</v>
      </c>
      <c r="E305" s="786"/>
      <c r="F305" s="786"/>
      <c r="G305" s="786"/>
      <c r="J305" s="668" t="str">
        <f>Price_List_BA!J303</f>
        <v>application</v>
      </c>
      <c r="L305" s="127">
        <f>Price_List_BA!L303</f>
        <v>10.126666666666667</v>
      </c>
    </row>
    <row r="306" spans="4:12" s="348" customFormat="1" ht="12.75" hidden="1" customHeight="1" outlineLevel="2" x14ac:dyDescent="0.2">
      <c r="D306" s="785" t="str">
        <f>Price_List_BA!D304</f>
        <v>Morphine (10mg) (ZM)</v>
      </c>
      <c r="E306" s="786"/>
      <c r="F306" s="786"/>
      <c r="G306" s="786"/>
      <c r="J306" s="668" t="str">
        <f>Price_List_BA!J304</f>
        <v>tablet</v>
      </c>
      <c r="L306" s="127">
        <f>Price_List_BA!L304</f>
        <v>0.22666666666666666</v>
      </c>
    </row>
    <row r="307" spans="4:12" s="348" customFormat="1" ht="12.75" hidden="1" customHeight="1" outlineLevel="2" x14ac:dyDescent="0.2">
      <c r="D307" s="785" t="str">
        <f>Price_List_BA!D305</f>
        <v>Morphine (10mg) (TZ)</v>
      </c>
      <c r="E307" s="786"/>
      <c r="F307" s="786"/>
      <c r="G307" s="786"/>
      <c r="J307" s="668" t="str">
        <f>Price_List_BA!J305</f>
        <v>10mg</v>
      </c>
      <c r="L307" s="127">
        <f>Price_List_BA!L305</f>
        <v>3.5625</v>
      </c>
    </row>
    <row r="308" spans="4:12" s="348" customFormat="1" ht="12.75" hidden="1" customHeight="1" outlineLevel="2" x14ac:dyDescent="0.2">
      <c r="D308" s="785" t="str">
        <f>Price_List_BA!D306</f>
        <v>Mutton Cloth (ZM)</v>
      </c>
      <c r="E308" s="786"/>
      <c r="F308" s="786"/>
      <c r="G308" s="786"/>
      <c r="J308" s="668" t="str">
        <f>Price_List_BA!J306</f>
        <v>metre</v>
      </c>
      <c r="L308" s="127">
        <f>Price_List_BA!L306</f>
        <v>6.5000000000000002E-2</v>
      </c>
    </row>
    <row r="309" spans="4:12" s="348" customFormat="1" ht="12.75" hidden="1" customHeight="1" outlineLevel="2" x14ac:dyDescent="0.2">
      <c r="D309" s="785" t="str">
        <f>Price_List_BA!D307</f>
        <v>Needle – 18 or 20 gauge (TZ)</v>
      </c>
      <c r="E309" s="786"/>
      <c r="F309" s="786"/>
      <c r="G309" s="786"/>
      <c r="J309" s="668" t="str">
        <f>Price_List_BA!J307</f>
        <v>one piece</v>
      </c>
      <c r="L309" s="127">
        <f>Price_List_BA!L307</f>
        <v>8.8541666666666671E-2</v>
      </c>
    </row>
    <row r="310" spans="4:12" s="348" customFormat="1" ht="12.75" hidden="1" customHeight="1" outlineLevel="2" x14ac:dyDescent="0.2">
      <c r="D310" s="785" t="str">
        <f>Price_List_BA!D308</f>
        <v>Needle - Spinal 22G (disposable) (ZM)</v>
      </c>
      <c r="E310" s="786"/>
      <c r="F310" s="786"/>
      <c r="G310" s="786"/>
      <c r="J310" s="668" t="str">
        <f>Price_List_BA!J308</f>
        <v>needle</v>
      </c>
      <c r="L310" s="127">
        <f>Price_List_BA!L308</f>
        <v>1.240208</v>
      </c>
    </row>
    <row r="311" spans="4:12" s="348" customFormat="1" ht="12.75" hidden="1" customHeight="1" outlineLevel="2" x14ac:dyDescent="0.2">
      <c r="D311" s="785" t="str">
        <f>Price_List_BA!D309</f>
        <v>Needle - Spinal 22G (disposable) (TZ)</v>
      </c>
      <c r="E311" s="786"/>
      <c r="F311" s="786"/>
      <c r="G311" s="786"/>
      <c r="J311" s="668" t="str">
        <f>Price_List_BA!J309</f>
        <v>one piece</v>
      </c>
      <c r="L311" s="127">
        <f>Price_List_BA!L309</f>
        <v>0.91249999999999998</v>
      </c>
    </row>
    <row r="312" spans="4:12" s="348" customFormat="1" ht="12.75" hidden="1" customHeight="1" outlineLevel="2" x14ac:dyDescent="0.2">
      <c r="D312" s="785" t="str">
        <f>Price_List_BA!D310</f>
        <v>Needles - Dental 27G Long (ZM)</v>
      </c>
      <c r="E312" s="786"/>
      <c r="F312" s="786"/>
      <c r="G312" s="786"/>
      <c r="J312" s="668" t="str">
        <f>Price_List_BA!J310</f>
        <v>needle</v>
      </c>
      <c r="L312" s="127">
        <f>Price_List_BA!L310</f>
        <v>0.30909999999999999</v>
      </c>
    </row>
    <row r="313" spans="4:12" s="348" customFormat="1" ht="12.75" hidden="1" customHeight="1" outlineLevel="2" x14ac:dyDescent="0.2">
      <c r="D313" s="785" t="str">
        <f>Price_List_BA!D311</f>
        <v>Neostymine (ZM)</v>
      </c>
      <c r="E313" s="786"/>
      <c r="F313" s="786"/>
      <c r="G313" s="786"/>
      <c r="J313" s="668" t="str">
        <f>Price_List_BA!J311</f>
        <v>SU</v>
      </c>
      <c r="L313" s="127">
        <f>Price_List_BA!L311</f>
        <v>0</v>
      </c>
    </row>
    <row r="314" spans="4:12" s="348" customFormat="1" ht="12.75" hidden="1" customHeight="1" outlineLevel="2" x14ac:dyDescent="0.2">
      <c r="D314" s="785" t="str">
        <f>Price_List_BA!D312</f>
        <v>Normal saline (UG)</v>
      </c>
      <c r="E314" s="786"/>
      <c r="F314" s="786"/>
      <c r="G314" s="786"/>
      <c r="J314" s="668" t="str">
        <f>Price_List_BA!J312</f>
        <v>mililiter</v>
      </c>
      <c r="L314" s="127">
        <f>Price_List_BA!L312</f>
        <v>8.4106217899683098E-4</v>
      </c>
    </row>
    <row r="315" spans="4:12" s="348" customFormat="1" ht="12.75" hidden="1" customHeight="1" outlineLevel="2" x14ac:dyDescent="0.2">
      <c r="D315" s="785" t="str">
        <f>Price_List_BA!D313</f>
        <v>Normal saline (ZM)</v>
      </c>
      <c r="E315" s="786"/>
      <c r="F315" s="786"/>
      <c r="G315" s="786"/>
      <c r="J315" s="668" t="str">
        <f>Price_List_BA!J313</f>
        <v>1 litre</v>
      </c>
      <c r="L315" s="127">
        <f>Price_List_BA!L313</f>
        <v>0</v>
      </c>
    </row>
    <row r="316" spans="4:12" s="348" customFormat="1" ht="12.75" hidden="1" customHeight="1" outlineLevel="2" x14ac:dyDescent="0.2">
      <c r="D316" s="785" t="str">
        <f>Price_List_BA!D314</f>
        <v>Nystain (200mg) (UG)</v>
      </c>
      <c r="E316" s="786"/>
      <c r="F316" s="786"/>
      <c r="G316" s="786"/>
      <c r="J316" s="668" t="str">
        <f>Price_List_BA!J314</f>
        <v>tablet</v>
      </c>
      <c r="L316" s="127">
        <f>Price_List_BA!L314</f>
        <v>2.9588372855425638E-2</v>
      </c>
    </row>
    <row r="317" spans="4:12" s="348" customFormat="1" ht="12.75" hidden="1" customHeight="1" outlineLevel="2" x14ac:dyDescent="0.2">
      <c r="D317" s="785" t="str">
        <f>Price_List_BA!D315</f>
        <v>Ondansetron (IV) 4mg vials</v>
      </c>
      <c r="E317" s="786"/>
      <c r="F317" s="786"/>
      <c r="G317" s="786"/>
      <c r="J317" s="668" t="str">
        <f>Price_List_BA!J315</f>
        <v>SU</v>
      </c>
      <c r="L317" s="127">
        <f>Price_List_BA!L315</f>
        <v>0</v>
      </c>
    </row>
    <row r="318" spans="4:12" s="348" customFormat="1" hidden="1" outlineLevel="2" x14ac:dyDescent="0.2">
      <c r="D318" s="785" t="str">
        <f>Price_List_BA!D316</f>
        <v>Ondasetron (oral) (4mg tablets)</v>
      </c>
      <c r="E318" s="786"/>
      <c r="F318" s="786"/>
      <c r="G318" s="786"/>
      <c r="J318" s="668" t="str">
        <f>Price_List_BA!J316</f>
        <v>tablet</v>
      </c>
      <c r="L318" s="127">
        <f>Price_List_BA!L316</f>
        <v>9</v>
      </c>
    </row>
    <row r="319" spans="4:12" s="348" customFormat="1" ht="12.95" hidden="1" customHeight="1" outlineLevel="2" x14ac:dyDescent="0.2">
      <c r="D319" s="785" t="str">
        <f>Price_List_BA!D317</f>
        <v>Opiods - Pethidine (ZM)</v>
      </c>
      <c r="E319" s="786"/>
      <c r="F319" s="786"/>
      <c r="G319" s="786"/>
      <c r="J319" s="668" t="str">
        <f>Price_List_BA!J317</f>
        <v>SU</v>
      </c>
      <c r="L319" s="127">
        <f>Price_List_BA!L317</f>
        <v>0</v>
      </c>
    </row>
    <row r="320" spans="4:12" s="348" customFormat="1" ht="12.75" hidden="1" customHeight="1" outlineLevel="2" x14ac:dyDescent="0.2">
      <c r="D320" s="785" t="str">
        <f>Price_List_BA!D318</f>
        <v>Supplies Category 109</v>
      </c>
      <c r="E320" s="786"/>
      <c r="F320" s="786"/>
      <c r="G320" s="786"/>
      <c r="J320" s="668" t="str">
        <f>Price_List_BA!J318</f>
        <v>SU</v>
      </c>
      <c r="L320" s="127">
        <f>Price_List_BA!L318</f>
        <v>0</v>
      </c>
    </row>
    <row r="321" spans="4:12" s="348" customFormat="1" ht="12.95" hidden="1" customHeight="1" outlineLevel="2" x14ac:dyDescent="0.2">
      <c r="D321" s="785" t="str">
        <f>Price_List_BA!D319</f>
        <v>Oralpharyngeal airway (ZM)</v>
      </c>
      <c r="E321" s="786"/>
      <c r="F321" s="786"/>
      <c r="G321" s="786"/>
      <c r="J321" s="668" t="str">
        <f>Price_List_BA!J319</f>
        <v>SU</v>
      </c>
      <c r="L321" s="127">
        <f>Price_List_BA!L319</f>
        <v>0</v>
      </c>
    </row>
    <row r="322" spans="4:12" s="348" customFormat="1" ht="12.95" hidden="1" customHeight="1" outlineLevel="2" x14ac:dyDescent="0.2">
      <c r="D322" s="785" t="str">
        <f>Price_List_BA!D320</f>
        <v>Oxygen Mask (ZM)</v>
      </c>
      <c r="E322" s="786"/>
      <c r="F322" s="786"/>
      <c r="G322" s="786"/>
      <c r="J322" s="668" t="str">
        <f>Price_List_BA!J320</f>
        <v>SU</v>
      </c>
      <c r="L322" s="127">
        <f>Price_List_BA!L320</f>
        <v>0</v>
      </c>
    </row>
    <row r="323" spans="4:12" s="348" customFormat="1" ht="12.95" hidden="1" customHeight="1" outlineLevel="2" x14ac:dyDescent="0.2">
      <c r="D323" s="785" t="str">
        <f>Price_List_BA!D321</f>
        <v>Pancuronuien (ZM)</v>
      </c>
      <c r="E323" s="786"/>
      <c r="F323" s="786"/>
      <c r="G323" s="786"/>
      <c r="J323" s="668" t="str">
        <f>Price_List_BA!J321</f>
        <v>SU</v>
      </c>
      <c r="L323" s="127">
        <f>Price_List_BA!L321</f>
        <v>0</v>
      </c>
    </row>
    <row r="324" spans="4:12" s="348" customFormat="1" ht="12.95" hidden="1" customHeight="1" outlineLevel="2" x14ac:dyDescent="0.2">
      <c r="D324" s="785" t="str">
        <f>Price_List_BA!D322</f>
        <v>Paracetamol (1g) (UG)</v>
      </c>
      <c r="E324" s="786"/>
      <c r="F324" s="786"/>
      <c r="G324" s="786"/>
      <c r="J324" s="668" t="str">
        <f>Price_List_BA!J322</f>
        <v>tablet</v>
      </c>
      <c r="L324" s="127">
        <f>Price_List_BA!L322</f>
        <v>1.1203409463446619E-2</v>
      </c>
    </row>
    <row r="325" spans="4:12" s="348" customFormat="1" ht="12.95" hidden="1" customHeight="1" outlineLevel="2" x14ac:dyDescent="0.2">
      <c r="D325" s="785" t="str">
        <f>Price_List_BA!D323</f>
        <v>Paracetamol (500mg) (ZM)</v>
      </c>
      <c r="E325" s="786"/>
      <c r="F325" s="786"/>
      <c r="G325" s="786"/>
      <c r="J325" s="668" t="str">
        <f>Price_List_BA!J323</f>
        <v>tablet</v>
      </c>
      <c r="L325" s="127">
        <f>Price_List_BA!L323</f>
        <v>2.0888E-3</v>
      </c>
    </row>
    <row r="326" spans="4:12" s="348" customFormat="1" ht="12.95" hidden="1" customHeight="1" outlineLevel="2" x14ac:dyDescent="0.2">
      <c r="D326" s="785" t="str">
        <f>Price_List_BA!D324</f>
        <v>Paracetamol (500mg) (TZ)</v>
      </c>
      <c r="E326" s="786"/>
      <c r="F326" s="786"/>
      <c r="G326" s="786"/>
      <c r="J326" s="668" t="str">
        <f>Price_List_BA!J324</f>
        <v>one tablet</v>
      </c>
      <c r="L326" s="127">
        <f>Price_List_BA!L324</f>
        <v>4.5624999999999997E-3</v>
      </c>
    </row>
    <row r="327" spans="4:12" s="348" customFormat="1" ht="12.95" hidden="1" customHeight="1" outlineLevel="2" x14ac:dyDescent="0.2">
      <c r="D327" s="785" t="str">
        <f>Price_List_BA!D325</f>
        <v>Paracetamol (500mg) (UG)</v>
      </c>
      <c r="E327" s="786"/>
      <c r="F327" s="786"/>
      <c r="G327" s="786"/>
      <c r="J327" s="668" t="str">
        <f>Price_List_BA!J325</f>
        <v>tablet</v>
      </c>
      <c r="L327" s="127">
        <f>Price_List_BA!L325</f>
        <v>5.6017047317233094E-3</v>
      </c>
    </row>
    <row r="328" spans="4:12" s="348" customFormat="1" ht="12.95" hidden="1" customHeight="1" outlineLevel="2" x14ac:dyDescent="0.2">
      <c r="D328" s="785" t="str">
        <f>Price_List_BA!D326</f>
        <v>Pathology form (TZ)</v>
      </c>
      <c r="E328" s="786"/>
      <c r="F328" s="786"/>
      <c r="G328" s="786"/>
      <c r="J328" s="668">
        <f>Price_List_BA!J326</f>
        <v>1</v>
      </c>
      <c r="L328" s="127">
        <f>Price_List_BA!L326</f>
        <v>0.31</v>
      </c>
    </row>
    <row r="329" spans="4:12" s="348" customFormat="1" ht="12.95" hidden="1" customHeight="1" outlineLevel="2" x14ac:dyDescent="0.2">
      <c r="D329" s="785" t="str">
        <f>Price_List_BA!D327</f>
        <v>Patient card (TZ)</v>
      </c>
      <c r="E329" s="786"/>
      <c r="F329" s="786"/>
      <c r="G329" s="786"/>
      <c r="J329" s="668" t="str">
        <f>Price_List_BA!J327</f>
        <v>card</v>
      </c>
      <c r="L329" s="127">
        <f>Price_List_BA!L327</f>
        <v>0.625</v>
      </c>
    </row>
    <row r="330" spans="4:12" s="348" customFormat="1" ht="12.95" hidden="1" customHeight="1" outlineLevel="2" x14ac:dyDescent="0.2">
      <c r="D330" s="785" t="str">
        <f>Price_List_BA!D328</f>
        <v>Pencil (TZ)</v>
      </c>
      <c r="E330" s="786"/>
      <c r="F330" s="786"/>
      <c r="G330" s="786"/>
      <c r="J330" s="668" t="str">
        <f>Price_List_BA!J328</f>
        <v>each</v>
      </c>
      <c r="L330" s="127">
        <f>Price_List_BA!L328</f>
        <v>0.1875</v>
      </c>
    </row>
    <row r="331" spans="4:12" s="348" customFormat="1" ht="12.95" hidden="1" customHeight="1" outlineLevel="2" x14ac:dyDescent="0.2">
      <c r="D331" s="785" t="str">
        <f>Price_List_BA!D329</f>
        <v>Perthodine (TZ)</v>
      </c>
      <c r="E331" s="786"/>
      <c r="F331" s="786"/>
      <c r="G331" s="786"/>
      <c r="J331" s="668" t="str">
        <f>Price_List_BA!J329</f>
        <v>100ml vial</v>
      </c>
      <c r="L331" s="127">
        <f>Price_List_BA!L329</f>
        <v>0.5625</v>
      </c>
    </row>
    <row r="332" spans="4:12" s="348" customFormat="1" ht="12.95" hidden="1" customHeight="1" outlineLevel="2" x14ac:dyDescent="0.2">
      <c r="D332" s="785" t="str">
        <f>Price_List_BA!D330</f>
        <v>Pipette Tips (TZ)</v>
      </c>
      <c r="E332" s="786"/>
      <c r="F332" s="786"/>
      <c r="G332" s="786"/>
      <c r="J332" s="668">
        <f>Price_List_BA!J330</f>
        <v>1</v>
      </c>
      <c r="L332" s="127">
        <f>Price_List_BA!L330</f>
        <v>9.3749999999999997E-3</v>
      </c>
    </row>
    <row r="333" spans="4:12" s="348" customFormat="1" ht="12.75" hidden="1" customHeight="1" outlineLevel="2" x14ac:dyDescent="0.2">
      <c r="D333" s="785" t="str">
        <f>Price_List_BA!D331</f>
        <v>Pipette, Fixed, 50 microlitre (TZ)</v>
      </c>
      <c r="E333" s="786"/>
      <c r="F333" s="786"/>
      <c r="G333" s="786"/>
      <c r="J333" s="668" t="str">
        <f>Price_List_BA!J331</f>
        <v>1 use</v>
      </c>
      <c r="L333" s="127">
        <f>Price_List_BA!L331</f>
        <v>7.4999999999999997E-2</v>
      </c>
    </row>
    <row r="334" spans="4:12" s="348" customFormat="1" ht="12.75" hidden="1" customHeight="1" outlineLevel="2" x14ac:dyDescent="0.2">
      <c r="D334" s="785" t="str">
        <f>Price_List_BA!D332</f>
        <v>Pipette, Repeater (TZ)</v>
      </c>
      <c r="E334" s="786"/>
      <c r="F334" s="786"/>
      <c r="G334" s="786"/>
      <c r="J334" s="668" t="str">
        <f>Price_List_BA!J332</f>
        <v>1 use</v>
      </c>
      <c r="L334" s="127">
        <f>Price_List_BA!L332</f>
        <v>6.2500000000000003E-3</v>
      </c>
    </row>
    <row r="335" spans="4:12" s="348" customFormat="1" ht="12.75" hidden="1" customHeight="1" outlineLevel="2" x14ac:dyDescent="0.2">
      <c r="D335" s="785" t="str">
        <f>Price_List_BA!D333</f>
        <v>Pregnancy test– urine test strip (ZM)</v>
      </c>
      <c r="E335" s="786"/>
      <c r="F335" s="786"/>
      <c r="G335" s="786"/>
      <c r="J335" s="668" t="str">
        <f>Price_List_BA!J333</f>
        <v>test</v>
      </c>
      <c r="L335" s="127">
        <f>Price_List_BA!L333</f>
        <v>0.14374900000000002</v>
      </c>
    </row>
    <row r="336" spans="4:12" s="348" customFormat="1" ht="12.75" hidden="1" customHeight="1" outlineLevel="2" x14ac:dyDescent="0.2">
      <c r="D336" s="785" t="str">
        <f>Price_List_BA!D334</f>
        <v>Pregnancy tests – urine test strips (TZ)</v>
      </c>
      <c r="E336" s="786"/>
      <c r="F336" s="786"/>
      <c r="G336" s="786"/>
      <c r="J336" s="668" t="str">
        <f>Price_List_BA!J334</f>
        <v>one strip</v>
      </c>
      <c r="L336" s="127">
        <f>Price_List_BA!L334</f>
        <v>0.15</v>
      </c>
    </row>
    <row r="337" spans="4:12" s="348" customFormat="1" ht="12.75" hidden="1" customHeight="1" outlineLevel="2" x14ac:dyDescent="0.2">
      <c r="D337" s="785" t="str">
        <f>Price_List_BA!D335</f>
        <v>Profol, 2%, 20 mg/l, 50ml (ZM)</v>
      </c>
      <c r="E337" s="786"/>
      <c r="F337" s="786"/>
      <c r="G337" s="786"/>
      <c r="J337" s="668" t="str">
        <f>Price_List_BA!J335</f>
        <v>SU</v>
      </c>
      <c r="L337" s="127">
        <f>Price_List_BA!L335</f>
        <v>0</v>
      </c>
    </row>
    <row r="338" spans="4:12" s="348" customFormat="1" ht="12.75" hidden="1" customHeight="1" outlineLevel="2" x14ac:dyDescent="0.2">
      <c r="D338" s="785" t="str">
        <f>Price_List_BA!D336</f>
        <v>Repeater Tips (TZ)</v>
      </c>
      <c r="E338" s="786"/>
      <c r="F338" s="786"/>
      <c r="G338" s="786"/>
      <c r="J338" s="668">
        <f>Price_List_BA!J336</f>
        <v>1</v>
      </c>
      <c r="L338" s="127">
        <f>Price_List_BA!L336</f>
        <v>9.3749999999999997E-3</v>
      </c>
    </row>
    <row r="339" spans="4:12" s="348" customFormat="1" ht="12.75" hidden="1" customHeight="1" outlineLevel="2" x14ac:dyDescent="0.2">
      <c r="D339" s="785" t="str">
        <f>Price_List_BA!D337</f>
        <v>Return electrode (UG)</v>
      </c>
      <c r="E339" s="786"/>
      <c r="F339" s="786"/>
      <c r="G339" s="786"/>
      <c r="J339" s="668" t="str">
        <f>Price_List_BA!J337</f>
        <v>piece</v>
      </c>
      <c r="L339" s="127">
        <f>Price_List_BA!L337</f>
        <v>9</v>
      </c>
    </row>
    <row r="340" spans="4:12" s="348" customFormat="1" ht="12.75" hidden="1" customHeight="1" outlineLevel="2" x14ac:dyDescent="0.2">
      <c r="D340" s="785" t="str">
        <f>Price_List_BA!D338</f>
        <v>Saline solution, normal (ZM)</v>
      </c>
      <c r="E340" s="786"/>
      <c r="F340" s="786"/>
      <c r="G340" s="786"/>
      <c r="J340" s="668" t="str">
        <f>Price_List_BA!J338</f>
        <v>bag</v>
      </c>
      <c r="L340" s="127">
        <f>Price_List_BA!L338</f>
        <v>0.8224583333333334</v>
      </c>
    </row>
    <row r="341" spans="4:12" s="348" customFormat="1" ht="12.75" hidden="1" customHeight="1" outlineLevel="2" x14ac:dyDescent="0.2">
      <c r="D341" s="785" t="str">
        <f>Price_List_BA!D339</f>
        <v>Saline solution, normal (TZ)</v>
      </c>
      <c r="E341" s="786"/>
      <c r="F341" s="786"/>
      <c r="G341" s="786"/>
      <c r="J341" s="668" t="str">
        <f>Price_List_BA!J339</f>
        <v>mililiter</v>
      </c>
      <c r="L341" s="127">
        <f>Price_List_BA!L339</f>
        <v>1.8749999999999999E-3</v>
      </c>
    </row>
    <row r="342" spans="4:12" s="348" customFormat="1" ht="12.75" hidden="1" customHeight="1" outlineLevel="2" x14ac:dyDescent="0.2">
      <c r="D342" s="785" t="str">
        <f>Price_List_BA!D340</f>
        <v>Sanitary pad (ZM)</v>
      </c>
      <c r="E342" s="786"/>
      <c r="F342" s="786"/>
      <c r="G342" s="786"/>
      <c r="J342" s="668" t="str">
        <f>Price_List_BA!J340</f>
        <v>pad</v>
      </c>
      <c r="L342" s="127">
        <f>Price_List_BA!L340</f>
        <v>0.191</v>
      </c>
    </row>
    <row r="343" spans="4:12" s="348" customFormat="1" ht="12.75" hidden="1" customHeight="1" outlineLevel="2" x14ac:dyDescent="0.2">
      <c r="D343" s="785" t="str">
        <f>Price_List_BA!D341</f>
        <v>Sanitary pad (UG)</v>
      </c>
      <c r="E343" s="786"/>
      <c r="F343" s="786"/>
      <c r="G343" s="786"/>
      <c r="J343" s="668" t="str">
        <f>Price_List_BA!J341</f>
        <v>piece</v>
      </c>
      <c r="L343" s="127">
        <f>Price_List_BA!L341</f>
        <v>1.3890406634369043E-2</v>
      </c>
    </row>
    <row r="344" spans="4:12" s="348" customFormat="1" ht="12.75" hidden="1" customHeight="1" outlineLevel="2" x14ac:dyDescent="0.2">
      <c r="D344" s="785" t="str">
        <f>Price_List_BA!D342</f>
        <v>Scouring Powder (Ajax)</v>
      </c>
      <c r="E344" s="786"/>
      <c r="F344" s="786"/>
      <c r="G344" s="786"/>
      <c r="J344" s="668" t="str">
        <f>Price_List_BA!J342</f>
        <v>1 gram</v>
      </c>
      <c r="L344" s="127">
        <f>Price_List_BA!L342</f>
        <v>2.6199999999999999E-3</v>
      </c>
    </row>
    <row r="345" spans="4:12" s="348" customFormat="1" ht="12.75" hidden="1" customHeight="1" outlineLevel="2" x14ac:dyDescent="0.2">
      <c r="D345" s="785" t="str">
        <f>Price_List_BA!D343</f>
        <v>Soap (or hand sanitizer) (ZM)</v>
      </c>
      <c r="E345" s="786"/>
      <c r="F345" s="786"/>
      <c r="G345" s="786"/>
      <c r="J345" s="668" t="str">
        <f>Price_List_BA!J343</f>
        <v>uses</v>
      </c>
      <c r="L345" s="127">
        <f>Price_List_BA!L343</f>
        <v>5.5999999999999999E-3</v>
      </c>
    </row>
    <row r="346" spans="4:12" s="348" customFormat="1" ht="12.75" hidden="1" customHeight="1" outlineLevel="2" x14ac:dyDescent="0.2">
      <c r="D346" s="785" t="str">
        <f>Price_List_BA!D344</f>
        <v>Soap (or hand sanitizer) (TZ)</v>
      </c>
      <c r="E346" s="786"/>
      <c r="F346" s="786"/>
      <c r="G346" s="786"/>
      <c r="J346" s="668" t="str">
        <f>Price_List_BA!J344</f>
        <v>1/25th</v>
      </c>
      <c r="L346" s="127">
        <f>Price_List_BA!L344</f>
        <v>2.75E-2</v>
      </c>
    </row>
    <row r="347" spans="4:12" s="348" customFormat="1" ht="12.75" hidden="1" customHeight="1" outlineLevel="2" x14ac:dyDescent="0.2">
      <c r="D347" s="785" t="str">
        <f>Price_List_BA!D345</f>
        <v>Specimen bottle / recyled syringe bottles (UG)</v>
      </c>
      <c r="E347" s="786"/>
      <c r="F347" s="786"/>
      <c r="G347" s="786"/>
      <c r="J347" s="668" t="str">
        <f>Price_List_BA!J345</f>
        <v>piece</v>
      </c>
      <c r="L347" s="127">
        <f>Price_List_BA!L345</f>
        <v>0.32350000000000001</v>
      </c>
    </row>
    <row r="348" spans="4:12" s="348" customFormat="1" ht="12.75" hidden="1" customHeight="1" outlineLevel="2" x14ac:dyDescent="0.2">
      <c r="D348" s="785" t="str">
        <f>Price_List_BA!D346</f>
        <v>Specimen cup with lid and label - 100 cc (TZ)</v>
      </c>
      <c r="E348" s="786"/>
      <c r="F348" s="786"/>
      <c r="G348" s="786"/>
      <c r="J348" s="668" t="str">
        <f>Price_List_BA!J346</f>
        <v>cup with lid</v>
      </c>
      <c r="L348" s="127">
        <f>Price_List_BA!L346</f>
        <v>6.25E-2</v>
      </c>
    </row>
    <row r="349" spans="4:12" s="348" customFormat="1" ht="12.75" hidden="1" customHeight="1" outlineLevel="2" x14ac:dyDescent="0.2">
      <c r="D349" s="785" t="str">
        <f>Price_List_BA!D347</f>
        <v>Surgical Apron (ZM)</v>
      </c>
      <c r="E349" s="786"/>
      <c r="F349" s="786"/>
      <c r="G349" s="786"/>
      <c r="J349" s="668" t="str">
        <f>Price_List_BA!J347</f>
        <v>apron</v>
      </c>
      <c r="L349" s="127">
        <f>Price_List_BA!L347</f>
        <v>0.10705000000000001</v>
      </c>
    </row>
    <row r="350" spans="4:12" s="348" customFormat="1" ht="12.75" hidden="1" customHeight="1" outlineLevel="2" x14ac:dyDescent="0.2">
      <c r="D350" s="785" t="str">
        <f>Price_List_BA!D348</f>
        <v>Suxamethonium (ZM)</v>
      </c>
      <c r="E350" s="786"/>
      <c r="F350" s="786"/>
      <c r="G350" s="786"/>
      <c r="J350" s="668" t="str">
        <f>Price_List_BA!J348</f>
        <v>SU</v>
      </c>
      <c r="L350" s="127">
        <f>Price_List_BA!L348</f>
        <v>0</v>
      </c>
    </row>
    <row r="351" spans="4:12" s="348" customFormat="1" ht="12.75" hidden="1" customHeight="1" outlineLevel="2" x14ac:dyDescent="0.2">
      <c r="D351" s="785" t="str">
        <f>Price_List_BA!D349</f>
        <v>Syringe - 2cc (ZM)</v>
      </c>
      <c r="E351" s="786"/>
      <c r="F351" s="786"/>
      <c r="G351" s="786"/>
      <c r="J351" s="668" t="str">
        <f>Price_List_BA!J349</f>
        <v>syringe</v>
      </c>
      <c r="L351" s="127">
        <f>Price_List_BA!L349</f>
        <v>1.9598999999999998E-2</v>
      </c>
    </row>
    <row r="352" spans="4:12" s="348" customFormat="1" ht="12.75" hidden="1" customHeight="1" outlineLevel="2" x14ac:dyDescent="0.2">
      <c r="D352" s="785" t="str">
        <f>Price_List_BA!D350</f>
        <v>Syringe - 2ml (UG)</v>
      </c>
      <c r="E352" s="786"/>
      <c r="F352" s="786"/>
      <c r="G352" s="786"/>
      <c r="J352" s="668" t="str">
        <f>Price_List_BA!J350</f>
        <v>syringe</v>
      </c>
      <c r="L352" s="127">
        <f>Price_List_BA!L350</f>
        <v>6.4910938695224574E-2</v>
      </c>
    </row>
    <row r="353" spans="4:12" s="348" customFormat="1" ht="12.75" hidden="1" customHeight="1" outlineLevel="2" x14ac:dyDescent="0.2">
      <c r="D353" s="785" t="str">
        <f>Price_List_BA!D351</f>
        <v>Syringe, 10 cc with needle (ZM)</v>
      </c>
      <c r="E353" s="786"/>
      <c r="F353" s="786"/>
      <c r="G353" s="786"/>
      <c r="J353" s="668" t="str">
        <f>Price_List_BA!J351</f>
        <v>syringe w/needle</v>
      </c>
      <c r="L353" s="127">
        <f>Price_List_BA!L351</f>
        <v>2.4021000000000001E-2</v>
      </c>
    </row>
    <row r="354" spans="4:12" s="348" customFormat="1" ht="12.75" hidden="1" customHeight="1" outlineLevel="2" x14ac:dyDescent="0.2">
      <c r="D354" s="785" t="str">
        <f>Price_List_BA!D352</f>
        <v>Syringe, 5 cc with needle (ZM)</v>
      </c>
      <c r="E354" s="786"/>
      <c r="F354" s="786"/>
      <c r="G354" s="786"/>
      <c r="J354" s="668" t="str">
        <f>Price_List_BA!J352</f>
        <v>syringe w/needle</v>
      </c>
      <c r="L354" s="127">
        <f>Price_List_BA!L352</f>
        <v>1.4752000000000001E-2</v>
      </c>
    </row>
    <row r="355" spans="4:12" s="348" customFormat="1" ht="12.75" hidden="1" customHeight="1" outlineLevel="2" x14ac:dyDescent="0.2">
      <c r="D355" s="785" t="str">
        <f>Price_List_BA!D353</f>
        <v>Syringes, 10 cc with needle (TZ)</v>
      </c>
      <c r="E355" s="786"/>
      <c r="F355" s="786"/>
      <c r="G355" s="786"/>
      <c r="J355" s="668" t="str">
        <f>Price_List_BA!J353</f>
        <v>one piece</v>
      </c>
      <c r="L355" s="127">
        <f>Price_List_BA!L353</f>
        <v>6.25E-2</v>
      </c>
    </row>
    <row r="356" spans="4:12" s="348" customFormat="1" ht="12.75" hidden="1" customHeight="1" outlineLevel="2" x14ac:dyDescent="0.2">
      <c r="D356" s="785" t="str">
        <f>Price_List_BA!D354</f>
        <v>Syringes, 5 cc with needle (TZ)</v>
      </c>
      <c r="E356" s="786"/>
      <c r="F356" s="786"/>
      <c r="G356" s="786"/>
      <c r="J356" s="668" t="str">
        <f>Price_List_BA!J354</f>
        <v>1 syringe with needle</v>
      </c>
      <c r="L356" s="127">
        <f>Price_List_BA!L354</f>
        <v>4.3749999999999997E-2</v>
      </c>
    </row>
    <row r="357" spans="4:12" s="348" customFormat="1" ht="12.75" hidden="1" customHeight="1" outlineLevel="2" x14ac:dyDescent="0.2">
      <c r="D357" s="785" t="str">
        <f>Price_List_BA!D355</f>
        <v>Syringes, Dental, 25 gauge (ZM)</v>
      </c>
      <c r="E357" s="786"/>
      <c r="F357" s="786"/>
      <c r="G357" s="786"/>
      <c r="J357" s="668" t="str">
        <f>Price_List_BA!J355</f>
        <v>one syringe</v>
      </c>
      <c r="L357" s="127">
        <f>Price_List_BA!L355</f>
        <v>0.48200000000000004</v>
      </c>
    </row>
    <row r="358" spans="4:12" s="348" customFormat="1" ht="12.75" hidden="1" customHeight="1" outlineLevel="2" x14ac:dyDescent="0.2">
      <c r="D358" s="785" t="str">
        <f>Price_List_BA!D356</f>
        <v>Thiopentone,500mg vial (ZM)</v>
      </c>
      <c r="E358" s="786"/>
      <c r="F358" s="786"/>
      <c r="G358" s="786"/>
      <c r="J358" s="668" t="str">
        <f>Price_List_BA!J356</f>
        <v>SU</v>
      </c>
      <c r="L358" s="127">
        <f>Price_List_BA!L356</f>
        <v>0</v>
      </c>
    </row>
    <row r="359" spans="4:12" s="348" customFormat="1" ht="12.75" hidden="1" customHeight="1" outlineLevel="2" x14ac:dyDescent="0.2">
      <c r="D359" s="785" t="str">
        <f>Price_List_BA!D357</f>
        <v>Toilet Tissues (roll) – 500 sheets (ZM)</v>
      </c>
      <c r="E359" s="786"/>
      <c r="F359" s="786"/>
      <c r="G359" s="786"/>
      <c r="J359" s="668" t="str">
        <f>Price_List_BA!J357</f>
        <v>10 sheets</v>
      </c>
      <c r="L359" s="127">
        <f>Price_List_BA!L357</f>
        <v>8.4000000000000012E-3</v>
      </c>
    </row>
    <row r="360" spans="4:12" s="348" customFormat="1" ht="12.75" hidden="1" customHeight="1" outlineLevel="2" x14ac:dyDescent="0.2">
      <c r="D360" s="785" t="str">
        <f>Price_List_BA!D358</f>
        <v>Tramadol (50mg)  (ZM)</v>
      </c>
      <c r="E360" s="786"/>
      <c r="F360" s="786"/>
      <c r="G360" s="786"/>
      <c r="J360" s="668" t="str">
        <f>Price_List_BA!J358</f>
        <v>tablet</v>
      </c>
      <c r="L360" s="127">
        <f>Price_List_BA!L358</f>
        <v>1.0829E-2</v>
      </c>
    </row>
    <row r="361" spans="4:12" s="348" customFormat="1" ht="12.75" hidden="1" customHeight="1" outlineLevel="2" x14ac:dyDescent="0.2">
      <c r="D361" s="785" t="str">
        <f>Price_List_BA!D359</f>
        <v>Tramadol (50mg) (TZ)</v>
      </c>
      <c r="E361" s="786"/>
      <c r="F361" s="786"/>
      <c r="G361" s="786"/>
      <c r="J361" s="668" t="str">
        <f>Price_List_BA!J359</f>
        <v>one tablet</v>
      </c>
      <c r="L361" s="127">
        <f>Price_List_BA!L359</f>
        <v>5.7750000000000003E-2</v>
      </c>
    </row>
    <row r="362" spans="4:12" s="348" customFormat="1" ht="12.75" hidden="1" customHeight="1" outlineLevel="2" x14ac:dyDescent="0.2">
      <c r="D362" s="785" t="str">
        <f>Price_List_BA!D360</f>
        <v>Tubes - Endotrach (ZM)</v>
      </c>
      <c r="E362" s="786"/>
      <c r="F362" s="786"/>
      <c r="G362" s="786"/>
      <c r="J362" s="668" t="str">
        <f>Price_List_BA!J360</f>
        <v>SU</v>
      </c>
      <c r="L362" s="127">
        <f>Price_List_BA!L360</f>
        <v>0</v>
      </c>
    </row>
    <row r="363" spans="4:12" s="348" customFormat="1" ht="12.75" hidden="1" customHeight="1" outlineLevel="2" x14ac:dyDescent="0.2">
      <c r="D363" s="785" t="str">
        <f>Price_List_BA!D361</f>
        <v>Urine Bag (ZM)</v>
      </c>
      <c r="E363" s="786"/>
      <c r="F363" s="786"/>
      <c r="G363" s="786"/>
      <c r="J363" s="668" t="str">
        <f>Price_List_BA!J361</f>
        <v>bag</v>
      </c>
      <c r="L363" s="127">
        <f>Price_List_BA!L361</f>
        <v>0.25979099999999999</v>
      </c>
    </row>
    <row r="364" spans="4:12" s="348" customFormat="1" ht="12.75" hidden="1" customHeight="1" outlineLevel="2" x14ac:dyDescent="0.2">
      <c r="D364" s="785" t="str">
        <f>Price_List_BA!D362</f>
        <v>Urine Bag (TZ)</v>
      </c>
      <c r="E364" s="786"/>
      <c r="F364" s="786"/>
      <c r="G364" s="786"/>
      <c r="J364" s="668" t="str">
        <f>Price_List_BA!J362</f>
        <v>one bag</v>
      </c>
      <c r="L364" s="127">
        <f>Price_List_BA!L362</f>
        <v>0.21249999999999999</v>
      </c>
    </row>
    <row r="365" spans="4:12" s="348" customFormat="1" ht="12.75" hidden="1" customHeight="1" outlineLevel="2" x14ac:dyDescent="0.2">
      <c r="D365" s="785" t="str">
        <f>Price_List_BA!D363</f>
        <v>Washing powder (ZM)</v>
      </c>
      <c r="E365" s="786"/>
      <c r="F365" s="786"/>
      <c r="G365" s="786"/>
      <c r="J365" s="668" t="str">
        <f>Price_List_BA!J363</f>
        <v>gram</v>
      </c>
      <c r="L365" s="127">
        <f>Price_List_BA!L363</f>
        <v>3.0000000000000001E-3</v>
      </c>
    </row>
    <row r="366" spans="4:12" s="348" customFormat="1" ht="12.75" hidden="1" customHeight="1" outlineLevel="2" x14ac:dyDescent="0.2">
      <c r="D366" s="785" t="str">
        <f>Price_List_BA!D364</f>
        <v>Wire electrode (UG)</v>
      </c>
      <c r="E366" s="786"/>
      <c r="F366" s="786"/>
      <c r="G366" s="786"/>
      <c r="J366" s="668" t="str">
        <f>Price_List_BA!J364</f>
        <v>electrode</v>
      </c>
      <c r="L366" s="127">
        <f>Price_List_BA!L364</f>
        <v>9</v>
      </c>
    </row>
    <row r="367" spans="4:12" s="348" customFormat="1" ht="12.75" hidden="1" customHeight="1" outlineLevel="2" x14ac:dyDescent="0.2">
      <c r="D367" s="785" t="str">
        <f>Price_List_BA!D365</f>
        <v>Wood stick (ZM)</v>
      </c>
      <c r="E367" s="786"/>
      <c r="F367" s="786"/>
      <c r="G367" s="786"/>
      <c r="J367" s="668" t="str">
        <f>Price_List_BA!J365</f>
        <v>stick</v>
      </c>
      <c r="L367" s="127">
        <f>Price_List_BA!L365</f>
        <v>2.0052E-3</v>
      </c>
    </row>
    <row r="368" spans="4:12" s="348" customFormat="1" ht="12.75" hidden="1" customHeight="1" outlineLevel="2" x14ac:dyDescent="0.2">
      <c r="D368" s="785" t="str">
        <f>Price_List_BA!D366</f>
        <v>Wood stick (TZ)</v>
      </c>
      <c r="E368" s="786"/>
      <c r="F368" s="786"/>
      <c r="G368" s="786"/>
      <c r="J368" s="668" t="str">
        <f>Price_List_BA!J366</f>
        <v>one stick</v>
      </c>
      <c r="L368" s="127">
        <f>Price_List_BA!L366</f>
        <v>1.2500000000000001E-2</v>
      </c>
    </row>
    <row r="369" spans="4:12" s="348" customFormat="1" ht="12.75" hidden="1" customHeight="1" outlineLevel="2" x14ac:dyDescent="0.2">
      <c r="D369" s="785" t="str">
        <f>Price_List_BA!D367</f>
        <v>Supplies Category 158</v>
      </c>
      <c r="E369" s="786"/>
      <c r="F369" s="786"/>
      <c r="G369" s="786"/>
      <c r="J369" s="668" t="str">
        <f>Price_List_BA!J367</f>
        <v>SU</v>
      </c>
      <c r="L369" s="127">
        <f>Price_List_BA!L367</f>
        <v>0</v>
      </c>
    </row>
    <row r="370" spans="4:12" s="348" customFormat="1" ht="12.75" hidden="1" customHeight="1" outlineLevel="2" x14ac:dyDescent="0.2">
      <c r="D370" s="785" t="str">
        <f>Price_List_BA!D368</f>
        <v>Supplies Category 159</v>
      </c>
      <c r="E370" s="786"/>
      <c r="F370" s="786"/>
      <c r="G370" s="786"/>
      <c r="J370" s="668" t="str">
        <f>Price_List_BA!J368</f>
        <v>SU</v>
      </c>
      <c r="L370" s="127">
        <f>Price_List_BA!L368</f>
        <v>0</v>
      </c>
    </row>
    <row r="371" spans="4:12" s="348" customFormat="1" ht="12.75" hidden="1" customHeight="1" outlineLevel="2" x14ac:dyDescent="0.2">
      <c r="D371" s="785" t="str">
        <f>Price_List_BA!D369</f>
        <v>Supplies Category 160</v>
      </c>
      <c r="E371" s="786"/>
      <c r="F371" s="786"/>
      <c r="G371" s="786"/>
      <c r="J371" s="668" t="str">
        <f>Price_List_BA!J369</f>
        <v>SU</v>
      </c>
      <c r="L371" s="127">
        <f>Price_List_BA!L369</f>
        <v>0</v>
      </c>
    </row>
    <row r="372" spans="4:12" s="348" customFormat="1" ht="12.75" hidden="1" customHeight="1" outlineLevel="2" x14ac:dyDescent="0.2">
      <c r="D372" s="785" t="str">
        <f>Price_List_BA!D370</f>
        <v>Supplies Category 161</v>
      </c>
      <c r="E372" s="786"/>
      <c r="F372" s="786"/>
      <c r="G372" s="786"/>
      <c r="J372" s="668" t="str">
        <f>Price_List_BA!J370</f>
        <v>SU</v>
      </c>
      <c r="L372" s="127">
        <f>Price_List_BA!L370</f>
        <v>0</v>
      </c>
    </row>
    <row r="373" spans="4:12" s="348" customFormat="1" ht="12.75" hidden="1" customHeight="1" outlineLevel="2" x14ac:dyDescent="0.2">
      <c r="D373" s="785" t="str">
        <f>Price_List_BA!D371</f>
        <v>Supplies Category 162</v>
      </c>
      <c r="E373" s="786"/>
      <c r="F373" s="786"/>
      <c r="G373" s="786"/>
      <c r="J373" s="668" t="str">
        <f>Price_List_BA!J371</f>
        <v>SU</v>
      </c>
      <c r="L373" s="127">
        <f>Price_List_BA!L371</f>
        <v>0</v>
      </c>
    </row>
    <row r="374" spans="4:12" s="348" customFormat="1" ht="12.75" hidden="1" customHeight="1" outlineLevel="2" x14ac:dyDescent="0.2">
      <c r="D374" s="785" t="str">
        <f>Price_List_BA!D372</f>
        <v>Supplies Category 163</v>
      </c>
      <c r="E374" s="786"/>
      <c r="F374" s="786"/>
      <c r="G374" s="786"/>
      <c r="J374" s="668" t="str">
        <f>Price_List_BA!J372</f>
        <v>SU</v>
      </c>
      <c r="L374" s="127">
        <f>Price_List_BA!L372</f>
        <v>0</v>
      </c>
    </row>
    <row r="375" spans="4:12" s="348" customFormat="1" ht="12.75" hidden="1" customHeight="1" outlineLevel="2" x14ac:dyDescent="0.2">
      <c r="D375" s="785" t="str">
        <f>Price_List_BA!D373</f>
        <v>Other Supply (Specify)</v>
      </c>
      <c r="E375" s="786"/>
      <c r="F375" s="786"/>
      <c r="G375" s="786"/>
      <c r="J375" s="668" t="str">
        <f>Price_List_BA!J373</f>
        <v>SU</v>
      </c>
      <c r="L375" s="127">
        <f>Price_List_BA!L373</f>
        <v>0</v>
      </c>
    </row>
    <row r="376" spans="4:12" s="348" customFormat="1" ht="12.75" hidden="1" customHeight="1" outlineLevel="2" x14ac:dyDescent="0.2">
      <c r="D376" s="785" t="str">
        <f>Price_List_BA!D374</f>
        <v>Other Supply (Specify)</v>
      </c>
      <c r="E376" s="786"/>
      <c r="F376" s="786"/>
      <c r="G376" s="786"/>
      <c r="J376" s="668" t="str">
        <f>Price_List_BA!J374</f>
        <v>SU</v>
      </c>
      <c r="L376" s="127">
        <f>Price_List_BA!L374</f>
        <v>0</v>
      </c>
    </row>
    <row r="377" spans="4:12" s="348" customFormat="1" ht="12.75" hidden="1" customHeight="1" outlineLevel="2" x14ac:dyDescent="0.2">
      <c r="D377" s="785" t="str">
        <f>Price_List_BA!D375</f>
        <v>Other Supply (Specify)</v>
      </c>
      <c r="E377" s="786"/>
      <c r="F377" s="786"/>
      <c r="G377" s="786"/>
      <c r="J377" s="668" t="str">
        <f>Price_List_BA!J375</f>
        <v>SU</v>
      </c>
      <c r="L377" s="127">
        <f>Price_List_BA!L375</f>
        <v>0</v>
      </c>
    </row>
    <row r="378" spans="4:12" s="348" customFormat="1" ht="12.95" hidden="1" customHeight="1" outlineLevel="2" x14ac:dyDescent="0.2">
      <c r="D378" s="785" t="str">
        <f>Price_List_BA!D376</f>
        <v>Other Supply (Specify)</v>
      </c>
      <c r="E378" s="786"/>
      <c r="F378" s="786"/>
      <c r="G378" s="786"/>
      <c r="J378" s="668" t="str">
        <f>Price_List_BA!J376</f>
        <v>SU</v>
      </c>
      <c r="L378" s="127">
        <f>Price_List_BA!L376</f>
        <v>0</v>
      </c>
    </row>
    <row r="379" spans="4:12" s="348" customFormat="1" hidden="1" outlineLevel="2" collapsed="1" x14ac:dyDescent="0.2"/>
    <row r="380" spans="4:12" s="348" customFormat="1" ht="25.5" hidden="1" outlineLevel="2" x14ac:dyDescent="0.2">
      <c r="D380" s="667" t="s">
        <v>313</v>
      </c>
      <c r="J380" s="365" t="str">
        <f>"Cost per Unit ("&amp;$I$143&amp;"/Unit)"</f>
        <v>Cost per Unit (USD/Unit)</v>
      </c>
      <c r="K380" s="365" t="str">
        <f>"Annual Financial Cost ("&amp;$I$143&amp;"/Unit)"</f>
        <v>Annual Financial Cost (USD/Unit)</v>
      </c>
      <c r="L380" s="365" t="str">
        <f>"Annual Economic Cost ("&amp;$I$143&amp;"/Unit)"</f>
        <v>Annual Economic Cost (USD/Unit)</v>
      </c>
    </row>
    <row r="381" spans="4:12" s="348" customFormat="1" ht="12.95" hidden="1" customHeight="1" outlineLevel="2" x14ac:dyDescent="0.2">
      <c r="D381" s="785" t="str">
        <f>Price_List_BA!D84</f>
        <v>_Not Applicable</v>
      </c>
      <c r="E381" s="786"/>
      <c r="F381" s="786"/>
      <c r="G381" s="786"/>
      <c r="J381" s="665">
        <f>Price_List_BA!L84</f>
        <v>0</v>
      </c>
      <c r="K381" s="665">
        <f>Price_List_BA!O84</f>
        <v>0</v>
      </c>
      <c r="L381" s="665">
        <f>Price_List_BA!P84</f>
        <v>0</v>
      </c>
    </row>
    <row r="382" spans="4:12" s="348" customFormat="1" ht="12.95" hidden="1" customHeight="1" outlineLevel="2" x14ac:dyDescent="0.2">
      <c r="D382" s="785" t="str">
        <f>Price_List_BA!D85</f>
        <v>Aluminum pail with lid (TZ)</v>
      </c>
      <c r="E382" s="786"/>
      <c r="F382" s="786"/>
      <c r="G382" s="786"/>
      <c r="J382" s="665">
        <f>Price_List_BA!L85</f>
        <v>11.25</v>
      </c>
      <c r="K382" s="665">
        <f>Price_List_BA!O85</f>
        <v>1.125</v>
      </c>
      <c r="L382" s="665">
        <f>Price_List_BA!P85</f>
        <v>1.3188431993080456</v>
      </c>
    </row>
    <row r="383" spans="4:12" s="348" customFormat="1" ht="12.95" hidden="1" customHeight="1" outlineLevel="2" x14ac:dyDescent="0.2">
      <c r="D383" s="785" t="str">
        <f>Price_List_BA!D86</f>
        <v>Autoclaving Machine (ZM)</v>
      </c>
      <c r="E383" s="786"/>
      <c r="F383" s="786"/>
      <c r="G383" s="786"/>
      <c r="J383" s="665">
        <f>Price_List_BA!L86</f>
        <v>5610</v>
      </c>
      <c r="K383" s="665">
        <f>Price_List_BA!O86</f>
        <v>2805</v>
      </c>
      <c r="L383" s="665">
        <f>Price_List_BA!P86</f>
        <v>2931.8467980295582</v>
      </c>
    </row>
    <row r="384" spans="4:12" s="348" customFormat="1" hidden="1" outlineLevel="2" x14ac:dyDescent="0.2">
      <c r="D384" s="785" t="str">
        <f>Price_List_BA!D87</f>
        <v>Ball electrode  5mm/Ellman (ZM)</v>
      </c>
      <c r="E384" s="786"/>
      <c r="F384" s="786"/>
      <c r="G384" s="786"/>
      <c r="J384" s="665">
        <f>Price_List_BA!L87</f>
        <v>37.200000000000003</v>
      </c>
      <c r="K384" s="665">
        <f>Price_List_BA!O87</f>
        <v>37.200000000000003</v>
      </c>
      <c r="L384" s="665">
        <f>Price_List_BA!P87</f>
        <v>38.315999999999967</v>
      </c>
    </row>
    <row r="385" spans="4:12" s="348" customFormat="1" ht="12.95" hidden="1" customHeight="1" outlineLevel="2" x14ac:dyDescent="0.2">
      <c r="D385" s="785" t="str">
        <f>Price_List_BA!D88</f>
        <v>Basin (for examination couch) (ZM)</v>
      </c>
      <c r="E385" s="786"/>
      <c r="F385" s="786"/>
      <c r="G385" s="786"/>
      <c r="J385" s="665">
        <f>Price_List_BA!L88</f>
        <v>2</v>
      </c>
      <c r="K385" s="665">
        <f>Price_List_BA!O88</f>
        <v>1</v>
      </c>
      <c r="L385" s="665">
        <f>Price_List_BA!P88</f>
        <v>1.0452216748768479</v>
      </c>
    </row>
    <row r="386" spans="4:12" s="348" customFormat="1" ht="12.95" hidden="1" customHeight="1" outlineLevel="2" x14ac:dyDescent="0.2">
      <c r="D386" s="785" t="str">
        <f>Price_List_BA!D89</f>
        <v>Battery Charger (ZM)</v>
      </c>
      <c r="E386" s="786"/>
      <c r="F386" s="786"/>
      <c r="G386" s="786"/>
      <c r="J386" s="665">
        <f>Price_List_BA!L89</f>
        <v>50</v>
      </c>
      <c r="K386" s="665">
        <f>Price_List_BA!O89</f>
        <v>16.666666666666668</v>
      </c>
      <c r="L386" s="665">
        <f>Price_List_BA!P89</f>
        <v>17.676518166229901</v>
      </c>
    </row>
    <row r="387" spans="4:12" s="348" customFormat="1" ht="12.95" hidden="1" customHeight="1" outlineLevel="2" x14ac:dyDescent="0.2">
      <c r="D387" s="785" t="str">
        <f>Price_List_BA!D90</f>
        <v>Bucket (UG)</v>
      </c>
      <c r="E387" s="786"/>
      <c r="F387" s="786"/>
      <c r="G387" s="786"/>
      <c r="J387" s="665">
        <f>Price_List_BA!L90</f>
        <v>42.303199999999997</v>
      </c>
      <c r="K387" s="665">
        <f>Price_List_BA!O90</f>
        <v>4.2303199999999999</v>
      </c>
      <c r="L387" s="665">
        <f>Price_List_BA!P90</f>
        <v>4.9592255670193879</v>
      </c>
    </row>
    <row r="388" spans="4:12" s="348" customFormat="1" ht="12.95" hidden="1" customHeight="1" outlineLevel="2" x14ac:dyDescent="0.2">
      <c r="D388" s="785" t="str">
        <f>Price_List_BA!D91</f>
        <v>Bucket 20Lt plastic with lid (ZM)</v>
      </c>
      <c r="E388" s="786"/>
      <c r="F388" s="786"/>
      <c r="G388" s="786"/>
      <c r="J388" s="665">
        <f>Price_List_BA!L91</f>
        <v>4</v>
      </c>
      <c r="K388" s="665">
        <f>Price_List_BA!O91</f>
        <v>0.8</v>
      </c>
      <c r="L388" s="665">
        <f>Price_List_BA!P91</f>
        <v>0.87341828560230483</v>
      </c>
    </row>
    <row r="389" spans="4:12" s="348" customFormat="1" ht="12.95" hidden="1" customHeight="1" outlineLevel="2" x14ac:dyDescent="0.2">
      <c r="D389" s="785" t="str">
        <f>Price_List_BA!D92</f>
        <v>Camera Rechargeable batteries ( set of 6) (ZM)</v>
      </c>
      <c r="E389" s="786"/>
      <c r="F389" s="786"/>
      <c r="G389" s="786"/>
      <c r="J389" s="665">
        <f>Price_List_BA!L92</f>
        <v>20</v>
      </c>
      <c r="K389" s="665">
        <f>Price_List_BA!O92</f>
        <v>2</v>
      </c>
      <c r="L389" s="665">
        <f>Price_List_BA!P92</f>
        <v>2.3446101321031922</v>
      </c>
    </row>
    <row r="390" spans="4:12" s="348" customFormat="1" ht="12.95" hidden="1" customHeight="1" outlineLevel="2" x14ac:dyDescent="0.2">
      <c r="D390" s="785" t="str">
        <f>Price_List_BA!D93</f>
        <v>Card Reader (ZM)</v>
      </c>
      <c r="E390" s="786"/>
      <c r="F390" s="786"/>
      <c r="G390" s="786"/>
      <c r="J390" s="665">
        <f>Price_List_BA!L93</f>
        <v>40</v>
      </c>
      <c r="K390" s="665">
        <f>Price_List_BA!O93</f>
        <v>20</v>
      </c>
      <c r="L390" s="665">
        <f>Price_List_BA!P93</f>
        <v>20.904433497536957</v>
      </c>
    </row>
    <row r="391" spans="4:12" s="348" customFormat="1" ht="12.95" hidden="1" customHeight="1" outlineLevel="2" x14ac:dyDescent="0.2">
      <c r="D391" s="785" t="str">
        <f>Price_List_BA!D94</f>
        <v>CareHPV Machine (kit set) (ZM)</v>
      </c>
      <c r="E391" s="786"/>
      <c r="F391" s="786"/>
      <c r="G391" s="786"/>
      <c r="J391" s="665">
        <f>Price_List_BA!L94</f>
        <v>150</v>
      </c>
      <c r="K391" s="665">
        <f>Price_List_BA!O94</f>
        <v>16.666666666666668</v>
      </c>
      <c r="L391" s="665">
        <f>Price_List_BA!P94</f>
        <v>19.265078552715515</v>
      </c>
    </row>
    <row r="392" spans="4:12" s="348" customFormat="1" ht="12.95" hidden="1" customHeight="1" outlineLevel="2" x14ac:dyDescent="0.2">
      <c r="D392" s="785" t="str">
        <f>Price_List_BA!D95</f>
        <v>CareHPV Machine (kit)  (TZ)</v>
      </c>
      <c r="E392" s="786"/>
      <c r="F392" s="786"/>
      <c r="G392" s="786"/>
      <c r="J392" s="665">
        <f>Price_List_BA!L95</f>
        <v>1000</v>
      </c>
      <c r="K392" s="665">
        <f>Price_List_BA!O95</f>
        <v>500</v>
      </c>
      <c r="L392" s="665">
        <f>Price_List_BA!P95</f>
        <v>522.61083743842391</v>
      </c>
    </row>
    <row r="393" spans="4:12" s="348" customFormat="1" ht="12.95" hidden="1" customHeight="1" outlineLevel="2" x14ac:dyDescent="0.2">
      <c r="D393" s="785" t="str">
        <f>Price_List_BA!D96</f>
        <v>Cauterizer (ZM)</v>
      </c>
      <c r="E393" s="786"/>
      <c r="F393" s="786"/>
      <c r="G393" s="786"/>
      <c r="J393" s="665">
        <f>Price_List_BA!L96</f>
        <v>100</v>
      </c>
      <c r="K393" s="665">
        <f>Price_List_BA!O96</f>
        <v>10</v>
      </c>
      <c r="L393" s="665">
        <f>Price_List_BA!P96</f>
        <v>11.723050660515961</v>
      </c>
    </row>
    <row r="394" spans="4:12" s="348" customFormat="1" ht="12.95" hidden="1" customHeight="1" outlineLevel="2" x14ac:dyDescent="0.2">
      <c r="D394" s="785" t="str">
        <f>Price_List_BA!D97</f>
        <v>Cauterizer  (TZ)</v>
      </c>
      <c r="E394" s="786"/>
      <c r="F394" s="786"/>
      <c r="G394" s="786"/>
      <c r="J394" s="665">
        <f>Price_List_BA!L97</f>
        <v>18.75</v>
      </c>
      <c r="K394" s="665">
        <f>Price_List_BA!O97</f>
        <v>3.75</v>
      </c>
      <c r="L394" s="665">
        <f>Price_List_BA!P97</f>
        <v>4.0941482137608034</v>
      </c>
    </row>
    <row r="395" spans="4:12" s="348" customFormat="1" hidden="1" outlineLevel="2" x14ac:dyDescent="0.2">
      <c r="D395" s="785" t="str">
        <f>Price_List_BA!D98</f>
        <v>Cervical Cold Coagulator with Instrument Cable and Therapy Probe (ZM)</v>
      </c>
      <c r="E395" s="786"/>
      <c r="F395" s="786"/>
      <c r="G395" s="786"/>
      <c r="J395" s="665">
        <f>Price_List_BA!L98</f>
        <v>2367</v>
      </c>
      <c r="K395" s="665">
        <f>Price_List_BA!O98</f>
        <v>473.4</v>
      </c>
      <c r="L395" s="665">
        <f>Price_List_BA!P98</f>
        <v>516.84527050516385</v>
      </c>
    </row>
    <row r="396" spans="4:12" s="348" customFormat="1" ht="12.95" hidden="1" customHeight="1" outlineLevel="2" x14ac:dyDescent="0.2">
      <c r="D396" s="785" t="str">
        <f>Price_List_BA!D99</f>
        <v>Chair (ZM)</v>
      </c>
      <c r="E396" s="786"/>
      <c r="F396" s="786"/>
      <c r="G396" s="786"/>
      <c r="J396" s="665">
        <f>Price_List_BA!L99</f>
        <v>80</v>
      </c>
      <c r="K396" s="665">
        <f>Price_List_BA!O99</f>
        <v>20</v>
      </c>
      <c r="L396" s="665">
        <f>Price_List_BA!P99</f>
        <v>21.522163615446605</v>
      </c>
    </row>
    <row r="397" spans="4:12" s="348" customFormat="1" ht="12.95" hidden="1" customHeight="1" outlineLevel="2" x14ac:dyDescent="0.2">
      <c r="D397" s="785" t="str">
        <f>Price_List_BA!D100</f>
        <v>Cheetal forceps (UG)</v>
      </c>
      <c r="E397" s="786"/>
      <c r="F397" s="786"/>
      <c r="G397" s="786"/>
      <c r="J397" s="665">
        <f>Price_List_BA!L100</f>
        <v>8.1560000000000006</v>
      </c>
      <c r="K397" s="665">
        <f>Price_List_BA!O100</f>
        <v>4.0780000000000003</v>
      </c>
      <c r="L397" s="665">
        <f>Price_List_BA!P100</f>
        <v>4.2624139901477864</v>
      </c>
    </row>
    <row r="398" spans="4:12" s="348" customFormat="1" ht="12.95" hidden="1" customHeight="1" outlineLevel="2" x14ac:dyDescent="0.2">
      <c r="D398" s="785" t="str">
        <f>Price_List_BA!D101</f>
        <v>Colposcope (set) (ZM)</v>
      </c>
      <c r="E398" s="786"/>
      <c r="F398" s="786"/>
      <c r="G398" s="786"/>
      <c r="J398" s="665">
        <f>Price_List_BA!L101</f>
        <v>10000</v>
      </c>
      <c r="K398" s="665">
        <f>Price_List_BA!O101</f>
        <v>1428.5714285714287</v>
      </c>
      <c r="L398" s="665">
        <f>Price_List_BA!P101</f>
        <v>1605.0635375427203</v>
      </c>
    </row>
    <row r="399" spans="4:12" s="348" customFormat="1" ht="12.95" hidden="1" customHeight="1" outlineLevel="2" x14ac:dyDescent="0.2">
      <c r="D399" s="785" t="str">
        <f>Price_List_BA!D102</f>
        <v>Colposcope (UG)</v>
      </c>
      <c r="E399" s="786"/>
      <c r="F399" s="786"/>
      <c r="G399" s="786"/>
      <c r="J399" s="665">
        <f>Price_List_BA!L102</f>
        <v>3100</v>
      </c>
      <c r="K399" s="665">
        <f>Price_List_BA!O102</f>
        <v>620</v>
      </c>
      <c r="L399" s="665">
        <f>Price_List_BA!P102</f>
        <v>676.8991713417862</v>
      </c>
    </row>
    <row r="400" spans="4:12" s="348" customFormat="1" ht="12.95" hidden="1" customHeight="1" outlineLevel="2" x14ac:dyDescent="0.2">
      <c r="D400" s="785" t="str">
        <f>Price_List_BA!D103</f>
        <v>Colposcopy equipment (TZ)</v>
      </c>
      <c r="E400" s="786"/>
      <c r="F400" s="786"/>
      <c r="G400" s="786"/>
      <c r="J400" s="665">
        <f>Price_List_BA!L103</f>
        <v>6250</v>
      </c>
      <c r="K400" s="665">
        <f>Price_List_BA!O103</f>
        <v>625</v>
      </c>
      <c r="L400" s="665">
        <f>Price_List_BA!P103</f>
        <v>732.69066628224755</v>
      </c>
    </row>
    <row r="401" spans="4:12" s="348" customFormat="1" ht="12.95" hidden="1" customHeight="1" outlineLevel="2" x14ac:dyDescent="0.2">
      <c r="D401" s="785" t="str">
        <f>Price_List_BA!D104</f>
        <v>Cryotherapy unit (UG)</v>
      </c>
      <c r="E401" s="786"/>
      <c r="F401" s="786"/>
      <c r="G401" s="786"/>
      <c r="J401" s="665">
        <f>Price_List_BA!L104</f>
        <v>1091</v>
      </c>
      <c r="K401" s="665">
        <f>Price_List_BA!O104</f>
        <v>218.2</v>
      </c>
      <c r="L401" s="665">
        <f>Price_List_BA!P104</f>
        <v>238.22483739802863</v>
      </c>
    </row>
    <row r="402" spans="4:12" s="348" customFormat="1" ht="12.95" hidden="1" customHeight="1" outlineLevel="2" x14ac:dyDescent="0.2">
      <c r="D402" s="785" t="str">
        <f>Price_List_BA!D105</f>
        <v>Cryotherapy Unit with cryotips (set) (ZM)</v>
      </c>
      <c r="E402" s="786"/>
      <c r="F402" s="786"/>
      <c r="G402" s="786"/>
      <c r="J402" s="665">
        <f>Price_List_BA!L105</f>
        <v>500</v>
      </c>
      <c r="K402" s="665">
        <f>Price_List_BA!O105</f>
        <v>125</v>
      </c>
      <c r="L402" s="665">
        <f>Price_List_BA!P105</f>
        <v>134.51352259654129</v>
      </c>
    </row>
    <row r="403" spans="4:12" s="348" customFormat="1" ht="12.95" hidden="1" customHeight="1" outlineLevel="2" x14ac:dyDescent="0.2">
      <c r="D403" s="785" t="str">
        <f>Price_List_BA!D106</f>
        <v>Cryotherapy Unit with cryotips (TZ)</v>
      </c>
      <c r="E403" s="786"/>
      <c r="F403" s="786"/>
      <c r="G403" s="786"/>
      <c r="J403" s="665">
        <f>Price_List_BA!L106</f>
        <v>1875</v>
      </c>
      <c r="K403" s="665">
        <f>Price_List_BA!O106</f>
        <v>187.5</v>
      </c>
      <c r="L403" s="665">
        <f>Price_List_BA!P106</f>
        <v>219.80719988467428</v>
      </c>
    </row>
    <row r="404" spans="4:12" s="348" customFormat="1" ht="12.95" hidden="1" customHeight="1" outlineLevel="2" x14ac:dyDescent="0.2">
      <c r="D404" s="785" t="str">
        <f>Price_List_BA!D107</f>
        <v>Digital Camera (ZM)</v>
      </c>
      <c r="E404" s="786"/>
      <c r="F404" s="786"/>
      <c r="G404" s="786"/>
      <c r="J404" s="665">
        <f>Price_List_BA!L107</f>
        <v>700</v>
      </c>
      <c r="K404" s="665">
        <f>Price_List_BA!O107</f>
        <v>77.777777777777771</v>
      </c>
      <c r="L404" s="665">
        <f>Price_List_BA!P107</f>
        <v>89.903699912672408</v>
      </c>
    </row>
    <row r="405" spans="4:12" s="348" customFormat="1" ht="12.95" hidden="1" customHeight="1" outlineLevel="2" x14ac:dyDescent="0.2">
      <c r="D405" s="785" t="str">
        <f>Price_List_BA!D108</f>
        <v>Dissecting forceps – 12.5 cm  (TZ)</v>
      </c>
      <c r="E405" s="786"/>
      <c r="F405" s="786"/>
      <c r="G405" s="786"/>
      <c r="J405" s="665">
        <f>Price_List_BA!L108</f>
        <v>5.8125</v>
      </c>
      <c r="K405" s="665">
        <f>Price_List_BA!O108</f>
        <v>0.64583333333333337</v>
      </c>
      <c r="L405" s="665">
        <f>Price_List_BA!P108</f>
        <v>0.74652179391772622</v>
      </c>
    </row>
    <row r="406" spans="4:12" s="348" customFormat="1" ht="12.95" hidden="1" customHeight="1" outlineLevel="2" x14ac:dyDescent="0.2">
      <c r="D406" s="785" t="str">
        <f>Price_List_BA!D109</f>
        <v>Doctor's Stool (ZM)</v>
      </c>
      <c r="E406" s="786"/>
      <c r="F406" s="786"/>
      <c r="G406" s="786"/>
      <c r="J406" s="665">
        <f>Price_List_BA!L109</f>
        <v>100</v>
      </c>
      <c r="K406" s="665">
        <f>Price_List_BA!O109</f>
        <v>16.666666666666668</v>
      </c>
      <c r="L406" s="665">
        <f>Price_List_BA!P109</f>
        <v>18.459750045017728</v>
      </c>
    </row>
    <row r="407" spans="4:12" s="348" customFormat="1" ht="12.95" hidden="1" customHeight="1" outlineLevel="2" x14ac:dyDescent="0.2">
      <c r="D407" s="785" t="str">
        <f>Price_List_BA!D110</f>
        <v>Endocervical speculum  (UG)</v>
      </c>
      <c r="E407" s="786"/>
      <c r="F407" s="786"/>
      <c r="G407" s="786"/>
      <c r="J407" s="665">
        <f>Price_List_BA!L110</f>
        <v>100</v>
      </c>
      <c r="K407" s="665">
        <f>Price_List_BA!O110</f>
        <v>50</v>
      </c>
      <c r="L407" s="665">
        <f>Price_List_BA!P110</f>
        <v>52.261083743842391</v>
      </c>
    </row>
    <row r="408" spans="4:12" s="348" customFormat="1" ht="12.95" hidden="1" customHeight="1" outlineLevel="2" x14ac:dyDescent="0.2">
      <c r="D408" s="785" t="str">
        <f>Price_List_BA!D111</f>
        <v>Examination bed (UG)</v>
      </c>
      <c r="E408" s="786"/>
      <c r="F408" s="786"/>
      <c r="G408" s="786"/>
      <c r="J408" s="665">
        <f>Price_List_BA!L111</f>
        <v>197.1369</v>
      </c>
      <c r="K408" s="665">
        <f>Price_List_BA!O111</f>
        <v>39.427379999999999</v>
      </c>
      <c r="L408" s="665">
        <f>Price_List_BA!P111</f>
        <v>43.045743306738252</v>
      </c>
    </row>
    <row r="409" spans="4:12" s="348" customFormat="1" ht="12.95" hidden="1" customHeight="1" outlineLevel="2" x14ac:dyDescent="0.2">
      <c r="D409" s="785" t="str">
        <f>Price_List_BA!D112</f>
        <v>Examination couch (with Stirrups) (ZM)</v>
      </c>
      <c r="E409" s="786"/>
      <c r="F409" s="786"/>
      <c r="G409" s="786"/>
      <c r="J409" s="665">
        <f>Price_List_BA!L112</f>
        <v>446.5</v>
      </c>
      <c r="K409" s="665">
        <f>Price_List_BA!O112</f>
        <v>89.3</v>
      </c>
      <c r="L409" s="665">
        <f>Price_List_BA!P112</f>
        <v>97.495316130357267</v>
      </c>
    </row>
    <row r="410" spans="4:12" s="348" customFormat="1" ht="12.95" hidden="1" customHeight="1" outlineLevel="2" x14ac:dyDescent="0.2">
      <c r="D410" s="785" t="str">
        <f>Price_List_BA!D113</f>
        <v>Examination light (Halogen, no bulb) (ZM)</v>
      </c>
      <c r="E410" s="786"/>
      <c r="F410" s="786"/>
      <c r="G410" s="786"/>
      <c r="J410" s="665">
        <f>Price_List_BA!L113</f>
        <v>370</v>
      </c>
      <c r="K410" s="665">
        <f>Price_List_BA!O113</f>
        <v>61.666666666666664</v>
      </c>
      <c r="L410" s="665">
        <f>Price_List_BA!P113</f>
        <v>68.301075166565596</v>
      </c>
    </row>
    <row r="411" spans="4:12" s="348" customFormat="1" ht="12.75" hidden="1" customHeight="1" outlineLevel="2" x14ac:dyDescent="0.2">
      <c r="D411" s="785" t="str">
        <f>Price_List_BA!D114</f>
        <v>Examination light source  (TZ)</v>
      </c>
      <c r="E411" s="786"/>
      <c r="F411" s="786"/>
      <c r="G411" s="786"/>
      <c r="J411" s="665">
        <f>Price_List_BA!L114</f>
        <v>40.625</v>
      </c>
      <c r="K411" s="665">
        <f>Price_List_BA!O114</f>
        <v>8.125</v>
      </c>
      <c r="L411" s="665">
        <f>Price_List_BA!P114</f>
        <v>8.8706544631484086</v>
      </c>
    </row>
    <row r="412" spans="4:12" s="348" customFormat="1" ht="12.75" hidden="1" customHeight="1" outlineLevel="2" x14ac:dyDescent="0.2">
      <c r="D412" s="785" t="str">
        <f>Price_List_BA!D115</f>
        <v>Examination light source (Halogen) with bulb (set) (ZM)</v>
      </c>
      <c r="E412" s="786"/>
      <c r="F412" s="786"/>
      <c r="G412" s="786"/>
      <c r="J412" s="665">
        <f>Price_List_BA!L115</f>
        <v>430</v>
      </c>
      <c r="K412" s="665">
        <f>Price_List_BA!O115</f>
        <v>86</v>
      </c>
      <c r="L412" s="665">
        <f>Price_List_BA!P115</f>
        <v>93.892465702247762</v>
      </c>
    </row>
    <row r="413" spans="4:12" s="348" customFormat="1" ht="12.75" hidden="1" customHeight="1" outlineLevel="2" x14ac:dyDescent="0.2">
      <c r="D413" s="785" t="str">
        <f>Price_List_BA!D116</f>
        <v>Examination table (UG)</v>
      </c>
      <c r="E413" s="786"/>
      <c r="F413" s="786"/>
      <c r="G413" s="786"/>
      <c r="J413" s="665">
        <f>Price_List_BA!L116</f>
        <v>197.1369</v>
      </c>
      <c r="K413" s="665">
        <f>Price_List_BA!O116</f>
        <v>39.427379999999999</v>
      </c>
      <c r="L413" s="665">
        <f>Price_List_BA!P116</f>
        <v>43.045743306738252</v>
      </c>
    </row>
    <row r="414" spans="4:12" s="348" customFormat="1" ht="12.75" hidden="1" customHeight="1" outlineLevel="2" x14ac:dyDescent="0.2">
      <c r="D414" s="785" t="str">
        <f>Price_List_BA!D117</f>
        <v>Filing Cabinet (ZM)</v>
      </c>
      <c r="E414" s="786"/>
      <c r="F414" s="786"/>
      <c r="G414" s="786"/>
      <c r="J414" s="665">
        <f>Price_List_BA!L117</f>
        <v>354</v>
      </c>
      <c r="K414" s="665">
        <f>Price_List_BA!O117</f>
        <v>35.4</v>
      </c>
      <c r="L414" s="665">
        <f>Price_List_BA!P117</f>
        <v>41.499599338226503</v>
      </c>
    </row>
    <row r="415" spans="4:12" s="348" customFormat="1" ht="12.75" hidden="1" customHeight="1" outlineLevel="2" x14ac:dyDescent="0.2">
      <c r="D415" s="785" t="str">
        <f>Price_List_BA!D118</f>
        <v>Forceps (UG)</v>
      </c>
      <c r="E415" s="786"/>
      <c r="F415" s="786"/>
      <c r="G415" s="786"/>
      <c r="J415" s="665">
        <f>Price_List_BA!L118</f>
        <v>8.1560000000000006</v>
      </c>
      <c r="K415" s="665">
        <f>Price_List_BA!O118</f>
        <v>1.6312000000000002</v>
      </c>
      <c r="L415" s="665">
        <f>Price_List_BA!P118</f>
        <v>1.7808998843430996</v>
      </c>
    </row>
    <row r="416" spans="4:12" s="348" customFormat="1" ht="12.75" hidden="1" customHeight="1" outlineLevel="2" x14ac:dyDescent="0.2">
      <c r="D416" s="785" t="str">
        <f>Price_List_BA!D119</f>
        <v>Forceps Babcocks  (ZM)</v>
      </c>
      <c r="E416" s="786"/>
      <c r="F416" s="786"/>
      <c r="G416" s="786"/>
      <c r="J416" s="665">
        <f>Price_List_BA!L119</f>
        <v>13</v>
      </c>
      <c r="K416" s="665">
        <f>Price_List_BA!O119</f>
        <v>1.4444444444444444</v>
      </c>
      <c r="L416" s="665">
        <f>Price_List_BA!P119</f>
        <v>1.6696401412353445</v>
      </c>
    </row>
    <row r="417" spans="4:12" s="348" customFormat="1" ht="12.75" hidden="1" customHeight="1" outlineLevel="2" x14ac:dyDescent="0.2">
      <c r="D417" s="785" t="str">
        <f>Price_List_BA!D120</f>
        <v>Forceps tissue - babcocks  (TZ)</v>
      </c>
      <c r="E417" s="786"/>
      <c r="F417" s="786"/>
      <c r="G417" s="786"/>
      <c r="J417" s="665">
        <f>Price_List_BA!L120</f>
        <v>3.75</v>
      </c>
      <c r="K417" s="665">
        <f>Price_List_BA!O120</f>
        <v>0.75</v>
      </c>
      <c r="L417" s="665">
        <f>Price_List_BA!P120</f>
        <v>0.81882964275216075</v>
      </c>
    </row>
    <row r="418" spans="4:12" s="348" customFormat="1" ht="12.75" hidden="1" customHeight="1" outlineLevel="2" x14ac:dyDescent="0.2">
      <c r="D418" s="785" t="str">
        <f>Price_List_BA!D121</f>
        <v>Forceps tissue - long  (TZ)</v>
      </c>
      <c r="E418" s="786"/>
      <c r="F418" s="786"/>
      <c r="G418" s="786"/>
      <c r="J418" s="665">
        <f>Price_List_BA!L121</f>
        <v>8.75</v>
      </c>
      <c r="K418" s="665">
        <f>Price_List_BA!O121</f>
        <v>1.75</v>
      </c>
      <c r="L418" s="665">
        <f>Price_List_BA!P121</f>
        <v>1.9106024997550417</v>
      </c>
    </row>
    <row r="419" spans="4:12" s="348" customFormat="1" ht="12.75" hidden="1" customHeight="1" outlineLevel="2" x14ac:dyDescent="0.2">
      <c r="D419" s="785" t="str">
        <f>Price_List_BA!D122</f>
        <v>Forceps tissue- litlewoods 19 cm  (TZ)</v>
      </c>
      <c r="E419" s="786"/>
      <c r="F419" s="786"/>
      <c r="G419" s="786"/>
      <c r="J419" s="665">
        <f>Price_List_BA!L122</f>
        <v>10.625</v>
      </c>
      <c r="K419" s="665">
        <f>Price_List_BA!O122</f>
        <v>2.125</v>
      </c>
      <c r="L419" s="665">
        <f>Price_List_BA!P122</f>
        <v>2.3200173211311221</v>
      </c>
    </row>
    <row r="420" spans="4:12" s="348" customFormat="1" ht="12.75" hidden="1" customHeight="1" outlineLevel="2" x14ac:dyDescent="0.2">
      <c r="D420" s="785" t="str">
        <f>Price_List_BA!D123</f>
        <v>Forceps, Cheetal (ZM)</v>
      </c>
      <c r="E420" s="786"/>
      <c r="F420" s="786"/>
      <c r="G420" s="786"/>
      <c r="J420" s="665">
        <f>Price_List_BA!L123</f>
        <v>15</v>
      </c>
      <c r="K420" s="665">
        <f>Price_List_BA!O123</f>
        <v>3.75</v>
      </c>
      <c r="L420" s="665">
        <f>Price_List_BA!P123</f>
        <v>4.0354056778962386</v>
      </c>
    </row>
    <row r="421" spans="4:12" s="348" customFormat="1" ht="12.75" hidden="1" customHeight="1" outlineLevel="2" x14ac:dyDescent="0.2">
      <c r="D421" s="785" t="str">
        <f>Price_List_BA!D124</f>
        <v>Forceps, Dissecting - 12.5 cm (ZM)</v>
      </c>
      <c r="E421" s="786"/>
      <c r="F421" s="786"/>
      <c r="G421" s="786"/>
      <c r="J421" s="665">
        <f>Price_List_BA!L124</f>
        <v>16.899999999999999</v>
      </c>
      <c r="K421" s="665">
        <f>Price_List_BA!O124</f>
        <v>1.8777777777777775</v>
      </c>
      <c r="L421" s="665">
        <f>Price_List_BA!P124</f>
        <v>2.1705321836059479</v>
      </c>
    </row>
    <row r="422" spans="4:12" s="348" customFormat="1" ht="12.75" hidden="1" customHeight="1" outlineLevel="2" x14ac:dyDescent="0.2">
      <c r="D422" s="785" t="str">
        <f>Price_List_BA!D125</f>
        <v>Forceps, Littlewoods 19 cm (ZM)</v>
      </c>
      <c r="E422" s="786"/>
      <c r="F422" s="786"/>
      <c r="G422" s="786"/>
      <c r="J422" s="665">
        <f>Price_List_BA!L125</f>
        <v>17</v>
      </c>
      <c r="K422" s="665">
        <f>Price_List_BA!O125</f>
        <v>8.5</v>
      </c>
      <c r="L422" s="665">
        <f>Price_List_BA!P125</f>
        <v>8.884384236453208</v>
      </c>
    </row>
    <row r="423" spans="4:12" s="348" customFormat="1" ht="12.75" hidden="1" customHeight="1" outlineLevel="2" x14ac:dyDescent="0.2">
      <c r="D423" s="785" t="str">
        <f>Price_List_BA!D126</f>
        <v>Forceps, Long  (ZM)</v>
      </c>
      <c r="E423" s="786"/>
      <c r="F423" s="786"/>
      <c r="G423" s="786"/>
      <c r="J423" s="665">
        <f>Price_List_BA!L126</f>
        <v>15</v>
      </c>
      <c r="K423" s="665">
        <f>Price_List_BA!O126</f>
        <v>2.5</v>
      </c>
      <c r="L423" s="665">
        <f>Price_List_BA!P126</f>
        <v>2.7689625067526591</v>
      </c>
    </row>
    <row r="424" spans="4:12" s="348" customFormat="1" ht="12.75" hidden="1" customHeight="1" outlineLevel="2" x14ac:dyDescent="0.2">
      <c r="D424" s="785" t="str">
        <f>Price_List_BA!D127</f>
        <v>Forceps, ovum (ZM)</v>
      </c>
      <c r="E424" s="786"/>
      <c r="F424" s="786"/>
      <c r="G424" s="786"/>
      <c r="J424" s="665">
        <f>Price_List_BA!L127</f>
        <v>15</v>
      </c>
      <c r="K424" s="665">
        <f>Price_List_BA!O127</f>
        <v>2.5</v>
      </c>
      <c r="L424" s="665">
        <f>Price_List_BA!P127</f>
        <v>2.7689625067526591</v>
      </c>
    </row>
    <row r="425" spans="4:12" s="348" customFormat="1" ht="12.75" hidden="1" customHeight="1" outlineLevel="2" x14ac:dyDescent="0.2">
      <c r="D425" s="785" t="str">
        <f>Price_List_BA!D128</f>
        <v>Forceps, ovum  (TZ)</v>
      </c>
      <c r="E425" s="786"/>
      <c r="F425" s="786"/>
      <c r="G425" s="786"/>
      <c r="J425" s="665">
        <f>Price_List_BA!L128</f>
        <v>3.4375</v>
      </c>
      <c r="K425" s="665">
        <f>Price_List_BA!O128</f>
        <v>0.6875</v>
      </c>
      <c r="L425" s="665">
        <f>Price_List_BA!P128</f>
        <v>0.75059383918948064</v>
      </c>
    </row>
    <row r="426" spans="4:12" s="348" customFormat="1" ht="12.75" hidden="1" customHeight="1" outlineLevel="2" x14ac:dyDescent="0.2">
      <c r="D426" s="785" t="str">
        <f>Price_List_BA!D129</f>
        <v>Forceps, Punch biopsy (ZM)</v>
      </c>
      <c r="E426" s="786"/>
      <c r="F426" s="786"/>
      <c r="G426" s="786"/>
      <c r="J426" s="665">
        <f>Price_List_BA!L129</f>
        <v>15</v>
      </c>
      <c r="K426" s="665">
        <f>Price_List_BA!O129</f>
        <v>3.75</v>
      </c>
      <c r="L426" s="665">
        <f>Price_List_BA!P129</f>
        <v>4.0354056778962386</v>
      </c>
    </row>
    <row r="427" spans="4:12" s="348" customFormat="1" ht="12.75" hidden="1" customHeight="1" outlineLevel="2" x14ac:dyDescent="0.2">
      <c r="D427" s="785" t="str">
        <f>Price_List_BA!D130</f>
        <v>Forceps, punch biopsy (TZ)</v>
      </c>
      <c r="E427" s="786"/>
      <c r="F427" s="786"/>
      <c r="G427" s="786"/>
      <c r="J427" s="665">
        <f>Price_List_BA!L130</f>
        <v>37.5</v>
      </c>
      <c r="K427" s="665">
        <f>Price_List_BA!O130</f>
        <v>7.5</v>
      </c>
      <c r="L427" s="665">
        <f>Price_List_BA!P130</f>
        <v>8.1882964275216068</v>
      </c>
    </row>
    <row r="428" spans="4:12" s="348" customFormat="1" ht="12.75" hidden="1" customHeight="1" outlineLevel="2" x14ac:dyDescent="0.2">
      <c r="D428" s="785" t="str">
        <f>Price_List_BA!D131</f>
        <v>Forceps, Sponge holder (ZM)</v>
      </c>
      <c r="E428" s="786"/>
      <c r="F428" s="786"/>
      <c r="G428" s="786"/>
      <c r="J428" s="665">
        <f>Price_List_BA!L131</f>
        <v>12</v>
      </c>
      <c r="K428" s="665">
        <f>Price_List_BA!O131</f>
        <v>1.5</v>
      </c>
      <c r="L428" s="665">
        <f>Price_List_BA!P131</f>
        <v>1.709476665926871</v>
      </c>
    </row>
    <row r="429" spans="4:12" s="348" customFormat="1" ht="12.75" hidden="1" customHeight="1" outlineLevel="2" x14ac:dyDescent="0.2">
      <c r="D429" s="785" t="str">
        <f>Price_List_BA!D132</f>
        <v>Forceps, sponge holder  (TZ)</v>
      </c>
      <c r="E429" s="786"/>
      <c r="F429" s="786"/>
      <c r="G429" s="786"/>
      <c r="J429" s="665">
        <f>Price_List_BA!L132</f>
        <v>3.4375</v>
      </c>
      <c r="K429" s="665">
        <f>Price_List_BA!O132</f>
        <v>0.6875</v>
      </c>
      <c r="L429" s="665">
        <f>Price_List_BA!P132</f>
        <v>0.75059383918948064</v>
      </c>
    </row>
    <row r="430" spans="4:12" s="348" customFormat="1" ht="12.75" hidden="1" customHeight="1" outlineLevel="2" x14ac:dyDescent="0.2">
      <c r="D430" s="785" t="str">
        <f>Price_List_BA!D133</f>
        <v>Gallipot (ZM)</v>
      </c>
      <c r="E430" s="786"/>
      <c r="F430" s="786"/>
      <c r="G430" s="786"/>
      <c r="J430" s="665">
        <f>Price_List_BA!L133</f>
        <v>10</v>
      </c>
      <c r="K430" s="665">
        <f>Price_List_BA!O133</f>
        <v>1.1111111111111112</v>
      </c>
      <c r="L430" s="665">
        <f>Price_List_BA!P133</f>
        <v>1.2843385701810344</v>
      </c>
    </row>
    <row r="431" spans="4:12" s="348" customFormat="1" ht="12.75" hidden="1" customHeight="1" outlineLevel="2" x14ac:dyDescent="0.2">
      <c r="D431" s="785" t="str">
        <f>Price_List_BA!D134</f>
        <v>Gallipot (UG)</v>
      </c>
      <c r="E431" s="786"/>
      <c r="F431" s="786"/>
      <c r="G431" s="786"/>
      <c r="J431" s="665">
        <f>Price_List_BA!L134</f>
        <v>3.9441999999999999</v>
      </c>
      <c r="K431" s="665">
        <f>Price_List_BA!O134</f>
        <v>0.78883999999999999</v>
      </c>
      <c r="L431" s="665">
        <f>Price_List_BA!P134</f>
        <v>0.86123410051815263</v>
      </c>
    </row>
    <row r="432" spans="4:12" s="348" customFormat="1" ht="12.75" hidden="1" customHeight="1" outlineLevel="2" x14ac:dyDescent="0.2">
      <c r="D432" s="785" t="str">
        <f>Price_List_BA!D135</f>
        <v>Gas cylinder adaptor (ZM)</v>
      </c>
      <c r="E432" s="786"/>
      <c r="F432" s="786"/>
      <c r="G432" s="786"/>
      <c r="J432" s="665">
        <f>Price_List_BA!L135</f>
        <v>15</v>
      </c>
      <c r="K432" s="665">
        <f>Price_List_BA!O135</f>
        <v>1.875</v>
      </c>
      <c r="L432" s="665">
        <f>Price_List_BA!P135</f>
        <v>2.1368458324085888</v>
      </c>
    </row>
    <row r="433" spans="4:12" s="348" customFormat="1" ht="12.75" hidden="1" customHeight="1" outlineLevel="2" x14ac:dyDescent="0.2">
      <c r="D433" s="785" t="str">
        <f>Price_List_BA!D136</f>
        <v>Gas cylinder adaptor  (TZ)</v>
      </c>
      <c r="E433" s="786"/>
      <c r="F433" s="786"/>
      <c r="G433" s="786"/>
      <c r="J433" s="665">
        <f>Price_List_BA!L136</f>
        <v>82.5</v>
      </c>
      <c r="K433" s="665">
        <f>Price_List_BA!O136</f>
        <v>8.25</v>
      </c>
      <c r="L433" s="665">
        <f>Price_List_BA!P136</f>
        <v>9.6715167949256688</v>
      </c>
    </row>
    <row r="434" spans="4:12" s="348" customFormat="1" ht="12.75" hidden="1" customHeight="1" outlineLevel="2" x14ac:dyDescent="0.2">
      <c r="D434" s="785" t="str">
        <f>Price_List_BA!D137</f>
        <v>Gynecological examination bed  (TZ)</v>
      </c>
      <c r="E434" s="786"/>
      <c r="F434" s="786"/>
      <c r="G434" s="786"/>
      <c r="J434" s="665">
        <f>Price_List_BA!L137</f>
        <v>346.875</v>
      </c>
      <c r="K434" s="665">
        <f>Price_List_BA!O137</f>
        <v>173.4375</v>
      </c>
      <c r="L434" s="665">
        <f>Price_List_BA!P137</f>
        <v>181.2806342364533</v>
      </c>
    </row>
    <row r="435" spans="4:12" s="348" customFormat="1" ht="12.75" hidden="1" customHeight="1" outlineLevel="2" x14ac:dyDescent="0.2">
      <c r="D435" s="785" t="str">
        <f>Price_List_BA!D138</f>
        <v>Halogen Bulbs (ZM)</v>
      </c>
      <c r="E435" s="786"/>
      <c r="F435" s="786"/>
      <c r="G435" s="786"/>
      <c r="J435" s="665">
        <f>Price_List_BA!L138</f>
        <v>50</v>
      </c>
      <c r="K435" s="665">
        <f>Price_List_BA!O138</f>
        <v>5</v>
      </c>
      <c r="L435" s="665">
        <f>Price_List_BA!P138</f>
        <v>5.8615253302579804</v>
      </c>
    </row>
    <row r="436" spans="4:12" s="348" customFormat="1" ht="12.75" hidden="1" customHeight="1" outlineLevel="2" x14ac:dyDescent="0.2">
      <c r="D436" s="785" t="str">
        <f>Price_List_BA!D139</f>
        <v>Hysterectomy Set (ZM)</v>
      </c>
      <c r="E436" s="786"/>
      <c r="F436" s="786"/>
      <c r="G436" s="786"/>
      <c r="J436" s="665">
        <f>Price_List_BA!L139</f>
        <v>120</v>
      </c>
      <c r="K436" s="665">
        <f>Price_List_BA!O139</f>
        <v>24</v>
      </c>
      <c r="L436" s="665">
        <f>Price_List_BA!P139</f>
        <v>26.202548568069144</v>
      </c>
    </row>
    <row r="437" spans="4:12" s="348" customFormat="1" ht="12.75" hidden="1" customHeight="1" outlineLevel="2" x14ac:dyDescent="0.2">
      <c r="D437" s="785" t="str">
        <f>Price_List_BA!D140</f>
        <v>Instrument tray (ZM)</v>
      </c>
      <c r="E437" s="786"/>
      <c r="F437" s="786"/>
      <c r="G437" s="786"/>
      <c r="J437" s="665">
        <f>Price_List_BA!L140</f>
        <v>20</v>
      </c>
      <c r="K437" s="665">
        <f>Price_List_BA!O140</f>
        <v>5</v>
      </c>
      <c r="L437" s="665">
        <f>Price_List_BA!P140</f>
        <v>5.3805409038616512</v>
      </c>
    </row>
    <row r="438" spans="4:12" s="348" customFormat="1" ht="12.75" hidden="1" customHeight="1" outlineLevel="2" x14ac:dyDescent="0.2">
      <c r="D438" s="785" t="str">
        <f>Price_List_BA!D141</f>
        <v>Instrument tray  (TZ)</v>
      </c>
      <c r="E438" s="786"/>
      <c r="F438" s="786"/>
      <c r="G438" s="786"/>
      <c r="J438" s="665">
        <f>Price_List_BA!L141</f>
        <v>7.5</v>
      </c>
      <c r="K438" s="665">
        <f>Price_List_BA!O141</f>
        <v>3.75</v>
      </c>
      <c r="L438" s="665">
        <f>Price_List_BA!P141</f>
        <v>3.9195812807881798</v>
      </c>
    </row>
    <row r="439" spans="4:12" s="348" customFormat="1" ht="12.75" hidden="1" customHeight="1" outlineLevel="2" x14ac:dyDescent="0.2">
      <c r="D439" s="785" t="str">
        <f>Price_List_BA!D142</f>
        <v>Kidney Dish (ZM)</v>
      </c>
      <c r="E439" s="786"/>
      <c r="F439" s="786"/>
      <c r="G439" s="786"/>
      <c r="J439" s="665">
        <f>Price_List_BA!L142</f>
        <v>20</v>
      </c>
      <c r="K439" s="665">
        <f>Price_List_BA!O142</f>
        <v>2.5</v>
      </c>
      <c r="L439" s="665">
        <f>Price_List_BA!P142</f>
        <v>2.8491277765447851</v>
      </c>
    </row>
    <row r="440" spans="4:12" s="348" customFormat="1" ht="12.75" hidden="1" customHeight="1" outlineLevel="2" x14ac:dyDescent="0.2">
      <c r="D440" s="785" t="str">
        <f>Price_List_BA!D143</f>
        <v>Kidney Dish (UG)</v>
      </c>
      <c r="E440" s="786"/>
      <c r="F440" s="786"/>
      <c r="G440" s="786"/>
      <c r="J440" s="665">
        <f>Price_List_BA!L143</f>
        <v>4.1161000000000003</v>
      </c>
      <c r="K440" s="665">
        <f>Price_List_BA!O143</f>
        <v>0.41161000000000003</v>
      </c>
      <c r="L440" s="665">
        <f>Price_List_BA!P143</f>
        <v>0.4825324882374975</v>
      </c>
    </row>
    <row r="441" spans="4:12" s="348" customFormat="1" ht="12.75" hidden="1" customHeight="1" outlineLevel="2" x14ac:dyDescent="0.2">
      <c r="D441" s="785" t="str">
        <f>Price_List_BA!D144</f>
        <v>Lamp (UG)</v>
      </c>
      <c r="E441" s="786"/>
      <c r="F441" s="786"/>
      <c r="G441" s="786"/>
      <c r="J441" s="665">
        <f>Price_List_BA!L144</f>
        <v>49.744300000000003</v>
      </c>
      <c r="K441" s="665">
        <f>Price_List_BA!O144</f>
        <v>4.9744299999999999</v>
      </c>
      <c r="L441" s="665">
        <f>Price_List_BA!P144</f>
        <v>5.8315494897190421</v>
      </c>
    </row>
    <row r="442" spans="4:12" s="348" customFormat="1" ht="12.95" hidden="1" customHeight="1" outlineLevel="2" x14ac:dyDescent="0.2">
      <c r="D442" s="785" t="str">
        <f>Price_List_BA!D145</f>
        <v>Laptop / Desktop Computer (ZM)</v>
      </c>
      <c r="E442" s="786"/>
      <c r="F442" s="786"/>
      <c r="G442" s="786"/>
      <c r="J442" s="665">
        <f>Price_List_BA!L145</f>
        <v>1100</v>
      </c>
      <c r="K442" s="665">
        <f>Price_List_BA!O145</f>
        <v>220</v>
      </c>
      <c r="L442" s="665">
        <f>Price_List_BA!P145</f>
        <v>240.19002854063382</v>
      </c>
    </row>
    <row r="443" spans="4:12" s="348" customFormat="1" ht="12.75" hidden="1" customHeight="1" outlineLevel="2" x14ac:dyDescent="0.2">
      <c r="D443" s="785" t="str">
        <f>Price_List_BA!D146</f>
        <v>LEEP Equipment  (TZ)</v>
      </c>
      <c r="E443" s="786"/>
      <c r="F443" s="786"/>
      <c r="G443" s="786"/>
      <c r="J443" s="665">
        <f>Price_List_BA!L146</f>
        <v>11838.75</v>
      </c>
      <c r="K443" s="665">
        <f>Price_List_BA!O146</f>
        <v>1479.84375</v>
      </c>
      <c r="L443" s="665">
        <f>Price_List_BA!P146</f>
        <v>1686.5055732284786</v>
      </c>
    </row>
    <row r="444" spans="4:12" s="348" customFormat="1" ht="12.75" hidden="1" customHeight="1" outlineLevel="2" x14ac:dyDescent="0.2">
      <c r="D444" s="785" t="str">
        <f>Price_List_BA!D147</f>
        <v>LEEP machine plus smoke evacuator system plus accessories (ZM)</v>
      </c>
      <c r="E444" s="786"/>
      <c r="F444" s="786"/>
      <c r="G444" s="786"/>
      <c r="J444" s="665">
        <f>Price_List_BA!L147</f>
        <v>6000</v>
      </c>
      <c r="K444" s="665">
        <f>Price_List_BA!O147</f>
        <v>666.66666666666663</v>
      </c>
      <c r="L444" s="665">
        <f>Price_List_BA!P147</f>
        <v>770.60314210862055</v>
      </c>
    </row>
    <row r="445" spans="4:12" s="348" customFormat="1" ht="12.75" hidden="1" customHeight="1" outlineLevel="2" x14ac:dyDescent="0.2">
      <c r="D445" s="785" t="str">
        <f>Price_List_BA!D148</f>
        <v>LEEP machine  with coated speculums (UG)</v>
      </c>
      <c r="E445" s="786"/>
      <c r="F445" s="786"/>
      <c r="G445" s="786"/>
      <c r="J445" s="665">
        <f>Price_List_BA!L148</f>
        <v>5055</v>
      </c>
      <c r="K445" s="665">
        <f>Price_List_BA!O148</f>
        <v>842.5</v>
      </c>
      <c r="L445" s="665">
        <f>Price_List_BA!P148</f>
        <v>933.14036477564616</v>
      </c>
    </row>
    <row r="446" spans="4:12" s="348" customFormat="1" ht="12.75" hidden="1" customHeight="1" outlineLevel="2" x14ac:dyDescent="0.2">
      <c r="D446" s="785" t="str">
        <f>Price_List_BA!D149</f>
        <v>Lensmate SX 40 Filter Adapter 58mm (ZM)</v>
      </c>
      <c r="E446" s="786"/>
      <c r="F446" s="786"/>
      <c r="G446" s="786"/>
      <c r="J446" s="665">
        <f>Price_List_BA!L149</f>
        <v>100</v>
      </c>
      <c r="K446" s="665">
        <f>Price_List_BA!O149</f>
        <v>25</v>
      </c>
      <c r="L446" s="665">
        <f>Price_List_BA!P149</f>
        <v>26.902704519308259</v>
      </c>
    </row>
    <row r="447" spans="4:12" s="348" customFormat="1" hidden="1" outlineLevel="2" x14ac:dyDescent="0.2">
      <c r="D447" s="785" t="str">
        <f>Price_List_BA!D150</f>
        <v>Loop Electrodes - 5 mm x 5mm (Ellman) (ZM)</v>
      </c>
      <c r="E447" s="786"/>
      <c r="F447" s="786"/>
      <c r="G447" s="786"/>
      <c r="J447" s="665">
        <f>Price_List_BA!L150</f>
        <v>37.200000000000003</v>
      </c>
      <c r="K447" s="665">
        <f>Price_List_BA!O150</f>
        <v>37.200000000000003</v>
      </c>
      <c r="L447" s="665">
        <f>Price_List_BA!P150</f>
        <v>38.315999999999967</v>
      </c>
    </row>
    <row r="448" spans="4:12" s="348" customFormat="1" hidden="1" outlineLevel="2" x14ac:dyDescent="0.2">
      <c r="D448" s="785" t="str">
        <f>Price_List_BA!D151</f>
        <v>Loop Electrodes - 10 mm x 10mm (Ellman) (ZM)</v>
      </c>
      <c r="E448" s="786"/>
      <c r="F448" s="786"/>
      <c r="G448" s="786"/>
      <c r="J448" s="665">
        <f>Price_List_BA!L151</f>
        <v>37.200000000000003</v>
      </c>
      <c r="K448" s="665">
        <f>Price_List_BA!O151</f>
        <v>37.200000000000003</v>
      </c>
      <c r="L448" s="665">
        <f>Price_List_BA!P151</f>
        <v>38.315999999999967</v>
      </c>
    </row>
    <row r="449" spans="4:12" s="348" customFormat="1" hidden="1" outlineLevel="2" x14ac:dyDescent="0.2">
      <c r="D449" s="785" t="str">
        <f>Price_List_BA!D152</f>
        <v>Loop Electrodes - 20 mm x 8mm (Ellman) (ZM)</v>
      </c>
      <c r="E449" s="786"/>
      <c r="F449" s="786"/>
      <c r="G449" s="786"/>
      <c r="J449" s="665">
        <f>Price_List_BA!L152</f>
        <v>37.200000000000003</v>
      </c>
      <c r="K449" s="665">
        <f>Price_List_BA!O152</f>
        <v>37.200000000000003</v>
      </c>
      <c r="L449" s="665">
        <f>Price_List_BA!P152</f>
        <v>38.315999999999967</v>
      </c>
    </row>
    <row r="450" spans="4:12" s="348" customFormat="1" hidden="1" outlineLevel="2" x14ac:dyDescent="0.2">
      <c r="D450" s="785" t="str">
        <f>Price_List_BA!D153</f>
        <v>Loop Electrodes - 20 mm x 15mm (Ellman) (ZM)</v>
      </c>
      <c r="E450" s="786"/>
      <c r="F450" s="786"/>
      <c r="G450" s="786"/>
      <c r="J450" s="665">
        <f>Price_List_BA!L153</f>
        <v>37.200000000000003</v>
      </c>
      <c r="K450" s="665">
        <f>Price_List_BA!O153</f>
        <v>37.200000000000003</v>
      </c>
      <c r="L450" s="665">
        <f>Price_List_BA!P153</f>
        <v>38.315999999999967</v>
      </c>
    </row>
    <row r="451" spans="4:12" s="348" customFormat="1" ht="12.75" hidden="1" customHeight="1" outlineLevel="2" x14ac:dyDescent="0.2">
      <c r="D451" s="785" t="str">
        <f>Price_List_BA!D154</f>
        <v>Mackintosh (Plastic sheet for exam couch) (ZM)</v>
      </c>
      <c r="E451" s="786"/>
      <c r="F451" s="786"/>
      <c r="G451" s="786"/>
      <c r="J451" s="665">
        <f>Price_List_BA!L154</f>
        <v>20</v>
      </c>
      <c r="K451" s="665">
        <f>Price_List_BA!O154</f>
        <v>10</v>
      </c>
      <c r="L451" s="665">
        <f>Price_List_BA!P154</f>
        <v>10.452216748768478</v>
      </c>
    </row>
    <row r="452" spans="4:12" s="348" customFormat="1" ht="12.75" hidden="1" customHeight="1" outlineLevel="2" x14ac:dyDescent="0.2">
      <c r="D452" s="785" t="str">
        <f>Price_List_BA!D155</f>
        <v>Magnification Lens (ZM)</v>
      </c>
      <c r="E452" s="786"/>
      <c r="F452" s="786"/>
      <c r="G452" s="786"/>
      <c r="J452" s="665">
        <f>Price_List_BA!L155</f>
        <v>150</v>
      </c>
      <c r="K452" s="665">
        <f>Price_List_BA!O155</f>
        <v>15</v>
      </c>
      <c r="L452" s="665">
        <f>Price_List_BA!P155</f>
        <v>17.584575990773942</v>
      </c>
    </row>
    <row r="453" spans="4:12" s="348" customFormat="1" ht="12.75" hidden="1" customHeight="1" outlineLevel="2" x14ac:dyDescent="0.2">
      <c r="D453" s="785" t="str">
        <f>Price_List_BA!D156</f>
        <v>Medical Rubber Mackintosh Sheet (ZM)</v>
      </c>
      <c r="E453" s="786"/>
      <c r="F453" s="786"/>
      <c r="G453" s="786"/>
      <c r="J453" s="665">
        <f>Price_List_BA!L156</f>
        <v>30</v>
      </c>
      <c r="K453" s="665">
        <f>Price_List_BA!O156</f>
        <v>3.3333333333333335</v>
      </c>
      <c r="L453" s="665">
        <f>Price_List_BA!P156</f>
        <v>3.8530157105431031</v>
      </c>
    </row>
    <row r="454" spans="4:12" s="348" customFormat="1" ht="12.75" hidden="1" customHeight="1" outlineLevel="2" x14ac:dyDescent="0.2">
      <c r="D454" s="785" t="str">
        <f>Price_List_BA!D157</f>
        <v>Medical Rubber Mackintosh Sheet   (TZ)</v>
      </c>
      <c r="E454" s="786"/>
      <c r="F454" s="786"/>
      <c r="G454" s="786"/>
      <c r="J454" s="665">
        <f>Price_List_BA!L157</f>
        <v>46.875</v>
      </c>
      <c r="K454" s="665">
        <f>Price_List_BA!O157</f>
        <v>9.375</v>
      </c>
      <c r="L454" s="665">
        <f>Price_List_BA!P157</f>
        <v>10.235370534402009</v>
      </c>
    </row>
    <row r="455" spans="4:12" s="348" customFormat="1" ht="12.75" hidden="1" customHeight="1" outlineLevel="2" x14ac:dyDescent="0.2">
      <c r="D455" s="785" t="str">
        <f>Price_List_BA!D158</f>
        <v>Memory Card (ZM)</v>
      </c>
      <c r="E455" s="786"/>
      <c r="F455" s="786"/>
      <c r="G455" s="786"/>
      <c r="J455" s="665">
        <f>Price_List_BA!L158</f>
        <v>36</v>
      </c>
      <c r="K455" s="665">
        <f>Price_List_BA!O158</f>
        <v>4.5</v>
      </c>
      <c r="L455" s="665">
        <f>Price_List_BA!P158</f>
        <v>5.1284299977806134</v>
      </c>
    </row>
    <row r="456" spans="4:12" s="348" customFormat="1" ht="12.75" hidden="1" customHeight="1" outlineLevel="2" x14ac:dyDescent="0.2">
      <c r="D456" s="785" t="str">
        <f>Price_List_BA!D159</f>
        <v>Multi-Tip Cryo-Probe System with British adapter for NO2 includes gun, regulator, hose(2/3Tips included) (set) (ZM)</v>
      </c>
      <c r="E456" s="786"/>
      <c r="F456" s="786"/>
      <c r="G456" s="786"/>
      <c r="J456" s="665">
        <f>Price_List_BA!L159</f>
        <v>1800</v>
      </c>
      <c r="K456" s="665">
        <f>Price_List_BA!O159</f>
        <v>360</v>
      </c>
      <c r="L456" s="665">
        <f>Price_List_BA!P159</f>
        <v>393.03822852103718</v>
      </c>
    </row>
    <row r="457" spans="4:12" s="348" customFormat="1" ht="12.75" hidden="1" customHeight="1" outlineLevel="2" x14ac:dyDescent="0.2">
      <c r="D457" s="785" t="str">
        <f>Price_List_BA!D160</f>
        <v>Non-conducting speculum  Pederson  (ZM)</v>
      </c>
      <c r="E457" s="786"/>
      <c r="F457" s="786"/>
      <c r="G457" s="786"/>
      <c r="J457" s="665">
        <f>Price_List_BA!L160</f>
        <v>40</v>
      </c>
      <c r="K457" s="665">
        <f>Price_List_BA!O160</f>
        <v>4.4444444444444446</v>
      </c>
      <c r="L457" s="665">
        <f>Price_List_BA!P160</f>
        <v>5.1373542807241375</v>
      </c>
    </row>
    <row r="458" spans="4:12" s="348" customFormat="1" ht="12.75" hidden="1" customHeight="1" outlineLevel="2" x14ac:dyDescent="0.2">
      <c r="D458" s="785" t="str">
        <f>Price_List_BA!D161</f>
        <v>Non-conducting speculum (UG)</v>
      </c>
      <c r="E458" s="786"/>
      <c r="F458" s="786"/>
      <c r="G458" s="786"/>
      <c r="J458" s="665">
        <f>Price_List_BA!L161</f>
        <v>90</v>
      </c>
      <c r="K458" s="665">
        <f>Price_List_BA!O161</f>
        <v>18</v>
      </c>
      <c r="L458" s="665">
        <f>Price_List_BA!P161</f>
        <v>19.651911426051857</v>
      </c>
    </row>
    <row r="459" spans="4:12" s="348" customFormat="1" ht="12.75" hidden="1" customHeight="1" outlineLevel="2" x14ac:dyDescent="0.2">
      <c r="D459" s="785" t="str">
        <f>Price_List_BA!D162</f>
        <v>Nurses Table (ZM)</v>
      </c>
      <c r="E459" s="786"/>
      <c r="F459" s="786"/>
      <c r="G459" s="786"/>
      <c r="J459" s="665">
        <f>Price_List_BA!L162</f>
        <v>160</v>
      </c>
      <c r="K459" s="665">
        <f>Price_List_BA!O162</f>
        <v>16</v>
      </c>
      <c r="L459" s="665">
        <f>Price_List_BA!P162</f>
        <v>18.756881056825538</v>
      </c>
    </row>
    <row r="460" spans="4:12" s="348" customFormat="1" ht="12.75" hidden="1" customHeight="1" outlineLevel="2" x14ac:dyDescent="0.2">
      <c r="D460" s="785" t="str">
        <f>Price_List_BA!D163</f>
        <v>Pillow (ZM)</v>
      </c>
      <c r="E460" s="786"/>
      <c r="F460" s="786"/>
      <c r="G460" s="786"/>
      <c r="J460" s="665">
        <f>Price_List_BA!L163</f>
        <v>16</v>
      </c>
      <c r="K460" s="665">
        <f>Price_List_BA!O163</f>
        <v>8</v>
      </c>
      <c r="L460" s="665">
        <f>Price_List_BA!P163</f>
        <v>8.3617733990147833</v>
      </c>
    </row>
    <row r="461" spans="4:12" s="348" customFormat="1" ht="12.75" hidden="1" customHeight="1" outlineLevel="2" x14ac:dyDescent="0.2">
      <c r="D461" s="785" t="str">
        <f>Price_List_BA!D164</f>
        <v>Plastic apron (ZM)</v>
      </c>
      <c r="E461" s="786"/>
      <c r="F461" s="786"/>
      <c r="G461" s="786"/>
      <c r="J461" s="665">
        <f>Price_List_BA!L164</f>
        <v>5</v>
      </c>
      <c r="K461" s="665">
        <f>Price_List_BA!O164</f>
        <v>1.6666666666666667</v>
      </c>
      <c r="L461" s="665">
        <f>Price_List_BA!P164</f>
        <v>1.7676518166229902</v>
      </c>
    </row>
    <row r="462" spans="4:12" s="348" customFormat="1" ht="12.75" hidden="1" customHeight="1" outlineLevel="2" x14ac:dyDescent="0.2">
      <c r="D462" s="785" t="str">
        <f>Price_List_BA!D165</f>
        <v>Plastic apron  (TZ)</v>
      </c>
      <c r="E462" s="786"/>
      <c r="F462" s="786"/>
      <c r="G462" s="786"/>
      <c r="J462" s="665">
        <f>Price_List_BA!L165</f>
        <v>10.625</v>
      </c>
      <c r="K462" s="665">
        <f>Price_List_BA!O165</f>
        <v>1.1805555555555556</v>
      </c>
      <c r="L462" s="665">
        <f>Price_List_BA!P165</f>
        <v>1.364609730817349</v>
      </c>
    </row>
    <row r="463" spans="4:12" s="348" customFormat="1" ht="12.75" hidden="1" customHeight="1" outlineLevel="2" x14ac:dyDescent="0.2">
      <c r="D463" s="785" t="str">
        <f>Price_List_BA!D166</f>
        <v>Privacy screen (portable) (ZM)</v>
      </c>
      <c r="E463" s="786"/>
      <c r="F463" s="786"/>
      <c r="G463" s="786"/>
      <c r="J463" s="665">
        <f>Price_List_BA!L166</f>
        <v>18</v>
      </c>
      <c r="K463" s="665">
        <f>Price_List_BA!O166</f>
        <v>2.5714285714285716</v>
      </c>
      <c r="L463" s="665">
        <f>Price_List_BA!P166</f>
        <v>2.8891143675768967</v>
      </c>
    </row>
    <row r="464" spans="4:12" s="348" customFormat="1" ht="12.75" hidden="1" customHeight="1" outlineLevel="2" x14ac:dyDescent="0.2">
      <c r="D464" s="785" t="str">
        <f>Price_List_BA!D167</f>
        <v>Privacy screen (portable) (TZ)</v>
      </c>
      <c r="E464" s="786"/>
      <c r="F464" s="786"/>
      <c r="G464" s="786"/>
      <c r="J464" s="665">
        <f>Price_List_BA!L167</f>
        <v>106.25</v>
      </c>
      <c r="K464" s="665">
        <f>Price_List_BA!O167</f>
        <v>53.125</v>
      </c>
      <c r="L464" s="665">
        <f>Price_List_BA!P167</f>
        <v>55.527401477832541</v>
      </c>
    </row>
    <row r="465" spans="4:12" s="348" customFormat="1" ht="12.75" hidden="1" customHeight="1" outlineLevel="2" x14ac:dyDescent="0.2">
      <c r="D465" s="785" t="str">
        <f>Price_List_BA!D168</f>
        <v>Punch Biopsy Forceps  Titanium 10" (ZM)</v>
      </c>
      <c r="E465" s="786"/>
      <c r="F465" s="786"/>
      <c r="G465" s="786"/>
      <c r="J465" s="665">
        <f>Price_List_BA!L168</f>
        <v>215</v>
      </c>
      <c r="K465" s="665">
        <f>Price_List_BA!O168</f>
        <v>53.75</v>
      </c>
      <c r="L465" s="665">
        <f>Price_List_BA!P168</f>
        <v>57.840814716512753</v>
      </c>
    </row>
    <row r="466" spans="4:12" s="348" customFormat="1" ht="12.75" hidden="1" customHeight="1" outlineLevel="2" x14ac:dyDescent="0.2">
      <c r="D466" s="785" t="str">
        <f>Price_List_BA!D169</f>
        <v>Punch Biopsy Forceps (UG)</v>
      </c>
      <c r="E466" s="786"/>
      <c r="F466" s="786"/>
      <c r="G466" s="786"/>
      <c r="J466" s="665">
        <f>Price_List_BA!L169</f>
        <v>195</v>
      </c>
      <c r="K466" s="665">
        <f>Price_List_BA!O169</f>
        <v>48.75</v>
      </c>
      <c r="L466" s="665">
        <f>Price_List_BA!P169</f>
        <v>52.460273812651103</v>
      </c>
    </row>
    <row r="467" spans="4:12" s="348" customFormat="1" ht="12.75" hidden="1" customHeight="1" outlineLevel="2" x14ac:dyDescent="0.2">
      <c r="D467" s="785" t="str">
        <f>Price_List_BA!D170</f>
        <v>Radiotherapy Machine - intra-cavity ( internal)  (TZ)</v>
      </c>
      <c r="E467" s="786"/>
      <c r="F467" s="786"/>
      <c r="G467" s="786"/>
      <c r="J467" s="665">
        <f>Price_List_BA!L170</f>
        <v>125000</v>
      </c>
      <c r="K467" s="665">
        <f>Price_List_BA!O170</f>
        <v>31250</v>
      </c>
      <c r="L467" s="665">
        <f>Price_List_BA!P170</f>
        <v>33628.380649135324</v>
      </c>
    </row>
    <row r="468" spans="4:12" s="348" customFormat="1" ht="12.75" hidden="1" customHeight="1" outlineLevel="2" x14ac:dyDescent="0.2">
      <c r="D468" s="785" t="str">
        <f>Price_List_BA!D171</f>
        <v>Radiotherapy Machine - teletherapy (external) Cobalt-60  (TZ)</v>
      </c>
      <c r="E468" s="786"/>
      <c r="F468" s="786"/>
      <c r="G468" s="786"/>
      <c r="J468" s="665">
        <f>Price_List_BA!L171</f>
        <v>625000</v>
      </c>
      <c r="K468" s="665">
        <f>Price_List_BA!O171</f>
        <v>78125</v>
      </c>
      <c r="L468" s="665">
        <f>Price_List_BA!P171</f>
        <v>89035.243017024535</v>
      </c>
    </row>
    <row r="469" spans="4:12" s="348" customFormat="1" ht="12.75" hidden="1" customHeight="1" outlineLevel="2" x14ac:dyDescent="0.2">
      <c r="D469" s="785" t="str">
        <f>Price_List_BA!D172</f>
        <v>Radiotherapy Treatment Couch  (TZ)</v>
      </c>
      <c r="E469" s="786"/>
      <c r="F469" s="786"/>
      <c r="G469" s="786"/>
      <c r="J469" s="665">
        <f>Price_List_BA!L172</f>
        <v>93750</v>
      </c>
      <c r="K469" s="665">
        <f>Price_List_BA!O172</f>
        <v>18750</v>
      </c>
      <c r="L469" s="665">
        <f>Price_List_BA!P172</f>
        <v>20470.741068804018</v>
      </c>
    </row>
    <row r="470" spans="4:12" s="348" customFormat="1" ht="12.75" hidden="1" customHeight="1" outlineLevel="2" x14ac:dyDescent="0.2">
      <c r="D470" s="785" t="str">
        <f>Price_List_BA!D173</f>
        <v>Registration book, patient  (TZ)</v>
      </c>
      <c r="E470" s="786"/>
      <c r="F470" s="786"/>
      <c r="G470" s="786"/>
      <c r="J470" s="665">
        <f>Price_List_BA!L173</f>
        <v>2.1875</v>
      </c>
      <c r="K470" s="665">
        <f>Price_List_BA!O173</f>
        <v>0.24305555555555555</v>
      </c>
      <c r="L470" s="665">
        <f>Price_List_BA!P173</f>
        <v>0.28094906222710125</v>
      </c>
    </row>
    <row r="471" spans="4:12" s="348" customFormat="1" hidden="1" outlineLevel="2" x14ac:dyDescent="0.2">
      <c r="D471" s="785" t="str">
        <f>Price_List_BA!D174</f>
        <v>Retractor 3.5" Coated Lateral Wall (ZM)</v>
      </c>
      <c r="E471" s="786"/>
      <c r="F471" s="786"/>
      <c r="G471" s="786"/>
      <c r="J471" s="665">
        <f>Price_List_BA!L174</f>
        <v>165</v>
      </c>
      <c r="K471" s="665">
        <f>Price_List_BA!O174</f>
        <v>33</v>
      </c>
      <c r="L471" s="665">
        <f>Price_List_BA!P174</f>
        <v>36.028504281095074</v>
      </c>
    </row>
    <row r="472" spans="4:12" s="348" customFormat="1" hidden="1" outlineLevel="2" x14ac:dyDescent="0.2">
      <c r="D472" s="785" t="str">
        <f>Price_List_BA!D175</f>
        <v>Smoke evacuator (UG)</v>
      </c>
      <c r="E472" s="786"/>
      <c r="F472" s="786"/>
      <c r="G472" s="786"/>
      <c r="J472" s="665">
        <f>Price_List_BA!L175</f>
        <v>1990</v>
      </c>
      <c r="K472" s="665">
        <f>Price_List_BA!O175</f>
        <v>497.5</v>
      </c>
      <c r="L472" s="665">
        <f>Price_List_BA!P175</f>
        <v>535.36381993423436</v>
      </c>
    </row>
    <row r="473" spans="4:12" s="348" customFormat="1" hidden="1" outlineLevel="2" x14ac:dyDescent="0.2">
      <c r="D473" s="785" t="str">
        <f>Price_List_BA!D176</f>
        <v>Specimen Tube rack  (TZ)</v>
      </c>
      <c r="E473" s="786"/>
      <c r="F473" s="786"/>
      <c r="G473" s="786"/>
      <c r="J473" s="665">
        <f>Price_List_BA!L176</f>
        <v>10</v>
      </c>
      <c r="K473" s="665">
        <f>Price_List_BA!O176</f>
        <v>5</v>
      </c>
      <c r="L473" s="665">
        <f>Price_List_BA!P176</f>
        <v>5.2261083743842391</v>
      </c>
    </row>
    <row r="474" spans="4:12" s="348" customFormat="1" hidden="1" outlineLevel="2" x14ac:dyDescent="0.2">
      <c r="D474" s="785" t="str">
        <f>Price_List_BA!D177</f>
        <v>Speculum  (TZ)</v>
      </c>
      <c r="E474" s="786"/>
      <c r="F474" s="786"/>
      <c r="G474" s="786"/>
      <c r="J474" s="665">
        <f>Price_List_BA!L177</f>
        <v>18.75</v>
      </c>
      <c r="K474" s="665">
        <f>Price_List_BA!O177</f>
        <v>1.875</v>
      </c>
      <c r="L474" s="665">
        <f>Price_List_BA!P177</f>
        <v>2.1980719988467428</v>
      </c>
    </row>
    <row r="475" spans="4:12" s="348" customFormat="1" hidden="1" outlineLevel="2" x14ac:dyDescent="0.2">
      <c r="D475" s="785" t="str">
        <f>Price_List_BA!D178</f>
        <v>Speculum (reusable) (UG)</v>
      </c>
      <c r="E475" s="786"/>
      <c r="F475" s="786"/>
      <c r="G475" s="786"/>
      <c r="J475" s="665">
        <f>Price_List_BA!L178</f>
        <v>8.4809000000000001</v>
      </c>
      <c r="K475" s="665">
        <f>Price_List_BA!O178</f>
        <v>0.94232222222222228</v>
      </c>
      <c r="L475" s="665">
        <f>Price_List_BA!P178</f>
        <v>1.0892346979848335</v>
      </c>
    </row>
    <row r="476" spans="4:12" s="348" customFormat="1" hidden="1" outlineLevel="2" x14ac:dyDescent="0.2">
      <c r="D476" s="785" t="str">
        <f>Price_List_BA!D179</f>
        <v>Speculum (UG)</v>
      </c>
      <c r="E476" s="786"/>
      <c r="F476" s="786"/>
      <c r="G476" s="786"/>
      <c r="J476" s="665">
        <f>Price_List_BA!L179</f>
        <v>8.4809000000000001</v>
      </c>
      <c r="K476" s="665">
        <f>Price_List_BA!O179</f>
        <v>1.0601125</v>
      </c>
      <c r="L476" s="665">
        <f>Price_List_BA!P179</f>
        <v>1.2081583880049334</v>
      </c>
    </row>
    <row r="477" spans="4:12" s="348" customFormat="1" hidden="1" outlineLevel="2" x14ac:dyDescent="0.2">
      <c r="D477" s="785" t="str">
        <f>Price_List_BA!D180</f>
        <v>Speculum Graves' large  (ZM)</v>
      </c>
      <c r="E477" s="786"/>
      <c r="F477" s="786"/>
      <c r="G477" s="786"/>
      <c r="J477" s="665">
        <f>Price_List_BA!L180</f>
        <v>14</v>
      </c>
      <c r="K477" s="665">
        <f>Price_List_BA!O180</f>
        <v>2.3333333333333335</v>
      </c>
      <c r="L477" s="665">
        <f>Price_List_BA!P180</f>
        <v>2.5843650063024817</v>
      </c>
    </row>
    <row r="478" spans="4:12" s="348" customFormat="1" hidden="1" outlineLevel="2" x14ac:dyDescent="0.2">
      <c r="D478" s="785" t="str">
        <f>Price_List_BA!D181</f>
        <v>Speculum Graves' Medium (ZM)</v>
      </c>
      <c r="E478" s="786"/>
      <c r="F478" s="786"/>
      <c r="G478" s="786"/>
      <c r="J478" s="665">
        <f>Price_List_BA!L181</f>
        <v>14</v>
      </c>
      <c r="K478" s="665">
        <f>Price_List_BA!O181</f>
        <v>2.3333333333333335</v>
      </c>
      <c r="L478" s="665">
        <f>Price_List_BA!P181</f>
        <v>2.5843650063024817</v>
      </c>
    </row>
    <row r="479" spans="4:12" s="348" customFormat="1" hidden="1" outlineLevel="2" x14ac:dyDescent="0.2">
      <c r="D479" s="785" t="str">
        <f>Price_List_BA!D182</f>
        <v>Speculum  Graves'  Small (ZM)</v>
      </c>
      <c r="E479" s="786"/>
      <c r="F479" s="786"/>
      <c r="G479" s="786"/>
      <c r="J479" s="665">
        <f>Price_List_BA!L182</f>
        <v>14</v>
      </c>
      <c r="K479" s="665">
        <f>Price_List_BA!O182</f>
        <v>4.666666666666667</v>
      </c>
      <c r="L479" s="665">
        <f>Price_List_BA!P182</f>
        <v>4.9494250865443723</v>
      </c>
    </row>
    <row r="480" spans="4:12" s="348" customFormat="1" ht="12.75" hidden="1" customHeight="1" outlineLevel="2" x14ac:dyDescent="0.2">
      <c r="D480" s="785" t="str">
        <f>Price_List_BA!D183</f>
        <v>Speculum, endocervical (ZM)</v>
      </c>
      <c r="E480" s="786"/>
      <c r="F480" s="786"/>
      <c r="G480" s="786"/>
      <c r="J480" s="665">
        <f>Price_List_BA!L183</f>
        <v>50</v>
      </c>
      <c r="K480" s="665">
        <f>Price_List_BA!O183</f>
        <v>16.666666666666668</v>
      </c>
      <c r="L480" s="665">
        <f>Price_List_BA!P183</f>
        <v>17.676518166229901</v>
      </c>
    </row>
    <row r="481" spans="4:12" s="348" customFormat="1" ht="12.75" hidden="1" customHeight="1" outlineLevel="2" x14ac:dyDescent="0.2">
      <c r="D481" s="785" t="str">
        <f>Price_List_BA!D184</f>
        <v>Sponge holding forceps (UG)</v>
      </c>
      <c r="E481" s="786"/>
      <c r="F481" s="786"/>
      <c r="G481" s="786"/>
      <c r="J481" s="665">
        <f>Price_List_BA!L184</f>
        <v>8.1560000000000006</v>
      </c>
      <c r="K481" s="665">
        <f>Price_List_BA!O184</f>
        <v>2.718666666666667</v>
      </c>
      <c r="L481" s="665">
        <f>Price_List_BA!P184</f>
        <v>2.8833936432754217</v>
      </c>
    </row>
    <row r="482" spans="4:12" s="348" customFormat="1" ht="12.75" hidden="1" customHeight="1" outlineLevel="2" x14ac:dyDescent="0.2">
      <c r="D482" s="785" t="str">
        <f>Price_List_BA!D185</f>
        <v>Steel trolley (Two/three shelves) (ZM)</v>
      </c>
      <c r="E482" s="786"/>
      <c r="F482" s="786"/>
      <c r="G482" s="786"/>
      <c r="J482" s="665">
        <f>Price_List_BA!L185</f>
        <v>220</v>
      </c>
      <c r="K482" s="665">
        <f>Price_List_BA!O185</f>
        <v>55</v>
      </c>
      <c r="L482" s="665">
        <f>Price_List_BA!P185</f>
        <v>59.185949942478167</v>
      </c>
    </row>
    <row r="483" spans="4:12" s="348" customFormat="1" ht="12.75" hidden="1" customHeight="1" outlineLevel="2" x14ac:dyDescent="0.2">
      <c r="D483" s="785" t="str">
        <f>Price_List_BA!D186</f>
        <v>Step-on stool (ZM)</v>
      </c>
      <c r="E483" s="786"/>
      <c r="F483" s="786"/>
      <c r="G483" s="786"/>
      <c r="J483" s="665">
        <f>Price_List_BA!L186</f>
        <v>120</v>
      </c>
      <c r="K483" s="665">
        <f>Price_List_BA!O186</f>
        <v>13.333333333333334</v>
      </c>
      <c r="L483" s="665">
        <f>Price_List_BA!P186</f>
        <v>15.412062842172412</v>
      </c>
    </row>
    <row r="484" spans="4:12" s="348" customFormat="1" ht="12.75" hidden="1" customHeight="1" outlineLevel="2" x14ac:dyDescent="0.2">
      <c r="D484" s="785" t="str">
        <f>Price_List_BA!D187</f>
        <v>Sterilising Drum (ZM)</v>
      </c>
      <c r="E484" s="786"/>
      <c r="F484" s="786"/>
      <c r="G484" s="786"/>
      <c r="J484" s="665">
        <f>Price_List_BA!L187</f>
        <v>40</v>
      </c>
      <c r="K484" s="665">
        <f>Price_List_BA!O187</f>
        <v>10</v>
      </c>
      <c r="L484" s="665">
        <f>Price_List_BA!P187</f>
        <v>10.761081807723302</v>
      </c>
    </row>
    <row r="485" spans="4:12" s="348" customFormat="1" ht="12.75" hidden="1" customHeight="1" outlineLevel="2" x14ac:dyDescent="0.2">
      <c r="D485" s="785" t="str">
        <f>Price_List_BA!D188</f>
        <v>Sterilizer (UG)</v>
      </c>
      <c r="E485" s="786"/>
      <c r="F485" s="786"/>
      <c r="G485" s="786"/>
      <c r="J485" s="665">
        <f>Price_List_BA!L188</f>
        <v>1189.78</v>
      </c>
      <c r="K485" s="665">
        <f>Price_List_BA!O188</f>
        <v>198.29666666666665</v>
      </c>
      <c r="L485" s="665">
        <f>Price_List_BA!P188</f>
        <v>219.6304140856119</v>
      </c>
    </row>
    <row r="486" spans="4:12" s="348" customFormat="1" ht="12.75" hidden="1" customHeight="1" outlineLevel="2" x14ac:dyDescent="0.2">
      <c r="D486" s="785" t="str">
        <f>Price_List_BA!D189</f>
        <v>Television set (ZM)</v>
      </c>
      <c r="E486" s="786"/>
      <c r="F486" s="786"/>
      <c r="G486" s="786"/>
      <c r="J486" s="665">
        <f>Price_List_BA!L189</f>
        <v>200</v>
      </c>
      <c r="K486" s="665">
        <f>Price_List_BA!O189</f>
        <v>66.666666666666671</v>
      </c>
      <c r="L486" s="665">
        <f>Price_List_BA!P189</f>
        <v>70.706072664919603</v>
      </c>
    </row>
    <row r="487" spans="4:12" s="348" customFormat="1" ht="12.75" hidden="1" customHeight="1" outlineLevel="2" x14ac:dyDescent="0.2">
      <c r="D487" s="785" t="str">
        <f>Price_List_BA!D190</f>
        <v>Timer / wall clock (UG)</v>
      </c>
      <c r="E487" s="786"/>
      <c r="F487" s="786"/>
      <c r="G487" s="786"/>
      <c r="J487" s="665">
        <f>Price_List_BA!L190</f>
        <v>4.9939999999999998</v>
      </c>
      <c r="K487" s="665">
        <f>Price_List_BA!O190</f>
        <v>1.2484999999999999</v>
      </c>
      <c r="L487" s="665">
        <f>Price_List_BA!P190</f>
        <v>1.3435210636942543</v>
      </c>
    </row>
    <row r="488" spans="4:12" s="348" customFormat="1" ht="12.75" hidden="1" customHeight="1" outlineLevel="2" x14ac:dyDescent="0.2">
      <c r="D488" s="785" t="str">
        <f>Price_List_BA!D191</f>
        <v>Torch (UG)</v>
      </c>
      <c r="E488" s="786"/>
      <c r="F488" s="786"/>
      <c r="G488" s="786"/>
      <c r="J488" s="665">
        <f>Price_List_BA!L191</f>
        <v>39.595100000000002</v>
      </c>
      <c r="K488" s="665">
        <f>Price_List_BA!O191</f>
        <v>4.3994555555555559</v>
      </c>
      <c r="L488" s="665">
        <f>Price_List_BA!P191</f>
        <v>5.0853514120175074</v>
      </c>
    </row>
    <row r="489" spans="4:12" s="348" customFormat="1" ht="12.75" hidden="1" customHeight="1" outlineLevel="2" x14ac:dyDescent="0.2">
      <c r="D489" s="785" t="str">
        <f>Price_List_BA!D192</f>
        <v>Uterine Cervical Dilator (ZM)</v>
      </c>
      <c r="E489" s="786"/>
      <c r="F489" s="786"/>
      <c r="G489" s="786"/>
      <c r="J489" s="665">
        <f>Price_List_BA!L192</f>
        <v>30</v>
      </c>
      <c r="K489" s="665">
        <f>Price_List_BA!O192</f>
        <v>4.2857142857142856</v>
      </c>
      <c r="L489" s="665">
        <f>Price_List_BA!P192</f>
        <v>4.8151906126281609</v>
      </c>
    </row>
    <row r="490" spans="4:12" s="348" customFormat="1" ht="12.75" hidden="1" customHeight="1" outlineLevel="2" x14ac:dyDescent="0.2">
      <c r="D490" s="785" t="str">
        <f>Price_List_BA!D193</f>
        <v>Uterine Cervical Dilator  (TZ)</v>
      </c>
      <c r="E490" s="786"/>
      <c r="F490" s="786"/>
      <c r="G490" s="786"/>
      <c r="J490" s="665">
        <f>Price_List_BA!L193</f>
        <v>875</v>
      </c>
      <c r="K490" s="665">
        <f>Price_List_BA!O193</f>
        <v>291.66666666666669</v>
      </c>
      <c r="L490" s="665">
        <f>Price_List_BA!P193</f>
        <v>309.3390679090233</v>
      </c>
    </row>
    <row r="491" spans="4:12" s="348" customFormat="1" ht="12.75" hidden="1" customHeight="1" outlineLevel="2" x14ac:dyDescent="0.2">
      <c r="D491" s="785" t="str">
        <f>Price_List_BA!D194</f>
        <v>Uterine Probe (ZM)</v>
      </c>
      <c r="E491" s="786"/>
      <c r="F491" s="786"/>
      <c r="G491" s="786"/>
      <c r="J491" s="665">
        <f>Price_List_BA!L194</f>
        <v>46</v>
      </c>
      <c r="K491" s="665">
        <f>Price_List_BA!O194</f>
        <v>5.1111111111111107</v>
      </c>
      <c r="L491" s="665">
        <f>Price_List_BA!P194</f>
        <v>5.9079574228327578</v>
      </c>
    </row>
    <row r="492" spans="4:12" s="348" customFormat="1" ht="12.75" hidden="1" customHeight="1" outlineLevel="2" x14ac:dyDescent="0.2">
      <c r="D492" s="785" t="str">
        <f>Price_List_BA!D195</f>
        <v>Uterine Probe  (TZ)</v>
      </c>
      <c r="E492" s="786"/>
      <c r="F492" s="786"/>
      <c r="G492" s="786"/>
      <c r="J492" s="665">
        <f>Price_List_BA!L195</f>
        <v>43.75</v>
      </c>
      <c r="K492" s="665">
        <f>Price_List_BA!O195</f>
        <v>4.8611111111111107</v>
      </c>
      <c r="L492" s="665">
        <f>Price_List_BA!P195</f>
        <v>5.6189812445420255</v>
      </c>
    </row>
    <row r="493" spans="4:12" s="348" customFormat="1" ht="12.75" hidden="1" customHeight="1" outlineLevel="2" x14ac:dyDescent="0.2">
      <c r="D493" s="785" t="str">
        <f>Price_List_BA!D196</f>
        <v>Equipment Category 113</v>
      </c>
      <c r="E493" s="786"/>
      <c r="F493" s="786"/>
      <c r="G493" s="786"/>
      <c r="J493" s="665">
        <f>Price_List_BA!L196</f>
        <v>0</v>
      </c>
      <c r="K493" s="665">
        <f>Price_List_BA!O196</f>
        <v>0</v>
      </c>
      <c r="L493" s="665">
        <f>Price_List_BA!P196</f>
        <v>0</v>
      </c>
    </row>
    <row r="494" spans="4:12" s="348" customFormat="1" ht="12.75" hidden="1" customHeight="1" outlineLevel="2" x14ac:dyDescent="0.2">
      <c r="D494" s="785" t="str">
        <f>Price_List_BA!D197</f>
        <v>Equipment Category 114</v>
      </c>
      <c r="E494" s="786"/>
      <c r="F494" s="786"/>
      <c r="G494" s="786"/>
      <c r="J494" s="665">
        <f>Price_List_BA!L197</f>
        <v>0</v>
      </c>
      <c r="K494" s="665">
        <f>Price_List_BA!O197</f>
        <v>0</v>
      </c>
      <c r="L494" s="665">
        <f>Price_List_BA!P197</f>
        <v>0</v>
      </c>
    </row>
    <row r="495" spans="4:12" s="348" customFormat="1" ht="12.75" hidden="1" customHeight="1" outlineLevel="2" x14ac:dyDescent="0.2">
      <c r="D495" s="785" t="str">
        <f>Price_List_BA!D198</f>
        <v>Equipment Category 115</v>
      </c>
      <c r="E495" s="786"/>
      <c r="F495" s="786"/>
      <c r="G495" s="786"/>
      <c r="J495" s="665">
        <f>Price_List_BA!L198</f>
        <v>0</v>
      </c>
      <c r="K495" s="665">
        <f>Price_List_BA!O198</f>
        <v>0</v>
      </c>
      <c r="L495" s="665">
        <f>Price_List_BA!P198</f>
        <v>0</v>
      </c>
    </row>
    <row r="496" spans="4:12" s="348" customFormat="1" ht="12.75" hidden="1" customHeight="1" outlineLevel="2" x14ac:dyDescent="0.2">
      <c r="D496" s="785" t="str">
        <f>Price_List_BA!D199</f>
        <v>Equipment Category 116</v>
      </c>
      <c r="E496" s="786"/>
      <c r="F496" s="786"/>
      <c r="G496" s="786"/>
      <c r="J496" s="665">
        <f>Price_List_BA!L199</f>
        <v>0</v>
      </c>
      <c r="K496" s="665">
        <f>Price_List_BA!O199</f>
        <v>0</v>
      </c>
      <c r="L496" s="665">
        <f>Price_List_BA!P199</f>
        <v>0</v>
      </c>
    </row>
    <row r="497" spans="4:12" s="348" customFormat="1" ht="12.75" hidden="1" customHeight="1" outlineLevel="2" x14ac:dyDescent="0.2">
      <c r="D497" s="785" t="str">
        <f>Price_List_BA!D200</f>
        <v>Equipment Category 117</v>
      </c>
      <c r="E497" s="786"/>
      <c r="F497" s="786"/>
      <c r="G497" s="786"/>
      <c r="J497" s="665">
        <f>Price_List_BA!L200</f>
        <v>0</v>
      </c>
      <c r="K497" s="665">
        <f>Price_List_BA!O200</f>
        <v>0</v>
      </c>
      <c r="L497" s="665">
        <f>Price_List_BA!P200</f>
        <v>0</v>
      </c>
    </row>
    <row r="498" spans="4:12" s="348" customFormat="1" ht="12.75" hidden="1" customHeight="1" outlineLevel="2" x14ac:dyDescent="0.2">
      <c r="D498" s="785" t="str">
        <f>Price_List_BA!D201</f>
        <v>Equipment Category 118</v>
      </c>
      <c r="E498" s="786"/>
      <c r="F498" s="786"/>
      <c r="G498" s="786"/>
      <c r="J498" s="665">
        <f>Price_List_BA!L201</f>
        <v>0</v>
      </c>
      <c r="K498" s="665">
        <f>Price_List_BA!O201</f>
        <v>0</v>
      </c>
      <c r="L498" s="665">
        <f>Price_List_BA!P201</f>
        <v>0</v>
      </c>
    </row>
    <row r="499" spans="4:12" s="348" customFormat="1" ht="12.75" hidden="1" customHeight="1" outlineLevel="2" x14ac:dyDescent="0.2">
      <c r="D499" s="785" t="str">
        <f>Price_List_BA!D202</f>
        <v>Equipment Category 119</v>
      </c>
      <c r="E499" s="786"/>
      <c r="F499" s="786"/>
      <c r="G499" s="786"/>
      <c r="J499" s="665">
        <f>Price_List_BA!L202</f>
        <v>0</v>
      </c>
      <c r="K499" s="665">
        <f>Price_List_BA!O202</f>
        <v>0</v>
      </c>
      <c r="L499" s="665">
        <f>Price_List_BA!P202</f>
        <v>0</v>
      </c>
    </row>
    <row r="500" spans="4:12" s="348" customFormat="1" ht="12.75" hidden="1" customHeight="1" outlineLevel="2" x14ac:dyDescent="0.2">
      <c r="D500" s="785" t="str">
        <f>Price_List_BA!D203</f>
        <v>Equipment Category 120</v>
      </c>
      <c r="E500" s="786"/>
      <c r="F500" s="786"/>
      <c r="G500" s="786"/>
      <c r="J500" s="665">
        <f>Price_List_BA!L203</f>
        <v>0</v>
      </c>
      <c r="K500" s="665">
        <f>Price_List_BA!O203</f>
        <v>0</v>
      </c>
      <c r="L500" s="665">
        <f>Price_List_BA!P203</f>
        <v>0</v>
      </c>
    </row>
    <row r="501" spans="4:12" s="348" customFormat="1" ht="12.75" hidden="1" customHeight="1" outlineLevel="2" x14ac:dyDescent="0.2">
      <c r="D501" s="785" t="str">
        <f>Price_List_BA!D204</f>
        <v>Equipment Category 121</v>
      </c>
      <c r="E501" s="786"/>
      <c r="F501" s="786"/>
      <c r="G501" s="786"/>
      <c r="J501" s="665">
        <f>Price_List_BA!L204</f>
        <v>0</v>
      </c>
      <c r="K501" s="665">
        <f>Price_List_BA!O204</f>
        <v>0</v>
      </c>
      <c r="L501" s="665">
        <f>Price_List_BA!P204</f>
        <v>0</v>
      </c>
    </row>
    <row r="502" spans="4:12" s="348" customFormat="1" ht="12.75" hidden="1" customHeight="1" outlineLevel="2" x14ac:dyDescent="0.2">
      <c r="D502" s="785" t="str">
        <f>Price_List_BA!D205</f>
        <v>Equipment Category 122</v>
      </c>
      <c r="E502" s="786"/>
      <c r="F502" s="786"/>
      <c r="G502" s="786"/>
      <c r="J502" s="665">
        <f>Price_List_BA!L205</f>
        <v>0</v>
      </c>
      <c r="K502" s="665">
        <f>Price_List_BA!O205</f>
        <v>0</v>
      </c>
      <c r="L502" s="665">
        <f>Price_List_BA!P205</f>
        <v>0</v>
      </c>
    </row>
    <row r="503" spans="4:12" s="348" customFormat="1" ht="12.75" hidden="1" customHeight="1" outlineLevel="2" x14ac:dyDescent="0.2">
      <c r="D503" s="785" t="str">
        <f>Price_List_BA!D206</f>
        <v>Equipment Category 123</v>
      </c>
      <c r="E503" s="786"/>
      <c r="F503" s="786"/>
      <c r="G503" s="786"/>
      <c r="J503" s="665">
        <f>Price_List_BA!L206</f>
        <v>0</v>
      </c>
      <c r="K503" s="665">
        <f>Price_List_BA!O206</f>
        <v>0</v>
      </c>
      <c r="L503" s="665">
        <f>Price_List_BA!P206</f>
        <v>0</v>
      </c>
    </row>
    <row r="504" spans="4:12" s="348" customFormat="1" hidden="1" outlineLevel="2" x14ac:dyDescent="0.2"/>
    <row r="505" spans="4:12" s="348" customFormat="1" ht="25.5" hidden="1" outlineLevel="2" x14ac:dyDescent="0.2">
      <c r="D505" s="667" t="s">
        <v>186</v>
      </c>
      <c r="J505" s="671" t="s">
        <v>951</v>
      </c>
      <c r="L505" s="365" t="str">
        <f>"Cost per Unit ("&amp;$I$143&amp;"/Unit)"</f>
        <v>Cost per Unit (USD/Unit)</v>
      </c>
    </row>
    <row r="506" spans="4:12" s="348" customFormat="1" ht="12.95" hidden="1" customHeight="1" outlineLevel="2" x14ac:dyDescent="0.2">
      <c r="D506" s="785" t="str">
        <f>Price_List_BA!D381</f>
        <v>_Not Applicable</v>
      </c>
      <c r="E506" s="786"/>
      <c r="F506" s="786"/>
      <c r="G506" s="786"/>
      <c r="L506" s="665">
        <f>Price_List_BA!L381</f>
        <v>0</v>
      </c>
    </row>
    <row r="507" spans="4:12" s="348" customFormat="1" ht="12.95" hidden="1" customHeight="1" outlineLevel="2" x14ac:dyDescent="0.2">
      <c r="D507" s="785" t="str">
        <f>Price_List_BA!D382</f>
        <v>Biopsy Pathology (ZM)</v>
      </c>
      <c r="E507" s="786"/>
      <c r="F507" s="786"/>
      <c r="G507" s="786"/>
      <c r="L507" s="665">
        <f>Price_List_BA!L382</f>
        <v>10.45</v>
      </c>
    </row>
    <row r="508" spans="4:12" s="348" customFormat="1" ht="12.95" hidden="1" customHeight="1" outlineLevel="2" x14ac:dyDescent="0.2">
      <c r="D508" s="785" t="str">
        <f>Price_List_BA!D383</f>
        <v>Blood chemistry (TZ)</v>
      </c>
      <c r="E508" s="786"/>
      <c r="F508" s="786"/>
      <c r="G508" s="786"/>
      <c r="L508" s="665">
        <f>Price_List_BA!L383</f>
        <v>21.875</v>
      </c>
    </row>
    <row r="509" spans="4:12" s="348" customFormat="1" ht="12.95" hidden="1" customHeight="1" outlineLevel="2" x14ac:dyDescent="0.2">
      <c r="D509" s="785" t="str">
        <f>Price_List_BA!D384</f>
        <v>Blood slide for malaria (TZ)</v>
      </c>
      <c r="E509" s="786"/>
      <c r="F509" s="786"/>
      <c r="G509" s="786"/>
      <c r="L509" s="665">
        <f>Price_List_BA!L384</f>
        <v>1.25</v>
      </c>
    </row>
    <row r="510" spans="4:12" s="348" customFormat="1" ht="12.95" hidden="1" customHeight="1" outlineLevel="2" x14ac:dyDescent="0.2">
      <c r="D510" s="785" t="str">
        <f>Price_List_BA!D385</f>
        <v>CareHPV test (TZ)</v>
      </c>
      <c r="E510" s="786"/>
      <c r="F510" s="786"/>
      <c r="G510" s="786"/>
      <c r="L510" s="665">
        <f>Price_List_BA!L385</f>
        <v>5</v>
      </c>
    </row>
    <row r="511" spans="4:12" s="348" customFormat="1" ht="12.95" hidden="1" customHeight="1" outlineLevel="2" x14ac:dyDescent="0.2">
      <c r="D511" s="785" t="str">
        <f>Price_List_BA!D386</f>
        <v>Chest X-ray (ZM)</v>
      </c>
      <c r="E511" s="786"/>
      <c r="F511" s="786"/>
      <c r="G511" s="786"/>
      <c r="L511" s="665">
        <f>Price_List_BA!L386</f>
        <v>1.67</v>
      </c>
    </row>
    <row r="512" spans="4:12" s="348" customFormat="1" ht="12.95" hidden="1" customHeight="1" outlineLevel="2" x14ac:dyDescent="0.2">
      <c r="D512" s="785" t="str">
        <f>Price_List_BA!D387</f>
        <v>Chest x-ray (TZ)</v>
      </c>
      <c r="E512" s="786"/>
      <c r="F512" s="786"/>
      <c r="G512" s="786"/>
      <c r="L512" s="665">
        <f>Price_List_BA!L387</f>
        <v>3.75</v>
      </c>
    </row>
    <row r="513" spans="4:12" s="348" customFormat="1" ht="12.95" hidden="1" customHeight="1" outlineLevel="2" x14ac:dyDescent="0.2">
      <c r="D513" s="785" t="str">
        <f>Price_List_BA!D388</f>
        <v>Full Blood Count (ZM)</v>
      </c>
      <c r="E513" s="786"/>
      <c r="F513" s="786"/>
      <c r="G513" s="786"/>
      <c r="L513" s="665">
        <f>Price_List_BA!L388</f>
        <v>2.5</v>
      </c>
    </row>
    <row r="514" spans="4:12" s="348" customFormat="1" ht="12.95" hidden="1" customHeight="1" outlineLevel="2" x14ac:dyDescent="0.2">
      <c r="D514" s="785" t="str">
        <f>Price_List_BA!D389</f>
        <v>Full blood picture (TZ)</v>
      </c>
      <c r="E514" s="786"/>
      <c r="F514" s="786"/>
      <c r="G514" s="786"/>
      <c r="L514" s="665">
        <f>Price_List_BA!L389</f>
        <v>6.25</v>
      </c>
    </row>
    <row r="515" spans="4:12" s="348" customFormat="1" ht="12.75" hidden="1" customHeight="1" outlineLevel="2" x14ac:dyDescent="0.2">
      <c r="D515" s="785" t="str">
        <f>Price_List_BA!D390</f>
        <v>Grouping, X matching (TZ)</v>
      </c>
      <c r="E515" s="786"/>
      <c r="F515" s="786"/>
      <c r="G515" s="786"/>
      <c r="L515" s="665">
        <f>Price_List_BA!L390</f>
        <v>1.875</v>
      </c>
    </row>
    <row r="516" spans="4:12" s="348" customFormat="1" ht="12.75" hidden="1" customHeight="1" outlineLevel="2" x14ac:dyDescent="0.2">
      <c r="D516" s="785" t="str">
        <f>Price_List_BA!D391</f>
        <v>Haemoglobin (TZ)</v>
      </c>
      <c r="E516" s="786"/>
      <c r="F516" s="786"/>
      <c r="G516" s="786"/>
      <c r="L516" s="665">
        <f>Price_List_BA!L391</f>
        <v>0.625</v>
      </c>
    </row>
    <row r="517" spans="4:12" s="348" customFormat="1" ht="12.75" hidden="1" customHeight="1" outlineLevel="2" x14ac:dyDescent="0.2">
      <c r="D517" s="785" t="str">
        <f>Price_List_BA!D392</f>
        <v>Histopathology (TZ)</v>
      </c>
      <c r="E517" s="786"/>
      <c r="F517" s="786"/>
      <c r="G517" s="786"/>
      <c r="L517" s="665">
        <f>Price_List_BA!L392</f>
        <v>31.25</v>
      </c>
    </row>
    <row r="518" spans="4:12" s="348" customFormat="1" ht="12.75" hidden="1" customHeight="1" outlineLevel="2" x14ac:dyDescent="0.2">
      <c r="D518" s="785" t="str">
        <f>Price_List_BA!D393</f>
        <v>Home Care (Day) (TZ)</v>
      </c>
      <c r="E518" s="786"/>
      <c r="F518" s="786"/>
      <c r="G518" s="786"/>
      <c r="L518" s="665">
        <f>Price_List_BA!L393</f>
        <v>12.5</v>
      </c>
    </row>
    <row r="519" spans="4:12" s="348" customFormat="1" ht="12.75" hidden="1" customHeight="1" outlineLevel="2" x14ac:dyDescent="0.2">
      <c r="D519" s="785" t="str">
        <f>Price_List_BA!D394</f>
        <v>Hospital Stay (Bed Day) (TZ)</v>
      </c>
      <c r="E519" s="786"/>
      <c r="F519" s="786"/>
      <c r="G519" s="786"/>
      <c r="L519" s="665">
        <f>Price_List_BA!L394</f>
        <v>18.75</v>
      </c>
    </row>
    <row r="520" spans="4:12" s="348" customFormat="1" ht="12.75" hidden="1" customHeight="1" outlineLevel="2" x14ac:dyDescent="0.2">
      <c r="D520" s="785" t="str">
        <f>Price_List_BA!D395</f>
        <v>Hysterectomy Pathology (ZM)</v>
      </c>
      <c r="E520" s="786"/>
      <c r="F520" s="786"/>
      <c r="G520" s="786"/>
      <c r="L520" s="665">
        <f>Price_List_BA!L395</f>
        <v>135.77000000000001</v>
      </c>
    </row>
    <row r="521" spans="4:12" s="348" customFormat="1" ht="12.75" hidden="1" customHeight="1" outlineLevel="2" x14ac:dyDescent="0.2">
      <c r="D521" s="785" t="str">
        <f>Price_List_BA!D396</f>
        <v>LEEP Pathology (ZM)</v>
      </c>
      <c r="E521" s="786"/>
      <c r="F521" s="786"/>
      <c r="G521" s="786"/>
      <c r="L521" s="665">
        <f>Price_List_BA!L396</f>
        <v>62.66</v>
      </c>
    </row>
    <row r="522" spans="4:12" s="348" customFormat="1" ht="12.75" hidden="1" customHeight="1" outlineLevel="2" x14ac:dyDescent="0.2">
      <c r="D522" s="785" t="str">
        <f>Price_List_BA!D397</f>
        <v>Liver Function (ZM)</v>
      </c>
      <c r="E522" s="786"/>
      <c r="F522" s="786"/>
      <c r="G522" s="786"/>
      <c r="L522" s="665">
        <f>Price_List_BA!L397</f>
        <v>6.67</v>
      </c>
    </row>
    <row r="523" spans="4:12" s="348" customFormat="1" ht="12.75" hidden="1" customHeight="1" outlineLevel="2" x14ac:dyDescent="0.2">
      <c r="D523" s="785" t="str">
        <f>Price_List_BA!D398</f>
        <v>Planning x-ray (TZ)</v>
      </c>
      <c r="E523" s="786"/>
      <c r="F523" s="786"/>
      <c r="G523" s="786"/>
      <c r="L523" s="665">
        <f>Price_List_BA!L398</f>
        <v>3.75</v>
      </c>
    </row>
    <row r="524" spans="4:12" s="348" customFormat="1" ht="12.75" hidden="1" customHeight="1" outlineLevel="2" x14ac:dyDescent="0.2">
      <c r="D524" s="785" t="str">
        <f>Price_List_BA!D399</f>
        <v>Renal Function (ZM)</v>
      </c>
      <c r="E524" s="786"/>
      <c r="F524" s="786"/>
      <c r="G524" s="786"/>
      <c r="L524" s="665">
        <f>Price_List_BA!L399</f>
        <v>3.33</v>
      </c>
    </row>
    <row r="525" spans="4:12" s="348" customFormat="1" ht="12.75" hidden="1" customHeight="1" outlineLevel="2" x14ac:dyDescent="0.2">
      <c r="D525" s="785" t="str">
        <f>Price_List_BA!D400</f>
        <v>Ultrasound (ZM)</v>
      </c>
      <c r="E525" s="786"/>
      <c r="F525" s="786"/>
      <c r="G525" s="786"/>
      <c r="L525" s="665">
        <f>Price_List_BA!L400</f>
        <v>4.17</v>
      </c>
    </row>
    <row r="526" spans="4:12" s="348" customFormat="1" ht="12.75" hidden="1" customHeight="1" outlineLevel="2" x14ac:dyDescent="0.2">
      <c r="D526" s="785" t="str">
        <f>Price_List_BA!D401</f>
        <v>ultrasound (abdominal &amp; pelvic) (TZ)</v>
      </c>
      <c r="E526" s="786"/>
      <c r="F526" s="786"/>
      <c r="G526" s="786"/>
      <c r="L526" s="665">
        <f>Price_List_BA!L401</f>
        <v>15.625</v>
      </c>
    </row>
    <row r="527" spans="4:12" s="348" customFormat="1" ht="12.75" hidden="1" customHeight="1" outlineLevel="2" x14ac:dyDescent="0.2">
      <c r="D527" s="785" t="str">
        <f>Price_List_BA!D402</f>
        <v>Urine/stool test (TZ)</v>
      </c>
      <c r="E527" s="786"/>
      <c r="F527" s="786"/>
      <c r="G527" s="786"/>
      <c r="L527" s="665">
        <f>Price_List_BA!L402</f>
        <v>2.5</v>
      </c>
    </row>
    <row r="528" spans="4:12" s="348" customFormat="1" hidden="1" outlineLevel="2" x14ac:dyDescent="0.2">
      <c r="D528" s="785" t="str">
        <f>Price_List_BA!D403</f>
        <v>Lab Tests &amp; Other Direct Costs Category 23</v>
      </c>
      <c r="E528" s="786"/>
      <c r="F528" s="786"/>
      <c r="G528" s="786"/>
      <c r="L528" s="665">
        <f>Price_List_BA!L403</f>
        <v>0</v>
      </c>
    </row>
    <row r="529" spans="3:12" s="348" customFormat="1" hidden="1" outlineLevel="2" x14ac:dyDescent="0.2">
      <c r="D529" s="785" t="str">
        <f>Price_List_BA!D404</f>
        <v>Lab Tests &amp; Other Direct Costs Category 24</v>
      </c>
      <c r="E529" s="786"/>
      <c r="F529" s="786"/>
      <c r="G529" s="786"/>
      <c r="L529" s="665">
        <f>Price_List_BA!L404</f>
        <v>0</v>
      </c>
    </row>
    <row r="530" spans="3:12" s="348" customFormat="1" hidden="1" outlineLevel="2" x14ac:dyDescent="0.2">
      <c r="D530" s="785" t="str">
        <f>Price_List_BA!D405</f>
        <v>Lab Tests &amp; Other Direct Costs Category 25</v>
      </c>
      <c r="E530" s="786"/>
      <c r="F530" s="786"/>
      <c r="G530" s="786"/>
      <c r="L530" s="665">
        <f>Price_List_BA!L405</f>
        <v>0</v>
      </c>
    </row>
    <row r="531" spans="3:12" s="348" customFormat="1" hidden="1" outlineLevel="2" x14ac:dyDescent="0.2">
      <c r="D531" s="785" t="str">
        <f>Price_List_BA!D406</f>
        <v>Lab Tests &amp; Other Direct Costs Category 26</v>
      </c>
      <c r="E531" s="786"/>
      <c r="F531" s="786"/>
      <c r="G531" s="786"/>
      <c r="L531" s="665">
        <f>Price_List_BA!L406</f>
        <v>0</v>
      </c>
    </row>
    <row r="532" spans="3:12" s="348" customFormat="1" hidden="1" outlineLevel="2" x14ac:dyDescent="0.2">
      <c r="D532" s="785" t="str">
        <f>Price_List_BA!D407</f>
        <v>Lab Tests &amp; Other Direct Costs Category 27</v>
      </c>
      <c r="E532" s="786"/>
      <c r="F532" s="786"/>
      <c r="G532" s="786"/>
      <c r="L532" s="665">
        <f>Price_List_BA!L407</f>
        <v>0</v>
      </c>
    </row>
    <row r="533" spans="3:12" s="348" customFormat="1" hidden="1" outlineLevel="2" x14ac:dyDescent="0.2">
      <c r="D533" s="785" t="str">
        <f>Price_List_BA!D408</f>
        <v>Lab Tests &amp; Other Direct Costs Category 28</v>
      </c>
      <c r="E533" s="786"/>
      <c r="F533" s="786"/>
      <c r="G533" s="786"/>
      <c r="L533" s="665">
        <f>Price_List_BA!L408</f>
        <v>0</v>
      </c>
    </row>
    <row r="534" spans="3:12" s="348" customFormat="1" hidden="1" outlineLevel="2" x14ac:dyDescent="0.2">
      <c r="D534" s="785" t="str">
        <f>Price_List_BA!D409</f>
        <v>Lab Tests &amp; Other Direct Costs Category 29</v>
      </c>
      <c r="E534" s="786"/>
      <c r="F534" s="786"/>
      <c r="G534" s="786"/>
      <c r="L534" s="665">
        <f>Price_List_BA!L409</f>
        <v>0</v>
      </c>
    </row>
    <row r="535" spans="3:12" s="348" customFormat="1" hidden="1" outlineLevel="2" x14ac:dyDescent="0.2">
      <c r="D535" s="785" t="str">
        <f>Price_List_BA!D410</f>
        <v>Lab Tests &amp; Other Direct Costs Category 30</v>
      </c>
      <c r="E535" s="786"/>
      <c r="F535" s="786"/>
      <c r="G535" s="786"/>
      <c r="L535" s="665">
        <f>Price_List_BA!L410</f>
        <v>0</v>
      </c>
    </row>
    <row r="536" spans="3:12" s="348" customFormat="1" hidden="1" outlineLevel="2" x14ac:dyDescent="0.2">
      <c r="D536" s="785" t="str">
        <f>Price_List_BA!D411</f>
        <v>Lab Tests &amp; Other Direct Costs Category 31</v>
      </c>
      <c r="E536" s="786"/>
      <c r="F536" s="786"/>
      <c r="G536" s="786"/>
      <c r="L536" s="665">
        <f>Price_List_BA!L411</f>
        <v>0</v>
      </c>
    </row>
    <row r="537" spans="3:12" s="348" customFormat="1" hidden="1" outlineLevel="2" x14ac:dyDescent="0.2">
      <c r="D537" s="785" t="str">
        <f>Price_List_BA!D412</f>
        <v>Lab Tests &amp; Other Direct Costs Category 32</v>
      </c>
      <c r="E537" s="786"/>
      <c r="F537" s="786"/>
      <c r="G537" s="786"/>
      <c r="L537" s="665">
        <f>Price_List_BA!L412</f>
        <v>0</v>
      </c>
    </row>
    <row r="538" spans="3:12" s="348" customFormat="1" ht="12.75" hidden="1" customHeight="1" outlineLevel="2" x14ac:dyDescent="0.2">
      <c r="D538" s="785" t="str">
        <f>Price_List_BA!D413</f>
        <v>Last ODC Row</v>
      </c>
      <c r="E538" s="786"/>
      <c r="F538" s="786"/>
      <c r="G538" s="786"/>
      <c r="L538" s="665">
        <f>Price_List_BA!L413</f>
        <v>0</v>
      </c>
    </row>
    <row r="539" spans="3:12" s="348" customFormat="1" hidden="1" outlineLevel="2" x14ac:dyDescent="0.2"/>
    <row r="540" spans="3:12" s="348" customFormat="1" hidden="1" outlineLevel="2" x14ac:dyDescent="0.2">
      <c r="D540" s="671" t="s">
        <v>312</v>
      </c>
      <c r="I540" s="130">
        <f>IF(ISERROR(SUM(U$61:U$63,U$73:U$75,U$87:U$92,U$104:U$106,U$120:U$120,U$143)),1,MIN(SUM(U$61:U$63,U$73:U$75,U$87:U$92,U$104:U$106,U$120:U$120,U$143),1))</f>
        <v>0</v>
      </c>
    </row>
    <row r="541" spans="3:12" s="348" customFormat="1" collapsed="1" x14ac:dyDescent="0.2">
      <c r="C541" s="671" t="s">
        <v>23</v>
      </c>
      <c r="I541" s="131">
        <f>IF(ISERROR(SUM(I540)),1,MIN(SUM(I540),1))</f>
        <v>0</v>
      </c>
    </row>
    <row r="542" spans="3:12" s="348" customFormat="1" x14ac:dyDescent="0.2"/>
    <row r="543" spans="3:12" s="348" customFormat="1" x14ac:dyDescent="0.2">
      <c r="C543" s="722" t="str">
        <f>"Go to "&amp;HL_Diag_Ann_Ass</f>
        <v>Go to Diagnostic Services - Annual Assumptions</v>
      </c>
      <c r="D543" s="777"/>
      <c r="E543" s="777"/>
      <c r="F543" s="777"/>
      <c r="G543" s="777"/>
      <c r="H543" s="777"/>
      <c r="I543" s="777"/>
    </row>
    <row r="544" spans="3:12" s="348" customFormat="1" x14ac:dyDescent="0.2">
      <c r="C544" s="722" t="str">
        <f>"Go to "&amp;HL_Diag_Out</f>
        <v>Go to BIOP-H - Outputs</v>
      </c>
      <c r="D544" s="777"/>
      <c r="E544" s="777"/>
      <c r="F544" s="777"/>
      <c r="G544" s="777"/>
      <c r="H544" s="777"/>
      <c r="I544" s="777"/>
    </row>
  </sheetData>
  <sheetProtection password="F0F4" sheet="1" scenarios="1"/>
  <mergeCells count="499">
    <mergeCell ref="D320:G320"/>
    <mergeCell ref="D317:G317"/>
    <mergeCell ref="D318:G318"/>
    <mergeCell ref="D330:G330"/>
    <mergeCell ref="D344:G344"/>
    <mergeCell ref="D343:G343"/>
    <mergeCell ref="D342:G342"/>
    <mergeCell ref="D341:G341"/>
    <mergeCell ref="D386:G386"/>
    <mergeCell ref="D329:G329"/>
    <mergeCell ref="D328:G328"/>
    <mergeCell ref="D326:G326"/>
    <mergeCell ref="D327:G327"/>
    <mergeCell ref="D319:G319"/>
    <mergeCell ref="D378:G378"/>
    <mergeCell ref="D385:G385"/>
    <mergeCell ref="D381:G381"/>
    <mergeCell ref="D375:G375"/>
    <mergeCell ref="D376:G376"/>
    <mergeCell ref="D377:G377"/>
    <mergeCell ref="D331:G331"/>
    <mergeCell ref="D374:G374"/>
    <mergeCell ref="D373:G373"/>
    <mergeCell ref="D361:G361"/>
    <mergeCell ref="D387:G387"/>
    <mergeCell ref="D365:G365"/>
    <mergeCell ref="D364:G364"/>
    <mergeCell ref="D224:G224"/>
    <mergeCell ref="D225:G225"/>
    <mergeCell ref="D236:G236"/>
    <mergeCell ref="D242:G242"/>
    <mergeCell ref="D340:G340"/>
    <mergeCell ref="D339:G339"/>
    <mergeCell ref="D338:G338"/>
    <mergeCell ref="D355:G355"/>
    <mergeCell ref="D354:G354"/>
    <mergeCell ref="D353:G353"/>
    <mergeCell ref="D352:G352"/>
    <mergeCell ref="D351:G351"/>
    <mergeCell ref="D350:G350"/>
    <mergeCell ref="D349:G349"/>
    <mergeCell ref="D348:G348"/>
    <mergeCell ref="D347:G347"/>
    <mergeCell ref="D371:G371"/>
    <mergeCell ref="D370:G370"/>
    <mergeCell ref="D369:G369"/>
    <mergeCell ref="D368:G368"/>
    <mergeCell ref="D345:G345"/>
    <mergeCell ref="D161:G161"/>
    <mergeCell ref="D164:G164"/>
    <mergeCell ref="D174:G174"/>
    <mergeCell ref="D173:G173"/>
    <mergeCell ref="D191:G191"/>
    <mergeCell ref="D192:G192"/>
    <mergeCell ref="D193:G193"/>
    <mergeCell ref="D194:G194"/>
    <mergeCell ref="D176:G176"/>
    <mergeCell ref="D175:G175"/>
    <mergeCell ref="D186:G186"/>
    <mergeCell ref="D190:G190"/>
    <mergeCell ref="D171:G171"/>
    <mergeCell ref="D170:G170"/>
    <mergeCell ref="D183:G183"/>
    <mergeCell ref="D315:G315"/>
    <mergeCell ref="D322:G322"/>
    <mergeCell ref="D321:G321"/>
    <mergeCell ref="K113:P113"/>
    <mergeCell ref="D114:I114"/>
    <mergeCell ref="K114:P114"/>
    <mergeCell ref="D115:I115"/>
    <mergeCell ref="K115:P115"/>
    <mergeCell ref="D123:I123"/>
    <mergeCell ref="K123:P123"/>
    <mergeCell ref="K126:P126"/>
    <mergeCell ref="D156:G156"/>
    <mergeCell ref="D155:G155"/>
    <mergeCell ref="D146:G146"/>
    <mergeCell ref="D124:I124"/>
    <mergeCell ref="K124:P124"/>
    <mergeCell ref="K125:P125"/>
    <mergeCell ref="D150:G150"/>
    <mergeCell ref="D153:G153"/>
    <mergeCell ref="D152:G152"/>
    <mergeCell ref="D160:G160"/>
    <mergeCell ref="D159:G159"/>
    <mergeCell ref="D157:G157"/>
    <mergeCell ref="D180:G180"/>
    <mergeCell ref="D296:G296"/>
    <mergeCell ref="D147:G147"/>
    <mergeCell ref="D148:G148"/>
    <mergeCell ref="D167:G167"/>
    <mergeCell ref="D166:G166"/>
    <mergeCell ref="D220:G220"/>
    <mergeCell ref="D219:G219"/>
    <mergeCell ref="D218:G218"/>
    <mergeCell ref="D226:G226"/>
    <mergeCell ref="D258:G258"/>
    <mergeCell ref="D257:G257"/>
    <mergeCell ref="D256:G256"/>
    <mergeCell ref="D254:G254"/>
    <mergeCell ref="D253:G253"/>
    <mergeCell ref="D252:G252"/>
    <mergeCell ref="D251:G251"/>
    <mergeCell ref="D250:G250"/>
    <mergeCell ref="D249:G249"/>
    <mergeCell ref="D288:G288"/>
    <mergeCell ref="D287:G287"/>
    <mergeCell ref="D286:G286"/>
    <mergeCell ref="D268:G268"/>
    <mergeCell ref="D267:G267"/>
    <mergeCell ref="D165:G165"/>
    <mergeCell ref="K96:P96"/>
    <mergeCell ref="D97:I97"/>
    <mergeCell ref="K97:P97"/>
    <mergeCell ref="D98:I98"/>
    <mergeCell ref="K98:P98"/>
    <mergeCell ref="D99:I99"/>
    <mergeCell ref="K99:P99"/>
    <mergeCell ref="D112:I112"/>
    <mergeCell ref="K112:P112"/>
    <mergeCell ref="L102:N102"/>
    <mergeCell ref="O104:Q104"/>
    <mergeCell ref="O105:Q105"/>
    <mergeCell ref="O103:Q103"/>
    <mergeCell ref="D105:G105"/>
    <mergeCell ref="B3:F3"/>
    <mergeCell ref="G9:J9"/>
    <mergeCell ref="G10:J10"/>
    <mergeCell ref="D76:G76"/>
    <mergeCell ref="D74:G74"/>
    <mergeCell ref="D46:I46"/>
    <mergeCell ref="K46:N46"/>
    <mergeCell ref="D47:I47"/>
    <mergeCell ref="K47:N47"/>
    <mergeCell ref="D48:I48"/>
    <mergeCell ref="K48:N48"/>
    <mergeCell ref="D63:G63"/>
    <mergeCell ref="D64:G64"/>
    <mergeCell ref="K64:M64"/>
    <mergeCell ref="K59:M59"/>
    <mergeCell ref="D49:I49"/>
    <mergeCell ref="K49:N49"/>
    <mergeCell ref="D50:I50"/>
    <mergeCell ref="K50:N50"/>
    <mergeCell ref="D53:I53"/>
    <mergeCell ref="K53:N53"/>
    <mergeCell ref="D54:I54"/>
    <mergeCell ref="K54:N54"/>
    <mergeCell ref="D55:I55"/>
    <mergeCell ref="M89:O89"/>
    <mergeCell ref="J71:J72"/>
    <mergeCell ref="K71:M71"/>
    <mergeCell ref="N71:N72"/>
    <mergeCell ref="J59:J60"/>
    <mergeCell ref="D75:G75"/>
    <mergeCell ref="N59:N60"/>
    <mergeCell ref="D61:G61"/>
    <mergeCell ref="D62:G62"/>
    <mergeCell ref="D73:G73"/>
    <mergeCell ref="D66:I66"/>
    <mergeCell ref="K66:P66"/>
    <mergeCell ref="K81:P81"/>
    <mergeCell ref="K76:M76"/>
    <mergeCell ref="K55:N55"/>
    <mergeCell ref="D90:G90"/>
    <mergeCell ref="M90:O90"/>
    <mergeCell ref="D91:G91"/>
    <mergeCell ref="M91:O91"/>
    <mergeCell ref="D67:I67"/>
    <mergeCell ref="K67:P67"/>
    <mergeCell ref="D68:I68"/>
    <mergeCell ref="K68:P68"/>
    <mergeCell ref="D69:I69"/>
    <mergeCell ref="K69:P69"/>
    <mergeCell ref="D78:I78"/>
    <mergeCell ref="K78:P78"/>
    <mergeCell ref="D79:I79"/>
    <mergeCell ref="K79:P79"/>
    <mergeCell ref="D80:I80"/>
    <mergeCell ref="K80:P80"/>
    <mergeCell ref="D88:G88"/>
    <mergeCell ref="M88:O88"/>
    <mergeCell ref="M86:O86"/>
    <mergeCell ref="D87:G87"/>
    <mergeCell ref="M87:O87"/>
    <mergeCell ref="D81:I81"/>
    <mergeCell ref="D89:G89"/>
    <mergeCell ref="C544:I544"/>
    <mergeCell ref="M119:O119"/>
    <mergeCell ref="D120:G120"/>
    <mergeCell ref="D121:G121"/>
    <mergeCell ref="M120:O120"/>
    <mergeCell ref="D179:G179"/>
    <mergeCell ref="D181:G181"/>
    <mergeCell ref="D182:G182"/>
    <mergeCell ref="C543:I543"/>
    <mergeCell ref="D184:G184"/>
    <mergeCell ref="I143:J143"/>
    <mergeCell ref="D399:G399"/>
    <mergeCell ref="D398:G398"/>
    <mergeCell ref="D149:G149"/>
    <mergeCell ref="D151:G151"/>
    <mergeCell ref="D154:G154"/>
    <mergeCell ref="D196:G196"/>
    <mergeCell ref="D162:G162"/>
    <mergeCell ref="D217:G217"/>
    <mergeCell ref="D216:G216"/>
    <mergeCell ref="D215:G215"/>
    <mergeCell ref="D235:G235"/>
    <mergeCell ref="D234:G234"/>
    <mergeCell ref="D233:G233"/>
    <mergeCell ref="D93:G93"/>
    <mergeCell ref="D104:G104"/>
    <mergeCell ref="D228:G228"/>
    <mergeCell ref="D227:G227"/>
    <mergeCell ref="D229:G229"/>
    <mergeCell ref="D239:G239"/>
    <mergeCell ref="D238:G238"/>
    <mergeCell ref="D237:G237"/>
    <mergeCell ref="D125:I125"/>
    <mergeCell ref="D113:I113"/>
    <mergeCell ref="D96:I96"/>
    <mergeCell ref="D168:G168"/>
    <mergeCell ref="D200:G200"/>
    <mergeCell ref="D201:G201"/>
    <mergeCell ref="D202:G202"/>
    <mergeCell ref="D169:G169"/>
    <mergeCell ref="D126:I126"/>
    <mergeCell ref="D158:G158"/>
    <mergeCell ref="D185:G185"/>
    <mergeCell ref="D223:G223"/>
    <mergeCell ref="D222:G222"/>
    <mergeCell ref="D221:G221"/>
    <mergeCell ref="D163:G163"/>
    <mergeCell ref="D232:G232"/>
    <mergeCell ref="D360:G360"/>
    <mergeCell ref="D359:G359"/>
    <mergeCell ref="D337:G337"/>
    <mergeCell ref="D336:G336"/>
    <mergeCell ref="D335:G335"/>
    <mergeCell ref="D334:G334"/>
    <mergeCell ref="D333:G333"/>
    <mergeCell ref="D384:G384"/>
    <mergeCell ref="D346:G346"/>
    <mergeCell ref="D383:G383"/>
    <mergeCell ref="D367:G367"/>
    <mergeCell ref="D366:G366"/>
    <mergeCell ref="D363:G363"/>
    <mergeCell ref="D362:G362"/>
    <mergeCell ref="D451:G451"/>
    <mergeCell ref="D447:G447"/>
    <mergeCell ref="D441:G441"/>
    <mergeCell ref="D411:G411"/>
    <mergeCell ref="D420:G420"/>
    <mergeCell ref="D450:G450"/>
    <mergeCell ref="D446:G446"/>
    <mergeCell ref="D445:G445"/>
    <mergeCell ref="D444:G444"/>
    <mergeCell ref="D443:G443"/>
    <mergeCell ref="D424:G424"/>
    <mergeCell ref="D423:G423"/>
    <mergeCell ref="D422:G422"/>
    <mergeCell ref="D421:G421"/>
    <mergeCell ref="D428:G428"/>
    <mergeCell ref="D427:G427"/>
    <mergeCell ref="D426:G426"/>
    <mergeCell ref="D425:G425"/>
    <mergeCell ref="D442:G442"/>
    <mergeCell ref="D449:G449"/>
    <mergeCell ref="D448:G448"/>
    <mergeCell ref="D438:G438"/>
    <mergeCell ref="D437:G437"/>
    <mergeCell ref="D436:G436"/>
    <mergeCell ref="D300:G300"/>
    <mergeCell ref="D299:G299"/>
    <mergeCell ref="D297:G297"/>
    <mergeCell ref="D302:G302"/>
    <mergeCell ref="D301:G301"/>
    <mergeCell ref="D266:G266"/>
    <mergeCell ref="D285:G285"/>
    <mergeCell ref="D298:G298"/>
    <mergeCell ref="D506:G506"/>
    <mergeCell ref="D494:G494"/>
    <mergeCell ref="D493:G493"/>
    <mergeCell ref="D492:G492"/>
    <mergeCell ref="D501:G501"/>
    <mergeCell ref="D500:G500"/>
    <mergeCell ref="D499:G499"/>
    <mergeCell ref="D498:G498"/>
    <mergeCell ref="D497:G497"/>
    <mergeCell ref="D496:G496"/>
    <mergeCell ref="D495:G495"/>
    <mergeCell ref="D439:G439"/>
    <mergeCell ref="D440:G440"/>
    <mergeCell ref="D454:G454"/>
    <mergeCell ref="D453:G453"/>
    <mergeCell ref="D452:G452"/>
    <mergeCell ref="D265:G265"/>
    <mergeCell ref="D264:G264"/>
    <mergeCell ref="D263:G263"/>
    <mergeCell ref="D294:G294"/>
    <mergeCell ref="D187:G187"/>
    <mergeCell ref="D271:G271"/>
    <mergeCell ref="D270:G270"/>
    <mergeCell ref="D269:G269"/>
    <mergeCell ref="D262:G262"/>
    <mergeCell ref="D209:G209"/>
    <mergeCell ref="D214:G214"/>
    <mergeCell ref="D213:G213"/>
    <mergeCell ref="D212:G212"/>
    <mergeCell ref="D198:G198"/>
    <mergeCell ref="D197:G197"/>
    <mergeCell ref="D203:G203"/>
    <mergeCell ref="D199:G199"/>
    <mergeCell ref="D195:G195"/>
    <mergeCell ref="D260:G260"/>
    <mergeCell ref="D259:G259"/>
    <mergeCell ref="D205:G205"/>
    <mergeCell ref="D206:G206"/>
    <mergeCell ref="D207:G207"/>
    <mergeCell ref="D208:G208"/>
    <mergeCell ref="D261:G261"/>
    <mergeCell ref="D231:G231"/>
    <mergeCell ref="D230:G230"/>
    <mergeCell ref="D204:G204"/>
    <mergeCell ref="D255:G255"/>
    <mergeCell ref="D244:G244"/>
    <mergeCell ref="D245:G245"/>
    <mergeCell ref="D246:G246"/>
    <mergeCell ref="D247:G247"/>
    <mergeCell ref="D240:G240"/>
    <mergeCell ref="D241:G241"/>
    <mergeCell ref="D243:G243"/>
    <mergeCell ref="D248:G248"/>
    <mergeCell ref="D461:G461"/>
    <mergeCell ref="D538:G538"/>
    <mergeCell ref="D527:G527"/>
    <mergeCell ref="D526:G526"/>
    <mergeCell ref="D525:G525"/>
    <mergeCell ref="D524:G524"/>
    <mergeCell ref="D523:G523"/>
    <mergeCell ref="D522:G522"/>
    <mergeCell ref="D521:G521"/>
    <mergeCell ref="D520:G520"/>
    <mergeCell ref="D536:G536"/>
    <mergeCell ref="D537:G537"/>
    <mergeCell ref="D531:G531"/>
    <mergeCell ref="D532:G532"/>
    <mergeCell ref="D533:G533"/>
    <mergeCell ref="D534:G534"/>
    <mergeCell ref="D535:G535"/>
    <mergeCell ref="D530:G530"/>
    <mergeCell ref="D528:G528"/>
    <mergeCell ref="D529:G529"/>
    <mergeCell ref="D519:G519"/>
    <mergeCell ref="D518:G518"/>
    <mergeCell ref="D517:G517"/>
    <mergeCell ref="D516:G516"/>
    <mergeCell ref="D303:G303"/>
    <mergeCell ref="D417:G417"/>
    <mergeCell ref="D416:G416"/>
    <mergeCell ref="D415:G415"/>
    <mergeCell ref="D414:G414"/>
    <mergeCell ref="D413:G413"/>
    <mergeCell ref="D412:G412"/>
    <mergeCell ref="D396:G396"/>
    <mergeCell ref="D372:G372"/>
    <mergeCell ref="D358:G358"/>
    <mergeCell ref="D356:G356"/>
    <mergeCell ref="D394:G394"/>
    <mergeCell ref="D401:G401"/>
    <mergeCell ref="D357:G357"/>
    <mergeCell ref="D305:G305"/>
    <mergeCell ref="D395:G395"/>
    <mergeCell ref="D307:G307"/>
    <mergeCell ref="D308:G308"/>
    <mergeCell ref="D388:G388"/>
    <mergeCell ref="D382:G382"/>
    <mergeCell ref="D323:G323"/>
    <mergeCell ref="D325:G325"/>
    <mergeCell ref="D324:G324"/>
    <mergeCell ref="D332:G332"/>
    <mergeCell ref="D515:G515"/>
    <mergeCell ref="D462:G462"/>
    <mergeCell ref="D466:G466"/>
    <mergeCell ref="D465:G465"/>
    <mergeCell ref="D464:G464"/>
    <mergeCell ref="D463:G463"/>
    <mergeCell ref="D491:G491"/>
    <mergeCell ref="D490:G490"/>
    <mergeCell ref="D512:G512"/>
    <mergeCell ref="D514:G514"/>
    <mergeCell ref="D513:G513"/>
    <mergeCell ref="D502:G502"/>
    <mergeCell ref="D481:G481"/>
    <mergeCell ref="D503:G503"/>
    <mergeCell ref="D507:G507"/>
    <mergeCell ref="D508:G508"/>
    <mergeCell ref="D509:G509"/>
    <mergeCell ref="D510:G510"/>
    <mergeCell ref="D511:G511"/>
    <mergeCell ref="D474:G474"/>
    <mergeCell ref="D469:G469"/>
    <mergeCell ref="D468:G468"/>
    <mergeCell ref="D467:G467"/>
    <mergeCell ref="D455:G455"/>
    <mergeCell ref="D479:G479"/>
    <mergeCell ref="D478:G478"/>
    <mergeCell ref="D477:G477"/>
    <mergeCell ref="D476:G476"/>
    <mergeCell ref="D475:G475"/>
    <mergeCell ref="D489:G489"/>
    <mergeCell ref="D488:G488"/>
    <mergeCell ref="D487:G487"/>
    <mergeCell ref="D486:G486"/>
    <mergeCell ref="D485:G485"/>
    <mergeCell ref="D484:G484"/>
    <mergeCell ref="D483:G483"/>
    <mergeCell ref="D460:G460"/>
    <mergeCell ref="D459:G459"/>
    <mergeCell ref="D458:G458"/>
    <mergeCell ref="D457:G457"/>
    <mergeCell ref="D456:G456"/>
    <mergeCell ref="D473:G473"/>
    <mergeCell ref="D472:G472"/>
    <mergeCell ref="D471:G471"/>
    <mergeCell ref="D482:G482"/>
    <mergeCell ref="D480:G480"/>
    <mergeCell ref="D470:G470"/>
    <mergeCell ref="D435:G435"/>
    <mergeCell ref="D434:G434"/>
    <mergeCell ref="D419:G419"/>
    <mergeCell ref="D418:G418"/>
    <mergeCell ref="D397:G397"/>
    <mergeCell ref="D408:G408"/>
    <mergeCell ref="D405:G405"/>
    <mergeCell ref="D410:G410"/>
    <mergeCell ref="D400:G400"/>
    <mergeCell ref="D407:G407"/>
    <mergeCell ref="D409:G409"/>
    <mergeCell ref="D406:G406"/>
    <mergeCell ref="D402:G402"/>
    <mergeCell ref="N38:P38"/>
    <mergeCell ref="D293:G293"/>
    <mergeCell ref="D292:G292"/>
    <mergeCell ref="D291:G291"/>
    <mergeCell ref="D290:G290"/>
    <mergeCell ref="D289:G289"/>
    <mergeCell ref="D295:G295"/>
    <mergeCell ref="D306:G306"/>
    <mergeCell ref="D304:G304"/>
    <mergeCell ref="D172:G172"/>
    <mergeCell ref="D188:G188"/>
    <mergeCell ref="D189:G189"/>
    <mergeCell ref="D284:G284"/>
    <mergeCell ref="D283:G283"/>
    <mergeCell ref="D282:G282"/>
    <mergeCell ref="D281:G281"/>
    <mergeCell ref="D280:G280"/>
    <mergeCell ref="D279:G279"/>
    <mergeCell ref="D278:G278"/>
    <mergeCell ref="D277:G277"/>
    <mergeCell ref="D276:G276"/>
    <mergeCell ref="D275:G275"/>
    <mergeCell ref="D274:G274"/>
    <mergeCell ref="D273:G273"/>
    <mergeCell ref="N26:P26"/>
    <mergeCell ref="N27:P27"/>
    <mergeCell ref="N28:P28"/>
    <mergeCell ref="N32:P32"/>
    <mergeCell ref="N33:P33"/>
    <mergeCell ref="N34:P34"/>
    <mergeCell ref="N35:P35"/>
    <mergeCell ref="N36:P36"/>
    <mergeCell ref="N37:P37"/>
    <mergeCell ref="D92:G92"/>
    <mergeCell ref="M92:O92"/>
    <mergeCell ref="D106:G106"/>
    <mergeCell ref="O106:Q106"/>
    <mergeCell ref="D389:G389"/>
    <mergeCell ref="D433:G433"/>
    <mergeCell ref="D432:G432"/>
    <mergeCell ref="D431:G431"/>
    <mergeCell ref="D430:G430"/>
    <mergeCell ref="D429:G429"/>
    <mergeCell ref="D391:G391"/>
    <mergeCell ref="D404:G404"/>
    <mergeCell ref="D403:G403"/>
    <mergeCell ref="D392:G392"/>
    <mergeCell ref="D316:G316"/>
    <mergeCell ref="D314:G314"/>
    <mergeCell ref="D313:G313"/>
    <mergeCell ref="D312:G312"/>
    <mergeCell ref="D311:G311"/>
    <mergeCell ref="D310:G310"/>
    <mergeCell ref="D309:G309"/>
    <mergeCell ref="D390:G390"/>
    <mergeCell ref="D393:G393"/>
    <mergeCell ref="D272:G272"/>
  </mergeCells>
  <conditionalFormatting sqref="U61:U63">
    <cfRule type="cellIs" dxfId="104" priority="1" operator="notEqual">
      <formula>0</formula>
    </cfRule>
  </conditionalFormatting>
  <conditionalFormatting sqref="U73:U75">
    <cfRule type="cellIs" dxfId="103" priority="2" operator="notEqual">
      <formula>0</formula>
    </cfRule>
  </conditionalFormatting>
  <conditionalFormatting sqref="U120">
    <cfRule type="cellIs" dxfId="102" priority="5" operator="notEqual">
      <formula>0</formula>
    </cfRule>
  </conditionalFormatting>
  <conditionalFormatting sqref="U143">
    <cfRule type="cellIs" dxfId="101" priority="6" operator="notEqual">
      <formula>0</formula>
    </cfRule>
  </conditionalFormatting>
  <conditionalFormatting sqref="I540">
    <cfRule type="cellIs" dxfId="100" priority="7" operator="notEqual">
      <formula>0</formula>
    </cfRule>
  </conditionalFormatting>
  <conditionalFormatting sqref="I541">
    <cfRule type="cellIs" dxfId="99" priority="8" operator="notEqual">
      <formula>0</formula>
    </cfRule>
  </conditionalFormatting>
  <conditionalFormatting sqref="U87:U92">
    <cfRule type="cellIs" dxfId="98" priority="9" operator="notEqual">
      <formula>0</formula>
    </cfRule>
  </conditionalFormatting>
  <conditionalFormatting sqref="U104:U106">
    <cfRule type="cellIs" dxfId="97" priority="10" operator="notEqual">
      <formula>0</formula>
    </cfRule>
  </conditionalFormatting>
  <dataValidations xWindow="1205" yWindow="434" count="16">
    <dataValidation type="decimal" operator="greaterThanOrEqual" allowBlank="1" showDropDown="1" showErrorMessage="1" errorTitle="Invalid Assumption" error="Assumption must be a value greater than or equal to zero." sqref="J120:K120 I108 J381:L503 J87:K92 J73:M75 J61:M63 L146:L176 J104:K106 L179:L209 L506:L538 L212:L378">
      <formula1>0</formula1>
    </dataValidation>
    <dataValidation type="decimal" showDropDown="1" showErrorMessage="1" errorTitle="Invalid Assumption" error="Assumption must be between 0% and 100%." sqref="J12:J13 J16:J22">
      <formula1>0</formula1>
      <formula2>1</formula2>
    </dataValidation>
    <dataValidation type="list" allowBlank="1" showInputMessage="1" showErrorMessage="1" errorTitle="Invalid Selection" error="Invalid selection. Please use the in-cell drop down to select the required item." sqref="D120:G120">
      <formula1>LU_Diag_Lab_Oth</formula1>
    </dataValidation>
    <dataValidation type="list" allowBlank="1" showInputMessage="1" showErrorMessage="1" errorTitle="Invalid Selection" error="Invalid selection. Please use the in-cell drop down to select the required item." sqref="D61:G63">
      <formula1>LU_Diag_Pers_Hosp</formula1>
    </dataValidation>
    <dataValidation type="list" allowBlank="1" showInputMessage="1" showErrorMessage="1" errorTitle="Invalid Selection" error="Invalid selection. Please use the in-cell drop down to select the required item." sqref="D73:G75">
      <formula1>LU_Diag_Pers_Oth</formula1>
    </dataValidation>
    <dataValidation type="list" allowBlank="1" showInputMessage="1" showErrorMessage="1" errorTitle="Invalid Selection" error="Invalid selection. Please use the in-cell drop down to select the required item." sqref="D104:G106">
      <formula1>LU_Diag_Equip</formula1>
    </dataValidation>
    <dataValidation type="whole" allowBlank="1" showDropDown="1" showInputMessage="1" showErrorMessage="1" errorTitle="0-365" error="Enter a whole number between 0 and 365" promptTitle="0-365" prompt="Enter a whole number between 0 and 365" sqref="H27">
      <formula1>0</formula1>
      <formula2>365</formula2>
    </dataValidation>
    <dataValidation type="whole" allowBlank="1" showDropDown="1" showInputMessage="1" showErrorMessage="1" errorTitle="0-365" error="Enter a number between 0 aand 365" promptTitle="0-365" prompt="Enter a number between 0 aand 365" sqref="H28">
      <formula1>0</formula1>
      <formula2>365</formula2>
    </dataValidation>
    <dataValidation type="whole" allowBlank="1" showDropDown="1" showInputMessage="1" showErrorMessage="1" errorTitle="0-24 hrs" error="Enter a whole number value between 0 and 24 hours." promptTitle="0-24 hours " prompt="Enter a whole number value between 0 and 24 hours." sqref="I27">
      <formula1>0</formula1>
      <formula2>24</formula2>
    </dataValidation>
    <dataValidation type="whole" allowBlank="1" showDropDown="1" showInputMessage="1" showErrorMessage="1" error="Enter a whole number value between 0 and 24 hours." prompt="Enter a whole number value between 0 and 24 hours." sqref="I28:I29 I32:I38">
      <formula1>0</formula1>
      <formula2>24</formula2>
    </dataValidation>
    <dataValidation type="whole" allowBlank="1" showDropDown="1" showInputMessage="1" showErrorMessage="1" error="Enter a whole number between 0 and 60." prompt="Enter a whole number between 0 and 60." sqref="J27:J29">
      <formula1>0</formula1>
      <formula2>60</formula2>
    </dataValidation>
    <dataValidation type="whole" allowBlank="1" showDropDown="1" showInputMessage="1" showErrorMessage="1" error="Please input a whole number between 0 and 365 days. " promptTitle="0-365" prompt="Please input a whole number between 0 and 365 days. " sqref="H29">
      <formula1>0</formula1>
      <formula2>365</formula2>
    </dataValidation>
    <dataValidation type="whole" allowBlank="1" showDropDown="1" showInputMessage="1" showErrorMessage="1" errorTitle="Not between 0-365" error="Enter whole number between 0 and 365" promptTitle="0-365" prompt="Enter whole number between 0 and 365" sqref="H32">
      <formula1>0</formula1>
      <formula2>365</formula2>
    </dataValidation>
    <dataValidation type="whole" allowBlank="1" showDropDown="1" showInputMessage="1" showErrorMessage="1" error="Please input a whole number between 0 and 365 days. " prompt="Please input a whole number between 0 and 365 days. " sqref="H33:H38">
      <formula1>0</formula1>
      <formula2>365</formula2>
    </dataValidation>
    <dataValidation type="custom" showErrorMessage="1" errorTitle="Invalid Assumption" error="Assumption must be a number." sqref="J32:K38 K27:K29">
      <formula1>NOT(ISERROR(J27/1))</formula1>
    </dataValidation>
    <dataValidation type="list" allowBlank="1" showInputMessage="1" showErrorMessage="1" errorTitle="Invalid Selection" error="Invalid selection. Please use the in-cell drop down to select the required item." sqref="D87:G92">
      <formula1>LU_Diag_Supplies</formula1>
    </dataValidation>
  </dataValidations>
  <hyperlinks>
    <hyperlink ref="A4" location="$B$5" tooltip="Go to Top of Sheet" display="$B$5"/>
    <hyperlink ref="B4" location="HL_Sheet_Main_18" tooltip="Go to Previous Sheet" display="HL_Sheet_Main_18"/>
    <hyperlink ref="C4" location="HL_Sheet_Main_23" tooltip="Go to Next Sheet" display="HL_Sheet_Main_23"/>
    <hyperlink ref="C543:I543" location="HL_Diag_Ann_Ass" tooltip="Click to follow hyperlink." display="HL_Diag_Ann_Ass"/>
    <hyperlink ref="C544:I544" location="HL_Diag_Out" tooltip="Click to follow hyperlink." display="HL_Diag_Out"/>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rgb="FFFFC000"/>
    <pageSetUpPr autoPageBreaks="0"/>
  </sheetPr>
  <dimension ref="A1:O231"/>
  <sheetViews>
    <sheetView showGridLines="0" zoomScaleNormal="100" workbookViewId="0">
      <pane ySplit="9" topLeftCell="A91" activePane="bottomLeft" state="frozen"/>
      <selection activeCell="N513" sqref="N513"/>
      <selection pane="bottomLeft" activeCell="F4" sqref="F4"/>
    </sheetView>
  </sheetViews>
  <sheetFormatPr defaultColWidth="11.7109375" defaultRowHeight="12.75" outlineLevelRow="2" outlineLevelCol="1" x14ac:dyDescent="0.2"/>
  <cols>
    <col min="1" max="1" width="3.7109375" style="105" customWidth="1"/>
    <col min="2" max="2" width="5.85546875" style="105" customWidth="1"/>
    <col min="3" max="4" width="3.85546875" style="105" customWidth="1"/>
    <col min="5" max="5" width="3.7109375" style="105" customWidth="1"/>
    <col min="6" max="6" width="11.7109375" style="105"/>
    <col min="7" max="7" width="14.7109375" style="105" customWidth="1"/>
    <col min="8" max="8" width="15.7109375" style="105" customWidth="1"/>
    <col min="9" max="9" width="11.7109375" style="105" customWidth="1"/>
    <col min="10" max="14" width="12.42578125" style="105" customWidth="1" outlineLevel="1"/>
    <col min="15" max="15" width="11.7109375" style="105" outlineLevel="1"/>
    <col min="16" max="16384" width="11.7109375" style="105"/>
  </cols>
  <sheetData>
    <row r="1" spans="1:15" ht="23.25" x14ac:dyDescent="0.2">
      <c r="A1" s="321"/>
      <c r="B1" s="106" t="s">
        <v>624</v>
      </c>
    </row>
    <row r="2" spans="1:15" ht="18.75" x14ac:dyDescent="0.2">
      <c r="B2" s="107" t="str">
        <f>Model_Name</f>
        <v>Zambia C4P* - Screening &amp; Treatment Tool</v>
      </c>
    </row>
    <row r="3" spans="1:15" x14ac:dyDescent="0.2">
      <c r="B3" s="722" t="s">
        <v>2</v>
      </c>
      <c r="C3" s="722"/>
      <c r="D3" s="722"/>
      <c r="E3" s="722"/>
      <c r="F3" s="722"/>
    </row>
    <row r="4" spans="1:15" x14ac:dyDescent="0.2">
      <c r="A4" s="108" t="s">
        <v>4</v>
      </c>
      <c r="B4" s="109" t="s">
        <v>6</v>
      </c>
      <c r="C4" s="110" t="s">
        <v>7</v>
      </c>
      <c r="D4" s="354" t="s">
        <v>27</v>
      </c>
      <c r="E4" s="355" t="s">
        <v>28</v>
      </c>
      <c r="F4" s="356" t="s">
        <v>29</v>
      </c>
    </row>
    <row r="5" spans="1:15" s="348" customFormat="1" x14ac:dyDescent="0.2">
      <c r="B5" s="200" t="str">
        <f>"Year Ending "&amp;INDEX(LU_TS_Mth_Names,DD_TS_Fin_Yr_End_Mth)</f>
        <v>Year Ending December</v>
      </c>
      <c r="C5" s="232"/>
      <c r="D5" s="232"/>
      <c r="E5" s="232"/>
      <c r="F5" s="232"/>
      <c r="G5" s="232"/>
      <c r="H5" s="232"/>
      <c r="I5" s="232"/>
      <c r="J5" s="455">
        <f t="shared" ref="J5:O5" si="0">J9</f>
        <v>2015</v>
      </c>
      <c r="K5" s="455">
        <f t="shared" si="0"/>
        <v>2016</v>
      </c>
      <c r="L5" s="455">
        <f t="shared" si="0"/>
        <v>2017</v>
      </c>
      <c r="M5" s="455">
        <f t="shared" si="0"/>
        <v>2018</v>
      </c>
      <c r="N5" s="455">
        <f t="shared" si="0"/>
        <v>2019</v>
      </c>
      <c r="O5" s="455">
        <f t="shared" si="0"/>
        <v>2020</v>
      </c>
    </row>
    <row r="6" spans="1:15" s="348" customFormat="1" hidden="1" outlineLevel="2" x14ac:dyDescent="0.2">
      <c r="B6" s="671" t="s">
        <v>70</v>
      </c>
      <c r="J6" s="118">
        <f t="shared" ref="J6:O6" si="1">EDATE(TS_Start_Date,(J8-1)*TS_Mths_In_Yr)</f>
        <v>42005</v>
      </c>
      <c r="K6" s="118">
        <f t="shared" si="1"/>
        <v>42370</v>
      </c>
      <c r="L6" s="118">
        <f t="shared" si="1"/>
        <v>42736</v>
      </c>
      <c r="M6" s="118">
        <f t="shared" si="1"/>
        <v>43101</v>
      </c>
      <c r="N6" s="118">
        <f t="shared" si="1"/>
        <v>43466</v>
      </c>
      <c r="O6" s="118">
        <f t="shared" si="1"/>
        <v>43831</v>
      </c>
    </row>
    <row r="7" spans="1:15" s="348" customFormat="1" hidden="1" outlineLevel="2" x14ac:dyDescent="0.2">
      <c r="B7" s="671" t="s">
        <v>71</v>
      </c>
      <c r="J7" s="118">
        <f t="shared" ref="J7:O7" si="2">EDATE(J6,TS_Mths_In_Yr)-1</f>
        <v>42369</v>
      </c>
      <c r="K7" s="118">
        <f t="shared" si="2"/>
        <v>42735</v>
      </c>
      <c r="L7" s="118">
        <f t="shared" si="2"/>
        <v>43100</v>
      </c>
      <c r="M7" s="118">
        <f t="shared" si="2"/>
        <v>43465</v>
      </c>
      <c r="N7" s="118">
        <f t="shared" si="2"/>
        <v>43830</v>
      </c>
      <c r="O7" s="118">
        <f t="shared" si="2"/>
        <v>44196</v>
      </c>
    </row>
    <row r="8" spans="1:15" s="348" customFormat="1" hidden="1" outlineLevel="2" x14ac:dyDescent="0.2">
      <c r="B8" s="671" t="s">
        <v>72</v>
      </c>
      <c r="J8" s="119">
        <f>COLUMNS($J8:J8)</f>
        <v>1</v>
      </c>
      <c r="K8" s="119">
        <f>COLUMNS($J8:K8)</f>
        <v>2</v>
      </c>
      <c r="L8" s="119">
        <f>COLUMNS($J8:L8)</f>
        <v>3</v>
      </c>
      <c r="M8" s="119">
        <f>COLUMNS($J8:M8)</f>
        <v>4</v>
      </c>
      <c r="N8" s="119">
        <f>COLUMNS($J8:N8)</f>
        <v>5</v>
      </c>
      <c r="O8" s="119">
        <f>COLUMNS($J8:O8)</f>
        <v>6</v>
      </c>
    </row>
    <row r="9" spans="1:15" s="348" customFormat="1" hidden="1" outlineLevel="2" x14ac:dyDescent="0.2">
      <c r="B9" s="120" t="s">
        <v>73</v>
      </c>
      <c r="C9" s="117"/>
      <c r="D9" s="117"/>
      <c r="E9" s="117"/>
      <c r="F9" s="117"/>
      <c r="G9" s="117"/>
      <c r="H9" s="117"/>
      <c r="I9" s="117"/>
      <c r="J9" s="121">
        <f t="shared" ref="J9:O9" si="3">YEAR(J7)</f>
        <v>2015</v>
      </c>
      <c r="K9" s="121">
        <f t="shared" si="3"/>
        <v>2016</v>
      </c>
      <c r="L9" s="121">
        <f t="shared" si="3"/>
        <v>2017</v>
      </c>
      <c r="M9" s="121">
        <f t="shared" si="3"/>
        <v>2018</v>
      </c>
      <c r="N9" s="121">
        <f t="shared" si="3"/>
        <v>2019</v>
      </c>
      <c r="O9" s="121">
        <f t="shared" si="3"/>
        <v>2020</v>
      </c>
    </row>
    <row r="10" spans="1:15" s="348" customFormat="1" collapsed="1" x14ac:dyDescent="0.2"/>
    <row r="11" spans="1:15" s="348" customFormat="1" x14ac:dyDescent="0.2"/>
    <row r="12" spans="1:15" s="348" customFormat="1" ht="18.75" x14ac:dyDescent="0.2">
      <c r="B12" s="425" t="s">
        <v>624</v>
      </c>
    </row>
    <row r="13" spans="1:15" s="348" customFormat="1" x14ac:dyDescent="0.2"/>
    <row r="14" spans="1:15" s="348" customFormat="1" x14ac:dyDescent="0.2"/>
    <row r="15" spans="1:15" s="348" customFormat="1" x14ac:dyDescent="0.2"/>
    <row r="16" spans="1:15" s="348" customFormat="1" x14ac:dyDescent="0.2"/>
    <row r="17" spans="4:15" s="348" customFormat="1" ht="15" hidden="1" outlineLevel="1" x14ac:dyDescent="0.2">
      <c r="D17" s="667" t="s">
        <v>1611</v>
      </c>
      <c r="H17" s="372">
        <v>0</v>
      </c>
    </row>
    <row r="18" spans="4:15" s="348" customFormat="1" collapsed="1" x14ac:dyDescent="0.2"/>
    <row r="19" spans="4:15" s="348" customFormat="1" x14ac:dyDescent="0.2">
      <c r="D19" s="668" t="str">
        <f ca="1">OFFSET(Labels_BA!D16,0,H17)</f>
        <v>Central Referral Hospital</v>
      </c>
    </row>
    <row r="20" spans="4:15" s="348" customFormat="1" x14ac:dyDescent="0.2"/>
    <row r="21" spans="4:15" s="348" customFormat="1" x14ac:dyDescent="0.2">
      <c r="D21" s="668" t="str">
        <f>Diag_BA!D130</f>
        <v>Central</v>
      </c>
      <c r="J21" s="183">
        <v>0</v>
      </c>
      <c r="K21" s="183">
        <v>0</v>
      </c>
      <c r="L21" s="183">
        <v>0</v>
      </c>
      <c r="M21" s="183">
        <v>0</v>
      </c>
      <c r="N21" s="183">
        <v>0</v>
      </c>
      <c r="O21" s="183">
        <v>0</v>
      </c>
    </row>
    <row r="22" spans="4:15" s="348" customFormat="1" x14ac:dyDescent="0.2">
      <c r="D22" s="668" t="str">
        <f>Diag_BA!D131</f>
        <v>Copperbelt</v>
      </c>
      <c r="J22" s="183">
        <v>3</v>
      </c>
      <c r="K22" s="183">
        <v>3</v>
      </c>
      <c r="L22" s="183">
        <v>3</v>
      </c>
      <c r="M22" s="183">
        <v>3</v>
      </c>
      <c r="N22" s="183">
        <v>3</v>
      </c>
      <c r="O22" s="183">
        <v>3</v>
      </c>
    </row>
    <row r="23" spans="4:15" s="348" customFormat="1" x14ac:dyDescent="0.2">
      <c r="D23" s="668" t="str">
        <f>Diag_BA!D132</f>
        <v>Eastern</v>
      </c>
      <c r="J23" s="183">
        <v>0</v>
      </c>
      <c r="K23" s="183">
        <v>0</v>
      </c>
      <c r="L23" s="183">
        <v>0</v>
      </c>
      <c r="M23" s="183">
        <v>0</v>
      </c>
      <c r="N23" s="183">
        <v>0</v>
      </c>
      <c r="O23" s="183">
        <v>0</v>
      </c>
    </row>
    <row r="24" spans="4:15" s="348" customFormat="1" x14ac:dyDescent="0.2">
      <c r="D24" s="668" t="str">
        <f>Diag_BA!D133</f>
        <v>Luapula</v>
      </c>
      <c r="J24" s="183">
        <v>0</v>
      </c>
      <c r="K24" s="183">
        <v>0</v>
      </c>
      <c r="L24" s="183">
        <v>0</v>
      </c>
      <c r="M24" s="183">
        <v>0</v>
      </c>
      <c r="N24" s="183">
        <v>0</v>
      </c>
      <c r="O24" s="183">
        <v>0</v>
      </c>
    </row>
    <row r="25" spans="4:15" s="348" customFormat="1" x14ac:dyDescent="0.2">
      <c r="D25" s="668" t="str">
        <f>Diag_BA!D134</f>
        <v>Lusaka</v>
      </c>
      <c r="J25" s="183">
        <v>1</v>
      </c>
      <c r="K25" s="183">
        <v>1</v>
      </c>
      <c r="L25" s="183">
        <v>1</v>
      </c>
      <c r="M25" s="183">
        <v>1</v>
      </c>
      <c r="N25" s="183">
        <v>1</v>
      </c>
      <c r="O25" s="183">
        <v>1</v>
      </c>
    </row>
    <row r="26" spans="4:15" s="348" customFormat="1" x14ac:dyDescent="0.2">
      <c r="D26" s="668" t="str">
        <f>Diag_BA!D135</f>
        <v>Muchinga</v>
      </c>
      <c r="J26" s="183">
        <v>0</v>
      </c>
      <c r="K26" s="183">
        <v>0</v>
      </c>
      <c r="L26" s="183">
        <v>0</v>
      </c>
      <c r="M26" s="183">
        <v>0</v>
      </c>
      <c r="N26" s="183">
        <v>0</v>
      </c>
      <c r="O26" s="183">
        <v>0</v>
      </c>
    </row>
    <row r="27" spans="4:15" s="348" customFormat="1" x14ac:dyDescent="0.2">
      <c r="D27" s="668" t="str">
        <f>Diag_BA!D136</f>
        <v>Northern</v>
      </c>
      <c r="J27" s="183">
        <v>0</v>
      </c>
      <c r="K27" s="183">
        <v>0</v>
      </c>
      <c r="L27" s="183">
        <v>0</v>
      </c>
      <c r="M27" s="183">
        <v>0</v>
      </c>
      <c r="N27" s="183">
        <v>0</v>
      </c>
      <c r="O27" s="183">
        <v>0</v>
      </c>
    </row>
    <row r="28" spans="4:15" s="348" customFormat="1" x14ac:dyDescent="0.2">
      <c r="D28" s="668" t="str">
        <f>Diag_BA!D137</f>
        <v>North-Western</v>
      </c>
      <c r="J28" s="183">
        <v>0</v>
      </c>
      <c r="K28" s="183">
        <v>0</v>
      </c>
      <c r="L28" s="183">
        <v>0</v>
      </c>
      <c r="M28" s="183">
        <v>0</v>
      </c>
      <c r="N28" s="183">
        <v>0</v>
      </c>
      <c r="O28" s="183">
        <v>0</v>
      </c>
    </row>
    <row r="29" spans="4:15" s="348" customFormat="1" x14ac:dyDescent="0.2">
      <c r="D29" s="668" t="str">
        <f>Diag_BA!D138</f>
        <v>Southern</v>
      </c>
      <c r="J29" s="183">
        <v>0</v>
      </c>
      <c r="K29" s="183">
        <v>0</v>
      </c>
      <c r="L29" s="183">
        <v>0</v>
      </c>
      <c r="M29" s="183">
        <v>0</v>
      </c>
      <c r="N29" s="183">
        <v>0</v>
      </c>
      <c r="O29" s="183">
        <v>0</v>
      </c>
    </row>
    <row r="30" spans="4:15" s="348" customFormat="1" x14ac:dyDescent="0.2">
      <c r="D30" s="668" t="str">
        <f>Diag_BA!D139</f>
        <v>Western</v>
      </c>
      <c r="J30" s="183">
        <v>0</v>
      </c>
      <c r="K30" s="183">
        <v>0</v>
      </c>
      <c r="L30" s="183">
        <v>0</v>
      </c>
      <c r="M30" s="183">
        <v>0</v>
      </c>
      <c r="N30" s="183">
        <v>0</v>
      </c>
      <c r="O30" s="183">
        <v>0</v>
      </c>
    </row>
    <row r="31" spans="4:15" s="348" customFormat="1" ht="15" x14ac:dyDescent="0.2">
      <c r="D31" s="359" t="str">
        <f ca="1">"TOTAL "&amp;D19&amp;"s"</f>
        <v>TOTAL Central Referral Hospitals</v>
      </c>
      <c r="J31" s="672">
        <f t="shared" ref="J31:O31" si="4">SUM(J21:J30)</f>
        <v>4</v>
      </c>
      <c r="K31" s="672">
        <f t="shared" si="4"/>
        <v>4</v>
      </c>
      <c r="L31" s="672">
        <f t="shared" si="4"/>
        <v>4</v>
      </c>
      <c r="M31" s="672">
        <f t="shared" si="4"/>
        <v>4</v>
      </c>
      <c r="N31" s="672">
        <f t="shared" si="4"/>
        <v>4</v>
      </c>
      <c r="O31" s="672">
        <f t="shared" si="4"/>
        <v>4</v>
      </c>
    </row>
    <row r="32" spans="4:15" s="348" customFormat="1" x14ac:dyDescent="0.2"/>
    <row r="33" spans="4:15" s="348" customFormat="1" x14ac:dyDescent="0.2"/>
    <row r="34" spans="4:15" s="348" customFormat="1" x14ac:dyDescent="0.2"/>
    <row r="35" spans="4:15" s="348" customFormat="1" ht="15" hidden="1" outlineLevel="1" x14ac:dyDescent="0.2">
      <c r="D35" s="667" t="s">
        <v>1611</v>
      </c>
      <c r="H35" s="372">
        <v>1</v>
      </c>
    </row>
    <row r="36" spans="4:15" s="348" customFormat="1" collapsed="1" x14ac:dyDescent="0.2"/>
    <row r="37" spans="4:15" s="348" customFormat="1" x14ac:dyDescent="0.2">
      <c r="D37" s="668" t="str">
        <f ca="1">OFFSET(Labels_BA!D16,0,H35)</f>
        <v>Provincial Hospital</v>
      </c>
    </row>
    <row r="38" spans="4:15" s="348" customFormat="1" x14ac:dyDescent="0.2"/>
    <row r="39" spans="4:15" s="348" customFormat="1" x14ac:dyDescent="0.2">
      <c r="D39" s="668" t="str">
        <f>Diag_BA!D130</f>
        <v>Central</v>
      </c>
      <c r="J39" s="183">
        <v>0</v>
      </c>
      <c r="K39" s="183">
        <v>0</v>
      </c>
      <c r="L39" s="183">
        <v>0</v>
      </c>
      <c r="M39" s="183">
        <v>0</v>
      </c>
      <c r="N39" s="183">
        <v>0</v>
      </c>
      <c r="O39" s="183">
        <v>0</v>
      </c>
    </row>
    <row r="40" spans="4:15" s="348" customFormat="1" x14ac:dyDescent="0.2">
      <c r="D40" s="668" t="str">
        <f>Diag_BA!D131</f>
        <v>Copperbelt</v>
      </c>
      <c r="J40" s="183">
        <v>0</v>
      </c>
      <c r="K40" s="183">
        <v>0</v>
      </c>
      <c r="L40" s="183">
        <v>0</v>
      </c>
      <c r="M40" s="183">
        <v>0</v>
      </c>
      <c r="N40" s="183">
        <v>0</v>
      </c>
      <c r="O40" s="183">
        <v>0</v>
      </c>
    </row>
    <row r="41" spans="4:15" s="348" customFormat="1" x14ac:dyDescent="0.2">
      <c r="D41" s="668" t="str">
        <f>Diag_BA!D132</f>
        <v>Eastern</v>
      </c>
      <c r="J41" s="183">
        <v>0</v>
      </c>
      <c r="K41" s="183">
        <v>0</v>
      </c>
      <c r="L41" s="183">
        <v>0</v>
      </c>
      <c r="M41" s="183">
        <v>0</v>
      </c>
      <c r="N41" s="183">
        <v>0</v>
      </c>
      <c r="O41" s="183">
        <v>0</v>
      </c>
    </row>
    <row r="42" spans="4:15" s="348" customFormat="1" x14ac:dyDescent="0.2">
      <c r="D42" s="668" t="str">
        <f>Diag_BA!D133</f>
        <v>Luapula</v>
      </c>
      <c r="J42" s="183">
        <v>0</v>
      </c>
      <c r="K42" s="183">
        <v>0</v>
      </c>
      <c r="L42" s="183">
        <v>0</v>
      </c>
      <c r="M42" s="183">
        <v>0</v>
      </c>
      <c r="N42" s="183">
        <v>0</v>
      </c>
      <c r="O42" s="183">
        <v>0</v>
      </c>
    </row>
    <row r="43" spans="4:15" s="348" customFormat="1" x14ac:dyDescent="0.2">
      <c r="D43" s="668" t="str">
        <f>Diag_BA!D134</f>
        <v>Lusaka</v>
      </c>
      <c r="J43" s="183">
        <v>0</v>
      </c>
      <c r="K43" s="183">
        <v>0</v>
      </c>
      <c r="L43" s="183">
        <v>0</v>
      </c>
      <c r="M43" s="183">
        <v>0</v>
      </c>
      <c r="N43" s="183">
        <v>0</v>
      </c>
      <c r="O43" s="183">
        <v>0</v>
      </c>
    </row>
    <row r="44" spans="4:15" s="348" customFormat="1" x14ac:dyDescent="0.2">
      <c r="D44" s="668" t="str">
        <f>Diag_BA!D135</f>
        <v>Muchinga</v>
      </c>
      <c r="J44" s="183">
        <v>0</v>
      </c>
      <c r="K44" s="183">
        <v>0</v>
      </c>
      <c r="L44" s="183">
        <v>0</v>
      </c>
      <c r="M44" s="183">
        <v>0</v>
      </c>
      <c r="N44" s="183">
        <v>0</v>
      </c>
      <c r="O44" s="183">
        <v>0</v>
      </c>
    </row>
    <row r="45" spans="4:15" s="348" customFormat="1" x14ac:dyDescent="0.2">
      <c r="D45" s="668" t="str">
        <f>Diag_BA!D136</f>
        <v>Northern</v>
      </c>
      <c r="J45" s="183">
        <v>0</v>
      </c>
      <c r="K45" s="183">
        <v>0</v>
      </c>
      <c r="L45" s="183">
        <v>0</v>
      </c>
      <c r="M45" s="183">
        <v>0</v>
      </c>
      <c r="N45" s="183">
        <v>0</v>
      </c>
      <c r="O45" s="183">
        <v>0</v>
      </c>
    </row>
    <row r="46" spans="4:15" s="348" customFormat="1" x14ac:dyDescent="0.2">
      <c r="D46" s="668" t="str">
        <f>Diag_BA!D137</f>
        <v>North-Western</v>
      </c>
      <c r="J46" s="183">
        <v>0</v>
      </c>
      <c r="K46" s="183">
        <v>0</v>
      </c>
      <c r="L46" s="183">
        <v>0</v>
      </c>
      <c r="M46" s="183">
        <v>0</v>
      </c>
      <c r="N46" s="183">
        <v>0</v>
      </c>
      <c r="O46" s="183">
        <v>0</v>
      </c>
    </row>
    <row r="47" spans="4:15" s="348" customFormat="1" x14ac:dyDescent="0.2">
      <c r="D47" s="668" t="str">
        <f>Diag_BA!D138</f>
        <v>Southern</v>
      </c>
      <c r="J47" s="183">
        <v>0</v>
      </c>
      <c r="K47" s="183">
        <v>0</v>
      </c>
      <c r="L47" s="183">
        <v>0</v>
      </c>
      <c r="M47" s="183">
        <v>0</v>
      </c>
      <c r="N47" s="183">
        <v>0</v>
      </c>
      <c r="O47" s="183">
        <v>0</v>
      </c>
    </row>
    <row r="48" spans="4:15" s="348" customFormat="1" x14ac:dyDescent="0.2">
      <c r="D48" s="668" t="str">
        <f>Diag_BA!D139</f>
        <v>Western</v>
      </c>
      <c r="J48" s="183">
        <v>0</v>
      </c>
      <c r="K48" s="183">
        <v>0</v>
      </c>
      <c r="L48" s="183">
        <v>0</v>
      </c>
      <c r="M48" s="183">
        <v>0</v>
      </c>
      <c r="N48" s="183">
        <v>0</v>
      </c>
      <c r="O48" s="183">
        <v>0</v>
      </c>
    </row>
    <row r="49" spans="4:15" s="348" customFormat="1" ht="15" x14ac:dyDescent="0.2">
      <c r="D49" s="359" t="str">
        <f ca="1">"Total "&amp;D37&amp;"s"</f>
        <v>Total Provincial Hospitals</v>
      </c>
      <c r="J49" s="672">
        <f t="shared" ref="J49:O49" si="5">SUM(J39:J48)</f>
        <v>0</v>
      </c>
      <c r="K49" s="672">
        <f t="shared" si="5"/>
        <v>0</v>
      </c>
      <c r="L49" s="672">
        <f t="shared" si="5"/>
        <v>0</v>
      </c>
      <c r="M49" s="672">
        <f t="shared" si="5"/>
        <v>0</v>
      </c>
      <c r="N49" s="672">
        <f t="shared" si="5"/>
        <v>0</v>
      </c>
      <c r="O49" s="672">
        <f t="shared" si="5"/>
        <v>0</v>
      </c>
    </row>
    <row r="50" spans="4:15" s="348" customFormat="1" x14ac:dyDescent="0.2"/>
    <row r="51" spans="4:15" s="348" customFormat="1" x14ac:dyDescent="0.2"/>
    <row r="52" spans="4:15" s="348" customFormat="1" x14ac:dyDescent="0.2"/>
    <row r="53" spans="4:15" s="348" customFormat="1" ht="15" hidden="1" outlineLevel="1" x14ac:dyDescent="0.2">
      <c r="D53" s="667" t="s">
        <v>1611</v>
      </c>
      <c r="H53" s="372">
        <v>2</v>
      </c>
    </row>
    <row r="54" spans="4:15" s="348" customFormat="1" collapsed="1" x14ac:dyDescent="0.2"/>
    <row r="55" spans="4:15" s="348" customFormat="1" x14ac:dyDescent="0.2">
      <c r="D55" s="668" t="str">
        <f ca="1">OFFSET(Labels_BA!D16,0,H53)</f>
        <v>District Hospital</v>
      </c>
    </row>
    <row r="56" spans="4:15" s="348" customFormat="1" x14ac:dyDescent="0.2"/>
    <row r="57" spans="4:15" s="348" customFormat="1" x14ac:dyDescent="0.2">
      <c r="D57" s="668" t="str">
        <f>Diag_BA!D130</f>
        <v>Central</v>
      </c>
      <c r="J57" s="183">
        <v>0</v>
      </c>
      <c r="K57" s="183">
        <v>0</v>
      </c>
      <c r="L57" s="183">
        <v>0</v>
      </c>
      <c r="M57" s="183">
        <v>0</v>
      </c>
      <c r="N57" s="183">
        <v>0</v>
      </c>
      <c r="O57" s="183">
        <v>0</v>
      </c>
    </row>
    <row r="58" spans="4:15" s="348" customFormat="1" x14ac:dyDescent="0.2">
      <c r="D58" s="668" t="str">
        <f>Diag_BA!D131</f>
        <v>Copperbelt</v>
      </c>
      <c r="J58" s="183">
        <v>0</v>
      </c>
      <c r="K58" s="183">
        <v>0</v>
      </c>
      <c r="L58" s="183">
        <v>0</v>
      </c>
      <c r="M58" s="183">
        <v>0</v>
      </c>
      <c r="N58" s="183">
        <v>0</v>
      </c>
      <c r="O58" s="183">
        <v>0</v>
      </c>
    </row>
    <row r="59" spans="4:15" s="348" customFormat="1" x14ac:dyDescent="0.2">
      <c r="D59" s="668" t="str">
        <f>Diag_BA!D132</f>
        <v>Eastern</v>
      </c>
      <c r="J59" s="183">
        <v>0</v>
      </c>
      <c r="K59" s="183">
        <v>0</v>
      </c>
      <c r="L59" s="183">
        <v>0</v>
      </c>
      <c r="M59" s="183">
        <v>0</v>
      </c>
      <c r="N59" s="183">
        <v>0</v>
      </c>
      <c r="O59" s="183">
        <v>0</v>
      </c>
    </row>
    <row r="60" spans="4:15" s="348" customFormat="1" x14ac:dyDescent="0.2">
      <c r="D60" s="668" t="str">
        <f>Diag_BA!D133</f>
        <v>Luapula</v>
      </c>
      <c r="J60" s="183">
        <v>0</v>
      </c>
      <c r="K60" s="183">
        <v>0</v>
      </c>
      <c r="L60" s="183">
        <v>0</v>
      </c>
      <c r="M60" s="183">
        <v>0</v>
      </c>
      <c r="N60" s="183">
        <v>0</v>
      </c>
      <c r="O60" s="183">
        <v>0</v>
      </c>
    </row>
    <row r="61" spans="4:15" s="348" customFormat="1" x14ac:dyDescent="0.2">
      <c r="D61" s="668" t="str">
        <f>Diag_BA!D134</f>
        <v>Lusaka</v>
      </c>
      <c r="J61" s="183">
        <v>0</v>
      </c>
      <c r="K61" s="183">
        <v>0</v>
      </c>
      <c r="L61" s="183">
        <v>0</v>
      </c>
      <c r="M61" s="183">
        <v>0</v>
      </c>
      <c r="N61" s="183">
        <v>0</v>
      </c>
      <c r="O61" s="183">
        <v>0</v>
      </c>
    </row>
    <row r="62" spans="4:15" s="348" customFormat="1" x14ac:dyDescent="0.2">
      <c r="D62" s="668" t="str">
        <f>Diag_BA!D135</f>
        <v>Muchinga</v>
      </c>
      <c r="J62" s="183">
        <v>0</v>
      </c>
      <c r="K62" s="183">
        <v>0</v>
      </c>
      <c r="L62" s="183">
        <v>0</v>
      </c>
      <c r="M62" s="183">
        <v>0</v>
      </c>
      <c r="N62" s="183">
        <v>0</v>
      </c>
      <c r="O62" s="183">
        <v>0</v>
      </c>
    </row>
    <row r="63" spans="4:15" s="348" customFormat="1" x14ac:dyDescent="0.2">
      <c r="D63" s="668" t="str">
        <f>Diag_BA!D136</f>
        <v>Northern</v>
      </c>
      <c r="J63" s="183">
        <v>0</v>
      </c>
      <c r="K63" s="183">
        <v>0</v>
      </c>
      <c r="L63" s="183">
        <v>0</v>
      </c>
      <c r="M63" s="183">
        <v>0</v>
      </c>
      <c r="N63" s="183">
        <v>0</v>
      </c>
      <c r="O63" s="183">
        <v>0</v>
      </c>
    </row>
    <row r="64" spans="4:15" s="348" customFormat="1" x14ac:dyDescent="0.2">
      <c r="D64" s="668" t="str">
        <f>Diag_BA!D137</f>
        <v>North-Western</v>
      </c>
      <c r="J64" s="183">
        <v>0</v>
      </c>
      <c r="K64" s="183">
        <v>0</v>
      </c>
      <c r="L64" s="183">
        <v>0</v>
      </c>
      <c r="M64" s="183">
        <v>0</v>
      </c>
      <c r="N64" s="183">
        <v>0</v>
      </c>
      <c r="O64" s="183">
        <v>0</v>
      </c>
    </row>
    <row r="65" spans="4:15" s="348" customFormat="1" x14ac:dyDescent="0.2">
      <c r="D65" s="668" t="str">
        <f>Diag_BA!D138</f>
        <v>Southern</v>
      </c>
      <c r="J65" s="183">
        <v>0</v>
      </c>
      <c r="K65" s="183">
        <v>0</v>
      </c>
      <c r="L65" s="183">
        <v>0</v>
      </c>
      <c r="M65" s="183">
        <v>0</v>
      </c>
      <c r="N65" s="183">
        <v>0</v>
      </c>
      <c r="O65" s="183">
        <v>0</v>
      </c>
    </row>
    <row r="66" spans="4:15" s="348" customFormat="1" x14ac:dyDescent="0.2">
      <c r="D66" s="668" t="str">
        <f>Diag_BA!D139</f>
        <v>Western</v>
      </c>
      <c r="J66" s="183">
        <v>0</v>
      </c>
      <c r="K66" s="183">
        <v>0</v>
      </c>
      <c r="L66" s="183">
        <v>0</v>
      </c>
      <c r="M66" s="183">
        <v>0</v>
      </c>
      <c r="N66" s="183">
        <v>0</v>
      </c>
      <c r="O66" s="183">
        <v>0</v>
      </c>
    </row>
    <row r="67" spans="4:15" s="348" customFormat="1" ht="15" x14ac:dyDescent="0.2">
      <c r="D67" s="359" t="str">
        <f ca="1">"Total "&amp;D55&amp;"s"</f>
        <v>Total District Hospitals</v>
      </c>
      <c r="J67" s="672">
        <f t="shared" ref="J67:O67" si="6">SUM(J57:J66)</f>
        <v>0</v>
      </c>
      <c r="K67" s="672">
        <f t="shared" si="6"/>
        <v>0</v>
      </c>
      <c r="L67" s="672">
        <f t="shared" si="6"/>
        <v>0</v>
      </c>
      <c r="M67" s="672">
        <f t="shared" si="6"/>
        <v>0</v>
      </c>
      <c r="N67" s="672">
        <f t="shared" si="6"/>
        <v>0</v>
      </c>
      <c r="O67" s="672">
        <f t="shared" si="6"/>
        <v>0</v>
      </c>
    </row>
    <row r="68" spans="4:15" s="348" customFormat="1" x14ac:dyDescent="0.2"/>
    <row r="69" spans="4:15" s="348" customFormat="1" x14ac:dyDescent="0.2"/>
    <row r="70" spans="4:15" s="348" customFormat="1" x14ac:dyDescent="0.2"/>
    <row r="71" spans="4:15" s="348" customFormat="1" ht="15" hidden="1" outlineLevel="1" x14ac:dyDescent="0.2">
      <c r="D71" s="667" t="s">
        <v>1611</v>
      </c>
      <c r="H71" s="372">
        <v>3</v>
      </c>
    </row>
    <row r="72" spans="4:15" s="348" customFormat="1" collapsed="1" x14ac:dyDescent="0.2"/>
    <row r="73" spans="4:15" s="348" customFormat="1" x14ac:dyDescent="0.2">
      <c r="D73" s="668" t="str">
        <f ca="1">OFFSET(Labels_BA!D16,0,H71)</f>
        <v>Fixed Health Clinic</v>
      </c>
    </row>
    <row r="74" spans="4:15" s="348" customFormat="1" x14ac:dyDescent="0.2"/>
    <row r="75" spans="4:15" s="348" customFormat="1" x14ac:dyDescent="0.2">
      <c r="D75" s="668" t="str">
        <f>Diag_BA!D130</f>
        <v>Central</v>
      </c>
      <c r="J75" s="183">
        <v>0</v>
      </c>
      <c r="K75" s="183">
        <v>0</v>
      </c>
      <c r="L75" s="183">
        <v>0</v>
      </c>
      <c r="M75" s="183">
        <v>0</v>
      </c>
      <c r="N75" s="183">
        <v>0</v>
      </c>
      <c r="O75" s="183">
        <v>0</v>
      </c>
    </row>
    <row r="76" spans="4:15" s="348" customFormat="1" x14ac:dyDescent="0.2">
      <c r="D76" s="668" t="str">
        <f>Diag_BA!D131</f>
        <v>Copperbelt</v>
      </c>
      <c r="J76" s="183">
        <v>0</v>
      </c>
      <c r="K76" s="183">
        <v>0</v>
      </c>
      <c r="L76" s="183">
        <v>0</v>
      </c>
      <c r="M76" s="183">
        <v>0</v>
      </c>
      <c r="N76" s="183">
        <v>0</v>
      </c>
      <c r="O76" s="183">
        <v>0</v>
      </c>
    </row>
    <row r="77" spans="4:15" s="348" customFormat="1" x14ac:dyDescent="0.2">
      <c r="D77" s="668" t="str">
        <f>Diag_BA!D132</f>
        <v>Eastern</v>
      </c>
      <c r="J77" s="183">
        <v>0</v>
      </c>
      <c r="K77" s="183">
        <v>0</v>
      </c>
      <c r="L77" s="183">
        <v>0</v>
      </c>
      <c r="M77" s="183">
        <v>0</v>
      </c>
      <c r="N77" s="183">
        <v>0</v>
      </c>
      <c r="O77" s="183">
        <v>0</v>
      </c>
    </row>
    <row r="78" spans="4:15" s="348" customFormat="1" x14ac:dyDescent="0.2">
      <c r="D78" s="668" t="str">
        <f>Diag_BA!D133</f>
        <v>Luapula</v>
      </c>
      <c r="J78" s="183">
        <v>0</v>
      </c>
      <c r="K78" s="183">
        <v>0</v>
      </c>
      <c r="L78" s="183">
        <v>0</v>
      </c>
      <c r="M78" s="183">
        <v>0</v>
      </c>
      <c r="N78" s="183">
        <v>0</v>
      </c>
      <c r="O78" s="183">
        <v>0</v>
      </c>
    </row>
    <row r="79" spans="4:15" s="348" customFormat="1" x14ac:dyDescent="0.2">
      <c r="D79" s="668" t="str">
        <f>Diag_BA!D134</f>
        <v>Lusaka</v>
      </c>
      <c r="J79" s="183">
        <v>0</v>
      </c>
      <c r="K79" s="183">
        <v>0</v>
      </c>
      <c r="L79" s="183">
        <v>0</v>
      </c>
      <c r="M79" s="183">
        <v>0</v>
      </c>
      <c r="N79" s="183">
        <v>0</v>
      </c>
      <c r="O79" s="183">
        <v>0</v>
      </c>
    </row>
    <row r="80" spans="4:15" s="348" customFormat="1" x14ac:dyDescent="0.2">
      <c r="D80" s="668" t="str">
        <f>Diag_BA!D135</f>
        <v>Muchinga</v>
      </c>
      <c r="J80" s="183">
        <v>0</v>
      </c>
      <c r="K80" s="183">
        <v>0</v>
      </c>
      <c r="L80" s="183">
        <v>0</v>
      </c>
      <c r="M80" s="183">
        <v>0</v>
      </c>
      <c r="N80" s="183">
        <v>0</v>
      </c>
      <c r="O80" s="183">
        <v>0</v>
      </c>
    </row>
    <row r="81" spans="4:15" s="348" customFormat="1" x14ac:dyDescent="0.2">
      <c r="D81" s="668" t="str">
        <f>Diag_BA!D136</f>
        <v>Northern</v>
      </c>
      <c r="J81" s="183">
        <v>0</v>
      </c>
      <c r="K81" s="183">
        <v>0</v>
      </c>
      <c r="L81" s="183">
        <v>0</v>
      </c>
      <c r="M81" s="183">
        <v>0</v>
      </c>
      <c r="N81" s="183">
        <v>0</v>
      </c>
      <c r="O81" s="183">
        <v>0</v>
      </c>
    </row>
    <row r="82" spans="4:15" s="348" customFormat="1" x14ac:dyDescent="0.2">
      <c r="D82" s="668" t="str">
        <f>Diag_BA!D137</f>
        <v>North-Western</v>
      </c>
      <c r="J82" s="183">
        <v>0</v>
      </c>
      <c r="K82" s="183">
        <v>0</v>
      </c>
      <c r="L82" s="183">
        <v>0</v>
      </c>
      <c r="M82" s="183">
        <v>0</v>
      </c>
      <c r="N82" s="183">
        <v>0</v>
      </c>
      <c r="O82" s="183">
        <v>0</v>
      </c>
    </row>
    <row r="83" spans="4:15" s="348" customFormat="1" x14ac:dyDescent="0.2">
      <c r="D83" s="668" t="str">
        <f>Diag_BA!D138</f>
        <v>Southern</v>
      </c>
      <c r="J83" s="183">
        <v>0</v>
      </c>
      <c r="K83" s="183">
        <v>0</v>
      </c>
      <c r="L83" s="183">
        <v>0</v>
      </c>
      <c r="M83" s="183">
        <v>0</v>
      </c>
      <c r="N83" s="183">
        <v>0</v>
      </c>
      <c r="O83" s="183">
        <v>0</v>
      </c>
    </row>
    <row r="84" spans="4:15" s="348" customFormat="1" x14ac:dyDescent="0.2">
      <c r="D84" s="668" t="str">
        <f>Diag_BA!D139</f>
        <v>Western</v>
      </c>
      <c r="J84" s="183">
        <v>0</v>
      </c>
      <c r="K84" s="183">
        <v>0</v>
      </c>
      <c r="L84" s="183">
        <v>0</v>
      </c>
      <c r="M84" s="183">
        <v>0</v>
      </c>
      <c r="N84" s="183">
        <v>0</v>
      </c>
      <c r="O84" s="183">
        <v>0</v>
      </c>
    </row>
    <row r="85" spans="4:15" s="348" customFormat="1" ht="15" x14ac:dyDescent="0.2">
      <c r="D85" s="507" t="str">
        <f ca="1">"Total "&amp;D73&amp;"s"</f>
        <v>Total Fixed Health Clinics</v>
      </c>
      <c r="J85" s="672">
        <f t="shared" ref="J85:O85" si="7">SUM(J75:J84)</f>
        <v>0</v>
      </c>
      <c r="K85" s="672">
        <f t="shared" si="7"/>
        <v>0</v>
      </c>
      <c r="L85" s="672">
        <f t="shared" si="7"/>
        <v>0</v>
      </c>
      <c r="M85" s="672">
        <f t="shared" si="7"/>
        <v>0</v>
      </c>
      <c r="N85" s="672">
        <f t="shared" si="7"/>
        <v>0</v>
      </c>
      <c r="O85" s="672">
        <f t="shared" si="7"/>
        <v>0</v>
      </c>
    </row>
    <row r="86" spans="4:15" s="348" customFormat="1" x14ac:dyDescent="0.2"/>
    <row r="87" spans="4:15" s="348" customFormat="1" x14ac:dyDescent="0.2"/>
    <row r="88" spans="4:15" s="348" customFormat="1" x14ac:dyDescent="0.2"/>
    <row r="89" spans="4:15" s="348" customFormat="1" ht="15" hidden="1" outlineLevel="1" x14ac:dyDescent="0.2">
      <c r="D89" s="667" t="s">
        <v>1611</v>
      </c>
      <c r="H89" s="372">
        <v>4</v>
      </c>
    </row>
    <row r="90" spans="4:15" s="348" customFormat="1" collapsed="1" x14ac:dyDescent="0.2"/>
    <row r="91" spans="4:15" s="348" customFormat="1" x14ac:dyDescent="0.2">
      <c r="D91" s="668" t="str">
        <f ca="1">OFFSET(Labels_BA!D16,0,H89)</f>
        <v>PCI Mobile Health Team</v>
      </c>
    </row>
    <row r="92" spans="4:15" s="348" customFormat="1" x14ac:dyDescent="0.2"/>
    <row r="93" spans="4:15" s="348" customFormat="1" x14ac:dyDescent="0.2">
      <c r="D93" s="668" t="str">
        <f>Diag_BA!D130</f>
        <v>Central</v>
      </c>
      <c r="J93" s="183">
        <v>0</v>
      </c>
      <c r="K93" s="183">
        <v>0</v>
      </c>
      <c r="L93" s="183">
        <v>0</v>
      </c>
      <c r="M93" s="183">
        <v>0</v>
      </c>
      <c r="N93" s="183">
        <v>0</v>
      </c>
      <c r="O93" s="183">
        <v>0</v>
      </c>
    </row>
    <row r="94" spans="4:15" s="348" customFormat="1" x14ac:dyDescent="0.2">
      <c r="D94" s="668" t="str">
        <f>Diag_BA!D131</f>
        <v>Copperbelt</v>
      </c>
      <c r="J94" s="183">
        <v>0</v>
      </c>
      <c r="K94" s="183">
        <v>0</v>
      </c>
      <c r="L94" s="183">
        <v>0</v>
      </c>
      <c r="M94" s="183">
        <v>0</v>
      </c>
      <c r="N94" s="183">
        <v>0</v>
      </c>
      <c r="O94" s="183">
        <v>0</v>
      </c>
    </row>
    <row r="95" spans="4:15" s="348" customFormat="1" x14ac:dyDescent="0.2">
      <c r="D95" s="668" t="str">
        <f>Diag_BA!D132</f>
        <v>Eastern</v>
      </c>
      <c r="J95" s="183">
        <v>0</v>
      </c>
      <c r="K95" s="183">
        <v>0</v>
      </c>
      <c r="L95" s="183">
        <v>0</v>
      </c>
      <c r="M95" s="183">
        <v>0</v>
      </c>
      <c r="N95" s="183">
        <v>0</v>
      </c>
      <c r="O95" s="183">
        <v>0</v>
      </c>
    </row>
    <row r="96" spans="4:15" s="348" customFormat="1" x14ac:dyDescent="0.2">
      <c r="D96" s="668" t="str">
        <f>Diag_BA!D133</f>
        <v>Luapula</v>
      </c>
      <c r="J96" s="183">
        <v>0</v>
      </c>
      <c r="K96" s="183">
        <v>0</v>
      </c>
      <c r="L96" s="183">
        <v>0</v>
      </c>
      <c r="M96" s="183">
        <v>0</v>
      </c>
      <c r="N96" s="183">
        <v>0</v>
      </c>
      <c r="O96" s="183">
        <v>0</v>
      </c>
    </row>
    <row r="97" spans="4:15" s="348" customFormat="1" x14ac:dyDescent="0.2">
      <c r="D97" s="668" t="str">
        <f>Diag_BA!D134</f>
        <v>Lusaka</v>
      </c>
      <c r="J97" s="183">
        <v>0</v>
      </c>
      <c r="K97" s="183">
        <v>0</v>
      </c>
      <c r="L97" s="183">
        <v>0</v>
      </c>
      <c r="M97" s="183">
        <v>0</v>
      </c>
      <c r="N97" s="183">
        <v>0</v>
      </c>
      <c r="O97" s="183">
        <v>0</v>
      </c>
    </row>
    <row r="98" spans="4:15" s="348" customFormat="1" x14ac:dyDescent="0.2">
      <c r="D98" s="668" t="str">
        <f>Diag_BA!D135</f>
        <v>Muchinga</v>
      </c>
      <c r="J98" s="183">
        <v>0</v>
      </c>
      <c r="K98" s="183">
        <v>0</v>
      </c>
      <c r="L98" s="183">
        <v>0</v>
      </c>
      <c r="M98" s="183">
        <v>0</v>
      </c>
      <c r="N98" s="183">
        <v>0</v>
      </c>
      <c r="O98" s="183">
        <v>0</v>
      </c>
    </row>
    <row r="99" spans="4:15" s="348" customFormat="1" x14ac:dyDescent="0.2">
      <c r="D99" s="668" t="str">
        <f>Diag_BA!D136</f>
        <v>Northern</v>
      </c>
      <c r="J99" s="183">
        <v>0</v>
      </c>
      <c r="K99" s="183">
        <v>0</v>
      </c>
      <c r="L99" s="183">
        <v>0</v>
      </c>
      <c r="M99" s="183">
        <v>0</v>
      </c>
      <c r="N99" s="183">
        <v>0</v>
      </c>
      <c r="O99" s="183">
        <v>0</v>
      </c>
    </row>
    <row r="100" spans="4:15" s="348" customFormat="1" x14ac:dyDescent="0.2">
      <c r="D100" s="668" t="str">
        <f>Diag_BA!D137</f>
        <v>North-Western</v>
      </c>
      <c r="J100" s="183">
        <v>0</v>
      </c>
      <c r="K100" s="183">
        <v>0</v>
      </c>
      <c r="L100" s="183">
        <v>0</v>
      </c>
      <c r="M100" s="183">
        <v>0</v>
      </c>
      <c r="N100" s="183">
        <v>0</v>
      </c>
      <c r="O100" s="183">
        <v>0</v>
      </c>
    </row>
    <row r="101" spans="4:15" s="348" customFormat="1" x14ac:dyDescent="0.2">
      <c r="D101" s="668" t="str">
        <f>Diag_BA!D138</f>
        <v>Southern</v>
      </c>
      <c r="J101" s="183">
        <v>0</v>
      </c>
      <c r="K101" s="183">
        <v>0</v>
      </c>
      <c r="L101" s="183">
        <v>0</v>
      </c>
      <c r="M101" s="183">
        <v>0</v>
      </c>
      <c r="N101" s="183">
        <v>0</v>
      </c>
      <c r="O101" s="183">
        <v>0</v>
      </c>
    </row>
    <row r="102" spans="4:15" s="348" customFormat="1" x14ac:dyDescent="0.2">
      <c r="D102" s="668" t="str">
        <f>Diag_BA!D139</f>
        <v>Western</v>
      </c>
      <c r="J102" s="183">
        <v>0</v>
      </c>
      <c r="K102" s="183">
        <v>0</v>
      </c>
      <c r="L102" s="183">
        <v>0</v>
      </c>
      <c r="M102" s="183">
        <v>0</v>
      </c>
      <c r="N102" s="183">
        <v>0</v>
      </c>
      <c r="O102" s="183">
        <v>0</v>
      </c>
    </row>
    <row r="103" spans="4:15" s="348" customFormat="1" ht="15" x14ac:dyDescent="0.2">
      <c r="D103" s="359" t="str">
        <f ca="1">"Total "&amp;D91&amp;"s"</f>
        <v>Total PCI Mobile Health Teams</v>
      </c>
      <c r="J103" s="672">
        <f t="shared" ref="J103:O103" si="8">SUM(J93:J102)</f>
        <v>0</v>
      </c>
      <c r="K103" s="672">
        <f t="shared" si="8"/>
        <v>0</v>
      </c>
      <c r="L103" s="672">
        <f t="shared" si="8"/>
        <v>0</v>
      </c>
      <c r="M103" s="672">
        <f t="shared" si="8"/>
        <v>0</v>
      </c>
      <c r="N103" s="672">
        <f t="shared" si="8"/>
        <v>0</v>
      </c>
      <c r="O103" s="672">
        <f t="shared" si="8"/>
        <v>0</v>
      </c>
    </row>
    <row r="104" spans="4:15" s="348" customFormat="1" x14ac:dyDescent="0.2"/>
    <row r="105" spans="4:15" s="348" customFormat="1" x14ac:dyDescent="0.2"/>
    <row r="106" spans="4:15" s="348" customFormat="1" x14ac:dyDescent="0.2"/>
    <row r="107" spans="4:15" s="348" customFormat="1" ht="15" hidden="1" outlineLevel="1" x14ac:dyDescent="0.2">
      <c r="D107" s="667" t="s">
        <v>1611</v>
      </c>
      <c r="H107" s="372">
        <v>5</v>
      </c>
    </row>
    <row r="108" spans="4:15" s="348" customFormat="1" collapsed="1" x14ac:dyDescent="0.2"/>
    <row r="109" spans="4:15" s="348" customFormat="1" x14ac:dyDescent="0.2">
      <c r="D109" s="668" t="str">
        <f ca="1">OFFSET(Labels_BA!D16,0,H107)</f>
        <v>Gov't Mobile Health Team (Hospital)</v>
      </c>
    </row>
    <row r="110" spans="4:15" s="348" customFormat="1" x14ac:dyDescent="0.2"/>
    <row r="111" spans="4:15" s="348" customFormat="1" x14ac:dyDescent="0.2">
      <c r="D111" s="668" t="str">
        <f>Diag_BA!D130</f>
        <v>Central</v>
      </c>
      <c r="J111" s="183">
        <v>0</v>
      </c>
      <c r="K111" s="183">
        <v>0</v>
      </c>
      <c r="L111" s="183">
        <v>0</v>
      </c>
      <c r="M111" s="183">
        <v>0</v>
      </c>
      <c r="N111" s="183">
        <v>0</v>
      </c>
      <c r="O111" s="183">
        <v>0</v>
      </c>
    </row>
    <row r="112" spans="4:15" s="348" customFormat="1" x14ac:dyDescent="0.2">
      <c r="D112" s="668" t="str">
        <f>Diag_BA!D131</f>
        <v>Copperbelt</v>
      </c>
      <c r="J112" s="183">
        <v>0</v>
      </c>
      <c r="K112" s="183">
        <v>0</v>
      </c>
      <c r="L112" s="183">
        <v>0</v>
      </c>
      <c r="M112" s="183">
        <v>0</v>
      </c>
      <c r="N112" s="183">
        <v>0</v>
      </c>
      <c r="O112" s="183">
        <v>0</v>
      </c>
    </row>
    <row r="113" spans="4:15" s="348" customFormat="1" x14ac:dyDescent="0.2">
      <c r="D113" s="668" t="str">
        <f>Diag_BA!D132</f>
        <v>Eastern</v>
      </c>
      <c r="J113" s="183">
        <v>0</v>
      </c>
      <c r="K113" s="183">
        <v>0</v>
      </c>
      <c r="L113" s="183">
        <v>0</v>
      </c>
      <c r="M113" s="183">
        <v>0</v>
      </c>
      <c r="N113" s="183">
        <v>0</v>
      </c>
      <c r="O113" s="183">
        <v>0</v>
      </c>
    </row>
    <row r="114" spans="4:15" s="348" customFormat="1" x14ac:dyDescent="0.2">
      <c r="D114" s="668" t="str">
        <f>Diag_BA!D133</f>
        <v>Luapula</v>
      </c>
      <c r="J114" s="183">
        <v>0</v>
      </c>
      <c r="K114" s="183">
        <v>0</v>
      </c>
      <c r="L114" s="183">
        <v>0</v>
      </c>
      <c r="M114" s="183">
        <v>0</v>
      </c>
      <c r="N114" s="183">
        <v>0</v>
      </c>
      <c r="O114" s="183">
        <v>0</v>
      </c>
    </row>
    <row r="115" spans="4:15" s="348" customFormat="1" x14ac:dyDescent="0.2">
      <c r="D115" s="668" t="str">
        <f>Diag_BA!D134</f>
        <v>Lusaka</v>
      </c>
      <c r="J115" s="183">
        <v>0</v>
      </c>
      <c r="K115" s="183">
        <v>0</v>
      </c>
      <c r="L115" s="183">
        <v>0</v>
      </c>
      <c r="M115" s="183">
        <v>0</v>
      </c>
      <c r="N115" s="183">
        <v>0</v>
      </c>
      <c r="O115" s="183">
        <v>0</v>
      </c>
    </row>
    <row r="116" spans="4:15" s="348" customFormat="1" x14ac:dyDescent="0.2">
      <c r="D116" s="668" t="str">
        <f>Diag_BA!D135</f>
        <v>Muchinga</v>
      </c>
      <c r="J116" s="183">
        <v>0</v>
      </c>
      <c r="K116" s="183">
        <v>0</v>
      </c>
      <c r="L116" s="183">
        <v>0</v>
      </c>
      <c r="M116" s="183">
        <v>0</v>
      </c>
      <c r="N116" s="183">
        <v>0</v>
      </c>
      <c r="O116" s="183">
        <v>0</v>
      </c>
    </row>
    <row r="117" spans="4:15" s="348" customFormat="1" x14ac:dyDescent="0.2">
      <c r="D117" s="668" t="str">
        <f>Diag_BA!D136</f>
        <v>Northern</v>
      </c>
      <c r="J117" s="183">
        <v>0</v>
      </c>
      <c r="K117" s="183">
        <v>0</v>
      </c>
      <c r="L117" s="183">
        <v>0</v>
      </c>
      <c r="M117" s="183">
        <v>0</v>
      </c>
      <c r="N117" s="183">
        <v>0</v>
      </c>
      <c r="O117" s="183">
        <v>0</v>
      </c>
    </row>
    <row r="118" spans="4:15" s="348" customFormat="1" x14ac:dyDescent="0.2">
      <c r="D118" s="668" t="str">
        <f>Diag_BA!D137</f>
        <v>North-Western</v>
      </c>
      <c r="J118" s="183">
        <v>0</v>
      </c>
      <c r="K118" s="183">
        <v>0</v>
      </c>
      <c r="L118" s="183">
        <v>0</v>
      </c>
      <c r="M118" s="183">
        <v>0</v>
      </c>
      <c r="N118" s="183">
        <v>0</v>
      </c>
      <c r="O118" s="183">
        <v>0</v>
      </c>
    </row>
    <row r="119" spans="4:15" s="348" customFormat="1" x14ac:dyDescent="0.2">
      <c r="D119" s="668" t="str">
        <f>Diag_BA!D138</f>
        <v>Southern</v>
      </c>
      <c r="J119" s="183">
        <v>0</v>
      </c>
      <c r="K119" s="183">
        <v>0</v>
      </c>
      <c r="L119" s="183">
        <v>0</v>
      </c>
      <c r="M119" s="183">
        <v>0</v>
      </c>
      <c r="N119" s="183">
        <v>0</v>
      </c>
      <c r="O119" s="183">
        <v>0</v>
      </c>
    </row>
    <row r="120" spans="4:15" s="348" customFormat="1" x14ac:dyDescent="0.2">
      <c r="D120" s="668" t="str">
        <f>Diag_BA!D139</f>
        <v>Western</v>
      </c>
      <c r="J120" s="183">
        <v>0</v>
      </c>
      <c r="K120" s="183">
        <v>0</v>
      </c>
      <c r="L120" s="183">
        <v>0</v>
      </c>
      <c r="M120" s="183">
        <v>0</v>
      </c>
      <c r="N120" s="183">
        <v>0</v>
      </c>
      <c r="O120" s="183">
        <v>0</v>
      </c>
    </row>
    <row r="121" spans="4:15" s="348" customFormat="1" ht="15" x14ac:dyDescent="0.2">
      <c r="D121" s="359" t="str">
        <f ca="1">"Total "&amp;D109&amp;"s"</f>
        <v>Total Gov't Mobile Health Team (Hospital)s</v>
      </c>
      <c r="J121" s="672">
        <f t="shared" ref="J121:O121" si="9">SUM(J111:J120)</f>
        <v>0</v>
      </c>
      <c r="K121" s="672">
        <f t="shared" si="9"/>
        <v>0</v>
      </c>
      <c r="L121" s="672">
        <f t="shared" si="9"/>
        <v>0</v>
      </c>
      <c r="M121" s="672">
        <f t="shared" si="9"/>
        <v>0</v>
      </c>
      <c r="N121" s="672">
        <f t="shared" si="9"/>
        <v>0</v>
      </c>
      <c r="O121" s="672">
        <f t="shared" si="9"/>
        <v>0</v>
      </c>
    </row>
    <row r="122" spans="4:15" s="348" customFormat="1" x14ac:dyDescent="0.2"/>
    <row r="123" spans="4:15" s="348" customFormat="1" x14ac:dyDescent="0.2"/>
    <row r="124" spans="4:15" s="348" customFormat="1" x14ac:dyDescent="0.2"/>
    <row r="125" spans="4:15" s="348" customFormat="1" ht="15" hidden="1" outlineLevel="1" x14ac:dyDescent="0.2">
      <c r="D125" s="667" t="s">
        <v>1611</v>
      </c>
      <c r="H125" s="372">
        <v>6</v>
      </c>
    </row>
    <row r="126" spans="4:15" s="348" customFormat="1" collapsed="1" x14ac:dyDescent="0.2"/>
    <row r="127" spans="4:15" s="348" customFormat="1" x14ac:dyDescent="0.2">
      <c r="D127" s="668" t="str">
        <f ca="1">OFFSET(Labels_BA!D16,0,H125)</f>
        <v>CIDRZ Mobile Health Team</v>
      </c>
    </row>
    <row r="128" spans="4:15" s="348" customFormat="1" x14ac:dyDescent="0.2"/>
    <row r="129" spans="4:15" s="348" customFormat="1" x14ac:dyDescent="0.2">
      <c r="D129" s="668" t="str">
        <f>Diag_BA!D130</f>
        <v>Central</v>
      </c>
      <c r="J129" s="183">
        <v>0</v>
      </c>
      <c r="K129" s="183">
        <v>0</v>
      </c>
      <c r="L129" s="183">
        <v>0</v>
      </c>
      <c r="M129" s="183">
        <v>0</v>
      </c>
      <c r="N129" s="183">
        <v>0</v>
      </c>
      <c r="O129" s="183">
        <v>0</v>
      </c>
    </row>
    <row r="130" spans="4:15" s="348" customFormat="1" x14ac:dyDescent="0.2">
      <c r="D130" s="668" t="str">
        <f>Diag_BA!D131</f>
        <v>Copperbelt</v>
      </c>
      <c r="J130" s="183">
        <v>0</v>
      </c>
      <c r="K130" s="183">
        <v>0</v>
      </c>
      <c r="L130" s="183">
        <v>0</v>
      </c>
      <c r="M130" s="183">
        <v>0</v>
      </c>
      <c r="N130" s="183">
        <v>0</v>
      </c>
      <c r="O130" s="183">
        <v>0</v>
      </c>
    </row>
    <row r="131" spans="4:15" s="348" customFormat="1" x14ac:dyDescent="0.2">
      <c r="D131" s="668" t="str">
        <f>Diag_BA!D132</f>
        <v>Eastern</v>
      </c>
      <c r="J131" s="183">
        <v>0</v>
      </c>
      <c r="K131" s="183">
        <v>0</v>
      </c>
      <c r="L131" s="183">
        <v>0</v>
      </c>
      <c r="M131" s="183">
        <v>0</v>
      </c>
      <c r="N131" s="183">
        <v>0</v>
      </c>
      <c r="O131" s="183">
        <v>0</v>
      </c>
    </row>
    <row r="132" spans="4:15" s="348" customFormat="1" x14ac:dyDescent="0.2">
      <c r="D132" s="668" t="str">
        <f>Diag_BA!D133</f>
        <v>Luapula</v>
      </c>
      <c r="J132" s="183">
        <v>0</v>
      </c>
      <c r="K132" s="183">
        <v>0</v>
      </c>
      <c r="L132" s="183">
        <v>0</v>
      </c>
      <c r="M132" s="183">
        <v>0</v>
      </c>
      <c r="N132" s="183">
        <v>0</v>
      </c>
      <c r="O132" s="183">
        <v>0</v>
      </c>
    </row>
    <row r="133" spans="4:15" s="348" customFormat="1" x14ac:dyDescent="0.2">
      <c r="D133" s="668" t="str">
        <f>Diag_BA!D134</f>
        <v>Lusaka</v>
      </c>
      <c r="J133" s="183">
        <v>0</v>
      </c>
      <c r="K133" s="183">
        <v>0</v>
      </c>
      <c r="L133" s="183">
        <v>0</v>
      </c>
      <c r="M133" s="183">
        <v>0</v>
      </c>
      <c r="N133" s="183">
        <v>0</v>
      </c>
      <c r="O133" s="183">
        <v>0</v>
      </c>
    </row>
    <row r="134" spans="4:15" s="348" customFormat="1" x14ac:dyDescent="0.2">
      <c r="D134" s="668" t="str">
        <f>Diag_BA!D135</f>
        <v>Muchinga</v>
      </c>
      <c r="J134" s="183">
        <v>0</v>
      </c>
      <c r="K134" s="183">
        <v>0</v>
      </c>
      <c r="L134" s="183">
        <v>0</v>
      </c>
      <c r="M134" s="183">
        <v>0</v>
      </c>
      <c r="N134" s="183">
        <v>0</v>
      </c>
      <c r="O134" s="183">
        <v>0</v>
      </c>
    </row>
    <row r="135" spans="4:15" s="348" customFormat="1" x14ac:dyDescent="0.2">
      <c r="D135" s="668" t="str">
        <f>Diag_BA!D136</f>
        <v>Northern</v>
      </c>
      <c r="J135" s="183">
        <v>0</v>
      </c>
      <c r="K135" s="183">
        <v>0</v>
      </c>
      <c r="L135" s="183">
        <v>0</v>
      </c>
      <c r="M135" s="183">
        <v>0</v>
      </c>
      <c r="N135" s="183">
        <v>0</v>
      </c>
      <c r="O135" s="183">
        <v>0</v>
      </c>
    </row>
    <row r="136" spans="4:15" s="348" customFormat="1" x14ac:dyDescent="0.2">
      <c r="D136" s="668" t="str">
        <f>Diag_BA!D137</f>
        <v>North-Western</v>
      </c>
      <c r="J136" s="183">
        <v>0</v>
      </c>
      <c r="K136" s="183">
        <v>0</v>
      </c>
      <c r="L136" s="183">
        <v>0</v>
      </c>
      <c r="M136" s="183">
        <v>0</v>
      </c>
      <c r="N136" s="183">
        <v>0</v>
      </c>
      <c r="O136" s="183">
        <v>0</v>
      </c>
    </row>
    <row r="137" spans="4:15" s="348" customFormat="1" x14ac:dyDescent="0.2">
      <c r="D137" s="668" t="str">
        <f>Diag_BA!D138</f>
        <v>Southern</v>
      </c>
      <c r="J137" s="183">
        <v>0</v>
      </c>
      <c r="K137" s="183">
        <v>0</v>
      </c>
      <c r="L137" s="183">
        <v>0</v>
      </c>
      <c r="M137" s="183">
        <v>0</v>
      </c>
      <c r="N137" s="183">
        <v>0</v>
      </c>
      <c r="O137" s="183">
        <v>0</v>
      </c>
    </row>
    <row r="138" spans="4:15" s="348" customFormat="1" x14ac:dyDescent="0.2">
      <c r="D138" s="668" t="str">
        <f>Diag_BA!D139</f>
        <v>Western</v>
      </c>
      <c r="J138" s="183">
        <v>0</v>
      </c>
      <c r="K138" s="183">
        <v>0</v>
      </c>
      <c r="L138" s="183">
        <v>0</v>
      </c>
      <c r="M138" s="183">
        <v>0</v>
      </c>
      <c r="N138" s="183">
        <v>0</v>
      </c>
      <c r="O138" s="183">
        <v>0</v>
      </c>
    </row>
    <row r="139" spans="4:15" s="348" customFormat="1" ht="15" x14ac:dyDescent="0.2">
      <c r="D139" s="359" t="str">
        <f ca="1">"Total "&amp;D127&amp;"s"</f>
        <v>Total CIDRZ Mobile Health Teams</v>
      </c>
      <c r="J139" s="672">
        <f t="shared" ref="J139:O139" si="10">SUM(J129:J138)</f>
        <v>0</v>
      </c>
      <c r="K139" s="672">
        <f t="shared" si="10"/>
        <v>0</v>
      </c>
      <c r="L139" s="672">
        <f t="shared" si="10"/>
        <v>0</v>
      </c>
      <c r="M139" s="672">
        <f t="shared" si="10"/>
        <v>0</v>
      </c>
      <c r="N139" s="672">
        <f t="shared" si="10"/>
        <v>0</v>
      </c>
      <c r="O139" s="672">
        <f t="shared" si="10"/>
        <v>0</v>
      </c>
    </row>
    <row r="140" spans="4:15" s="348" customFormat="1" x14ac:dyDescent="0.2"/>
    <row r="141" spans="4:15" s="348" customFormat="1" x14ac:dyDescent="0.2"/>
    <row r="142" spans="4:15" s="348" customFormat="1" x14ac:dyDescent="0.2"/>
    <row r="143" spans="4:15" s="348" customFormat="1" ht="15" hidden="1" outlineLevel="1" x14ac:dyDescent="0.2">
      <c r="D143" s="667" t="s">
        <v>1611</v>
      </c>
      <c r="H143" s="372">
        <v>7</v>
      </c>
    </row>
    <row r="144" spans="4:15" s="348" customFormat="1" collapsed="1" x14ac:dyDescent="0.2"/>
    <row r="145" spans="4:15" s="348" customFormat="1" x14ac:dyDescent="0.2">
      <c r="D145" s="668" t="str">
        <f ca="1">OFFSET(Labels_BA!D16,0,H143)</f>
        <v>Facility Type 8</v>
      </c>
    </row>
    <row r="146" spans="4:15" s="348" customFormat="1" x14ac:dyDescent="0.2"/>
    <row r="147" spans="4:15" s="348" customFormat="1" x14ac:dyDescent="0.2">
      <c r="D147" s="668" t="str">
        <f>Diag_BA!D130</f>
        <v>Central</v>
      </c>
      <c r="J147" s="372">
        <v>0</v>
      </c>
      <c r="K147" s="372">
        <v>0</v>
      </c>
      <c r="L147" s="372">
        <v>0</v>
      </c>
      <c r="M147" s="372">
        <v>0</v>
      </c>
      <c r="N147" s="372">
        <v>0</v>
      </c>
      <c r="O147" s="372">
        <v>0</v>
      </c>
    </row>
    <row r="148" spans="4:15" s="348" customFormat="1" x14ac:dyDescent="0.2">
      <c r="D148" s="668" t="str">
        <f>Diag_BA!D131</f>
        <v>Copperbelt</v>
      </c>
      <c r="J148" s="372">
        <v>0</v>
      </c>
      <c r="K148" s="372">
        <v>0</v>
      </c>
      <c r="L148" s="372">
        <v>0</v>
      </c>
      <c r="M148" s="372">
        <v>0</v>
      </c>
      <c r="N148" s="372">
        <v>0</v>
      </c>
      <c r="O148" s="372">
        <v>0</v>
      </c>
    </row>
    <row r="149" spans="4:15" s="348" customFormat="1" x14ac:dyDescent="0.2">
      <c r="D149" s="668" t="str">
        <f>Diag_BA!D132</f>
        <v>Eastern</v>
      </c>
      <c r="J149" s="372">
        <v>0</v>
      </c>
      <c r="K149" s="372">
        <v>0</v>
      </c>
      <c r="L149" s="372">
        <v>0</v>
      </c>
      <c r="M149" s="372">
        <v>0</v>
      </c>
      <c r="N149" s="372">
        <v>0</v>
      </c>
      <c r="O149" s="372">
        <v>0</v>
      </c>
    </row>
    <row r="150" spans="4:15" s="348" customFormat="1" x14ac:dyDescent="0.2">
      <c r="D150" s="668" t="str">
        <f>Diag_BA!D133</f>
        <v>Luapula</v>
      </c>
      <c r="J150" s="372">
        <v>0</v>
      </c>
      <c r="K150" s="372">
        <v>0</v>
      </c>
      <c r="L150" s="372">
        <v>0</v>
      </c>
      <c r="M150" s="372">
        <v>0</v>
      </c>
      <c r="N150" s="372">
        <v>0</v>
      </c>
      <c r="O150" s="372">
        <v>0</v>
      </c>
    </row>
    <row r="151" spans="4:15" s="348" customFormat="1" x14ac:dyDescent="0.2">
      <c r="D151" s="668" t="str">
        <f>Diag_BA!D134</f>
        <v>Lusaka</v>
      </c>
      <c r="J151" s="372">
        <v>0</v>
      </c>
      <c r="K151" s="372">
        <v>0</v>
      </c>
      <c r="L151" s="372">
        <v>0</v>
      </c>
      <c r="M151" s="372">
        <v>0</v>
      </c>
      <c r="N151" s="372">
        <v>0</v>
      </c>
      <c r="O151" s="372">
        <v>0</v>
      </c>
    </row>
    <row r="152" spans="4:15" s="348" customFormat="1" x14ac:dyDescent="0.2">
      <c r="D152" s="668" t="str">
        <f>Diag_BA!D135</f>
        <v>Muchinga</v>
      </c>
      <c r="J152" s="372">
        <v>0</v>
      </c>
      <c r="K152" s="372">
        <v>0</v>
      </c>
      <c r="L152" s="372">
        <v>0</v>
      </c>
      <c r="M152" s="372">
        <v>0</v>
      </c>
      <c r="N152" s="372">
        <v>0</v>
      </c>
      <c r="O152" s="372">
        <v>0</v>
      </c>
    </row>
    <row r="153" spans="4:15" s="348" customFormat="1" x14ac:dyDescent="0.2">
      <c r="D153" s="668" t="str">
        <f>Diag_BA!D136</f>
        <v>Northern</v>
      </c>
      <c r="J153" s="372">
        <v>0</v>
      </c>
      <c r="K153" s="372">
        <v>0</v>
      </c>
      <c r="L153" s="372">
        <v>0</v>
      </c>
      <c r="M153" s="372">
        <v>0</v>
      </c>
      <c r="N153" s="372">
        <v>0</v>
      </c>
      <c r="O153" s="372">
        <v>0</v>
      </c>
    </row>
    <row r="154" spans="4:15" s="348" customFormat="1" x14ac:dyDescent="0.2">
      <c r="D154" s="668" t="str">
        <f>Diag_BA!D137</f>
        <v>North-Western</v>
      </c>
      <c r="J154" s="372">
        <v>0</v>
      </c>
      <c r="K154" s="372">
        <v>0</v>
      </c>
      <c r="L154" s="372">
        <v>0</v>
      </c>
      <c r="M154" s="372">
        <v>0</v>
      </c>
      <c r="N154" s="372">
        <v>0</v>
      </c>
      <c r="O154" s="372">
        <v>0</v>
      </c>
    </row>
    <row r="155" spans="4:15" s="348" customFormat="1" x14ac:dyDescent="0.2">
      <c r="D155" s="668" t="str">
        <f>Diag_BA!D138</f>
        <v>Southern</v>
      </c>
      <c r="J155" s="372">
        <v>0</v>
      </c>
      <c r="K155" s="372">
        <v>0</v>
      </c>
      <c r="L155" s="372">
        <v>0</v>
      </c>
      <c r="M155" s="372">
        <v>0</v>
      </c>
      <c r="N155" s="372">
        <v>0</v>
      </c>
      <c r="O155" s="372">
        <v>0</v>
      </c>
    </row>
    <row r="156" spans="4:15" s="348" customFormat="1" x14ac:dyDescent="0.2">
      <c r="D156" s="668" t="str">
        <f>Diag_BA!D139</f>
        <v>Western</v>
      </c>
      <c r="J156" s="372">
        <v>0</v>
      </c>
      <c r="K156" s="372">
        <v>0</v>
      </c>
      <c r="L156" s="372">
        <v>0</v>
      </c>
      <c r="M156" s="372">
        <v>0</v>
      </c>
      <c r="N156" s="372">
        <v>0</v>
      </c>
      <c r="O156" s="372">
        <v>0</v>
      </c>
    </row>
    <row r="157" spans="4:15" s="348" customFormat="1" ht="15" x14ac:dyDescent="0.2">
      <c r="D157" s="359" t="str">
        <f ca="1">"Total "&amp;D145&amp;"s"</f>
        <v>Total Facility Type 8s</v>
      </c>
      <c r="J157" s="672">
        <f t="shared" ref="J157:O157" si="11">SUM(J147:J156)</f>
        <v>0</v>
      </c>
      <c r="K157" s="672">
        <f t="shared" si="11"/>
        <v>0</v>
      </c>
      <c r="L157" s="672">
        <f t="shared" si="11"/>
        <v>0</v>
      </c>
      <c r="M157" s="672">
        <f t="shared" si="11"/>
        <v>0</v>
      </c>
      <c r="N157" s="672">
        <f t="shared" si="11"/>
        <v>0</v>
      </c>
      <c r="O157" s="672">
        <f t="shared" si="11"/>
        <v>0</v>
      </c>
    </row>
    <row r="158" spans="4:15" s="348" customFormat="1" x14ac:dyDescent="0.2"/>
    <row r="159" spans="4:15" s="348" customFormat="1" x14ac:dyDescent="0.2"/>
    <row r="160" spans="4:15" s="348" customFormat="1" x14ac:dyDescent="0.2"/>
    <row r="161" spans="4:15" s="348" customFormat="1" ht="15" hidden="1" outlineLevel="1" x14ac:dyDescent="0.2">
      <c r="D161" s="667" t="s">
        <v>1611</v>
      </c>
      <c r="H161" s="372">
        <v>8</v>
      </c>
    </row>
    <row r="162" spans="4:15" s="348" customFormat="1" collapsed="1" x14ac:dyDescent="0.2"/>
    <row r="163" spans="4:15" s="348" customFormat="1" x14ac:dyDescent="0.2">
      <c r="D163" s="668" t="str">
        <f ca="1">OFFSET(Labels_BA!D16,0,H161)</f>
        <v>Facility Type 9</v>
      </c>
    </row>
    <row r="164" spans="4:15" s="348" customFormat="1" x14ac:dyDescent="0.2"/>
    <row r="165" spans="4:15" s="348" customFormat="1" x14ac:dyDescent="0.2">
      <c r="D165" s="668" t="str">
        <f>Diag_BA!D130</f>
        <v>Central</v>
      </c>
      <c r="J165" s="183">
        <v>0</v>
      </c>
      <c r="K165" s="183">
        <v>0</v>
      </c>
      <c r="L165" s="183">
        <v>0</v>
      </c>
      <c r="M165" s="183">
        <v>0</v>
      </c>
      <c r="N165" s="183">
        <v>0</v>
      </c>
      <c r="O165" s="183">
        <v>0</v>
      </c>
    </row>
    <row r="166" spans="4:15" s="348" customFormat="1" x14ac:dyDescent="0.2">
      <c r="D166" s="668" t="str">
        <f>Diag_BA!D131</f>
        <v>Copperbelt</v>
      </c>
      <c r="J166" s="183">
        <v>0</v>
      </c>
      <c r="K166" s="183">
        <v>0</v>
      </c>
      <c r="L166" s="183">
        <v>0</v>
      </c>
      <c r="M166" s="183">
        <v>0</v>
      </c>
      <c r="N166" s="183">
        <v>0</v>
      </c>
      <c r="O166" s="183">
        <v>0</v>
      </c>
    </row>
    <row r="167" spans="4:15" s="348" customFormat="1" x14ac:dyDescent="0.2">
      <c r="D167" s="668" t="str">
        <f>Diag_BA!D132</f>
        <v>Eastern</v>
      </c>
      <c r="J167" s="183">
        <v>0</v>
      </c>
      <c r="K167" s="183">
        <v>0</v>
      </c>
      <c r="L167" s="183">
        <v>0</v>
      </c>
      <c r="M167" s="183">
        <v>0</v>
      </c>
      <c r="N167" s="183">
        <v>0</v>
      </c>
      <c r="O167" s="183">
        <v>0</v>
      </c>
    </row>
    <row r="168" spans="4:15" s="348" customFormat="1" x14ac:dyDescent="0.2">
      <c r="D168" s="668" t="str">
        <f>Diag_BA!D133</f>
        <v>Luapula</v>
      </c>
      <c r="J168" s="183">
        <v>0</v>
      </c>
      <c r="K168" s="183">
        <v>0</v>
      </c>
      <c r="L168" s="183">
        <v>0</v>
      </c>
      <c r="M168" s="183">
        <v>0</v>
      </c>
      <c r="N168" s="183">
        <v>0</v>
      </c>
      <c r="O168" s="183">
        <v>0</v>
      </c>
    </row>
    <row r="169" spans="4:15" s="348" customFormat="1" x14ac:dyDescent="0.2">
      <c r="D169" s="668" t="str">
        <f>Diag_BA!D134</f>
        <v>Lusaka</v>
      </c>
      <c r="J169" s="183">
        <v>0</v>
      </c>
      <c r="K169" s="183">
        <v>0</v>
      </c>
      <c r="L169" s="183">
        <v>0</v>
      </c>
      <c r="M169" s="183">
        <v>0</v>
      </c>
      <c r="N169" s="183">
        <v>0</v>
      </c>
      <c r="O169" s="183">
        <v>0</v>
      </c>
    </row>
    <row r="170" spans="4:15" s="348" customFormat="1" x14ac:dyDescent="0.2">
      <c r="D170" s="668" t="str">
        <f>Diag_BA!D135</f>
        <v>Muchinga</v>
      </c>
      <c r="J170" s="183">
        <v>0</v>
      </c>
      <c r="K170" s="183">
        <v>0</v>
      </c>
      <c r="L170" s="183">
        <v>0</v>
      </c>
      <c r="M170" s="183">
        <v>0</v>
      </c>
      <c r="N170" s="183">
        <v>0</v>
      </c>
      <c r="O170" s="183">
        <v>0</v>
      </c>
    </row>
    <row r="171" spans="4:15" s="348" customFormat="1" x14ac:dyDescent="0.2">
      <c r="D171" s="668" t="str">
        <f>Diag_BA!D136</f>
        <v>Northern</v>
      </c>
      <c r="J171" s="183">
        <v>0</v>
      </c>
      <c r="K171" s="183">
        <v>0</v>
      </c>
      <c r="L171" s="183">
        <v>0</v>
      </c>
      <c r="M171" s="183">
        <v>0</v>
      </c>
      <c r="N171" s="183">
        <v>0</v>
      </c>
      <c r="O171" s="183">
        <v>0</v>
      </c>
    </row>
    <row r="172" spans="4:15" s="348" customFormat="1" x14ac:dyDescent="0.2">
      <c r="D172" s="668" t="str">
        <f>Diag_BA!D137</f>
        <v>North-Western</v>
      </c>
      <c r="J172" s="183">
        <v>0</v>
      </c>
      <c r="K172" s="183">
        <v>0</v>
      </c>
      <c r="L172" s="183">
        <v>0</v>
      </c>
      <c r="M172" s="183">
        <v>0</v>
      </c>
      <c r="N172" s="183">
        <v>0</v>
      </c>
      <c r="O172" s="183">
        <v>0</v>
      </c>
    </row>
    <row r="173" spans="4:15" s="348" customFormat="1" x14ac:dyDescent="0.2">
      <c r="D173" s="668" t="str">
        <f>Diag_BA!D138</f>
        <v>Southern</v>
      </c>
      <c r="J173" s="183">
        <v>0</v>
      </c>
      <c r="K173" s="183">
        <v>0</v>
      </c>
      <c r="L173" s="183">
        <v>0</v>
      </c>
      <c r="M173" s="183">
        <v>0</v>
      </c>
      <c r="N173" s="183">
        <v>0</v>
      </c>
      <c r="O173" s="183">
        <v>0</v>
      </c>
    </row>
    <row r="174" spans="4:15" s="348" customFormat="1" x14ac:dyDescent="0.2">
      <c r="D174" s="668" t="str">
        <f>Diag_BA!D139</f>
        <v>Western</v>
      </c>
      <c r="J174" s="183">
        <v>0</v>
      </c>
      <c r="K174" s="183">
        <v>0</v>
      </c>
      <c r="L174" s="183">
        <v>0</v>
      </c>
      <c r="M174" s="183">
        <v>0</v>
      </c>
      <c r="N174" s="183">
        <v>0</v>
      </c>
      <c r="O174" s="183">
        <v>0</v>
      </c>
    </row>
    <row r="175" spans="4:15" s="348" customFormat="1" ht="15" x14ac:dyDescent="0.2">
      <c r="D175" s="359" t="str">
        <f ca="1">"Total "&amp;D163&amp;"s"</f>
        <v>Total Facility Type 9s</v>
      </c>
      <c r="J175" s="672">
        <f t="shared" ref="J175:O175" si="12">SUM(J165:J174)</f>
        <v>0</v>
      </c>
      <c r="K175" s="672">
        <f t="shared" si="12"/>
        <v>0</v>
      </c>
      <c r="L175" s="672">
        <f t="shared" si="12"/>
        <v>0</v>
      </c>
      <c r="M175" s="672">
        <f t="shared" si="12"/>
        <v>0</v>
      </c>
      <c r="N175" s="672">
        <f t="shared" si="12"/>
        <v>0</v>
      </c>
      <c r="O175" s="672">
        <f t="shared" si="12"/>
        <v>0</v>
      </c>
    </row>
    <row r="176" spans="4:15" s="348" customFormat="1" x14ac:dyDescent="0.2"/>
    <row r="177" spans="4:15" s="348" customFormat="1" x14ac:dyDescent="0.2"/>
    <row r="178" spans="4:15" s="348" customFormat="1" x14ac:dyDescent="0.2"/>
    <row r="179" spans="4:15" s="348" customFormat="1" ht="15" hidden="1" outlineLevel="1" x14ac:dyDescent="0.2">
      <c r="D179" s="667" t="s">
        <v>1611</v>
      </c>
      <c r="H179" s="372">
        <v>9</v>
      </c>
    </row>
    <row r="180" spans="4:15" s="348" customFormat="1" collapsed="1" x14ac:dyDescent="0.2"/>
    <row r="181" spans="4:15" s="348" customFormat="1" x14ac:dyDescent="0.2">
      <c r="D181" s="668" t="str">
        <f ca="1">OFFSET(Labels_BA!D16,0,H179)</f>
        <v>Facility Type 10</v>
      </c>
    </row>
    <row r="182" spans="4:15" s="348" customFormat="1" x14ac:dyDescent="0.2"/>
    <row r="183" spans="4:15" s="348" customFormat="1" x14ac:dyDescent="0.2">
      <c r="D183" s="668" t="str">
        <f>Diag_BA!D130</f>
        <v>Central</v>
      </c>
      <c r="J183" s="183">
        <v>0</v>
      </c>
      <c r="K183" s="183">
        <v>0</v>
      </c>
      <c r="L183" s="183">
        <v>0</v>
      </c>
      <c r="M183" s="183">
        <v>0</v>
      </c>
      <c r="N183" s="183">
        <v>0</v>
      </c>
      <c r="O183" s="183">
        <v>0</v>
      </c>
    </row>
    <row r="184" spans="4:15" s="348" customFormat="1" x14ac:dyDescent="0.2">
      <c r="D184" s="668" t="str">
        <f>Diag_BA!D131</f>
        <v>Copperbelt</v>
      </c>
      <c r="J184" s="183">
        <v>0</v>
      </c>
      <c r="K184" s="183">
        <v>0</v>
      </c>
      <c r="L184" s="183">
        <v>0</v>
      </c>
      <c r="M184" s="183">
        <v>0</v>
      </c>
      <c r="N184" s="183">
        <v>0</v>
      </c>
      <c r="O184" s="183">
        <v>0</v>
      </c>
    </row>
    <row r="185" spans="4:15" s="348" customFormat="1" x14ac:dyDescent="0.2">
      <c r="D185" s="668" t="str">
        <f>Diag_BA!D132</f>
        <v>Eastern</v>
      </c>
      <c r="J185" s="183">
        <v>0</v>
      </c>
      <c r="K185" s="183">
        <v>0</v>
      </c>
      <c r="L185" s="183">
        <v>0</v>
      </c>
      <c r="M185" s="183">
        <v>0</v>
      </c>
      <c r="N185" s="183">
        <v>0</v>
      </c>
      <c r="O185" s="183">
        <v>0</v>
      </c>
    </row>
    <row r="186" spans="4:15" s="348" customFormat="1" x14ac:dyDescent="0.2">
      <c r="D186" s="668" t="str">
        <f>Diag_BA!D133</f>
        <v>Luapula</v>
      </c>
      <c r="J186" s="183">
        <v>0</v>
      </c>
      <c r="K186" s="183">
        <v>0</v>
      </c>
      <c r="L186" s="183">
        <v>0</v>
      </c>
      <c r="M186" s="183">
        <v>0</v>
      </c>
      <c r="N186" s="183">
        <v>0</v>
      </c>
      <c r="O186" s="183">
        <v>0</v>
      </c>
    </row>
    <row r="187" spans="4:15" s="348" customFormat="1" x14ac:dyDescent="0.2">
      <c r="D187" s="668" t="str">
        <f>Diag_BA!D134</f>
        <v>Lusaka</v>
      </c>
      <c r="J187" s="183">
        <v>0</v>
      </c>
      <c r="K187" s="183">
        <v>0</v>
      </c>
      <c r="L187" s="183">
        <v>0</v>
      </c>
      <c r="M187" s="183">
        <v>0</v>
      </c>
      <c r="N187" s="183">
        <v>0</v>
      </c>
      <c r="O187" s="183">
        <v>0</v>
      </c>
    </row>
    <row r="188" spans="4:15" s="348" customFormat="1" x14ac:dyDescent="0.2">
      <c r="D188" s="668" t="str">
        <f>Diag_BA!D135</f>
        <v>Muchinga</v>
      </c>
      <c r="J188" s="183">
        <v>0</v>
      </c>
      <c r="K188" s="183">
        <v>0</v>
      </c>
      <c r="L188" s="183">
        <v>0</v>
      </c>
      <c r="M188" s="183">
        <v>0</v>
      </c>
      <c r="N188" s="183">
        <v>0</v>
      </c>
      <c r="O188" s="183">
        <v>0</v>
      </c>
    </row>
    <row r="189" spans="4:15" s="348" customFormat="1" x14ac:dyDescent="0.2">
      <c r="D189" s="668" t="str">
        <f>Diag_BA!D136</f>
        <v>Northern</v>
      </c>
      <c r="J189" s="183">
        <v>0</v>
      </c>
      <c r="K189" s="183">
        <v>0</v>
      </c>
      <c r="L189" s="183">
        <v>0</v>
      </c>
      <c r="M189" s="183">
        <v>0</v>
      </c>
      <c r="N189" s="183">
        <v>0</v>
      </c>
      <c r="O189" s="183">
        <v>0</v>
      </c>
    </row>
    <row r="190" spans="4:15" s="348" customFormat="1" x14ac:dyDescent="0.2">
      <c r="D190" s="668" t="str">
        <f>Diag_BA!D137</f>
        <v>North-Western</v>
      </c>
      <c r="J190" s="183">
        <v>0</v>
      </c>
      <c r="K190" s="183">
        <v>0</v>
      </c>
      <c r="L190" s="183">
        <v>0</v>
      </c>
      <c r="M190" s="183">
        <v>0</v>
      </c>
      <c r="N190" s="183">
        <v>0</v>
      </c>
      <c r="O190" s="183">
        <v>0</v>
      </c>
    </row>
    <row r="191" spans="4:15" s="348" customFormat="1" x14ac:dyDescent="0.2">
      <c r="D191" s="668" t="str">
        <f>Diag_BA!D138</f>
        <v>Southern</v>
      </c>
      <c r="J191" s="183">
        <v>0</v>
      </c>
      <c r="K191" s="183">
        <v>0</v>
      </c>
      <c r="L191" s="183">
        <v>0</v>
      </c>
      <c r="M191" s="183">
        <v>0</v>
      </c>
      <c r="N191" s="183">
        <v>0</v>
      </c>
      <c r="O191" s="183">
        <v>0</v>
      </c>
    </row>
    <row r="192" spans="4:15" s="348" customFormat="1" x14ac:dyDescent="0.2">
      <c r="D192" s="668" t="str">
        <f>Diag_BA!D139</f>
        <v>Western</v>
      </c>
      <c r="J192" s="183">
        <v>0</v>
      </c>
      <c r="K192" s="183">
        <v>0</v>
      </c>
      <c r="L192" s="183">
        <v>0</v>
      </c>
      <c r="M192" s="183">
        <v>0</v>
      </c>
      <c r="N192" s="183">
        <v>0</v>
      </c>
      <c r="O192" s="183">
        <v>0</v>
      </c>
    </row>
    <row r="193" spans="4:15" s="348" customFormat="1" ht="15" x14ac:dyDescent="0.2">
      <c r="D193" s="359" t="str">
        <f ca="1">"Total "&amp;D181&amp;"s"</f>
        <v>Total Facility Type 10s</v>
      </c>
      <c r="J193" s="672">
        <f t="shared" ref="J193:O193" si="13">SUM(J183:J192)</f>
        <v>0</v>
      </c>
      <c r="K193" s="672">
        <f t="shared" si="13"/>
        <v>0</v>
      </c>
      <c r="L193" s="672">
        <f t="shared" si="13"/>
        <v>0</v>
      </c>
      <c r="M193" s="672">
        <f t="shared" si="13"/>
        <v>0</v>
      </c>
      <c r="N193" s="672">
        <f t="shared" si="13"/>
        <v>0</v>
      </c>
      <c r="O193" s="672">
        <f t="shared" si="13"/>
        <v>0</v>
      </c>
    </row>
    <row r="194" spans="4:15" s="348" customFormat="1" x14ac:dyDescent="0.2"/>
    <row r="195" spans="4:15" s="348" customFormat="1" x14ac:dyDescent="0.2"/>
    <row r="196" spans="4:15" s="348" customFormat="1" x14ac:dyDescent="0.2"/>
    <row r="197" spans="4:15" s="348" customFormat="1" x14ac:dyDescent="0.2"/>
    <row r="198" spans="4:15" s="348" customFormat="1" ht="15.75" x14ac:dyDescent="0.2">
      <c r="D198" s="124" t="str">
        <f>"Total Number of Eligible Facilities To Offer "&amp;Diag_BA!G9</f>
        <v>Total Number of Eligible Facilities To Offer Biopsy and Histopathology</v>
      </c>
    </row>
    <row r="199" spans="4:15" s="348" customFormat="1" x14ac:dyDescent="0.2"/>
    <row r="200" spans="4:15" s="348" customFormat="1" x14ac:dyDescent="0.2">
      <c r="D200" s="668" t="str">
        <f>Diag_BA!D130</f>
        <v>Central</v>
      </c>
      <c r="J200" s="119">
        <f t="shared" ref="J200:O209" si="14">SUM(J21,J39,J57,J75,J93,J111,J129,J147,J165,J183)</f>
        <v>0</v>
      </c>
      <c r="K200" s="119">
        <f t="shared" si="14"/>
        <v>0</v>
      </c>
      <c r="L200" s="119">
        <f t="shared" si="14"/>
        <v>0</v>
      </c>
      <c r="M200" s="119">
        <f t="shared" si="14"/>
        <v>0</v>
      </c>
      <c r="N200" s="119">
        <f t="shared" si="14"/>
        <v>0</v>
      </c>
      <c r="O200" s="119">
        <f t="shared" si="14"/>
        <v>0</v>
      </c>
    </row>
    <row r="201" spans="4:15" s="348" customFormat="1" x14ac:dyDescent="0.2">
      <c r="D201" s="668" t="str">
        <f>Diag_BA!D131</f>
        <v>Copperbelt</v>
      </c>
      <c r="J201" s="119">
        <f t="shared" si="14"/>
        <v>3</v>
      </c>
      <c r="K201" s="119">
        <f t="shared" si="14"/>
        <v>3</v>
      </c>
      <c r="L201" s="119">
        <f t="shared" si="14"/>
        <v>3</v>
      </c>
      <c r="M201" s="119">
        <f t="shared" si="14"/>
        <v>3</v>
      </c>
      <c r="N201" s="119">
        <f t="shared" si="14"/>
        <v>3</v>
      </c>
      <c r="O201" s="119">
        <f t="shared" si="14"/>
        <v>3</v>
      </c>
    </row>
    <row r="202" spans="4:15" s="348" customFormat="1" x14ac:dyDescent="0.2">
      <c r="D202" s="668" t="str">
        <f>Diag_BA!D132</f>
        <v>Eastern</v>
      </c>
      <c r="J202" s="119">
        <f t="shared" si="14"/>
        <v>0</v>
      </c>
      <c r="K202" s="119">
        <f t="shared" si="14"/>
        <v>0</v>
      </c>
      <c r="L202" s="119">
        <f t="shared" si="14"/>
        <v>0</v>
      </c>
      <c r="M202" s="119">
        <f t="shared" si="14"/>
        <v>0</v>
      </c>
      <c r="N202" s="119">
        <f t="shared" si="14"/>
        <v>0</v>
      </c>
      <c r="O202" s="119">
        <f t="shared" si="14"/>
        <v>0</v>
      </c>
    </row>
    <row r="203" spans="4:15" s="348" customFormat="1" x14ac:dyDescent="0.2">
      <c r="D203" s="668" t="str">
        <f>Diag_BA!D133</f>
        <v>Luapula</v>
      </c>
      <c r="J203" s="119">
        <f t="shared" si="14"/>
        <v>0</v>
      </c>
      <c r="K203" s="119">
        <f t="shared" si="14"/>
        <v>0</v>
      </c>
      <c r="L203" s="119">
        <f t="shared" si="14"/>
        <v>0</v>
      </c>
      <c r="M203" s="119">
        <f t="shared" si="14"/>
        <v>0</v>
      </c>
      <c r="N203" s="119">
        <f t="shared" si="14"/>
        <v>0</v>
      </c>
      <c r="O203" s="119">
        <f t="shared" si="14"/>
        <v>0</v>
      </c>
    </row>
    <row r="204" spans="4:15" s="348" customFormat="1" x14ac:dyDescent="0.2">
      <c r="D204" s="668" t="str">
        <f>Diag_BA!D134</f>
        <v>Lusaka</v>
      </c>
      <c r="J204" s="119">
        <f t="shared" si="14"/>
        <v>1</v>
      </c>
      <c r="K204" s="119">
        <f t="shared" si="14"/>
        <v>1</v>
      </c>
      <c r="L204" s="119">
        <f t="shared" si="14"/>
        <v>1</v>
      </c>
      <c r="M204" s="119">
        <f t="shared" si="14"/>
        <v>1</v>
      </c>
      <c r="N204" s="119">
        <f t="shared" si="14"/>
        <v>1</v>
      </c>
      <c r="O204" s="119">
        <f t="shared" si="14"/>
        <v>1</v>
      </c>
    </row>
    <row r="205" spans="4:15" s="348" customFormat="1" x14ac:dyDescent="0.2">
      <c r="D205" s="668" t="str">
        <f>Diag_BA!D135</f>
        <v>Muchinga</v>
      </c>
      <c r="J205" s="119">
        <f t="shared" si="14"/>
        <v>0</v>
      </c>
      <c r="K205" s="119">
        <f t="shared" si="14"/>
        <v>0</v>
      </c>
      <c r="L205" s="119">
        <f t="shared" si="14"/>
        <v>0</v>
      </c>
      <c r="M205" s="119">
        <f t="shared" si="14"/>
        <v>0</v>
      </c>
      <c r="N205" s="119">
        <f t="shared" si="14"/>
        <v>0</v>
      </c>
      <c r="O205" s="119">
        <f t="shared" si="14"/>
        <v>0</v>
      </c>
    </row>
    <row r="206" spans="4:15" s="348" customFormat="1" x14ac:dyDescent="0.2">
      <c r="D206" s="668" t="str">
        <f>Diag_BA!D136</f>
        <v>Northern</v>
      </c>
      <c r="J206" s="119">
        <f t="shared" si="14"/>
        <v>0</v>
      </c>
      <c r="K206" s="119">
        <f t="shared" si="14"/>
        <v>0</v>
      </c>
      <c r="L206" s="119">
        <f t="shared" si="14"/>
        <v>0</v>
      </c>
      <c r="M206" s="119">
        <f t="shared" si="14"/>
        <v>0</v>
      </c>
      <c r="N206" s="119">
        <f t="shared" si="14"/>
        <v>0</v>
      </c>
      <c r="O206" s="119">
        <f t="shared" si="14"/>
        <v>0</v>
      </c>
    </row>
    <row r="207" spans="4:15" s="348" customFormat="1" x14ac:dyDescent="0.2">
      <c r="D207" s="668" t="str">
        <f>Diag_BA!D137</f>
        <v>North-Western</v>
      </c>
      <c r="J207" s="119">
        <f t="shared" si="14"/>
        <v>0</v>
      </c>
      <c r="K207" s="119">
        <f t="shared" si="14"/>
        <v>0</v>
      </c>
      <c r="L207" s="119">
        <f t="shared" si="14"/>
        <v>0</v>
      </c>
      <c r="M207" s="119">
        <f t="shared" si="14"/>
        <v>0</v>
      </c>
      <c r="N207" s="119">
        <f t="shared" si="14"/>
        <v>0</v>
      </c>
      <c r="O207" s="119">
        <f t="shared" si="14"/>
        <v>0</v>
      </c>
    </row>
    <row r="208" spans="4:15" s="348" customFormat="1" x14ac:dyDescent="0.2">
      <c r="D208" s="668" t="str">
        <f>Diag_BA!D138</f>
        <v>Southern</v>
      </c>
      <c r="J208" s="119">
        <f t="shared" si="14"/>
        <v>0</v>
      </c>
      <c r="K208" s="119">
        <f t="shared" si="14"/>
        <v>0</v>
      </c>
      <c r="L208" s="119">
        <f t="shared" si="14"/>
        <v>0</v>
      </c>
      <c r="M208" s="119">
        <f t="shared" si="14"/>
        <v>0</v>
      </c>
      <c r="N208" s="119">
        <f t="shared" si="14"/>
        <v>0</v>
      </c>
      <c r="O208" s="119">
        <f t="shared" si="14"/>
        <v>0</v>
      </c>
    </row>
    <row r="209" spans="3:15" s="348" customFormat="1" x14ac:dyDescent="0.2">
      <c r="D209" s="668" t="str">
        <f>Diag_BA!D139</f>
        <v>Western</v>
      </c>
      <c r="J209" s="119">
        <f t="shared" si="14"/>
        <v>0</v>
      </c>
      <c r="K209" s="119">
        <f t="shared" si="14"/>
        <v>0</v>
      </c>
      <c r="L209" s="119">
        <f t="shared" si="14"/>
        <v>0</v>
      </c>
      <c r="M209" s="119">
        <f t="shared" si="14"/>
        <v>0</v>
      </c>
      <c r="N209" s="119">
        <f t="shared" si="14"/>
        <v>0</v>
      </c>
      <c r="O209" s="119">
        <f t="shared" si="14"/>
        <v>0</v>
      </c>
    </row>
    <row r="210" spans="3:15" s="348" customFormat="1" ht="15.75" thickBot="1" x14ac:dyDescent="0.25">
      <c r="D210" s="667" t="s">
        <v>415</v>
      </c>
      <c r="J210" s="497">
        <f t="shared" ref="J210:O210" si="15">SUM(J200:J209)</f>
        <v>4</v>
      </c>
      <c r="K210" s="497">
        <f t="shared" si="15"/>
        <v>4</v>
      </c>
      <c r="L210" s="497">
        <f t="shared" si="15"/>
        <v>4</v>
      </c>
      <c r="M210" s="497">
        <f t="shared" si="15"/>
        <v>4</v>
      </c>
      <c r="N210" s="497">
        <f t="shared" si="15"/>
        <v>4</v>
      </c>
      <c r="O210" s="497">
        <f t="shared" si="15"/>
        <v>4</v>
      </c>
    </row>
    <row r="211" spans="3:15" s="348" customFormat="1" ht="13.5" thickTop="1" x14ac:dyDescent="0.2"/>
    <row r="212" spans="3:15" s="348" customFormat="1" ht="15.75" x14ac:dyDescent="0.2">
      <c r="C212" s="664" t="s">
        <v>141</v>
      </c>
    </row>
    <row r="213" spans="3:15" s="348" customFormat="1" outlineLevel="1" x14ac:dyDescent="0.2"/>
    <row r="214" spans="3:15" s="348" customFormat="1" ht="17.25" customHeight="1" outlineLevel="1" x14ac:dyDescent="0.2">
      <c r="D214" s="671" t="s">
        <v>184</v>
      </c>
      <c r="H214" s="677" t="b">
        <v>1</v>
      </c>
    </row>
    <row r="215" spans="3:15" s="348" customFormat="1" outlineLevel="1" x14ac:dyDescent="0.2"/>
    <row r="216" spans="3:15" s="348" customFormat="1" ht="15" outlineLevel="1" x14ac:dyDescent="0.2">
      <c r="D216" s="669" t="str">
        <f>Plac_Start_Facs_BA!C20</f>
        <v>Total</v>
      </c>
    </row>
    <row r="217" spans="3:15" s="348" customFormat="1" outlineLevel="1" x14ac:dyDescent="0.2">
      <c r="D217" s="668" t="str">
        <f>Diag_BA!D130</f>
        <v>Central</v>
      </c>
      <c r="J217" s="145">
        <f ca="1">Reg_Pop_Ann_TO!J361</f>
        <v>5788</v>
      </c>
      <c r="K217" s="145">
        <f ca="1">Reg_Pop_Ann_TO!K361</f>
        <v>5788</v>
      </c>
      <c r="L217" s="145">
        <f ca="1">Reg_Pop_Ann_TO!L361</f>
        <v>5788</v>
      </c>
      <c r="M217" s="145">
        <f ca="1">Reg_Pop_Ann_TO!M361</f>
        <v>5788</v>
      </c>
      <c r="N217" s="145">
        <f ca="1">Reg_Pop_Ann_TO!N361</f>
        <v>5788</v>
      </c>
      <c r="O217" s="145">
        <f ca="1">Reg_Pop_Ann_TO!O361</f>
        <v>5788</v>
      </c>
    </row>
    <row r="218" spans="3:15" s="348" customFormat="1" outlineLevel="1" x14ac:dyDescent="0.2">
      <c r="D218" s="668" t="str">
        <f>Diag_BA!D131</f>
        <v>Copperbelt</v>
      </c>
      <c r="J218" s="145">
        <f ca="1">Reg_Pop_Ann_TO!J362</f>
        <v>8128</v>
      </c>
      <c r="K218" s="145">
        <f ca="1">Reg_Pop_Ann_TO!K362</f>
        <v>8128</v>
      </c>
      <c r="L218" s="145">
        <f ca="1">Reg_Pop_Ann_TO!L362</f>
        <v>8128</v>
      </c>
      <c r="M218" s="145">
        <f ca="1">Reg_Pop_Ann_TO!M362</f>
        <v>8128</v>
      </c>
      <c r="N218" s="145">
        <f ca="1">Reg_Pop_Ann_TO!N362</f>
        <v>8128</v>
      </c>
      <c r="O218" s="145">
        <f ca="1">Reg_Pop_Ann_TO!O362</f>
        <v>8128</v>
      </c>
    </row>
    <row r="219" spans="3:15" s="348" customFormat="1" outlineLevel="1" x14ac:dyDescent="0.2">
      <c r="D219" s="668" t="str">
        <f>Diag_BA!D132</f>
        <v>Eastern</v>
      </c>
      <c r="J219" s="145">
        <f ca="1">Reg_Pop_Ann_TO!J363</f>
        <v>10468</v>
      </c>
      <c r="K219" s="145">
        <f ca="1">Reg_Pop_Ann_TO!K363</f>
        <v>10468</v>
      </c>
      <c r="L219" s="145">
        <f ca="1">Reg_Pop_Ann_TO!L363</f>
        <v>10468</v>
      </c>
      <c r="M219" s="145">
        <f ca="1">Reg_Pop_Ann_TO!M363</f>
        <v>10468</v>
      </c>
      <c r="N219" s="145">
        <f ca="1">Reg_Pop_Ann_TO!N363</f>
        <v>10468</v>
      </c>
      <c r="O219" s="145">
        <f ca="1">Reg_Pop_Ann_TO!O363</f>
        <v>10468</v>
      </c>
    </row>
    <row r="220" spans="3:15" s="348" customFormat="1" outlineLevel="1" x14ac:dyDescent="0.2">
      <c r="D220" s="668" t="str">
        <f>Diag_BA!D133</f>
        <v>Luapula</v>
      </c>
      <c r="J220" s="145">
        <f ca="1">Reg_Pop_Ann_TO!J364</f>
        <v>8128</v>
      </c>
      <c r="K220" s="145">
        <f ca="1">Reg_Pop_Ann_TO!K364</f>
        <v>8128</v>
      </c>
      <c r="L220" s="145">
        <f ca="1">Reg_Pop_Ann_TO!L364</f>
        <v>8128</v>
      </c>
      <c r="M220" s="145">
        <f ca="1">Reg_Pop_Ann_TO!M364</f>
        <v>8128</v>
      </c>
      <c r="N220" s="145">
        <f ca="1">Reg_Pop_Ann_TO!N364</f>
        <v>8128</v>
      </c>
      <c r="O220" s="145">
        <f ca="1">Reg_Pop_Ann_TO!O364</f>
        <v>8128</v>
      </c>
    </row>
    <row r="221" spans="3:15" s="348" customFormat="1" outlineLevel="1" x14ac:dyDescent="0.2">
      <c r="D221" s="668" t="str">
        <f>Diag_BA!D134</f>
        <v>Lusaka</v>
      </c>
      <c r="J221" s="145">
        <f ca="1">Reg_Pop_Ann_TO!J365</f>
        <v>29188</v>
      </c>
      <c r="K221" s="145">
        <f ca="1">Reg_Pop_Ann_TO!K365</f>
        <v>29188</v>
      </c>
      <c r="L221" s="145">
        <f ca="1">Reg_Pop_Ann_TO!L365</f>
        <v>29188</v>
      </c>
      <c r="M221" s="145">
        <f ca="1">Reg_Pop_Ann_TO!M365</f>
        <v>29188</v>
      </c>
      <c r="N221" s="145">
        <f ca="1">Reg_Pop_Ann_TO!N365</f>
        <v>29188</v>
      </c>
      <c r="O221" s="145">
        <f ca="1">Reg_Pop_Ann_TO!O365</f>
        <v>29188</v>
      </c>
    </row>
    <row r="222" spans="3:15" s="348" customFormat="1" outlineLevel="1" x14ac:dyDescent="0.2">
      <c r="D222" s="668" t="str">
        <f>Diag_BA!D135</f>
        <v>Muchinga</v>
      </c>
      <c r="J222" s="145">
        <f ca="1">Reg_Pop_Ann_TO!J366</f>
        <v>554</v>
      </c>
      <c r="K222" s="145">
        <f ca="1">Reg_Pop_Ann_TO!K366</f>
        <v>554</v>
      </c>
      <c r="L222" s="145">
        <f ca="1">Reg_Pop_Ann_TO!L366</f>
        <v>554</v>
      </c>
      <c r="M222" s="145">
        <f ca="1">Reg_Pop_Ann_TO!M366</f>
        <v>554</v>
      </c>
      <c r="N222" s="145">
        <f ca="1">Reg_Pop_Ann_TO!N366</f>
        <v>554</v>
      </c>
      <c r="O222" s="145">
        <f ca="1">Reg_Pop_Ann_TO!O366</f>
        <v>554</v>
      </c>
    </row>
    <row r="223" spans="3:15" s="348" customFormat="1" outlineLevel="1" x14ac:dyDescent="0.2">
      <c r="D223" s="668" t="str">
        <f>Diag_BA!D136</f>
        <v>Northern</v>
      </c>
      <c r="J223" s="145">
        <f ca="1">Reg_Pop_Ann_TO!J367</f>
        <v>2894</v>
      </c>
      <c r="K223" s="145">
        <f ca="1">Reg_Pop_Ann_TO!K367</f>
        <v>2894</v>
      </c>
      <c r="L223" s="145">
        <f ca="1">Reg_Pop_Ann_TO!L367</f>
        <v>2894</v>
      </c>
      <c r="M223" s="145">
        <f ca="1">Reg_Pop_Ann_TO!M367</f>
        <v>2894</v>
      </c>
      <c r="N223" s="145">
        <f ca="1">Reg_Pop_Ann_TO!N367</f>
        <v>2894</v>
      </c>
      <c r="O223" s="145">
        <f ca="1">Reg_Pop_Ann_TO!O367</f>
        <v>2894</v>
      </c>
    </row>
    <row r="224" spans="3:15" s="348" customFormat="1" outlineLevel="1" x14ac:dyDescent="0.2">
      <c r="D224" s="668" t="str">
        <f>Diag_BA!D137</f>
        <v>North-Western</v>
      </c>
      <c r="J224" s="145">
        <f ca="1">Reg_Pop_Ann_TO!J368</f>
        <v>3448</v>
      </c>
      <c r="K224" s="145">
        <f ca="1">Reg_Pop_Ann_TO!K368</f>
        <v>3448</v>
      </c>
      <c r="L224" s="145">
        <f ca="1">Reg_Pop_Ann_TO!L368</f>
        <v>3448</v>
      </c>
      <c r="M224" s="145">
        <f ca="1">Reg_Pop_Ann_TO!M368</f>
        <v>3448</v>
      </c>
      <c r="N224" s="145">
        <f ca="1">Reg_Pop_Ann_TO!N368</f>
        <v>3448</v>
      </c>
      <c r="O224" s="145">
        <f ca="1">Reg_Pop_Ann_TO!O368</f>
        <v>3448</v>
      </c>
    </row>
    <row r="225" spans="3:15" s="348" customFormat="1" outlineLevel="1" x14ac:dyDescent="0.2">
      <c r="D225" s="668" t="str">
        <f>Diag_BA!D138</f>
        <v>Southern</v>
      </c>
      <c r="J225" s="145">
        <f ca="1">Reg_Pop_Ann_TO!J369</f>
        <v>8128</v>
      </c>
      <c r="K225" s="145">
        <f ca="1">Reg_Pop_Ann_TO!K369</f>
        <v>8128</v>
      </c>
      <c r="L225" s="145">
        <f ca="1">Reg_Pop_Ann_TO!L369</f>
        <v>8128</v>
      </c>
      <c r="M225" s="145">
        <f ca="1">Reg_Pop_Ann_TO!M369</f>
        <v>8128</v>
      </c>
      <c r="N225" s="145">
        <f ca="1">Reg_Pop_Ann_TO!N369</f>
        <v>8128</v>
      </c>
      <c r="O225" s="145">
        <f ca="1">Reg_Pop_Ann_TO!O369</f>
        <v>8128</v>
      </c>
    </row>
    <row r="226" spans="3:15" s="348" customFormat="1" outlineLevel="1" x14ac:dyDescent="0.2">
      <c r="D226" s="668" t="str">
        <f>Diag_BA!D139</f>
        <v>Western</v>
      </c>
      <c r="J226" s="145">
        <f ca="1">Reg_Pop_Ann_TO!J370</f>
        <v>8128</v>
      </c>
      <c r="K226" s="145">
        <f ca="1">Reg_Pop_Ann_TO!K370</f>
        <v>8128</v>
      </c>
      <c r="L226" s="145">
        <f ca="1">Reg_Pop_Ann_TO!L370</f>
        <v>8128</v>
      </c>
      <c r="M226" s="145">
        <f ca="1">Reg_Pop_Ann_TO!M370</f>
        <v>8128</v>
      </c>
      <c r="N226" s="145">
        <f ca="1">Reg_Pop_Ann_TO!N370</f>
        <v>8128</v>
      </c>
      <c r="O226" s="145">
        <f ca="1">Reg_Pop_Ann_TO!O370</f>
        <v>8128</v>
      </c>
    </row>
    <row r="227" spans="3:15" s="348" customFormat="1" ht="15" x14ac:dyDescent="0.2">
      <c r="D227" s="359" t="str">
        <f>"Total "&amp;C212</f>
        <v>Total Screened Population</v>
      </c>
      <c r="J227" s="160">
        <f t="shared" ref="J227:O227" ca="1" si="16">SUM(J217:J226)</f>
        <v>84852</v>
      </c>
      <c r="K227" s="160">
        <f t="shared" ca="1" si="16"/>
        <v>84852</v>
      </c>
      <c r="L227" s="160">
        <f t="shared" ca="1" si="16"/>
        <v>84852</v>
      </c>
      <c r="M227" s="160">
        <f t="shared" ca="1" si="16"/>
        <v>84852</v>
      </c>
      <c r="N227" s="160">
        <f t="shared" ca="1" si="16"/>
        <v>84852</v>
      </c>
      <c r="O227" s="160">
        <f t="shared" ca="1" si="16"/>
        <v>84852</v>
      </c>
    </row>
    <row r="228" spans="3:15" s="348" customFormat="1" x14ac:dyDescent="0.2"/>
    <row r="229" spans="3:15" s="348" customFormat="1" x14ac:dyDescent="0.2"/>
    <row r="230" spans="3:15" s="348" customFormat="1" x14ac:dyDescent="0.2">
      <c r="C230" s="722" t="str">
        <f>"Go to "&amp;HL_Diag_Ass</f>
        <v>Go to Biopsy and Histopathology Assumptions</v>
      </c>
      <c r="D230" s="777"/>
      <c r="E230" s="777"/>
      <c r="F230" s="777"/>
      <c r="G230" s="777"/>
      <c r="H230" s="777"/>
      <c r="I230" s="777"/>
    </row>
    <row r="231" spans="3:15" s="348" customFormat="1" x14ac:dyDescent="0.2">
      <c r="C231" s="722" t="str">
        <f>"Go to "&amp;HL_Diag_Out</f>
        <v>Go to BIOP-H - Outputs</v>
      </c>
      <c r="D231" s="777"/>
      <c r="E231" s="777"/>
      <c r="F231" s="777"/>
      <c r="G231" s="777"/>
      <c r="H231" s="777"/>
      <c r="I231" s="777"/>
    </row>
  </sheetData>
  <sheetProtection password="F0F4" sheet="1" scenarios="1"/>
  <mergeCells count="3">
    <mergeCell ref="B3:F3"/>
    <mergeCell ref="C230:I230"/>
    <mergeCell ref="C231:I231"/>
  </mergeCells>
  <dataValidations count="3">
    <dataValidation type="custom" showDropDown="1" showErrorMessage="1" errorTitle="Check Box Cell Link" error="The value in a check box cell link must be either &quot;TRUE&quot; or &quot;FALSE&quot;" sqref="H214">
      <formula1>ISLOGICAL(H214)</formula1>
    </dataValidation>
    <dataValidation type="decimal" operator="greaterThanOrEqual" allowBlank="1" showDropDown="1" showErrorMessage="1" errorTitle="Invalid Assumption" error="Assumption must be a value greater than or equal to zero." sqref="J217:O226">
      <formula1>0</formula1>
    </dataValidation>
    <dataValidation type="custom" showErrorMessage="1" errorTitle="Invalid Assumption" error="Assumption must be a number." sqref="H17 H179 H161 H143 H125 H35 H107 H89 H71 H53 J183:O192 J165:O174 J129:O138 J111:O120 J93:O102 J75:O84 J57:O66 J39:O48 J21:O30 J147:O157">
      <formula1>NOT(ISERROR(H17/1))</formula1>
    </dataValidation>
  </dataValidations>
  <hyperlinks>
    <hyperlink ref="A4" location="$A$10" tooltip="Go to Top of Sheet" display="$A$10"/>
    <hyperlink ref="C4" location="HL_Sheet_Main_26" tooltip="Go to Next Sheet" display="HL_Sheet_Main_26"/>
    <hyperlink ref="B4" location="HL_Sheet_Main_22" tooltip="Go to Previous Sheet" display="HL_Sheet_Main_22"/>
    <hyperlink ref="C230:I230" location="HL_Diag_Ass" tooltip="Click to follow hyperlink." display="HL_Diag_Ass"/>
    <hyperlink ref="C231:I231" location="HL_Diag_Out" tooltip="Click to follow hyperlink." display="HL_Diag_Out"/>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4753" r:id="rId4" name="bpmCheckBoxDiag1">
              <controlPr defaultSize="0" autoFill="0" autoLine="0" autoPict="0">
                <anchor moveWithCells="1">
                  <from>
                    <xdr:col>7</xdr:col>
                    <xdr:colOff>171450</xdr:colOff>
                    <xdr:row>212</xdr:row>
                    <xdr:rowOff>133350</xdr:rowOff>
                  </from>
                  <to>
                    <xdr:col>7</xdr:col>
                    <xdr:colOff>866775</xdr:colOff>
                    <xdr:row>213</xdr:row>
                    <xdr:rowOff>190500</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rgb="FFFFC000"/>
    <pageSetUpPr autoPageBreaks="0"/>
  </sheetPr>
  <dimension ref="A1:U3531"/>
  <sheetViews>
    <sheetView showGridLines="0" zoomScaleNormal="100" workbookViewId="0">
      <pane ySplit="4" topLeftCell="A5" activePane="bottomLeft" state="frozen"/>
      <selection activeCell="J515" sqref="J515"/>
      <selection pane="bottomLeft" activeCell="G13" sqref="G13"/>
    </sheetView>
  </sheetViews>
  <sheetFormatPr defaultColWidth="11.7109375" defaultRowHeight="12.75" outlineLevelRow="2" outlineLevelCol="2" x14ac:dyDescent="0.2"/>
  <cols>
    <col min="1" max="5" width="3.7109375" style="105" customWidth="1"/>
    <col min="6" max="9" width="11.7109375" style="105"/>
    <col min="10" max="15" width="15.7109375" style="105" customWidth="1"/>
    <col min="16" max="16" width="14.5703125" style="105" customWidth="1"/>
    <col min="17" max="20" width="11.7109375" style="105"/>
    <col min="21" max="21" width="11.7109375" style="105" customWidth="1" outlineLevel="2"/>
    <col min="22" max="16384" width="11.7109375" style="105"/>
  </cols>
  <sheetData>
    <row r="1" spans="1:17" ht="23.25" x14ac:dyDescent="0.2">
      <c r="A1" s="321"/>
      <c r="B1" s="298" t="s">
        <v>625</v>
      </c>
      <c r="C1" s="299"/>
      <c r="D1" s="299"/>
      <c r="E1" s="299"/>
      <c r="F1" s="299"/>
      <c r="G1" s="299"/>
      <c r="H1" s="299"/>
      <c r="I1" s="299"/>
      <c r="J1" s="299"/>
      <c r="K1" s="299"/>
      <c r="L1" s="299"/>
      <c r="M1" s="299"/>
      <c r="N1" s="299"/>
      <c r="O1" s="299"/>
      <c r="P1" s="299"/>
      <c r="Q1" s="299"/>
    </row>
    <row r="2" spans="1:17" ht="18.75" x14ac:dyDescent="0.2">
      <c r="B2" s="300" t="str">
        <f>Model_Name</f>
        <v>Zambia C4P* - Screening &amp; Treatment Tool</v>
      </c>
      <c r="C2" s="299"/>
      <c r="D2" s="299"/>
      <c r="E2" s="299"/>
      <c r="F2" s="299"/>
      <c r="G2" s="299"/>
      <c r="H2" s="299"/>
      <c r="I2" s="299"/>
      <c r="J2" s="299"/>
      <c r="K2" s="299"/>
      <c r="L2" s="299"/>
      <c r="M2" s="299"/>
      <c r="N2" s="299"/>
      <c r="O2" s="299"/>
      <c r="P2" s="299"/>
      <c r="Q2" s="299"/>
    </row>
    <row r="3" spans="1:17" x14ac:dyDescent="0.2">
      <c r="B3" s="722" t="s">
        <v>2</v>
      </c>
      <c r="C3" s="722"/>
      <c r="D3" s="722"/>
      <c r="E3" s="722"/>
      <c r="F3" s="722"/>
      <c r="G3" s="299"/>
      <c r="H3" s="299"/>
      <c r="I3" s="299"/>
      <c r="J3" s="299"/>
      <c r="K3" s="299"/>
      <c r="L3" s="299"/>
      <c r="M3" s="299"/>
      <c r="N3" s="299"/>
      <c r="O3" s="299"/>
      <c r="P3" s="299"/>
      <c r="Q3" s="299"/>
    </row>
    <row r="4" spans="1:17" x14ac:dyDescent="0.2">
      <c r="A4" s="108" t="s">
        <v>4</v>
      </c>
      <c r="B4" s="301" t="s">
        <v>6</v>
      </c>
      <c r="C4" s="302" t="s">
        <v>7</v>
      </c>
      <c r="D4" s="354" t="s">
        <v>27</v>
      </c>
      <c r="E4" s="355" t="s">
        <v>28</v>
      </c>
      <c r="F4" s="356" t="s">
        <v>29</v>
      </c>
      <c r="G4" s="299"/>
      <c r="H4" s="299"/>
      <c r="I4" s="299"/>
      <c r="J4" s="299"/>
      <c r="K4" s="299"/>
      <c r="L4" s="299"/>
      <c r="M4" s="299"/>
      <c r="N4" s="299"/>
      <c r="O4" s="299"/>
      <c r="P4" s="299"/>
      <c r="Q4" s="299"/>
    </row>
    <row r="5" spans="1:17" s="348" customFormat="1" x14ac:dyDescent="0.2"/>
    <row r="6" spans="1:17" s="348" customFormat="1" x14ac:dyDescent="0.2"/>
    <row r="7" spans="1:17" s="348" customFormat="1" ht="18.75" x14ac:dyDescent="0.2">
      <c r="B7" s="424" t="str">
        <f>G9</f>
        <v>Cryotherapy - Same Visit</v>
      </c>
    </row>
    <row r="8" spans="1:17" s="348" customFormat="1" x14ac:dyDescent="0.2"/>
    <row r="9" spans="1:17" s="348" customFormat="1" x14ac:dyDescent="0.2">
      <c r="C9" s="671" t="s">
        <v>77</v>
      </c>
      <c r="G9" s="721" t="s">
        <v>1215</v>
      </c>
      <c r="H9" s="721"/>
      <c r="I9" s="721"/>
      <c r="J9" s="721"/>
    </row>
    <row r="10" spans="1:17" s="348" customFormat="1" x14ac:dyDescent="0.2">
      <c r="C10" s="671" t="s">
        <v>79</v>
      </c>
      <c r="G10" s="721" t="s">
        <v>1216</v>
      </c>
      <c r="H10" s="721"/>
      <c r="I10" s="721"/>
      <c r="J10" s="721"/>
    </row>
    <row r="11" spans="1:17" s="348" customFormat="1" x14ac:dyDescent="0.2">
      <c r="L11" s="671" t="s">
        <v>1712</v>
      </c>
    </row>
    <row r="12" spans="1:17" s="348" customFormat="1" x14ac:dyDescent="0.2">
      <c r="C12" s="802" t="s">
        <v>815</v>
      </c>
      <c r="D12" s="803"/>
      <c r="E12" s="803"/>
      <c r="F12" s="803"/>
      <c r="G12" s="803"/>
      <c r="H12" s="803"/>
      <c r="I12" s="803"/>
      <c r="J12" s="313">
        <f>IFERROR(INDEX($J$16:$J$22,MATCH($G$10,$C$16:$C$22,0))+INDEX($J$26:$J$32,MATCH($G$10,$C$26:$C$32,0)),0)</f>
        <v>0.106</v>
      </c>
    </row>
    <row r="13" spans="1:17" s="348" customFormat="1" x14ac:dyDescent="0.2">
      <c r="C13" s="671" t="s">
        <v>142</v>
      </c>
      <c r="J13" s="413">
        <v>0.05</v>
      </c>
      <c r="L13" s="721" t="s">
        <v>1713</v>
      </c>
      <c r="M13" s="721"/>
      <c r="N13" s="721"/>
    </row>
    <row r="14" spans="1:17" s="348" customFormat="1" hidden="1" outlineLevel="1" x14ac:dyDescent="0.2"/>
    <row r="15" spans="1:17" s="348" customFormat="1" ht="15" hidden="1" outlineLevel="1" x14ac:dyDescent="0.2">
      <c r="C15" s="667" t="s">
        <v>270</v>
      </c>
      <c r="J15" s="671" t="s">
        <v>779</v>
      </c>
    </row>
    <row r="16" spans="1:17" s="348" customFormat="1" hidden="1" outlineLevel="1" x14ac:dyDescent="0.2">
      <c r="C16" s="668" t="str">
        <f>Reg_Pop_Ann_TA!D57</f>
        <v>BIOP-H</v>
      </c>
      <c r="J16" s="303">
        <f>Reg_Pop_Ann_TA!H57</f>
        <v>0.01</v>
      </c>
    </row>
    <row r="17" spans="3:10" s="348" customFormat="1" hidden="1" outlineLevel="1" x14ac:dyDescent="0.2">
      <c r="C17" s="668" t="str">
        <f>Reg_Pop_Ann_TA!D58</f>
        <v>Cryo -SV</v>
      </c>
      <c r="J17" s="303">
        <f>Reg_Pop_Ann_TA!H58</f>
        <v>0.106</v>
      </c>
    </row>
    <row r="18" spans="3:10" s="348" customFormat="1" hidden="1" outlineLevel="1" x14ac:dyDescent="0.2">
      <c r="C18" s="668" t="str">
        <f>Reg_Pop_Ann_TA!D59</f>
        <v>LEEP with BIOP-H</v>
      </c>
      <c r="J18" s="303">
        <f>Reg_Pop_Ann_TA!H59</f>
        <v>6.3E-2</v>
      </c>
    </row>
    <row r="19" spans="3:10" s="348" customFormat="1" hidden="1" outlineLevel="1" x14ac:dyDescent="0.2">
      <c r="C19" s="668" t="str">
        <f>Reg_Pop_Ann_TA!D60</f>
        <v>SURG</v>
      </c>
      <c r="J19" s="303">
        <f>Reg_Pop_Ann_TA!H60</f>
        <v>0</v>
      </c>
    </row>
    <row r="20" spans="3:10" s="348" customFormat="1" hidden="1" outlineLevel="1" x14ac:dyDescent="0.2">
      <c r="C20" s="668" t="str">
        <f>Reg_Pop_Ann_TA!D61</f>
        <v>Chemo</v>
      </c>
      <c r="J20" s="303">
        <f>Reg_Pop_Ann_TA!H61</f>
        <v>0</v>
      </c>
    </row>
    <row r="21" spans="3:10" s="348" customFormat="1" hidden="1" outlineLevel="1" x14ac:dyDescent="0.2">
      <c r="C21" s="668" t="str">
        <f>Reg_Pop_Ann_TA!D62</f>
        <v>RADIO</v>
      </c>
      <c r="J21" s="303">
        <f>Reg_Pop_Ann_TA!H62</f>
        <v>0</v>
      </c>
    </row>
    <row r="22" spans="3:10" s="348" customFormat="1" hidden="1" outlineLevel="1" x14ac:dyDescent="0.2">
      <c r="C22" s="668" t="str">
        <f>Reg_Pop_Ann_TA!D63</f>
        <v>PALL</v>
      </c>
      <c r="J22" s="303">
        <f>Reg_Pop_Ann_TA!H63</f>
        <v>0</v>
      </c>
    </row>
    <row r="23" spans="3:10" s="348" customFormat="1" ht="15" hidden="1" outlineLevel="1" x14ac:dyDescent="0.2">
      <c r="C23" s="667" t="s">
        <v>781</v>
      </c>
      <c r="J23" s="303">
        <f>SUM(J16:J22)</f>
        <v>0.17899999999999999</v>
      </c>
    </row>
    <row r="24" spans="3:10" s="348" customFormat="1" hidden="1" outlineLevel="1" x14ac:dyDescent="0.2"/>
    <row r="25" spans="3:10" s="348" customFormat="1" ht="15" hidden="1" outlineLevel="1" x14ac:dyDescent="0.2">
      <c r="C25" s="667" t="s">
        <v>270</v>
      </c>
      <c r="J25" s="671" t="s">
        <v>780</v>
      </c>
    </row>
    <row r="26" spans="3:10" s="348" customFormat="1" hidden="1" outlineLevel="1" x14ac:dyDescent="0.2">
      <c r="C26" s="668" t="str">
        <f>Reg_Pop_Ann_TA!D79</f>
        <v>BIOP-H</v>
      </c>
      <c r="J26" s="313">
        <f>Reg_Pop_Ann_TA!I79</f>
        <v>0</v>
      </c>
    </row>
    <row r="27" spans="3:10" s="348" customFormat="1" hidden="1" outlineLevel="1" x14ac:dyDescent="0.2">
      <c r="C27" s="668" t="str">
        <f>Reg_Pop_Ann_TA!D80</f>
        <v>Cryo -SV</v>
      </c>
      <c r="J27" s="313">
        <f>Reg_Pop_Ann_TA!I80</f>
        <v>0</v>
      </c>
    </row>
    <row r="28" spans="3:10" s="348" customFormat="1" hidden="1" outlineLevel="1" x14ac:dyDescent="0.2">
      <c r="C28" s="668" t="str">
        <f>Reg_Pop_Ann_TA!D81</f>
        <v>LEEP with BIOP-H</v>
      </c>
      <c r="J28" s="313">
        <f>Reg_Pop_Ann_TA!I81</f>
        <v>0</v>
      </c>
    </row>
    <row r="29" spans="3:10" s="348" customFormat="1" hidden="1" outlineLevel="1" x14ac:dyDescent="0.2">
      <c r="C29" s="668" t="str">
        <f>Reg_Pop_Ann_TA!D82</f>
        <v>SURG</v>
      </c>
      <c r="J29" s="313">
        <f>Reg_Pop_Ann_TA!I82</f>
        <v>7.1599999999999997E-3</v>
      </c>
    </row>
    <row r="30" spans="3:10" s="348" customFormat="1" hidden="1" outlineLevel="1" x14ac:dyDescent="0.2">
      <c r="C30" s="668" t="str">
        <f>Reg_Pop_Ann_TA!D83</f>
        <v>Chemo</v>
      </c>
      <c r="J30" s="313">
        <f>Reg_Pop_Ann_TA!I83</f>
        <v>8.9499999999999996E-3</v>
      </c>
    </row>
    <row r="31" spans="3:10" s="348" customFormat="1" hidden="1" outlineLevel="1" x14ac:dyDescent="0.2">
      <c r="C31" s="668" t="str">
        <f>Reg_Pop_Ann_TA!D84</f>
        <v>RADIO</v>
      </c>
      <c r="J31" s="313">
        <f>Reg_Pop_Ann_TA!I84</f>
        <v>8.9499999999999996E-3</v>
      </c>
    </row>
    <row r="32" spans="3:10" s="348" customFormat="1" hidden="1" outlineLevel="1" x14ac:dyDescent="0.2">
      <c r="C32" s="668" t="str">
        <f>Reg_Pop_Ann_TA!D85</f>
        <v>PALL</v>
      </c>
      <c r="J32" s="313">
        <f>Reg_Pop_Ann_TA!I85</f>
        <v>5.3699999999999998E-3</v>
      </c>
    </row>
    <row r="33" spans="2:16" s="348" customFormat="1" ht="15" hidden="1" outlineLevel="1" x14ac:dyDescent="0.2">
      <c r="C33" s="667" t="s">
        <v>782</v>
      </c>
      <c r="J33" s="304">
        <f>SUM(J26:J32)</f>
        <v>3.0429999999999999E-2</v>
      </c>
    </row>
    <row r="34" spans="2:16" s="348" customFormat="1" hidden="1" outlineLevel="1" x14ac:dyDescent="0.2"/>
    <row r="35" spans="2:16" s="348" customFormat="1" collapsed="1" x14ac:dyDescent="0.2"/>
    <row r="36" spans="2:16" s="348" customFormat="1" ht="15.75" x14ac:dyDescent="0.2">
      <c r="B36" s="124" t="str">
        <f>"Annual Capacity per Service Unit - "&amp;Intv_Short_Code</f>
        <v>Annual Capacity per Service Unit - Cryo -SV</v>
      </c>
    </row>
    <row r="37" spans="2:16" s="348" customFormat="1" x14ac:dyDescent="0.2"/>
    <row r="38" spans="2:16" s="348" customFormat="1" ht="38.25" x14ac:dyDescent="0.2">
      <c r="C38" s="671" t="s">
        <v>1752</v>
      </c>
      <c r="H38" s="676" t="s">
        <v>1746</v>
      </c>
      <c r="I38" s="676" t="s">
        <v>1747</v>
      </c>
      <c r="J38" s="676" t="s">
        <v>1749</v>
      </c>
      <c r="K38" s="676" t="s">
        <v>1748</v>
      </c>
      <c r="L38" s="676" t="s">
        <v>1750</v>
      </c>
      <c r="N38" s="800" t="s">
        <v>1759</v>
      </c>
      <c r="O38" s="801"/>
      <c r="P38" s="801"/>
    </row>
    <row r="39" spans="2:16" s="348" customFormat="1" x14ac:dyDescent="0.2">
      <c r="D39" s="668" t="str">
        <f>Labels_BA!D16</f>
        <v>Central Referral Hospital</v>
      </c>
      <c r="H39" s="494">
        <v>156</v>
      </c>
      <c r="I39" s="494">
        <v>3</v>
      </c>
      <c r="J39" s="494">
        <v>60</v>
      </c>
      <c r="K39" s="494">
        <v>19</v>
      </c>
      <c r="L39" s="487">
        <f>IFERROR((H39*I39*J39)/K39,0)</f>
        <v>1477.8947368421052</v>
      </c>
      <c r="N39" s="721"/>
      <c r="O39" s="721"/>
      <c r="P39" s="721"/>
    </row>
    <row r="40" spans="2:16" s="348" customFormat="1" x14ac:dyDescent="0.2">
      <c r="D40" s="668" t="str">
        <f>Labels_BA!E16</f>
        <v>Provincial Hospital</v>
      </c>
      <c r="H40" s="494">
        <v>156</v>
      </c>
      <c r="I40" s="494">
        <v>3</v>
      </c>
      <c r="J40" s="494">
        <v>60</v>
      </c>
      <c r="K40" s="494">
        <v>19</v>
      </c>
      <c r="L40" s="487">
        <f>IFERROR((H40*I40*J40)/K40,0)</f>
        <v>1477.8947368421052</v>
      </c>
      <c r="N40" s="721" t="s">
        <v>1924</v>
      </c>
      <c r="O40" s="721"/>
      <c r="P40" s="721"/>
    </row>
    <row r="41" spans="2:16" s="348" customFormat="1" x14ac:dyDescent="0.2">
      <c r="D41" s="668" t="str">
        <f>Labels_BA!F16</f>
        <v>District Hospital</v>
      </c>
      <c r="H41" s="494">
        <v>156</v>
      </c>
      <c r="I41" s="494">
        <v>3</v>
      </c>
      <c r="J41" s="494">
        <v>60</v>
      </c>
      <c r="K41" s="494">
        <v>19</v>
      </c>
      <c r="L41" s="487">
        <f>IFERROR((H41*I41*J41)/K41,0)</f>
        <v>1477.8947368421052</v>
      </c>
      <c r="N41" s="721" t="s">
        <v>1883</v>
      </c>
      <c r="O41" s="721"/>
      <c r="P41" s="721"/>
    </row>
    <row r="42" spans="2:16" s="348" customFormat="1" x14ac:dyDescent="0.2"/>
    <row r="43" spans="2:16" s="348" customFormat="1" x14ac:dyDescent="0.2">
      <c r="C43" s="671" t="s">
        <v>1751</v>
      </c>
    </row>
    <row r="44" spans="2:16" s="348" customFormat="1" x14ac:dyDescent="0.2">
      <c r="D44" s="668" t="str">
        <f>Labels_BA!G16</f>
        <v>Fixed Health Clinic</v>
      </c>
      <c r="H44" s="494">
        <v>156</v>
      </c>
      <c r="I44" s="494">
        <v>3</v>
      </c>
      <c r="J44" s="494">
        <v>60</v>
      </c>
      <c r="K44" s="494">
        <v>19</v>
      </c>
      <c r="L44" s="487">
        <f t="shared" ref="L44:L50" si="0">IFERROR((H44*I44*J44)/K44,0)</f>
        <v>1477.8947368421052</v>
      </c>
      <c r="N44" s="721"/>
      <c r="O44" s="721"/>
      <c r="P44" s="721"/>
    </row>
    <row r="45" spans="2:16" s="348" customFormat="1" x14ac:dyDescent="0.2">
      <c r="D45" s="668" t="str">
        <f>Labels_BA!H16</f>
        <v>PCI Mobile Health Team</v>
      </c>
      <c r="H45" s="494">
        <v>156</v>
      </c>
      <c r="I45" s="494">
        <v>3</v>
      </c>
      <c r="J45" s="494">
        <v>60</v>
      </c>
      <c r="K45" s="494">
        <v>19</v>
      </c>
      <c r="L45" s="487">
        <f t="shared" si="0"/>
        <v>1477.8947368421052</v>
      </c>
      <c r="N45" s="721"/>
      <c r="O45" s="721"/>
      <c r="P45" s="721"/>
    </row>
    <row r="46" spans="2:16" s="348" customFormat="1" x14ac:dyDescent="0.2">
      <c r="D46" s="668" t="str">
        <f>Labels_BA!I16</f>
        <v>Gov't Mobile Health Team (Hospital)</v>
      </c>
      <c r="H46" s="494">
        <v>156</v>
      </c>
      <c r="I46" s="494">
        <v>3</v>
      </c>
      <c r="J46" s="494">
        <v>60</v>
      </c>
      <c r="K46" s="494">
        <v>19</v>
      </c>
      <c r="L46" s="487">
        <f t="shared" si="0"/>
        <v>1477.8947368421052</v>
      </c>
      <c r="N46" s="721"/>
      <c r="O46" s="721"/>
      <c r="P46" s="721"/>
    </row>
    <row r="47" spans="2:16" s="348" customFormat="1" x14ac:dyDescent="0.2">
      <c r="D47" s="668" t="str">
        <f>Labels_BA!J16</f>
        <v>CIDRZ Mobile Health Team</v>
      </c>
      <c r="H47" s="494">
        <v>220</v>
      </c>
      <c r="I47" s="494">
        <v>3</v>
      </c>
      <c r="J47" s="494">
        <v>60</v>
      </c>
      <c r="K47" s="494">
        <v>19</v>
      </c>
      <c r="L47" s="487">
        <f t="shared" si="0"/>
        <v>2084.2105263157896</v>
      </c>
      <c r="N47" s="721"/>
      <c r="O47" s="721"/>
      <c r="P47" s="721"/>
    </row>
    <row r="48" spans="2:16" s="348" customFormat="1" x14ac:dyDescent="0.2">
      <c r="D48" s="668" t="str">
        <f>Labels_BA!K16</f>
        <v>Facility Type 8</v>
      </c>
      <c r="H48" s="494">
        <v>220</v>
      </c>
      <c r="I48" s="494">
        <v>0</v>
      </c>
      <c r="J48" s="494">
        <v>0</v>
      </c>
      <c r="K48" s="494">
        <v>0</v>
      </c>
      <c r="L48" s="487">
        <f t="shared" si="0"/>
        <v>0</v>
      </c>
      <c r="N48" s="721"/>
      <c r="O48" s="721"/>
      <c r="P48" s="721"/>
    </row>
    <row r="49" spans="2:16" s="348" customFormat="1" x14ac:dyDescent="0.2">
      <c r="D49" s="668" t="str">
        <f>Labels_BA!L16</f>
        <v>Facility Type 9</v>
      </c>
      <c r="H49" s="494">
        <v>220</v>
      </c>
      <c r="I49" s="494">
        <v>0</v>
      </c>
      <c r="J49" s="494">
        <v>0</v>
      </c>
      <c r="K49" s="494">
        <v>0</v>
      </c>
      <c r="L49" s="487">
        <f t="shared" si="0"/>
        <v>0</v>
      </c>
      <c r="N49" s="721"/>
      <c r="O49" s="721"/>
      <c r="P49" s="721"/>
    </row>
    <row r="50" spans="2:16" s="348" customFormat="1" x14ac:dyDescent="0.2">
      <c r="D50" s="668" t="str">
        <f>Labels_BA!M16</f>
        <v>Facility Type 10</v>
      </c>
      <c r="H50" s="494">
        <v>220</v>
      </c>
      <c r="I50" s="494">
        <v>0</v>
      </c>
      <c r="J50" s="494">
        <v>0</v>
      </c>
      <c r="K50" s="494">
        <v>0</v>
      </c>
      <c r="L50" s="487">
        <f t="shared" si="0"/>
        <v>0</v>
      </c>
      <c r="N50" s="721"/>
      <c r="O50" s="721"/>
      <c r="P50" s="721"/>
    </row>
    <row r="51" spans="2:16" s="348" customFormat="1" x14ac:dyDescent="0.2"/>
    <row r="52" spans="2:16" s="348" customFormat="1" x14ac:dyDescent="0.2">
      <c r="D52" s="671" t="s">
        <v>1754</v>
      </c>
    </row>
    <row r="53" spans="2:16" s="348" customFormat="1" x14ac:dyDescent="0.2">
      <c r="E53" s="721"/>
      <c r="F53" s="721"/>
      <c r="G53" s="721"/>
      <c r="H53" s="721"/>
      <c r="I53" s="721"/>
      <c r="J53" s="721"/>
      <c r="K53" s="721"/>
      <c r="L53" s="721"/>
    </row>
    <row r="54" spans="2:16" s="348" customFormat="1" x14ac:dyDescent="0.2">
      <c r="E54" s="721"/>
      <c r="F54" s="721"/>
      <c r="G54" s="721"/>
      <c r="H54" s="721"/>
      <c r="I54" s="721"/>
      <c r="J54" s="721"/>
      <c r="K54" s="721"/>
      <c r="L54" s="721"/>
    </row>
    <row r="55" spans="2:16" s="348" customFormat="1" x14ac:dyDescent="0.2">
      <c r="E55" s="721"/>
      <c r="F55" s="721"/>
      <c r="G55" s="721"/>
      <c r="H55" s="721"/>
      <c r="I55" s="721"/>
      <c r="J55" s="721"/>
      <c r="K55" s="721"/>
      <c r="L55" s="721"/>
    </row>
    <row r="56" spans="2:16" s="348" customFormat="1" x14ac:dyDescent="0.2">
      <c r="E56" s="721"/>
      <c r="F56" s="721"/>
      <c r="G56" s="721"/>
      <c r="H56" s="721"/>
      <c r="I56" s="721"/>
      <c r="J56" s="721"/>
      <c r="K56" s="721"/>
      <c r="L56" s="721"/>
    </row>
    <row r="57" spans="2:16" s="348" customFormat="1" x14ac:dyDescent="0.2">
      <c r="E57" s="721"/>
      <c r="F57" s="721"/>
      <c r="G57" s="721"/>
      <c r="H57" s="721"/>
      <c r="I57" s="721"/>
      <c r="J57" s="721"/>
      <c r="K57" s="721"/>
      <c r="L57" s="721"/>
    </row>
    <row r="58" spans="2:16" s="348" customFormat="1" x14ac:dyDescent="0.2">
      <c r="E58" s="721"/>
      <c r="F58" s="721"/>
      <c r="G58" s="721"/>
      <c r="H58" s="721"/>
      <c r="I58" s="721"/>
      <c r="J58" s="721"/>
      <c r="K58" s="721"/>
      <c r="L58" s="721"/>
    </row>
    <row r="59" spans="2:16" s="348" customFormat="1" x14ac:dyDescent="0.2"/>
    <row r="60" spans="2:16" s="348" customFormat="1" ht="15.75" x14ac:dyDescent="0.2">
      <c r="B60" s="124" t="str">
        <f>"Pre-existing Equipment and Supplies per Service Unit - "&amp;Intv_Short_Code</f>
        <v>Pre-existing Equipment and Supplies per Service Unit - Cryo -SV</v>
      </c>
    </row>
    <row r="61" spans="2:16" s="348" customFormat="1" x14ac:dyDescent="0.2"/>
    <row r="62" spans="2:16" s="348" customFormat="1" x14ac:dyDescent="0.2">
      <c r="D62" s="671" t="s">
        <v>846</v>
      </c>
      <c r="K62" s="671" t="s">
        <v>847</v>
      </c>
    </row>
    <row r="63" spans="2:16" s="348" customFormat="1" ht="30" customHeight="1" x14ac:dyDescent="0.2">
      <c r="D63" s="737" t="s">
        <v>1576</v>
      </c>
      <c r="E63" s="738"/>
      <c r="F63" s="738"/>
      <c r="G63" s="738"/>
      <c r="H63" s="738"/>
      <c r="I63" s="739"/>
      <c r="J63" s="372">
        <v>0</v>
      </c>
      <c r="K63" s="737" t="s">
        <v>1366</v>
      </c>
      <c r="L63" s="738"/>
      <c r="M63" s="738"/>
      <c r="N63" s="739"/>
    </row>
    <row r="64" spans="2:16" s="348" customFormat="1" x14ac:dyDescent="0.2">
      <c r="D64" s="737" t="s">
        <v>1577</v>
      </c>
      <c r="E64" s="738"/>
      <c r="F64" s="738"/>
      <c r="G64" s="738"/>
      <c r="H64" s="738"/>
      <c r="I64" s="739"/>
      <c r="J64" s="372">
        <v>0</v>
      </c>
      <c r="K64" s="737" t="s">
        <v>1366</v>
      </c>
      <c r="L64" s="738"/>
      <c r="M64" s="738"/>
      <c r="N64" s="739"/>
    </row>
    <row r="65" spans="4:14" s="348" customFormat="1" x14ac:dyDescent="0.2">
      <c r="D65" s="737" t="s">
        <v>1578</v>
      </c>
      <c r="E65" s="738"/>
      <c r="F65" s="738"/>
      <c r="G65" s="738"/>
      <c r="H65" s="738"/>
      <c r="I65" s="739"/>
      <c r="J65" s="372">
        <v>0</v>
      </c>
      <c r="K65" s="737" t="s">
        <v>1366</v>
      </c>
      <c r="L65" s="738"/>
      <c r="M65" s="738"/>
      <c r="N65" s="739"/>
    </row>
    <row r="66" spans="4:14" s="348" customFormat="1" x14ac:dyDescent="0.2">
      <c r="D66" s="737" t="s">
        <v>1579</v>
      </c>
      <c r="E66" s="738"/>
      <c r="F66" s="738"/>
      <c r="G66" s="738"/>
      <c r="H66" s="738"/>
      <c r="I66" s="739"/>
      <c r="J66" s="372">
        <v>0</v>
      </c>
      <c r="K66" s="737" t="s">
        <v>1366</v>
      </c>
      <c r="L66" s="738"/>
      <c r="M66" s="738"/>
      <c r="N66" s="739"/>
    </row>
    <row r="67" spans="4:14" s="348" customFormat="1" x14ac:dyDescent="0.2">
      <c r="D67" s="737" t="s">
        <v>1580</v>
      </c>
      <c r="E67" s="738"/>
      <c r="F67" s="738"/>
      <c r="G67" s="738"/>
      <c r="H67" s="738"/>
      <c r="I67" s="739"/>
      <c r="J67" s="372">
        <v>0</v>
      </c>
      <c r="K67" s="737" t="s">
        <v>1366</v>
      </c>
      <c r="L67" s="738"/>
      <c r="M67" s="738"/>
      <c r="N67" s="739"/>
    </row>
    <row r="68" spans="4:14" s="348" customFormat="1" x14ac:dyDescent="0.2">
      <c r="D68" s="737" t="s">
        <v>1581</v>
      </c>
      <c r="E68" s="738"/>
      <c r="F68" s="738"/>
      <c r="G68" s="738"/>
      <c r="H68" s="738"/>
      <c r="I68" s="739"/>
      <c r="J68" s="372">
        <v>0</v>
      </c>
      <c r="K68" s="737" t="s">
        <v>1366</v>
      </c>
      <c r="L68" s="738"/>
      <c r="M68" s="738"/>
      <c r="N68" s="739"/>
    </row>
    <row r="69" spans="4:14" s="348" customFormat="1" x14ac:dyDescent="0.2">
      <c r="D69" s="737" t="s">
        <v>1582</v>
      </c>
      <c r="E69" s="738"/>
      <c r="F69" s="738"/>
      <c r="G69" s="738"/>
      <c r="H69" s="738"/>
      <c r="I69" s="739"/>
      <c r="J69" s="372">
        <v>0</v>
      </c>
      <c r="K69" s="737" t="s">
        <v>1366</v>
      </c>
      <c r="L69" s="738"/>
      <c r="M69" s="738"/>
      <c r="N69" s="739"/>
    </row>
    <row r="70" spans="4:14" s="348" customFormat="1" x14ac:dyDescent="0.2">
      <c r="D70" s="737" t="s">
        <v>1583</v>
      </c>
      <c r="E70" s="738"/>
      <c r="F70" s="738"/>
      <c r="G70" s="738"/>
      <c r="H70" s="738"/>
      <c r="I70" s="739"/>
      <c r="J70" s="372">
        <v>0</v>
      </c>
      <c r="K70" s="737" t="s">
        <v>1366</v>
      </c>
      <c r="L70" s="738"/>
      <c r="M70" s="738"/>
      <c r="N70" s="739"/>
    </row>
    <row r="71" spans="4:14" s="348" customFormat="1" x14ac:dyDescent="0.2">
      <c r="D71" s="737" t="s">
        <v>1584</v>
      </c>
      <c r="E71" s="738"/>
      <c r="F71" s="738"/>
      <c r="G71" s="738"/>
      <c r="H71" s="738"/>
      <c r="I71" s="739"/>
      <c r="J71" s="372">
        <v>0</v>
      </c>
      <c r="K71" s="737" t="s">
        <v>1366</v>
      </c>
      <c r="L71" s="738"/>
      <c r="M71" s="738"/>
      <c r="N71" s="739"/>
    </row>
    <row r="72" spans="4:14" s="348" customFormat="1" x14ac:dyDescent="0.2">
      <c r="D72" s="737" t="s">
        <v>1585</v>
      </c>
      <c r="E72" s="738"/>
      <c r="F72" s="738"/>
      <c r="G72" s="738"/>
      <c r="H72" s="738"/>
      <c r="I72" s="739"/>
      <c r="J72" s="372">
        <v>0</v>
      </c>
      <c r="K72" s="737" t="s">
        <v>1366</v>
      </c>
      <c r="L72" s="738"/>
      <c r="M72" s="738"/>
      <c r="N72" s="739"/>
    </row>
    <row r="73" spans="4:14" s="348" customFormat="1" x14ac:dyDescent="0.2">
      <c r="D73" s="737" t="s">
        <v>1586</v>
      </c>
      <c r="E73" s="738"/>
      <c r="F73" s="738"/>
      <c r="G73" s="738"/>
      <c r="H73" s="738"/>
      <c r="I73" s="739"/>
      <c r="J73" s="372">
        <v>0</v>
      </c>
      <c r="K73" s="737" t="s">
        <v>1366</v>
      </c>
      <c r="L73" s="738"/>
      <c r="M73" s="738"/>
      <c r="N73" s="739"/>
    </row>
    <row r="74" spans="4:14" s="348" customFormat="1" x14ac:dyDescent="0.2">
      <c r="D74" s="737" t="s">
        <v>1587</v>
      </c>
      <c r="E74" s="738"/>
      <c r="F74" s="738"/>
      <c r="G74" s="738"/>
      <c r="H74" s="738"/>
      <c r="I74" s="739"/>
      <c r="J74" s="372">
        <v>0</v>
      </c>
      <c r="K74" s="737" t="s">
        <v>1366</v>
      </c>
      <c r="L74" s="738"/>
      <c r="M74" s="738"/>
      <c r="N74" s="739"/>
    </row>
    <row r="75" spans="4:14" s="348" customFormat="1" ht="30" customHeight="1" x14ac:dyDescent="0.2">
      <c r="D75" s="737" t="s">
        <v>1588</v>
      </c>
      <c r="E75" s="738"/>
      <c r="F75" s="738"/>
      <c r="G75" s="738"/>
      <c r="H75" s="738"/>
      <c r="I75" s="739"/>
      <c r="J75" s="372">
        <v>0</v>
      </c>
      <c r="K75" s="737" t="s">
        <v>1366</v>
      </c>
      <c r="L75" s="738"/>
      <c r="M75" s="738"/>
      <c r="N75" s="739"/>
    </row>
    <row r="76" spans="4:14" s="348" customFormat="1" ht="30" customHeight="1" x14ac:dyDescent="0.2">
      <c r="D76" s="737" t="s">
        <v>1589</v>
      </c>
      <c r="E76" s="738"/>
      <c r="F76" s="738"/>
      <c r="G76" s="738"/>
      <c r="H76" s="738"/>
      <c r="I76" s="739"/>
      <c r="J76" s="372">
        <v>0</v>
      </c>
      <c r="K76" s="737" t="s">
        <v>1366</v>
      </c>
      <c r="L76" s="738"/>
      <c r="M76" s="738"/>
      <c r="N76" s="739"/>
    </row>
    <row r="77" spans="4:14" s="348" customFormat="1" ht="38.1" customHeight="1" x14ac:dyDescent="0.2">
      <c r="D77" s="737" t="s">
        <v>1590</v>
      </c>
      <c r="E77" s="738"/>
      <c r="F77" s="738"/>
      <c r="G77" s="738"/>
      <c r="H77" s="738"/>
      <c r="I77" s="739"/>
      <c r="J77" s="372">
        <v>0</v>
      </c>
      <c r="K77" s="737" t="s">
        <v>1366</v>
      </c>
      <c r="L77" s="738"/>
      <c r="M77" s="738"/>
      <c r="N77" s="739"/>
    </row>
    <row r="78" spans="4:14" s="348" customFormat="1" x14ac:dyDescent="0.2">
      <c r="D78" s="737"/>
      <c r="E78" s="738"/>
      <c r="F78" s="738"/>
      <c r="G78" s="738"/>
      <c r="H78" s="738"/>
      <c r="I78" s="739"/>
      <c r="J78" s="372">
        <v>0</v>
      </c>
      <c r="K78" s="737"/>
      <c r="L78" s="738"/>
      <c r="M78" s="738"/>
      <c r="N78" s="739"/>
    </row>
    <row r="79" spans="4:14" s="348" customFormat="1" x14ac:dyDescent="0.2">
      <c r="D79" s="737"/>
      <c r="E79" s="738"/>
      <c r="F79" s="738"/>
      <c r="G79" s="738"/>
      <c r="H79" s="738"/>
      <c r="I79" s="739"/>
      <c r="J79" s="372">
        <v>0</v>
      </c>
      <c r="K79" s="737"/>
      <c r="L79" s="738"/>
      <c r="M79" s="738"/>
      <c r="N79" s="739"/>
    </row>
    <row r="80" spans="4:14" s="348" customFormat="1" x14ac:dyDescent="0.2">
      <c r="D80" s="737"/>
      <c r="E80" s="738"/>
      <c r="F80" s="738"/>
      <c r="G80" s="738"/>
      <c r="H80" s="738"/>
      <c r="I80" s="739"/>
      <c r="J80" s="372">
        <v>0</v>
      </c>
      <c r="K80" s="737"/>
      <c r="L80" s="738"/>
      <c r="M80" s="738"/>
      <c r="N80" s="739"/>
    </row>
    <row r="81" spans="3:21" s="348" customFormat="1" x14ac:dyDescent="0.2">
      <c r="D81" s="737"/>
      <c r="E81" s="738"/>
      <c r="F81" s="738"/>
      <c r="G81" s="738"/>
      <c r="H81" s="738"/>
      <c r="I81" s="739"/>
      <c r="J81" s="372">
        <v>0</v>
      </c>
      <c r="K81" s="737"/>
      <c r="L81" s="738"/>
      <c r="M81" s="738"/>
      <c r="N81" s="739"/>
    </row>
    <row r="82" spans="3:21" s="348" customFormat="1" x14ac:dyDescent="0.2"/>
    <row r="83" spans="3:21" s="348" customFormat="1" x14ac:dyDescent="0.2"/>
    <row r="84" spans="3:21" s="348" customFormat="1" ht="15.75" x14ac:dyDescent="0.2">
      <c r="C84" s="124" t="str">
        <f>"Personnel Required for "&amp;G10</f>
        <v>Personnel Required for Cryo -SV</v>
      </c>
    </row>
    <row r="85" spans="3:21" s="348" customFormat="1" x14ac:dyDescent="0.2"/>
    <row r="86" spans="3:21" s="348" customFormat="1" ht="15" x14ac:dyDescent="0.2">
      <c r="J86" s="849" t="str">
        <f>"Cost Per Minute ("&amp;$I$181&amp;")"</f>
        <v>Cost Per Minute (USD)</v>
      </c>
      <c r="K86" s="891" t="s">
        <v>112</v>
      </c>
      <c r="L86" s="892"/>
      <c r="M86" s="892"/>
      <c r="N86" s="875" t="s">
        <v>183</v>
      </c>
      <c r="O86" s="898" t="str">
        <f>"Cost ("&amp;$I$181&amp;")"</f>
        <v>Cost (USD)</v>
      </c>
    </row>
    <row r="87" spans="3:21" s="348" customFormat="1" ht="30" x14ac:dyDescent="0.2">
      <c r="D87" s="508" t="str">
        <f>C38</f>
        <v>Fixed Hospital Sites</v>
      </c>
      <c r="H87" s="880" t="s">
        <v>385</v>
      </c>
      <c r="I87" s="881"/>
      <c r="J87" s="850"/>
      <c r="K87" s="159" t="s">
        <v>109</v>
      </c>
      <c r="L87" s="305" t="s">
        <v>110</v>
      </c>
      <c r="M87" s="159" t="s">
        <v>111</v>
      </c>
      <c r="N87" s="876"/>
      <c r="O87" s="899"/>
      <c r="U87" s="671" t="s">
        <v>312</v>
      </c>
    </row>
    <row r="88" spans="3:21" s="348" customFormat="1" x14ac:dyDescent="0.2">
      <c r="D88" s="721" t="s">
        <v>1276</v>
      </c>
      <c r="E88" s="721"/>
      <c r="F88" s="721"/>
      <c r="G88" s="721"/>
      <c r="H88" s="721"/>
      <c r="I88" s="721"/>
      <c r="J88" s="147">
        <f>IFERROR(INDEX($L$184:$L$214,MATCH(D88,LU_Intv_Pers_Hosp,0)),0)</f>
        <v>5.7114882506527402E-2</v>
      </c>
      <c r="K88" s="187">
        <v>0</v>
      </c>
      <c r="L88" s="188">
        <v>5</v>
      </c>
      <c r="M88" s="217">
        <v>0</v>
      </c>
      <c r="N88" s="218">
        <v>1</v>
      </c>
      <c r="O88" s="134">
        <f>J88*SUM(K88:M88)*N88</f>
        <v>0.28557441253263699</v>
      </c>
      <c r="U88" s="119">
        <f>IF(AND(ISERROR(MATCH(D88,LU_Intv_Pers_Hosp,0)),SUM(K88:M88),N88),1,0)</f>
        <v>0</v>
      </c>
    </row>
    <row r="89" spans="3:21" s="348" customFormat="1" x14ac:dyDescent="0.2">
      <c r="D89" s="721" t="s">
        <v>1257</v>
      </c>
      <c r="E89" s="721"/>
      <c r="F89" s="721"/>
      <c r="G89" s="721"/>
      <c r="H89" s="721"/>
      <c r="I89" s="721"/>
      <c r="J89" s="149">
        <f>IFERROR(INDEX($L$184:$L$214,MATCH(D89,LU_Intv_Pers_Hosp,0)),0)</f>
        <v>0</v>
      </c>
      <c r="K89" s="189">
        <v>0</v>
      </c>
      <c r="L89" s="190">
        <v>0</v>
      </c>
      <c r="M89" s="509">
        <v>0</v>
      </c>
      <c r="N89" s="219">
        <v>1</v>
      </c>
      <c r="O89" s="135">
        <f>J89*SUM(K89:M89)*N89</f>
        <v>0</v>
      </c>
      <c r="U89" s="119">
        <f>IF(AND(ISERROR(MATCH(D89,LU_Intv_Pers_Hosp,0)),SUM(K89:M89),N89),1,0)</f>
        <v>0</v>
      </c>
    </row>
    <row r="90" spans="3:21" s="348" customFormat="1" ht="15" x14ac:dyDescent="0.2">
      <c r="D90" s="782" t="s">
        <v>113</v>
      </c>
      <c r="E90" s="783"/>
      <c r="F90" s="783"/>
      <c r="G90" s="783"/>
      <c r="H90" s="669"/>
      <c r="I90" s="669"/>
      <c r="J90" s="119"/>
      <c r="K90" s="883"/>
      <c r="L90" s="884"/>
      <c r="M90" s="884"/>
      <c r="N90" s="119"/>
      <c r="O90" s="136">
        <f>SUM(O88:O89)</f>
        <v>0.28557441253263699</v>
      </c>
      <c r="U90" s="672"/>
    </row>
    <row r="91" spans="3:21" s="348" customFormat="1" x14ac:dyDescent="0.2"/>
    <row r="92" spans="3:21" s="348" customFormat="1" ht="15" x14ac:dyDescent="0.2">
      <c r="D92" s="667" t="s">
        <v>949</v>
      </c>
      <c r="K92" s="671" t="s">
        <v>950</v>
      </c>
    </row>
    <row r="93" spans="3:21" s="348" customFormat="1" x14ac:dyDescent="0.2">
      <c r="D93" s="721"/>
      <c r="E93" s="721"/>
      <c r="F93" s="721"/>
      <c r="G93" s="721"/>
      <c r="H93" s="721"/>
      <c r="I93" s="721"/>
      <c r="K93" s="721"/>
      <c r="L93" s="721"/>
      <c r="M93" s="721"/>
      <c r="N93" s="721"/>
      <c r="O93" s="721"/>
      <c r="P93" s="721"/>
    </row>
    <row r="94" spans="3:21" s="348" customFormat="1" x14ac:dyDescent="0.2">
      <c r="D94" s="721"/>
      <c r="E94" s="721"/>
      <c r="F94" s="721"/>
      <c r="G94" s="721"/>
      <c r="H94" s="721"/>
      <c r="I94" s="721"/>
      <c r="K94" s="721"/>
      <c r="L94" s="721"/>
      <c r="M94" s="721"/>
      <c r="N94" s="721"/>
      <c r="O94" s="721"/>
      <c r="P94" s="721"/>
    </row>
    <row r="95" spans="3:21" s="348" customFormat="1" x14ac:dyDescent="0.2">
      <c r="D95" s="721"/>
      <c r="E95" s="721"/>
      <c r="F95" s="721"/>
      <c r="G95" s="721"/>
      <c r="H95" s="721"/>
      <c r="I95" s="721"/>
      <c r="K95" s="721"/>
      <c r="L95" s="721"/>
      <c r="M95" s="721"/>
      <c r="N95" s="721"/>
      <c r="O95" s="721"/>
      <c r="P95" s="721"/>
    </row>
    <row r="96" spans="3:21" s="348" customFormat="1" x14ac:dyDescent="0.2">
      <c r="D96" s="721"/>
      <c r="E96" s="721"/>
      <c r="F96" s="721"/>
      <c r="G96" s="721"/>
      <c r="H96" s="721"/>
      <c r="I96" s="721"/>
      <c r="K96" s="721"/>
      <c r="L96" s="721"/>
      <c r="M96" s="721"/>
      <c r="N96" s="721"/>
      <c r="O96" s="721"/>
      <c r="P96" s="721"/>
    </row>
    <row r="97" spans="3:21" s="348" customFormat="1" x14ac:dyDescent="0.2">
      <c r="D97" s="721"/>
      <c r="E97" s="721"/>
      <c r="F97" s="721"/>
      <c r="G97" s="721"/>
      <c r="H97" s="721"/>
      <c r="I97" s="721"/>
      <c r="K97" s="721"/>
      <c r="L97" s="721"/>
      <c r="M97" s="721"/>
      <c r="N97" s="721"/>
      <c r="O97" s="721"/>
      <c r="P97" s="721"/>
    </row>
    <row r="98" spans="3:21" s="348" customFormat="1" x14ac:dyDescent="0.2"/>
    <row r="99" spans="3:21" s="348" customFormat="1" ht="15" x14ac:dyDescent="0.2">
      <c r="J99" s="849" t="str">
        <f>"Cost Per Minute ("&amp;$I$181&amp;")"</f>
        <v>Cost Per Minute (USD)</v>
      </c>
      <c r="K99" s="891" t="s">
        <v>112</v>
      </c>
      <c r="L99" s="892"/>
      <c r="M99" s="892"/>
      <c r="N99" s="896" t="s">
        <v>183</v>
      </c>
      <c r="O99" s="888" t="str">
        <f>"Cost ("&amp;$I$181&amp;")"</f>
        <v>Cost (USD)</v>
      </c>
    </row>
    <row r="100" spans="3:21" s="348" customFormat="1" ht="30" x14ac:dyDescent="0.2">
      <c r="D100" s="669" t="str">
        <f>C43</f>
        <v>Other Facility Types</v>
      </c>
      <c r="H100" s="880" t="s">
        <v>385</v>
      </c>
      <c r="I100" s="881"/>
      <c r="J100" s="850"/>
      <c r="K100" s="159" t="s">
        <v>109</v>
      </c>
      <c r="L100" s="305" t="s">
        <v>110</v>
      </c>
      <c r="M100" s="159" t="s">
        <v>111</v>
      </c>
      <c r="N100" s="897"/>
      <c r="O100" s="889"/>
      <c r="U100" s="671" t="s">
        <v>312</v>
      </c>
    </row>
    <row r="101" spans="3:21" s="348" customFormat="1" x14ac:dyDescent="0.2">
      <c r="D101" s="721" t="s">
        <v>1276</v>
      </c>
      <c r="E101" s="721"/>
      <c r="F101" s="721"/>
      <c r="G101" s="721"/>
      <c r="H101" s="721"/>
      <c r="I101" s="721"/>
      <c r="J101" s="147">
        <f>IFERROR(INDEX($L$217:$L$247,MATCH(D101,LU_Intv_Pers_Oth,0)),0)</f>
        <v>5.7114882506527402E-2</v>
      </c>
      <c r="K101" s="187"/>
      <c r="L101" s="188">
        <v>5</v>
      </c>
      <c r="M101" s="217"/>
      <c r="N101" s="218">
        <v>1</v>
      </c>
      <c r="O101" s="134">
        <f>J101*SUM(K101:M101)*N101</f>
        <v>0.28557441253263699</v>
      </c>
      <c r="U101" s="119">
        <f>IF(AND(ISERROR(MATCH(D101,LU_Intv_Pers_Oth,0)),SUM(K101:M101),N101),1,0)</f>
        <v>0</v>
      </c>
    </row>
    <row r="102" spans="3:21" s="348" customFormat="1" x14ac:dyDescent="0.2">
      <c r="D102" s="721" t="s">
        <v>1257</v>
      </c>
      <c r="E102" s="721"/>
      <c r="F102" s="721"/>
      <c r="G102" s="721"/>
      <c r="H102" s="721"/>
      <c r="I102" s="721"/>
      <c r="J102" s="149">
        <f>IFERROR(INDEX($L$217:$L$247,MATCH(D102,LU_Intv_Pers_Oth,0)),0)</f>
        <v>0</v>
      </c>
      <c r="K102" s="189"/>
      <c r="L102" s="190"/>
      <c r="M102" s="509"/>
      <c r="N102" s="219"/>
      <c r="O102" s="135">
        <f>J102*SUM(K102:M102)*N102</f>
        <v>0</v>
      </c>
      <c r="U102" s="119">
        <f>IF(AND(ISERROR(MATCH(D102,LU_Intv_Pers_Oth,0)),SUM(K102:M102),N102),1,0)</f>
        <v>0</v>
      </c>
    </row>
    <row r="103" spans="3:21" s="348" customFormat="1" ht="15" x14ac:dyDescent="0.2">
      <c r="D103" s="782" t="s">
        <v>287</v>
      </c>
      <c r="E103" s="783"/>
      <c r="F103" s="783"/>
      <c r="G103" s="783"/>
      <c r="H103" s="669"/>
      <c r="I103" s="669"/>
      <c r="J103" s="119"/>
      <c r="K103" s="883"/>
      <c r="L103" s="884"/>
      <c r="M103" s="884"/>
      <c r="N103" s="119"/>
      <c r="O103" s="136">
        <f>SUM(O101:O102)</f>
        <v>0.28557441253263699</v>
      </c>
      <c r="U103" s="672"/>
    </row>
    <row r="104" spans="3:21" s="348" customFormat="1" x14ac:dyDescent="0.2"/>
    <row r="105" spans="3:21" s="348" customFormat="1" ht="15" x14ac:dyDescent="0.2">
      <c r="D105" s="667" t="s">
        <v>949</v>
      </c>
      <c r="K105" s="671" t="s">
        <v>950</v>
      </c>
    </row>
    <row r="106" spans="3:21" s="348" customFormat="1" x14ac:dyDescent="0.2">
      <c r="D106" s="721" t="s">
        <v>1574</v>
      </c>
      <c r="E106" s="721"/>
      <c r="F106" s="721"/>
      <c r="G106" s="721"/>
      <c r="H106" s="721"/>
      <c r="I106" s="721"/>
      <c r="K106" s="721" t="s">
        <v>1574</v>
      </c>
      <c r="L106" s="721"/>
      <c r="M106" s="721"/>
      <c r="N106" s="721"/>
      <c r="O106" s="721"/>
      <c r="P106" s="721"/>
    </row>
    <row r="107" spans="3:21" s="348" customFormat="1" x14ac:dyDescent="0.2">
      <c r="D107" s="721"/>
      <c r="E107" s="721"/>
      <c r="F107" s="721"/>
      <c r="G107" s="721"/>
      <c r="H107" s="721"/>
      <c r="I107" s="721"/>
      <c r="K107" s="721"/>
      <c r="L107" s="721"/>
      <c r="M107" s="721"/>
      <c r="N107" s="721"/>
      <c r="O107" s="721"/>
      <c r="P107" s="721"/>
    </row>
    <row r="108" spans="3:21" s="348" customFormat="1" x14ac:dyDescent="0.2">
      <c r="D108" s="721"/>
      <c r="E108" s="721"/>
      <c r="F108" s="721"/>
      <c r="G108" s="721"/>
      <c r="H108" s="721"/>
      <c r="I108" s="721"/>
      <c r="K108" s="721"/>
      <c r="L108" s="721"/>
      <c r="M108" s="721"/>
      <c r="N108" s="721"/>
      <c r="O108" s="721"/>
      <c r="P108" s="721"/>
    </row>
    <row r="109" spans="3:21" s="348" customFormat="1" x14ac:dyDescent="0.2">
      <c r="D109" s="721"/>
      <c r="E109" s="721"/>
      <c r="F109" s="721"/>
      <c r="G109" s="721"/>
      <c r="H109" s="721"/>
      <c r="I109" s="721"/>
      <c r="K109" s="721"/>
      <c r="L109" s="721"/>
      <c r="M109" s="721"/>
      <c r="N109" s="721"/>
      <c r="O109" s="721"/>
      <c r="P109" s="721"/>
    </row>
    <row r="110" spans="3:21" s="348" customFormat="1" x14ac:dyDescent="0.2"/>
    <row r="111" spans="3:21" s="348" customFormat="1" x14ac:dyDescent="0.2"/>
    <row r="112" spans="3:21" s="348" customFormat="1" ht="15.75" x14ac:dyDescent="0.2">
      <c r="C112" s="124" t="str">
        <f>"Supplies Required for "&amp;G10</f>
        <v>Supplies Required for Cryo -SV</v>
      </c>
    </row>
    <row r="113" spans="4:21" s="348" customFormat="1" x14ac:dyDescent="0.2"/>
    <row r="114" spans="4:21" s="348" customFormat="1" ht="30" x14ac:dyDescent="0.2">
      <c r="D114" s="667" t="s">
        <v>106</v>
      </c>
      <c r="H114" s="671" t="s">
        <v>951</v>
      </c>
      <c r="J114" s="132" t="str">
        <f>"Cost per Unit ("&amp;$I$181&amp;")"</f>
        <v>Cost per Unit (USD)</v>
      </c>
      <c r="K114" s="366" t="s">
        <v>107</v>
      </c>
      <c r="L114" s="307" t="s">
        <v>183</v>
      </c>
      <c r="M114" s="132" t="str">
        <f>"Total Cost ("&amp;$I$181&amp;")"</f>
        <v>Total Cost (USD)</v>
      </c>
      <c r="N114" s="725" t="s">
        <v>74</v>
      </c>
      <c r="O114" s="726"/>
      <c r="P114" s="726"/>
      <c r="U114" s="671" t="s">
        <v>312</v>
      </c>
    </row>
    <row r="115" spans="4:21" s="348" customFormat="1" x14ac:dyDescent="0.2">
      <c r="D115" s="723" t="s">
        <v>1445</v>
      </c>
      <c r="E115" s="723"/>
      <c r="F115" s="723"/>
      <c r="G115" s="723"/>
      <c r="H115" s="668" t="str">
        <f t="shared" ref="H115:H121" si="1">IFERROR(INDEX($J$250:$J$416,MATCH(D115,LU_Intv_Supplies,0)),0)</f>
        <v>pad</v>
      </c>
      <c r="J115" s="511">
        <f t="shared" ref="J115:J121" si="2">IFERROR(INDEX($L$250:$L$416,MATCH(D115,LU_Intv_Supplies,0)),0)</f>
        <v>0.191</v>
      </c>
      <c r="K115" s="462">
        <v>1</v>
      </c>
      <c r="L115" s="183">
        <v>1</v>
      </c>
      <c r="M115" s="137">
        <f t="shared" ref="M115:M121" si="3">J115*K115*L115</f>
        <v>0.191</v>
      </c>
      <c r="N115" s="723" t="s">
        <v>1711</v>
      </c>
      <c r="O115" s="723"/>
      <c r="P115" s="723"/>
      <c r="U115" s="119">
        <f t="shared" ref="U115:U121" si="4">IF(AND(ISERROR(MATCH(D115,LU_Intv_Supplies,0)),L115),1,0)</f>
        <v>0</v>
      </c>
    </row>
    <row r="116" spans="4:21" s="348" customFormat="1" x14ac:dyDescent="0.2">
      <c r="D116" s="723" t="s">
        <v>1405</v>
      </c>
      <c r="E116" s="723"/>
      <c r="F116" s="723"/>
      <c r="G116" s="723"/>
      <c r="H116" s="668" t="str">
        <f t="shared" si="1"/>
        <v>application</v>
      </c>
      <c r="J116" s="512">
        <f t="shared" si="2"/>
        <v>37.333333333333336</v>
      </c>
      <c r="K116" s="462">
        <v>1</v>
      </c>
      <c r="L116" s="183">
        <v>1</v>
      </c>
      <c r="M116" s="137">
        <f t="shared" si="3"/>
        <v>37.333333333333336</v>
      </c>
      <c r="N116" s="723" t="s">
        <v>1711</v>
      </c>
      <c r="O116" s="723"/>
      <c r="P116" s="723"/>
      <c r="U116" s="119">
        <f t="shared" si="4"/>
        <v>0</v>
      </c>
    </row>
    <row r="117" spans="4:21" s="348" customFormat="1" x14ac:dyDescent="0.2">
      <c r="D117" s="723" t="s">
        <v>1257</v>
      </c>
      <c r="E117" s="723"/>
      <c r="F117" s="723"/>
      <c r="G117" s="723"/>
      <c r="H117" s="668" t="str">
        <f t="shared" si="1"/>
        <v>SU</v>
      </c>
      <c r="J117" s="511">
        <f t="shared" si="2"/>
        <v>0</v>
      </c>
      <c r="K117" s="462">
        <v>0</v>
      </c>
      <c r="L117" s="183"/>
      <c r="M117" s="137">
        <f t="shared" si="3"/>
        <v>0</v>
      </c>
      <c r="N117" s="723"/>
      <c r="O117" s="723"/>
      <c r="P117" s="723"/>
      <c r="U117" s="119">
        <f t="shared" si="4"/>
        <v>0</v>
      </c>
    </row>
    <row r="118" spans="4:21" s="348" customFormat="1" x14ac:dyDescent="0.2">
      <c r="D118" s="723" t="s">
        <v>1257</v>
      </c>
      <c r="E118" s="723"/>
      <c r="F118" s="723"/>
      <c r="G118" s="723"/>
      <c r="H118" s="668" t="str">
        <f t="shared" si="1"/>
        <v>SU</v>
      </c>
      <c r="J118" s="511">
        <f t="shared" si="2"/>
        <v>0</v>
      </c>
      <c r="K118" s="462">
        <v>0</v>
      </c>
      <c r="L118" s="183"/>
      <c r="M118" s="137">
        <f t="shared" si="3"/>
        <v>0</v>
      </c>
      <c r="N118" s="723"/>
      <c r="O118" s="723"/>
      <c r="P118" s="723"/>
      <c r="U118" s="119">
        <f t="shared" si="4"/>
        <v>0</v>
      </c>
    </row>
    <row r="119" spans="4:21" s="348" customFormat="1" x14ac:dyDescent="0.2">
      <c r="D119" s="723" t="s">
        <v>1257</v>
      </c>
      <c r="E119" s="723"/>
      <c r="F119" s="723"/>
      <c r="G119" s="723"/>
      <c r="H119" s="668" t="str">
        <f t="shared" si="1"/>
        <v>SU</v>
      </c>
      <c r="J119" s="511">
        <f t="shared" si="2"/>
        <v>0</v>
      </c>
      <c r="K119" s="462">
        <v>0</v>
      </c>
      <c r="L119" s="183"/>
      <c r="M119" s="137">
        <f t="shared" si="3"/>
        <v>0</v>
      </c>
      <c r="N119" s="723"/>
      <c r="O119" s="723"/>
      <c r="P119" s="723"/>
      <c r="U119" s="119">
        <f t="shared" si="4"/>
        <v>0</v>
      </c>
    </row>
    <row r="120" spans="4:21" s="348" customFormat="1" x14ac:dyDescent="0.2">
      <c r="D120" s="723" t="s">
        <v>1257</v>
      </c>
      <c r="E120" s="723"/>
      <c r="F120" s="723"/>
      <c r="G120" s="723"/>
      <c r="H120" s="668" t="str">
        <f t="shared" si="1"/>
        <v>SU</v>
      </c>
      <c r="J120" s="511">
        <f t="shared" si="2"/>
        <v>0</v>
      </c>
      <c r="K120" s="462">
        <v>0</v>
      </c>
      <c r="L120" s="183"/>
      <c r="M120" s="137">
        <f t="shared" si="3"/>
        <v>0</v>
      </c>
      <c r="N120" s="723"/>
      <c r="O120" s="723"/>
      <c r="P120" s="723"/>
      <c r="U120" s="119">
        <f t="shared" si="4"/>
        <v>0</v>
      </c>
    </row>
    <row r="121" spans="4:21" s="348" customFormat="1" x14ac:dyDescent="0.2">
      <c r="D121" s="723" t="s">
        <v>1257</v>
      </c>
      <c r="E121" s="723"/>
      <c r="F121" s="723"/>
      <c r="G121" s="723"/>
      <c r="H121" s="668" t="str">
        <f t="shared" si="1"/>
        <v>SU</v>
      </c>
      <c r="J121" s="511">
        <f t="shared" si="2"/>
        <v>0</v>
      </c>
      <c r="K121" s="462">
        <v>0</v>
      </c>
      <c r="L121" s="183"/>
      <c r="M121" s="137">
        <f t="shared" si="3"/>
        <v>0</v>
      </c>
      <c r="N121" s="723"/>
      <c r="O121" s="723"/>
      <c r="P121" s="723"/>
      <c r="U121" s="119">
        <f t="shared" si="4"/>
        <v>0</v>
      </c>
    </row>
    <row r="122" spans="4:21" s="348" customFormat="1" ht="15" x14ac:dyDescent="0.2">
      <c r="D122" s="782" t="s">
        <v>108</v>
      </c>
      <c r="E122" s="783"/>
      <c r="F122" s="783"/>
      <c r="G122" s="783"/>
      <c r="H122" s="669"/>
      <c r="J122" s="308"/>
      <c r="K122" s="119"/>
      <c r="L122" s="674"/>
      <c r="M122" s="309">
        <f>SUM(M115:M121)</f>
        <v>37.524333333333338</v>
      </c>
      <c r="N122" s="669"/>
      <c r="O122" s="669"/>
      <c r="P122" s="669"/>
      <c r="U122" s="672"/>
    </row>
    <row r="123" spans="4:21" s="348" customFormat="1" x14ac:dyDescent="0.2"/>
    <row r="124" spans="4:21" s="348" customFormat="1" ht="15" x14ac:dyDescent="0.2">
      <c r="D124" s="667" t="s">
        <v>962</v>
      </c>
      <c r="K124" s="671" t="s">
        <v>963</v>
      </c>
    </row>
    <row r="125" spans="4:21" s="348" customFormat="1" x14ac:dyDescent="0.2">
      <c r="D125" s="721"/>
      <c r="E125" s="721"/>
      <c r="F125" s="721"/>
      <c r="G125" s="721"/>
      <c r="H125" s="721"/>
      <c r="I125" s="721"/>
      <c r="K125" s="721"/>
      <c r="L125" s="721"/>
      <c r="M125" s="721"/>
      <c r="N125" s="721"/>
      <c r="O125" s="721"/>
      <c r="P125" s="721"/>
    </row>
    <row r="126" spans="4:21" s="348" customFormat="1" x14ac:dyDescent="0.2">
      <c r="D126" s="721"/>
      <c r="E126" s="721"/>
      <c r="F126" s="721"/>
      <c r="G126" s="721"/>
      <c r="H126" s="721"/>
      <c r="I126" s="721"/>
      <c r="K126" s="721"/>
      <c r="L126" s="721"/>
      <c r="M126" s="721"/>
      <c r="N126" s="721"/>
      <c r="O126" s="721"/>
      <c r="P126" s="721"/>
    </row>
    <row r="127" spans="4:21" s="348" customFormat="1" x14ac:dyDescent="0.2">
      <c r="D127" s="721"/>
      <c r="E127" s="721"/>
      <c r="F127" s="721"/>
      <c r="G127" s="721"/>
      <c r="H127" s="721"/>
      <c r="I127" s="721"/>
      <c r="K127" s="737"/>
      <c r="L127" s="738"/>
      <c r="M127" s="738"/>
      <c r="N127" s="738"/>
      <c r="O127" s="738"/>
      <c r="P127" s="739"/>
    </row>
    <row r="128" spans="4:21" s="348" customFormat="1" x14ac:dyDescent="0.2">
      <c r="D128" s="721"/>
      <c r="E128" s="721"/>
      <c r="F128" s="721"/>
      <c r="G128" s="721"/>
      <c r="H128" s="721"/>
      <c r="I128" s="721"/>
      <c r="K128" s="721"/>
      <c r="L128" s="721"/>
      <c r="M128" s="721"/>
      <c r="N128" s="721"/>
      <c r="O128" s="721"/>
      <c r="P128" s="721"/>
    </row>
    <row r="129" spans="3:21" s="348" customFormat="1" x14ac:dyDescent="0.2"/>
    <row r="130" spans="3:21" s="348" customFormat="1" ht="15.75" x14ac:dyDescent="0.2">
      <c r="C130" s="124" t="str">
        <f>"Equipment Required to Outfit a Health Facility for "&amp;G10&amp;""</f>
        <v>Equipment Required to Outfit a Health Facility for Cryo -SV</v>
      </c>
    </row>
    <row r="131" spans="3:21" s="348" customFormat="1" x14ac:dyDescent="0.2"/>
    <row r="132" spans="3:21" s="348" customFormat="1" ht="30" x14ac:dyDescent="0.2">
      <c r="J132" s="141" t="str">
        <f>"Cost per Unit ("&amp;$I$181&amp;")"</f>
        <v>Cost per Unit (USD)</v>
      </c>
      <c r="L132" s="885" t="str">
        <f>"Total Cost per Site ("&amp;$I$181&amp;")"</f>
        <v>Total Cost per Site (USD)</v>
      </c>
      <c r="M132" s="886"/>
      <c r="N132" s="887"/>
    </row>
    <row r="133" spans="3:21" s="348" customFormat="1" ht="30" x14ac:dyDescent="0.2">
      <c r="D133" s="667" t="s">
        <v>106</v>
      </c>
      <c r="J133" s="142" t="s">
        <v>117</v>
      </c>
      <c r="K133" s="675" t="s">
        <v>116</v>
      </c>
      <c r="L133" s="513" t="str">
        <f>J133</f>
        <v>Facility</v>
      </c>
      <c r="M133" s="159" t="s">
        <v>632</v>
      </c>
      <c r="N133" s="288" t="s">
        <v>633</v>
      </c>
      <c r="O133" s="870" t="s">
        <v>74</v>
      </c>
      <c r="P133" s="871"/>
      <c r="Q133" s="872"/>
      <c r="U133" s="671" t="s">
        <v>312</v>
      </c>
    </row>
    <row r="134" spans="3:21" s="348" customFormat="1" x14ac:dyDescent="0.2">
      <c r="D134" s="723" t="s">
        <v>1299</v>
      </c>
      <c r="E134" s="723"/>
      <c r="F134" s="723"/>
      <c r="G134" s="723"/>
      <c r="J134" s="311">
        <f>IFERROR(INDEX($J$419:$J$541,MATCH(D134,LU_Intv_Equip,0)),0)</f>
        <v>500</v>
      </c>
      <c r="K134" s="463">
        <v>1</v>
      </c>
      <c r="L134" s="163">
        <f t="shared" ref="L134:L138" si="5">J134*K134</f>
        <v>500</v>
      </c>
      <c r="M134" s="163">
        <f>IFERROR(INDEX($K$419:$K$541,MATCH(D134,LU_Intv_Equip,0)),0)*K134</f>
        <v>125</v>
      </c>
      <c r="N134" s="146">
        <f>IFERROR(INDEX($L$419:$L$541,MATCH(D134,LU_Intv_Equip,0)),0)*K134</f>
        <v>134.51352259654129</v>
      </c>
      <c r="O134" s="865" t="s">
        <v>1711</v>
      </c>
      <c r="P134" s="865"/>
      <c r="Q134" s="866"/>
      <c r="U134" s="119">
        <f>IF(AND(ISERROR(MATCH(D134,LU_Intv_Equip,0)),K134),1,0)</f>
        <v>0</v>
      </c>
    </row>
    <row r="135" spans="3:21" s="348" customFormat="1" x14ac:dyDescent="0.2">
      <c r="D135" s="723" t="s">
        <v>1257</v>
      </c>
      <c r="E135" s="723"/>
      <c r="F135" s="723"/>
      <c r="G135" s="723"/>
      <c r="J135" s="297">
        <f>IFERROR(INDEX($J$419:$J$541,MATCH(D135,LU_Intv_Equip,0)),0)</f>
        <v>0</v>
      </c>
      <c r="K135" s="460">
        <v>1</v>
      </c>
      <c r="L135" s="153">
        <f t="shared" si="5"/>
        <v>0</v>
      </c>
      <c r="M135" s="153">
        <f>IFERROR(INDEX($K$419:$K$541,MATCH(D135,LU_Intv_Equip,0)),0)*K135</f>
        <v>0</v>
      </c>
      <c r="N135" s="146">
        <f>IFERROR(INDEX($L$419:$L$541,MATCH(D135,LU_Intv_Equip,0)),0)*K135</f>
        <v>0</v>
      </c>
      <c r="O135" s="868" t="s">
        <v>1711</v>
      </c>
      <c r="P135" s="868"/>
      <c r="Q135" s="869"/>
      <c r="U135" s="119">
        <f>IF(AND(ISERROR(MATCH(D135,LU_Intv_Equip,0)),K135),1,0)</f>
        <v>0</v>
      </c>
    </row>
    <row r="136" spans="3:21" s="348" customFormat="1" x14ac:dyDescent="0.2">
      <c r="D136" s="877" t="s">
        <v>1257</v>
      </c>
      <c r="E136" s="878"/>
      <c r="F136" s="878"/>
      <c r="G136" s="879"/>
      <c r="J136" s="297">
        <f>IFERROR(INDEX($J$419:$J$541,MATCH(D136,LU_Intv_Equip,0)),0)</f>
        <v>0</v>
      </c>
      <c r="K136" s="461">
        <v>0</v>
      </c>
      <c r="L136" s="153">
        <f t="shared" si="5"/>
        <v>0</v>
      </c>
      <c r="M136" s="153">
        <f>IFERROR(INDEX($K$419:$K$541,MATCH(D136,LU_Intv_Equip,0)),0)*K136</f>
        <v>0</v>
      </c>
      <c r="N136" s="119">
        <f>IFERROR(INDEX($L$419:$L$541,MATCH(D136,LU_Intv_Equip,0)),0)*K136</f>
        <v>0</v>
      </c>
      <c r="O136" s="877" t="s">
        <v>1757</v>
      </c>
      <c r="P136" s="900"/>
      <c r="Q136" s="901"/>
      <c r="U136" s="119">
        <f>IF(AND(ISERROR(MATCH(D136,LU_Intv_Equip,0)),K136),1,0)</f>
        <v>0</v>
      </c>
    </row>
    <row r="137" spans="3:21" s="348" customFormat="1" x14ac:dyDescent="0.2">
      <c r="D137" s="877" t="s">
        <v>1257</v>
      </c>
      <c r="E137" s="878"/>
      <c r="F137" s="878"/>
      <c r="G137" s="879"/>
      <c r="J137" s="297">
        <f>IFERROR(INDEX($J$419:$J$541,MATCH(D137,LU_Intv_Equip,0)),0)</f>
        <v>0</v>
      </c>
      <c r="K137" s="461">
        <v>0</v>
      </c>
      <c r="L137" s="153">
        <f t="shared" si="5"/>
        <v>0</v>
      </c>
      <c r="M137" s="153">
        <f>IFERROR(INDEX($K$419:$K$541,MATCH(D137,LU_Intv_Equip,0)),0)*K137</f>
        <v>0</v>
      </c>
      <c r="N137" s="119">
        <f>IFERROR(INDEX($L$419:$L$541,MATCH(D137,LU_Intv_Equip,0)),0)*K137</f>
        <v>0</v>
      </c>
      <c r="O137" s="877" t="s">
        <v>1758</v>
      </c>
      <c r="P137" s="900"/>
      <c r="Q137" s="901"/>
      <c r="U137" s="119">
        <f>IF(AND(ISERROR(MATCH(D137,LU_Intv_Equip,0)),K137),1,0)</f>
        <v>0</v>
      </c>
    </row>
    <row r="138" spans="3:21" s="348" customFormat="1" x14ac:dyDescent="0.2">
      <c r="D138" s="723" t="s">
        <v>1257</v>
      </c>
      <c r="E138" s="723"/>
      <c r="F138" s="723"/>
      <c r="G138" s="723"/>
      <c r="J138" s="306">
        <f>IFERROR(INDEX($J$419:$J$541,MATCH(D138,LU_Intv_Equip,0)),0)</f>
        <v>0</v>
      </c>
      <c r="K138" s="464">
        <v>0</v>
      </c>
      <c r="L138" s="515">
        <f t="shared" si="5"/>
        <v>0</v>
      </c>
      <c r="M138" s="515">
        <f>IFERROR(INDEX($K$419:$K$541,MATCH(D138,LU_Intv_Equip,0)),0)*K138</f>
        <v>0</v>
      </c>
      <c r="N138" s="146">
        <f>IFERROR(INDEX($L$419:$L$541,MATCH(D138,LU_Intv_Equip,0)),0)*K138</f>
        <v>0</v>
      </c>
      <c r="O138" s="860"/>
      <c r="P138" s="860"/>
      <c r="Q138" s="861"/>
      <c r="U138" s="119">
        <f>IF(AND(ISERROR(MATCH(D138,LU_Intv_Equip,0)),K138),1,0)</f>
        <v>0</v>
      </c>
    </row>
    <row r="139" spans="3:21" s="348" customFormat="1" x14ac:dyDescent="0.2">
      <c r="D139" s="671" t="s">
        <v>191</v>
      </c>
      <c r="L139" s="514">
        <f>SUM(L134:L138)</f>
        <v>500</v>
      </c>
      <c r="M139" s="153">
        <f t="shared" ref="M139:N139" si="6">SUM(M134:M138)</f>
        <v>125</v>
      </c>
      <c r="N139" s="152">
        <f t="shared" si="6"/>
        <v>134.51352259654129</v>
      </c>
    </row>
    <row r="140" spans="3:21" s="348" customFormat="1" x14ac:dyDescent="0.2">
      <c r="D140" s="671" t="s">
        <v>120</v>
      </c>
      <c r="I140" s="239">
        <v>0.15</v>
      </c>
      <c r="M140" s="153">
        <f>M139*$I$140</f>
        <v>18.75</v>
      </c>
      <c r="N140" s="154">
        <f>N139*$I$140</f>
        <v>20.177028389481194</v>
      </c>
    </row>
    <row r="141" spans="3:21" s="348" customFormat="1" ht="15" x14ac:dyDescent="0.2">
      <c r="D141" s="667" t="s">
        <v>121</v>
      </c>
      <c r="M141" s="155">
        <f>SUM(M139:M140)</f>
        <v>143.75</v>
      </c>
      <c r="N141" s="156">
        <f>SUM(N139:N140)</f>
        <v>154.69055098602249</v>
      </c>
    </row>
    <row r="142" spans="3:21" s="348" customFormat="1" x14ac:dyDescent="0.2"/>
    <row r="143" spans="3:21" s="348" customFormat="1" ht="15" x14ac:dyDescent="0.2">
      <c r="D143" s="667" t="s">
        <v>964</v>
      </c>
      <c r="K143" s="671" t="s">
        <v>965</v>
      </c>
    </row>
    <row r="144" spans="3:21" s="348" customFormat="1" x14ac:dyDescent="0.2">
      <c r="D144" s="721"/>
      <c r="E144" s="721"/>
      <c r="F144" s="721"/>
      <c r="G144" s="721"/>
      <c r="H144" s="721"/>
      <c r="I144" s="721"/>
      <c r="K144" s="721"/>
      <c r="L144" s="721"/>
      <c r="M144" s="721"/>
      <c r="N144" s="721"/>
      <c r="O144" s="721"/>
      <c r="P144" s="721"/>
    </row>
    <row r="145" spans="3:21" s="348" customFormat="1" x14ac:dyDescent="0.2">
      <c r="D145" s="721"/>
      <c r="E145" s="721"/>
      <c r="F145" s="721"/>
      <c r="G145" s="721"/>
      <c r="H145" s="721"/>
      <c r="I145" s="721"/>
      <c r="K145" s="721"/>
      <c r="L145" s="721"/>
      <c r="M145" s="721"/>
      <c r="N145" s="721"/>
      <c r="O145" s="721"/>
      <c r="P145" s="721"/>
    </row>
    <row r="146" spans="3:21" s="348" customFormat="1" x14ac:dyDescent="0.2">
      <c r="D146" s="721"/>
      <c r="E146" s="721"/>
      <c r="F146" s="721"/>
      <c r="G146" s="721"/>
      <c r="H146" s="721"/>
      <c r="I146" s="721"/>
      <c r="K146" s="721"/>
      <c r="L146" s="721"/>
      <c r="M146" s="721"/>
      <c r="N146" s="721"/>
      <c r="O146" s="721"/>
      <c r="P146" s="721"/>
    </row>
    <row r="147" spans="3:21" s="348" customFormat="1" x14ac:dyDescent="0.2">
      <c r="D147" s="721"/>
      <c r="E147" s="721"/>
      <c r="F147" s="721"/>
      <c r="G147" s="721"/>
      <c r="H147" s="721"/>
      <c r="I147" s="721"/>
      <c r="K147" s="721"/>
      <c r="L147" s="721"/>
      <c r="M147" s="721"/>
      <c r="N147" s="721"/>
      <c r="O147" s="721"/>
      <c r="P147" s="721"/>
    </row>
    <row r="148" spans="3:21" s="348" customFormat="1" ht="15.75" x14ac:dyDescent="0.2">
      <c r="C148" s="124" t="str">
        <f>"Lab Tests &amp; Other Direct Costs for "&amp;G10&amp;""</f>
        <v>Lab Tests &amp; Other Direct Costs for Cryo -SV</v>
      </c>
    </row>
    <row r="149" spans="3:21" s="348" customFormat="1" x14ac:dyDescent="0.2"/>
    <row r="150" spans="3:21" s="348" customFormat="1" ht="30" x14ac:dyDescent="0.2">
      <c r="D150" s="667" t="s">
        <v>106</v>
      </c>
      <c r="J150" s="132" t="str">
        <f>"Cost per Unit ("&amp;$I$181&amp;")"</f>
        <v>Cost per Unit (USD)</v>
      </c>
      <c r="K150" s="366" t="s">
        <v>107</v>
      </c>
      <c r="L150" s="307" t="s">
        <v>183</v>
      </c>
      <c r="M150" s="132" t="str">
        <f>"Total Cost ("&amp;$I$181&amp;")"</f>
        <v>Total Cost (USD)</v>
      </c>
      <c r="N150" s="725" t="s">
        <v>74</v>
      </c>
      <c r="O150" s="726"/>
      <c r="P150" s="726"/>
      <c r="U150" s="671" t="s">
        <v>312</v>
      </c>
    </row>
    <row r="151" spans="3:21" s="348" customFormat="1" x14ac:dyDescent="0.2">
      <c r="D151" s="805" t="s">
        <v>1257</v>
      </c>
      <c r="E151" s="811"/>
      <c r="F151" s="811"/>
      <c r="G151" s="812"/>
      <c r="H151" s="672"/>
      <c r="J151" s="674">
        <f>IFERROR(INDEX($L$544:$L$576,MATCH(D151,LU_Intv_Lab_Oth,0)),0)</f>
        <v>0</v>
      </c>
      <c r="K151" s="183">
        <v>0</v>
      </c>
      <c r="L151" s="183">
        <v>1</v>
      </c>
      <c r="M151" s="161">
        <f t="shared" ref="M151:M154" si="7">J151*K151*L151</f>
        <v>0</v>
      </c>
      <c r="N151" s="805" t="s">
        <v>1755</v>
      </c>
      <c r="O151" s="806"/>
      <c r="P151" s="807"/>
      <c r="U151" s="119">
        <f>IF(AND(ISERROR(MATCH(D151,LU_Intv_Lab_Oth,0)),L151),1,0)</f>
        <v>0</v>
      </c>
    </row>
    <row r="152" spans="3:21" s="348" customFormat="1" x14ac:dyDescent="0.2">
      <c r="D152" s="805" t="s">
        <v>1257</v>
      </c>
      <c r="E152" s="811"/>
      <c r="F152" s="811"/>
      <c r="G152" s="812"/>
      <c r="H152" s="672"/>
      <c r="J152" s="674">
        <f>IFERROR(INDEX($L$544:$L$576,MATCH(D152,LU_Intv_Lab_Oth,0)),0)</f>
        <v>0</v>
      </c>
      <c r="K152" s="183">
        <v>0</v>
      </c>
      <c r="L152" s="183">
        <v>1</v>
      </c>
      <c r="M152" s="161">
        <f t="shared" si="7"/>
        <v>0</v>
      </c>
      <c r="N152" s="805" t="s">
        <v>1756</v>
      </c>
      <c r="O152" s="806"/>
      <c r="P152" s="807"/>
      <c r="U152" s="119">
        <f>IF(AND(ISERROR(MATCH(D152,LU_Intv_Lab_Oth,0)),L152),1,0)</f>
        <v>0</v>
      </c>
    </row>
    <row r="153" spans="3:21" s="348" customFormat="1" x14ac:dyDescent="0.2">
      <c r="D153" s="805" t="s">
        <v>1257</v>
      </c>
      <c r="E153" s="811"/>
      <c r="F153" s="811"/>
      <c r="G153" s="812"/>
      <c r="H153" s="672"/>
      <c r="J153" s="674">
        <f>IFERROR(INDEX($L$544:$L$576,MATCH(D153,LU_Intv_Lab_Oth,0)),0)</f>
        <v>0</v>
      </c>
      <c r="K153" s="183">
        <v>0</v>
      </c>
      <c r="L153" s="183">
        <v>1</v>
      </c>
      <c r="M153" s="161">
        <f t="shared" si="7"/>
        <v>0</v>
      </c>
      <c r="N153" s="805" t="s">
        <v>1757</v>
      </c>
      <c r="O153" s="806"/>
      <c r="P153" s="807"/>
      <c r="U153" s="119">
        <f>IF(AND(ISERROR(MATCH(D153,LU_Intv_Lab_Oth,0)),L153),1,0)</f>
        <v>0</v>
      </c>
    </row>
    <row r="154" spans="3:21" s="348" customFormat="1" x14ac:dyDescent="0.2">
      <c r="D154" s="721"/>
      <c r="E154" s="721"/>
      <c r="F154" s="721"/>
      <c r="G154" s="721"/>
      <c r="H154" s="672"/>
      <c r="J154" s="674">
        <f>IFERROR(INDEX($L$544:$L$576,MATCH(D154,LU_Intv_Lab_Oth,0)),0)</f>
        <v>0</v>
      </c>
      <c r="K154" s="183">
        <v>0</v>
      </c>
      <c r="L154" s="183">
        <v>0</v>
      </c>
      <c r="M154" s="161">
        <f t="shared" si="7"/>
        <v>0</v>
      </c>
      <c r="N154" s="721"/>
      <c r="O154" s="721"/>
      <c r="P154" s="721"/>
      <c r="U154" s="119">
        <f>IF(AND(ISERROR(MATCH(D154,LU_Intv_Lab_Oth,0)),L154),1,0)</f>
        <v>0</v>
      </c>
    </row>
    <row r="155" spans="3:21" s="348" customFormat="1" ht="15" x14ac:dyDescent="0.2">
      <c r="D155" s="782" t="s">
        <v>108</v>
      </c>
      <c r="E155" s="783"/>
      <c r="F155" s="783"/>
      <c r="G155" s="783"/>
      <c r="H155" s="672"/>
      <c r="J155" s="308"/>
      <c r="K155" s="119"/>
      <c r="L155" s="674"/>
      <c r="M155" s="162">
        <f>SUM(M151:M154)</f>
        <v>0</v>
      </c>
      <c r="N155" s="669"/>
      <c r="O155" s="669"/>
      <c r="P155" s="669"/>
      <c r="U155" s="672"/>
    </row>
    <row r="156" spans="3:21" s="348" customFormat="1" x14ac:dyDescent="0.2"/>
    <row r="157" spans="3:21" s="348" customFormat="1" ht="15" x14ac:dyDescent="0.2">
      <c r="D157" s="667" t="s">
        <v>966</v>
      </c>
      <c r="K157" s="671" t="s">
        <v>967</v>
      </c>
    </row>
    <row r="158" spans="3:21" s="348" customFormat="1" x14ac:dyDescent="0.2">
      <c r="D158" s="721"/>
      <c r="E158" s="721"/>
      <c r="F158" s="721"/>
      <c r="G158" s="721"/>
      <c r="H158" s="721"/>
      <c r="I158" s="721"/>
      <c r="K158" s="721"/>
      <c r="L158" s="721"/>
      <c r="M158" s="721"/>
      <c r="N158" s="721"/>
      <c r="O158" s="721"/>
      <c r="P158" s="721"/>
    </row>
    <row r="159" spans="3:21" s="348" customFormat="1" x14ac:dyDescent="0.2">
      <c r="D159" s="721"/>
      <c r="E159" s="721"/>
      <c r="F159" s="721"/>
      <c r="G159" s="721"/>
      <c r="H159" s="721"/>
      <c r="I159" s="721"/>
      <c r="K159" s="721"/>
      <c r="L159" s="721"/>
      <c r="M159" s="721"/>
      <c r="N159" s="721"/>
      <c r="O159" s="721"/>
      <c r="P159" s="721"/>
    </row>
    <row r="160" spans="3:21" s="348" customFormat="1" x14ac:dyDescent="0.2">
      <c r="D160" s="721"/>
      <c r="E160" s="721"/>
      <c r="F160" s="721"/>
      <c r="G160" s="721"/>
      <c r="H160" s="721"/>
      <c r="I160" s="721"/>
      <c r="K160" s="721"/>
      <c r="L160" s="721"/>
      <c r="M160" s="721"/>
      <c r="N160" s="721"/>
      <c r="O160" s="721"/>
      <c r="P160" s="721"/>
    </row>
    <row r="161" spans="3:16" s="348" customFormat="1" x14ac:dyDescent="0.2">
      <c r="D161" s="721"/>
      <c r="E161" s="721"/>
      <c r="F161" s="721"/>
      <c r="G161" s="721"/>
      <c r="H161" s="721"/>
      <c r="I161" s="721"/>
      <c r="K161" s="721"/>
      <c r="L161" s="721"/>
      <c r="M161" s="721"/>
      <c r="N161" s="721"/>
      <c r="O161" s="721"/>
      <c r="P161" s="721"/>
    </row>
    <row r="162" spans="3:16" s="348" customFormat="1" hidden="1" outlineLevel="2" x14ac:dyDescent="0.2"/>
    <row r="163" spans="3:16" s="348" customFormat="1" collapsed="1" x14ac:dyDescent="0.2"/>
    <row r="164" spans="3:16" s="348" customFormat="1" ht="15.75" x14ac:dyDescent="0.2">
      <c r="C164" s="664" t="s">
        <v>1870</v>
      </c>
    </row>
    <row r="165" spans="3:16" s="348" customFormat="1" outlineLevel="1" x14ac:dyDescent="0.2">
      <c r="D165" s="668" t="str">
        <f>Plac_Start_Facs_BA!C10</f>
        <v>Central</v>
      </c>
    </row>
    <row r="166" spans="3:16" s="348" customFormat="1" outlineLevel="1" x14ac:dyDescent="0.2">
      <c r="D166" s="668" t="str">
        <f>Plac_Start_Facs_BA!C11</f>
        <v>Copperbelt</v>
      </c>
    </row>
    <row r="167" spans="3:16" s="348" customFormat="1" outlineLevel="1" x14ac:dyDescent="0.2">
      <c r="D167" s="668" t="str">
        <f>Plac_Start_Facs_BA!C12</f>
        <v>Eastern</v>
      </c>
    </row>
    <row r="168" spans="3:16" s="348" customFormat="1" outlineLevel="1" x14ac:dyDescent="0.2">
      <c r="D168" s="668" t="str">
        <f>Plac_Start_Facs_BA!C13</f>
        <v>Luapula</v>
      </c>
    </row>
    <row r="169" spans="3:16" s="348" customFormat="1" outlineLevel="1" x14ac:dyDescent="0.2">
      <c r="D169" s="668" t="str">
        <f>Plac_Start_Facs_BA!C14</f>
        <v>Lusaka</v>
      </c>
    </row>
    <row r="170" spans="3:16" s="348" customFormat="1" outlineLevel="1" x14ac:dyDescent="0.2">
      <c r="D170" s="668" t="str">
        <f>Plac_Start_Facs_BA!C15</f>
        <v>Muchinga</v>
      </c>
    </row>
    <row r="171" spans="3:16" s="348" customFormat="1" outlineLevel="1" x14ac:dyDescent="0.2">
      <c r="D171" s="668" t="str">
        <f>Plac_Start_Facs_BA!C16</f>
        <v>Northern</v>
      </c>
    </row>
    <row r="172" spans="3:16" s="348" customFormat="1" outlineLevel="1" x14ac:dyDescent="0.2">
      <c r="D172" s="668" t="str">
        <f>Plac_Start_Facs_BA!C17</f>
        <v>North-Western</v>
      </c>
    </row>
    <row r="173" spans="3:16" s="348" customFormat="1" outlineLevel="1" x14ac:dyDescent="0.2">
      <c r="D173" s="668" t="str">
        <f>Plac_Start_Facs_BA!C18</f>
        <v>Southern</v>
      </c>
    </row>
    <row r="174" spans="3:16" s="348" customFormat="1" outlineLevel="1" x14ac:dyDescent="0.2">
      <c r="D174" s="668" t="str">
        <f>Plac_Start_Facs_BA!C19</f>
        <v>Western</v>
      </c>
    </row>
    <row r="175" spans="3:16" s="348" customFormat="1" x14ac:dyDescent="0.2"/>
    <row r="176" spans="3:16" s="348" customFormat="1" x14ac:dyDescent="0.2"/>
    <row r="177" spans="3:21" s="348" customFormat="1" x14ac:dyDescent="0.2"/>
    <row r="178" spans="3:21" s="348" customFormat="1" x14ac:dyDescent="0.2"/>
    <row r="179" spans="3:21" s="348" customFormat="1" ht="15.75" hidden="1" outlineLevel="2" x14ac:dyDescent="0.2">
      <c r="C179" s="664" t="s">
        <v>303</v>
      </c>
    </row>
    <row r="180" spans="3:21" s="348" customFormat="1" hidden="1" outlineLevel="2" x14ac:dyDescent="0.2">
      <c r="U180" s="671" t="s">
        <v>312</v>
      </c>
    </row>
    <row r="181" spans="3:21" s="348" customFormat="1" ht="14.45" hidden="1" customHeight="1" outlineLevel="2" x14ac:dyDescent="0.2">
      <c r="D181" s="667" t="s">
        <v>302</v>
      </c>
      <c r="I181" s="785" t="str">
        <f>Price_List_BA!G10</f>
        <v>USD</v>
      </c>
      <c r="J181" s="786"/>
      <c r="U181" s="119">
        <f>IF(ISERROR(MATCH(I181,LU_Intv_Curr,0)),1,0)</f>
        <v>0</v>
      </c>
    </row>
    <row r="182" spans="3:21" s="348" customFormat="1" hidden="1" outlineLevel="2" x14ac:dyDescent="0.2"/>
    <row r="183" spans="3:21" s="348" customFormat="1" ht="25.5" hidden="1" outlineLevel="2" x14ac:dyDescent="0.2">
      <c r="D183" s="359" t="str">
        <f>"Personnel - "&amp;D87</f>
        <v>Personnel - Fixed Hospital Sites</v>
      </c>
      <c r="L183" s="312" t="str">
        <f>"Cost per Unit ("&amp;$I$181&amp;"/Unit)"</f>
        <v>Cost per Unit (USD/Unit)</v>
      </c>
    </row>
    <row r="184" spans="3:21" s="348" customFormat="1" ht="12.95" hidden="1" customHeight="1" outlineLevel="2" x14ac:dyDescent="0.2">
      <c r="D184" s="785" t="str">
        <f>Price_List_BA!D14</f>
        <v>_Not Applicable</v>
      </c>
      <c r="E184" s="786"/>
      <c r="F184" s="786"/>
      <c r="G184" s="786"/>
      <c r="L184" s="137">
        <f>Price_List_BA!L14</f>
        <v>0</v>
      </c>
    </row>
    <row r="185" spans="3:21" s="348" customFormat="1" ht="12.95" hidden="1" customHeight="1" outlineLevel="2" x14ac:dyDescent="0.2">
      <c r="D185" s="785" t="str">
        <f>Price_List_BA!D15</f>
        <v>Biomedical scientist (ZM)</v>
      </c>
      <c r="E185" s="786"/>
      <c r="F185" s="786"/>
      <c r="G185" s="786"/>
      <c r="L185" s="137">
        <f>Price_List_BA!L15</f>
        <v>9.6099869451697087E-2</v>
      </c>
    </row>
    <row r="186" spans="3:21" s="348" customFormat="1" ht="12.95" hidden="1" customHeight="1" outlineLevel="2" x14ac:dyDescent="0.2">
      <c r="D186" s="785" t="str">
        <f>Price_List_BA!D16</f>
        <v>Clinical officer  (ZM)</v>
      </c>
      <c r="E186" s="786"/>
      <c r="F186" s="786"/>
      <c r="G186" s="786"/>
      <c r="L186" s="137">
        <f>Price_List_BA!L16</f>
        <v>5.4314893385552607E-2</v>
      </c>
    </row>
    <row r="187" spans="3:21" s="348" customFormat="1" ht="12.95" hidden="1" customHeight="1" outlineLevel="2" x14ac:dyDescent="0.2">
      <c r="D187" s="785" t="str">
        <f>Price_List_BA!D17</f>
        <v>Consultant  (ZM)</v>
      </c>
      <c r="E187" s="786"/>
      <c r="F187" s="786"/>
      <c r="G187" s="786"/>
      <c r="L187" s="137">
        <f>Price_List_BA!L17</f>
        <v>0.39408430337975103</v>
      </c>
    </row>
    <row r="188" spans="3:21" s="348" customFormat="1" hidden="1" outlineLevel="2" x14ac:dyDescent="0.2">
      <c r="D188" s="785" t="str">
        <f>Price_List_BA!D18</f>
        <v>General Medical Doctor</v>
      </c>
      <c r="E188" s="786"/>
      <c r="F188" s="786"/>
      <c r="G188" s="786"/>
      <c r="L188" s="137">
        <f>Price_List_BA!L18</f>
        <v>0.33333333333333331</v>
      </c>
    </row>
    <row r="189" spans="3:21" s="348" customFormat="1" ht="12.95" hidden="1" customHeight="1" outlineLevel="2" x14ac:dyDescent="0.2">
      <c r="D189" s="785" t="str">
        <f>Price_List_BA!D19</f>
        <v>Junior Resident Medical officer  (ZM)</v>
      </c>
      <c r="E189" s="786"/>
      <c r="F189" s="786"/>
      <c r="G189" s="786"/>
      <c r="L189" s="137">
        <f>Price_List_BA!L19</f>
        <v>0.30300363087467391</v>
      </c>
    </row>
    <row r="190" spans="3:21" s="348" customFormat="1" ht="12.95" hidden="1" customHeight="1" outlineLevel="2" x14ac:dyDescent="0.2">
      <c r="D190" s="785" t="str">
        <f>Price_List_BA!D20</f>
        <v>Lab Scientist (ZM)</v>
      </c>
      <c r="E190" s="786"/>
      <c r="F190" s="786"/>
      <c r="G190" s="786"/>
      <c r="L190" s="137">
        <f>Price_List_BA!L20</f>
        <v>9.6099869451697087E-2</v>
      </c>
    </row>
    <row r="191" spans="3:21" s="348" customFormat="1" ht="12.95" hidden="1" customHeight="1" outlineLevel="2" x14ac:dyDescent="0.2">
      <c r="D191" s="785" t="str">
        <f>Price_List_BA!D21</f>
        <v>Lab Technician (ZM)</v>
      </c>
      <c r="E191" s="786"/>
      <c r="F191" s="786"/>
      <c r="G191" s="786"/>
      <c r="L191" s="137">
        <f>Price_List_BA!L21</f>
        <v>4.7519582245430833E-2</v>
      </c>
    </row>
    <row r="192" spans="3:21" s="348" customFormat="1" ht="12.95" hidden="1" customHeight="1" outlineLevel="2" x14ac:dyDescent="0.2">
      <c r="D192" s="785" t="str">
        <f>Price_List_BA!D22</f>
        <v>Lab Technologist (ZM)</v>
      </c>
      <c r="E192" s="786"/>
      <c r="F192" s="786"/>
      <c r="G192" s="786"/>
      <c r="L192" s="137">
        <f>Price_List_BA!L22</f>
        <v>5.4308093994778019E-2</v>
      </c>
    </row>
    <row r="193" spans="4:12" s="348" customFormat="1" ht="12.95" hidden="1" customHeight="1" outlineLevel="2" x14ac:dyDescent="0.2">
      <c r="D193" s="785" t="str">
        <f>Price_List_BA!D23</f>
        <v>Medical Physicist (ZM)</v>
      </c>
      <c r="E193" s="786"/>
      <c r="F193" s="786"/>
      <c r="G193" s="786"/>
      <c r="L193" s="137">
        <f>Price_List_BA!L23</f>
        <v>0.15991895126196667</v>
      </c>
    </row>
    <row r="194" spans="4:12" s="348" customFormat="1" ht="12.75" hidden="1" customHeight="1" outlineLevel="2" x14ac:dyDescent="0.2">
      <c r="D194" s="785" t="str">
        <f>Price_List_BA!D24</f>
        <v>Nursing Officer (ZM)</v>
      </c>
      <c r="E194" s="786"/>
      <c r="F194" s="786"/>
      <c r="G194" s="786"/>
      <c r="L194" s="137">
        <f>Price_List_BA!L24</f>
        <v>9.6099869451697087E-2</v>
      </c>
    </row>
    <row r="195" spans="4:12" s="348" customFormat="1" ht="12.95" hidden="1" customHeight="1" outlineLevel="2" x14ac:dyDescent="0.2">
      <c r="D195" s="785" t="str">
        <f>Price_List_BA!D25</f>
        <v>Pathologist (ZM)</v>
      </c>
      <c r="E195" s="786"/>
      <c r="F195" s="786"/>
      <c r="G195" s="786"/>
      <c r="L195" s="137">
        <f>Price_List_BA!L25</f>
        <v>0.39408430337975103</v>
      </c>
    </row>
    <row r="196" spans="4:12" s="348" customFormat="1" ht="12.95" hidden="1" customHeight="1" outlineLevel="2" x14ac:dyDescent="0.2">
      <c r="D196" s="785" t="str">
        <f>Price_List_BA!D26</f>
        <v>Pharmacy Technologist (ZM)</v>
      </c>
      <c r="E196" s="786"/>
      <c r="F196" s="786"/>
      <c r="G196" s="786"/>
      <c r="L196" s="137">
        <f>Price_List_BA!L26</f>
        <v>5.4312173629242816E-2</v>
      </c>
    </row>
    <row r="197" spans="4:12" s="348" customFormat="1" ht="12.95" hidden="1" customHeight="1" outlineLevel="2" x14ac:dyDescent="0.2">
      <c r="D197" s="785" t="str">
        <f>Price_List_BA!D27</f>
        <v>Principal Nursing Officer (ZM)</v>
      </c>
      <c r="E197" s="786"/>
      <c r="F197" s="786"/>
      <c r="G197" s="786"/>
      <c r="L197" s="137">
        <f>Price_List_BA!L27</f>
        <v>0.15919413620539585</v>
      </c>
    </row>
    <row r="198" spans="4:12" s="348" customFormat="1" ht="12.95" hidden="1" customHeight="1" outlineLevel="2" x14ac:dyDescent="0.2">
      <c r="D198" s="785" t="str">
        <f>Price_List_BA!D28</f>
        <v>Principal Pharmacist (ZM)</v>
      </c>
      <c r="E198" s="786"/>
      <c r="F198" s="786"/>
      <c r="G198" s="786"/>
      <c r="L198" s="137">
        <f>Price_List_BA!L28</f>
        <v>0.15919560940673019</v>
      </c>
    </row>
    <row r="199" spans="4:12" s="348" customFormat="1" ht="12.95" hidden="1" customHeight="1" outlineLevel="2" x14ac:dyDescent="0.2">
      <c r="D199" s="785" t="str">
        <f>Price_List_BA!D29</f>
        <v>Principal Radiographer (ZM)</v>
      </c>
      <c r="E199" s="786"/>
      <c r="F199" s="786"/>
      <c r="G199" s="786"/>
      <c r="L199" s="137">
        <f>Price_List_BA!L29</f>
        <v>0.15919855580939896</v>
      </c>
    </row>
    <row r="200" spans="4:12" s="348" customFormat="1" ht="12.95" hidden="1" customHeight="1" outlineLevel="2" x14ac:dyDescent="0.2">
      <c r="D200" s="785" t="str">
        <f>Price_List_BA!D30</f>
        <v>Principal Therapist - Radiation (ZM)</v>
      </c>
      <c r="E200" s="786"/>
      <c r="F200" s="786"/>
      <c r="G200" s="786"/>
      <c r="L200" s="137">
        <f>Price_List_BA!L30</f>
        <v>0.15919708260806459</v>
      </c>
    </row>
    <row r="201" spans="4:12" s="348" customFormat="1" ht="12.95" hidden="1" customHeight="1" outlineLevel="2" x14ac:dyDescent="0.2">
      <c r="D201" s="785" t="str">
        <f>Price_List_BA!D31</f>
        <v>Radiation Lab Scientist (ZM)</v>
      </c>
      <c r="E201" s="786"/>
      <c r="F201" s="786"/>
      <c r="G201" s="786"/>
      <c r="L201" s="137">
        <f>Price_List_BA!L31</f>
        <v>9.6099869451697087E-2</v>
      </c>
    </row>
    <row r="202" spans="4:12" s="348" customFormat="1" ht="12.95" hidden="1" customHeight="1" outlineLevel="2" x14ac:dyDescent="0.2">
      <c r="D202" s="785" t="str">
        <f>Price_List_BA!D32</f>
        <v>Radiation Protection Officer (ZM)</v>
      </c>
      <c r="E202" s="786"/>
      <c r="F202" s="786"/>
      <c r="G202" s="786"/>
      <c r="L202" s="137">
        <f>Price_List_BA!L32</f>
        <v>9.6099869451697087E-2</v>
      </c>
    </row>
    <row r="203" spans="4:12" s="348" customFormat="1" ht="12.95" hidden="1" customHeight="1" outlineLevel="2" x14ac:dyDescent="0.2">
      <c r="D203" s="785" t="str">
        <f>Price_List_BA!D33</f>
        <v>Radiographer (ZM)</v>
      </c>
      <c r="E203" s="786"/>
      <c r="F203" s="786"/>
      <c r="G203" s="786"/>
      <c r="L203" s="137">
        <f>Price_List_BA!L33</f>
        <v>9.6099869451697087E-2</v>
      </c>
    </row>
    <row r="204" spans="4:12" s="348" customFormat="1" ht="12.95" hidden="1" customHeight="1" outlineLevel="2" x14ac:dyDescent="0.2">
      <c r="D204" s="785" t="str">
        <f>Price_List_BA!D34</f>
        <v>Registered Nurse (ZM)</v>
      </c>
      <c r="E204" s="786"/>
      <c r="F204" s="786"/>
      <c r="G204" s="786"/>
      <c r="L204" s="137">
        <f>Price_List_BA!L34</f>
        <v>5.7114882506527402E-2</v>
      </c>
    </row>
    <row r="205" spans="4:12" s="348" customFormat="1" ht="12.95" hidden="1" customHeight="1" outlineLevel="2" x14ac:dyDescent="0.2">
      <c r="D205" s="785" t="str">
        <f>Price_List_BA!D35</f>
        <v>Senior Enrolled Nurse (ZM)</v>
      </c>
      <c r="E205" s="786"/>
      <c r="F205" s="786"/>
      <c r="G205" s="786"/>
      <c r="L205" s="137">
        <f>Price_List_BA!L35</f>
        <v>5.4313533507397704E-2</v>
      </c>
    </row>
    <row r="206" spans="4:12" s="348" customFormat="1" ht="12.75" hidden="1" customHeight="1" outlineLevel="2" x14ac:dyDescent="0.2">
      <c r="D206" s="785" t="str">
        <f>Price_List_BA!D36</f>
        <v>Senior Nursing Officer (ZM)</v>
      </c>
      <c r="E206" s="786"/>
      <c r="F206" s="786"/>
      <c r="G206" s="786"/>
      <c r="L206" s="137">
        <f>Price_List_BA!L36</f>
        <v>0.12206946257615311</v>
      </c>
    </row>
    <row r="207" spans="4:12" s="348" customFormat="1" ht="12.75" hidden="1" customHeight="1" outlineLevel="2" x14ac:dyDescent="0.2">
      <c r="D207" s="785" t="str">
        <f>Price_List_BA!D37</f>
        <v>Senior Radiation protection Officer (ZM)</v>
      </c>
      <c r="E207" s="786"/>
      <c r="F207" s="786"/>
      <c r="G207" s="786"/>
      <c r="L207" s="137">
        <f>Price_List_BA!L37</f>
        <v>0.12207093577748751</v>
      </c>
    </row>
    <row r="208" spans="4:12" s="348" customFormat="1" ht="12.75" hidden="1" customHeight="1" outlineLevel="2" x14ac:dyDescent="0.2">
      <c r="D208" s="785" t="str">
        <f>Price_List_BA!D38</f>
        <v>Senior Radiographer (ZM)</v>
      </c>
      <c r="E208" s="786"/>
      <c r="F208" s="786"/>
      <c r="G208" s="786"/>
      <c r="L208" s="137">
        <f>Price_List_BA!L38</f>
        <v>0.12207240897882186</v>
      </c>
    </row>
    <row r="209" spans="4:12" s="348" customFormat="1" ht="12.75" hidden="1" customHeight="1" outlineLevel="2" x14ac:dyDescent="0.2">
      <c r="D209" s="785" t="str">
        <f>Price_List_BA!D39</f>
        <v>Zambia Enrolled Nurse (ZEN) (ZM)</v>
      </c>
      <c r="E209" s="786"/>
      <c r="F209" s="786"/>
      <c r="G209" s="786"/>
      <c r="L209" s="137">
        <f>Price_List_BA!L39</f>
        <v>5.4309453872933025E-2</v>
      </c>
    </row>
    <row r="210" spans="4:12" s="348" customFormat="1" hidden="1" outlineLevel="2" x14ac:dyDescent="0.2">
      <c r="D210" s="785" t="str">
        <f>Price_List_BA!D40</f>
        <v>Personnel - Hospital Cadre - Other 27</v>
      </c>
      <c r="E210" s="786"/>
      <c r="F210" s="786"/>
      <c r="G210" s="786"/>
      <c r="L210" s="137">
        <f>Price_List_BA!L40</f>
        <v>0</v>
      </c>
    </row>
    <row r="211" spans="4:12" s="348" customFormat="1" hidden="1" outlineLevel="2" x14ac:dyDescent="0.2">
      <c r="D211" s="785" t="str">
        <f>Price_List_BA!D41</f>
        <v>Personnel - Hospital Cadre - Other 28</v>
      </c>
      <c r="E211" s="786"/>
      <c r="F211" s="786"/>
      <c r="G211" s="786"/>
      <c r="L211" s="137">
        <f>Price_List_BA!L41</f>
        <v>0</v>
      </c>
    </row>
    <row r="212" spans="4:12" s="348" customFormat="1" hidden="1" outlineLevel="2" x14ac:dyDescent="0.2">
      <c r="D212" s="785" t="str">
        <f>Price_List_BA!D42</f>
        <v>Personnel - Hospital Cadre - Other 29</v>
      </c>
      <c r="E212" s="786"/>
      <c r="F212" s="786"/>
      <c r="G212" s="786"/>
      <c r="L212" s="137">
        <f>Price_List_BA!L42</f>
        <v>0</v>
      </c>
    </row>
    <row r="213" spans="4:12" s="348" customFormat="1" hidden="1" outlineLevel="2" x14ac:dyDescent="0.2">
      <c r="D213" s="785" t="str">
        <f>Price_List_BA!D43</f>
        <v>Personnel - Hospital Cadre - Other 30</v>
      </c>
      <c r="E213" s="786"/>
      <c r="F213" s="786"/>
      <c r="G213" s="786"/>
      <c r="L213" s="137">
        <f>Price_List_BA!L43</f>
        <v>0</v>
      </c>
    </row>
    <row r="214" spans="4:12" s="348" customFormat="1" hidden="1" outlineLevel="2" x14ac:dyDescent="0.2">
      <c r="D214" s="785" t="str">
        <f>Price_List_BA!D44</f>
        <v>Personnel - Hospital Cadre - Other 31</v>
      </c>
      <c r="E214" s="786"/>
      <c r="F214" s="786"/>
      <c r="G214" s="786"/>
      <c r="L214" s="137">
        <f>Price_List_BA!L44</f>
        <v>0</v>
      </c>
    </row>
    <row r="215" spans="4:12" s="348" customFormat="1" hidden="1" outlineLevel="2" x14ac:dyDescent="0.2"/>
    <row r="216" spans="4:12" s="348" customFormat="1" ht="25.5" hidden="1" outlineLevel="2" x14ac:dyDescent="0.2">
      <c r="D216" s="359" t="str">
        <f>"Personnel - "&amp;D100</f>
        <v>Personnel - Other Facility Types</v>
      </c>
      <c r="L216" s="312" t="str">
        <f>"Cost per Unit ("&amp;$I$181&amp;"/Unit)"</f>
        <v>Cost per Unit (USD/Unit)</v>
      </c>
    </row>
    <row r="217" spans="4:12" s="348" customFormat="1" ht="12.95" hidden="1" customHeight="1" outlineLevel="2" x14ac:dyDescent="0.2">
      <c r="D217" s="785" t="str">
        <f>Price_List_BA!D47</f>
        <v>_Not Applicable</v>
      </c>
      <c r="E217" s="786"/>
      <c r="F217" s="786"/>
      <c r="G217" s="786"/>
      <c r="L217" s="127">
        <f>Price_List_BA!L47</f>
        <v>0</v>
      </c>
    </row>
    <row r="218" spans="4:12" s="348" customFormat="1" ht="12.95" hidden="1" customHeight="1" outlineLevel="2" x14ac:dyDescent="0.2">
      <c r="D218" s="785" t="str">
        <f>Price_List_BA!D48</f>
        <v>Biomedical scientist (ZM)</v>
      </c>
      <c r="E218" s="786"/>
      <c r="F218" s="786"/>
      <c r="G218" s="786"/>
      <c r="L218" s="127">
        <f>Price_List_BA!L48</f>
        <v>9.6099869451697087E-2</v>
      </c>
    </row>
    <row r="219" spans="4:12" s="348" customFormat="1" ht="12.95" hidden="1" customHeight="1" outlineLevel="2" x14ac:dyDescent="0.2">
      <c r="D219" s="785" t="str">
        <f>Price_List_BA!D49</f>
        <v>Clinical officer  (ZM)</v>
      </c>
      <c r="E219" s="786"/>
      <c r="F219" s="786"/>
      <c r="G219" s="786"/>
      <c r="L219" s="127">
        <f>Price_List_BA!L49</f>
        <v>5.4314893385552607E-2</v>
      </c>
    </row>
    <row r="220" spans="4:12" s="348" customFormat="1" ht="12.95" hidden="1" customHeight="1" outlineLevel="2" x14ac:dyDescent="0.2">
      <c r="D220" s="785" t="str">
        <f>Price_List_BA!D50</f>
        <v>Consultant  (ZM)</v>
      </c>
      <c r="E220" s="786"/>
      <c r="F220" s="786"/>
      <c r="G220" s="786"/>
      <c r="L220" s="127">
        <f>Price_List_BA!L50</f>
        <v>0.39408430337975103</v>
      </c>
    </row>
    <row r="221" spans="4:12" s="348" customFormat="1" hidden="1" outlineLevel="2" x14ac:dyDescent="0.2">
      <c r="D221" s="785" t="str">
        <f>Price_List_BA!D51</f>
        <v>General Medical Doctor</v>
      </c>
      <c r="E221" s="786"/>
      <c r="F221" s="786"/>
      <c r="G221" s="786"/>
      <c r="L221" s="127">
        <f>Price_List_BA!L51</f>
        <v>0.3125</v>
      </c>
    </row>
    <row r="222" spans="4:12" s="348" customFormat="1" ht="12.95" hidden="1" customHeight="1" outlineLevel="2" x14ac:dyDescent="0.2">
      <c r="D222" s="785" t="str">
        <f>Price_List_BA!D52</f>
        <v>Junior Resident Medical officer  (ZM)</v>
      </c>
      <c r="E222" s="786"/>
      <c r="F222" s="786"/>
      <c r="G222" s="786"/>
      <c r="L222" s="127">
        <f>Price_List_BA!L52</f>
        <v>0.30300363087467391</v>
      </c>
    </row>
    <row r="223" spans="4:12" s="348" customFormat="1" ht="12.95" hidden="1" customHeight="1" outlineLevel="2" x14ac:dyDescent="0.2">
      <c r="D223" s="785" t="str">
        <f>Price_List_BA!D53</f>
        <v>Lab Scientist (ZM)</v>
      </c>
      <c r="E223" s="786"/>
      <c r="F223" s="786"/>
      <c r="G223" s="786"/>
      <c r="L223" s="127">
        <f>Price_List_BA!L53</f>
        <v>9.6099869451697087E-2</v>
      </c>
    </row>
    <row r="224" spans="4:12" s="348" customFormat="1" ht="12.75" hidden="1" customHeight="1" outlineLevel="2" x14ac:dyDescent="0.2">
      <c r="D224" s="785" t="str">
        <f>Price_List_BA!D54</f>
        <v>Lab Technician (ZM)</v>
      </c>
      <c r="E224" s="786"/>
      <c r="F224" s="786"/>
      <c r="G224" s="786"/>
      <c r="L224" s="127">
        <f>Price_List_BA!L54</f>
        <v>4.7519582245430833E-2</v>
      </c>
    </row>
    <row r="225" spans="4:12" s="348" customFormat="1" ht="12.75" hidden="1" customHeight="1" outlineLevel="2" x14ac:dyDescent="0.2">
      <c r="D225" s="785" t="str">
        <f>Price_List_BA!D55</f>
        <v>Lab Technologist (ZM)</v>
      </c>
      <c r="E225" s="786"/>
      <c r="F225" s="786"/>
      <c r="G225" s="786"/>
      <c r="L225" s="127">
        <f>Price_List_BA!L55</f>
        <v>5.4308093994778019E-2</v>
      </c>
    </row>
    <row r="226" spans="4:12" s="348" customFormat="1" ht="12.75" hidden="1" customHeight="1" outlineLevel="2" x14ac:dyDescent="0.2">
      <c r="D226" s="785" t="str">
        <f>Price_List_BA!D56</f>
        <v>Medical Physicist (ZM)</v>
      </c>
      <c r="E226" s="786"/>
      <c r="F226" s="786"/>
      <c r="G226" s="786"/>
      <c r="L226" s="127">
        <f>Price_List_BA!L56</f>
        <v>0.15991895126196667</v>
      </c>
    </row>
    <row r="227" spans="4:12" s="348" customFormat="1" ht="12.75" hidden="1" customHeight="1" outlineLevel="2" x14ac:dyDescent="0.2">
      <c r="D227" s="785" t="str">
        <f>Price_List_BA!D57</f>
        <v>Nursing Officer (ZM)</v>
      </c>
      <c r="E227" s="786"/>
      <c r="F227" s="786"/>
      <c r="G227" s="786"/>
      <c r="L227" s="127">
        <f>Price_List_BA!L57</f>
        <v>9.6099869451697087E-2</v>
      </c>
    </row>
    <row r="228" spans="4:12" s="348" customFormat="1" ht="12.75" hidden="1" customHeight="1" outlineLevel="2" x14ac:dyDescent="0.2">
      <c r="D228" s="785" t="str">
        <f>Price_List_BA!D58</f>
        <v>Pathologist (ZM)</v>
      </c>
      <c r="E228" s="786"/>
      <c r="F228" s="786"/>
      <c r="G228" s="786"/>
      <c r="L228" s="127">
        <f>Price_List_BA!L58</f>
        <v>0.39408430337975103</v>
      </c>
    </row>
    <row r="229" spans="4:12" s="348" customFormat="1" ht="12.75" hidden="1" customHeight="1" outlineLevel="2" x14ac:dyDescent="0.2">
      <c r="D229" s="785" t="str">
        <f>Price_List_BA!D59</f>
        <v>Pharmacy Technologist (ZM)</v>
      </c>
      <c r="E229" s="786"/>
      <c r="F229" s="786"/>
      <c r="G229" s="786"/>
      <c r="L229" s="127">
        <f>Price_List_BA!L59</f>
        <v>5.4312173629242816E-2</v>
      </c>
    </row>
    <row r="230" spans="4:12" s="348" customFormat="1" ht="12.75" hidden="1" customHeight="1" outlineLevel="2" x14ac:dyDescent="0.2">
      <c r="D230" s="785" t="str">
        <f>Price_List_BA!D60</f>
        <v>Principal Nursing Officer (ZM)</v>
      </c>
      <c r="E230" s="786"/>
      <c r="F230" s="786"/>
      <c r="G230" s="786"/>
      <c r="L230" s="127">
        <f>Price_List_BA!L60</f>
        <v>0.15919413620539585</v>
      </c>
    </row>
    <row r="231" spans="4:12" s="348" customFormat="1" ht="12.75" hidden="1" customHeight="1" outlineLevel="2" x14ac:dyDescent="0.2">
      <c r="D231" s="785" t="str">
        <f>Price_List_BA!D61</f>
        <v>Principal Pharmacist (ZM)</v>
      </c>
      <c r="E231" s="786"/>
      <c r="F231" s="786"/>
      <c r="G231" s="786"/>
      <c r="L231" s="127">
        <f>Price_List_BA!L61</f>
        <v>0.15919560940673019</v>
      </c>
    </row>
    <row r="232" spans="4:12" s="348" customFormat="1" ht="12.75" hidden="1" customHeight="1" outlineLevel="2" x14ac:dyDescent="0.2">
      <c r="D232" s="785" t="str">
        <f>Price_List_BA!D62</f>
        <v>Principal Radiographer (ZM)</v>
      </c>
      <c r="E232" s="786"/>
      <c r="F232" s="786"/>
      <c r="G232" s="786"/>
      <c r="L232" s="127">
        <f>Price_List_BA!L62</f>
        <v>0.15919855580939896</v>
      </c>
    </row>
    <row r="233" spans="4:12" s="348" customFormat="1" ht="12.95" hidden="1" customHeight="1" outlineLevel="2" x14ac:dyDescent="0.2">
      <c r="D233" s="785" t="str">
        <f>Price_List_BA!D63</f>
        <v>Principal Therapist - Radiation (ZM)</v>
      </c>
      <c r="E233" s="786"/>
      <c r="F233" s="786"/>
      <c r="G233" s="786"/>
      <c r="L233" s="127">
        <f>Price_List_BA!L63</f>
        <v>0.15919708260806459</v>
      </c>
    </row>
    <row r="234" spans="4:12" s="348" customFormat="1" ht="12.95" hidden="1" customHeight="1" outlineLevel="2" x14ac:dyDescent="0.2">
      <c r="D234" s="785" t="str">
        <f>Price_List_BA!D64</f>
        <v>Radiation Lab Scientist (ZM)</v>
      </c>
      <c r="E234" s="786"/>
      <c r="F234" s="786"/>
      <c r="G234" s="786"/>
      <c r="L234" s="127">
        <f>Price_List_BA!L64</f>
        <v>9.6099869451697087E-2</v>
      </c>
    </row>
    <row r="235" spans="4:12" s="348" customFormat="1" ht="12.95" hidden="1" customHeight="1" outlineLevel="2" x14ac:dyDescent="0.2">
      <c r="D235" s="785" t="str">
        <f>Price_List_BA!D65</f>
        <v>Radiation Protection Officer (ZM)</v>
      </c>
      <c r="E235" s="786"/>
      <c r="F235" s="786"/>
      <c r="G235" s="786"/>
      <c r="L235" s="127">
        <f>Price_List_BA!L65</f>
        <v>9.6099869451697087E-2</v>
      </c>
    </row>
    <row r="236" spans="4:12" s="348" customFormat="1" ht="12.95" hidden="1" customHeight="1" outlineLevel="2" x14ac:dyDescent="0.2">
      <c r="D236" s="785" t="str">
        <f>Price_List_BA!D66</f>
        <v>Radiographer (ZM)</v>
      </c>
      <c r="E236" s="786"/>
      <c r="F236" s="786"/>
      <c r="G236" s="786"/>
      <c r="L236" s="127">
        <f>Price_List_BA!L66</f>
        <v>9.6099869451697087E-2</v>
      </c>
    </row>
    <row r="237" spans="4:12" s="348" customFormat="1" ht="12.75" hidden="1" customHeight="1" outlineLevel="2" x14ac:dyDescent="0.2">
      <c r="D237" s="785" t="str">
        <f>Price_List_BA!D67</f>
        <v>Registered Nurse (ZM)</v>
      </c>
      <c r="E237" s="786"/>
      <c r="F237" s="786"/>
      <c r="G237" s="786"/>
      <c r="L237" s="127">
        <f>Price_List_BA!L67</f>
        <v>5.7114882506527402E-2</v>
      </c>
    </row>
    <row r="238" spans="4:12" s="348" customFormat="1" ht="12.75" hidden="1" customHeight="1" outlineLevel="2" x14ac:dyDescent="0.2">
      <c r="D238" s="785" t="str">
        <f>Price_List_BA!D68</f>
        <v>Senior Enrolled Nurse (ZM)</v>
      </c>
      <c r="E238" s="786"/>
      <c r="F238" s="786"/>
      <c r="G238" s="786"/>
      <c r="L238" s="127">
        <f>Price_List_BA!L68</f>
        <v>5.4313533507397704E-2</v>
      </c>
    </row>
    <row r="239" spans="4:12" s="348" customFormat="1" ht="12.75" hidden="1" customHeight="1" outlineLevel="2" x14ac:dyDescent="0.2">
      <c r="D239" s="785" t="str">
        <f>Price_List_BA!D69</f>
        <v>Senior Nursing Officer (ZM)</v>
      </c>
      <c r="E239" s="786"/>
      <c r="F239" s="786"/>
      <c r="G239" s="786"/>
      <c r="L239" s="127">
        <f>Price_List_BA!L69</f>
        <v>0.12206946257615311</v>
      </c>
    </row>
    <row r="240" spans="4:12" s="348" customFormat="1" ht="12.75" hidden="1" customHeight="1" outlineLevel="2" x14ac:dyDescent="0.2">
      <c r="D240" s="785" t="str">
        <f>Price_List_BA!D70</f>
        <v>Senior Radiation protection Officer (ZM)</v>
      </c>
      <c r="E240" s="786"/>
      <c r="F240" s="786"/>
      <c r="G240" s="786"/>
      <c r="L240" s="127">
        <f>Price_List_BA!L70</f>
        <v>0.12207093577748751</v>
      </c>
    </row>
    <row r="241" spans="4:12" s="348" customFormat="1" hidden="1" outlineLevel="2" x14ac:dyDescent="0.2">
      <c r="D241" s="785" t="str">
        <f>Price_List_BA!D71</f>
        <v>Senior Radiographer (ZM)</v>
      </c>
      <c r="E241" s="786"/>
      <c r="F241" s="786"/>
      <c r="G241" s="786"/>
      <c r="L241" s="127">
        <f>Price_List_BA!L71</f>
        <v>0.12207240897882186</v>
      </c>
    </row>
    <row r="242" spans="4:12" s="348" customFormat="1" hidden="1" outlineLevel="2" x14ac:dyDescent="0.2">
      <c r="D242" s="785" t="str">
        <f>Price_List_BA!D72</f>
        <v>Zambia Enrolled Nurse (ZEN) (ZM)</v>
      </c>
      <c r="E242" s="786"/>
      <c r="F242" s="786"/>
      <c r="G242" s="786"/>
      <c r="L242" s="127">
        <f>Price_List_BA!L72</f>
        <v>5.4309453872933025E-2</v>
      </c>
    </row>
    <row r="243" spans="4:12" s="348" customFormat="1" hidden="1" outlineLevel="2" x14ac:dyDescent="0.2">
      <c r="D243" s="785" t="str">
        <f>Price_List_BA!D73</f>
        <v>Personnel - Other Category 27</v>
      </c>
      <c r="E243" s="786"/>
      <c r="F243" s="786"/>
      <c r="G243" s="786"/>
      <c r="L243" s="127">
        <f>Price_List_BA!L73</f>
        <v>0</v>
      </c>
    </row>
    <row r="244" spans="4:12" s="348" customFormat="1" hidden="1" outlineLevel="2" x14ac:dyDescent="0.2">
      <c r="D244" s="785" t="str">
        <f>Price_List_BA!D74</f>
        <v>Personnel - Other Category 28</v>
      </c>
      <c r="E244" s="786"/>
      <c r="F244" s="786"/>
      <c r="G244" s="786"/>
      <c r="L244" s="127">
        <f>Price_List_BA!L74</f>
        <v>0</v>
      </c>
    </row>
    <row r="245" spans="4:12" s="348" customFormat="1" hidden="1" outlineLevel="2" x14ac:dyDescent="0.2">
      <c r="D245" s="785" t="str">
        <f>Price_List_BA!D75</f>
        <v>Personnel - Other Category 29</v>
      </c>
      <c r="E245" s="786"/>
      <c r="F245" s="786"/>
      <c r="G245" s="786"/>
      <c r="L245" s="127">
        <f>Price_List_BA!L75</f>
        <v>0</v>
      </c>
    </row>
    <row r="246" spans="4:12" s="348" customFormat="1" hidden="1" outlineLevel="2" x14ac:dyDescent="0.2">
      <c r="D246" s="785" t="str">
        <f>Price_List_BA!D76</f>
        <v>Personnel - Other Category 30</v>
      </c>
      <c r="E246" s="786"/>
      <c r="F246" s="786"/>
      <c r="G246" s="786"/>
      <c r="L246" s="127">
        <f>Price_List_BA!L76</f>
        <v>0</v>
      </c>
    </row>
    <row r="247" spans="4:12" s="348" customFormat="1" ht="12.95" hidden="1" customHeight="1" outlineLevel="2" x14ac:dyDescent="0.2">
      <c r="D247" s="785">
        <f>Price_List_BA!D77</f>
        <v>0</v>
      </c>
      <c r="E247" s="786"/>
      <c r="F247" s="786"/>
      <c r="G247" s="786"/>
      <c r="L247" s="127">
        <f>Price_List_BA!L77</f>
        <v>0</v>
      </c>
    </row>
    <row r="248" spans="4:12" s="348" customFormat="1" hidden="1" outlineLevel="2" x14ac:dyDescent="0.2"/>
    <row r="249" spans="4:12" s="348" customFormat="1" ht="25.5" hidden="1" outlineLevel="2" x14ac:dyDescent="0.2">
      <c r="D249" s="667" t="s">
        <v>316</v>
      </c>
      <c r="J249" s="671" t="s">
        <v>951</v>
      </c>
      <c r="L249" s="312" t="str">
        <f>"Cost per Unit ("&amp;$I$181&amp;"/Unit)"</f>
        <v>Cost per Unit (USD/Unit)</v>
      </c>
    </row>
    <row r="250" spans="4:12" s="348" customFormat="1" ht="12.95" hidden="1" customHeight="1" outlineLevel="2" x14ac:dyDescent="0.2">
      <c r="D250" s="785" t="str">
        <f>Price_List_BA!D210</f>
        <v>_Not Applicable</v>
      </c>
      <c r="E250" s="786"/>
      <c r="F250" s="786"/>
      <c r="G250" s="786"/>
      <c r="J250" s="668" t="str">
        <f>Price_List_BA!J210</f>
        <v>SU</v>
      </c>
      <c r="L250" s="127">
        <f>Price_List_BA!L210</f>
        <v>0</v>
      </c>
    </row>
    <row r="251" spans="4:12" s="348" customFormat="1" ht="12.95" hidden="1" customHeight="1" outlineLevel="2" x14ac:dyDescent="0.2">
      <c r="D251" s="785" t="str">
        <f>Price_List_BA!D211</f>
        <v>10 ml syringes with long 27-gauge needle (UG)</v>
      </c>
      <c r="E251" s="786"/>
      <c r="F251" s="786"/>
      <c r="G251" s="786"/>
      <c r="J251" s="668" t="str">
        <f>Price_List_BA!J211</f>
        <v>each</v>
      </c>
      <c r="L251" s="127">
        <f>Price_List_BA!L211</f>
        <v>0.18578</v>
      </c>
    </row>
    <row r="252" spans="4:12" s="348" customFormat="1" ht="12.95" hidden="1" customHeight="1" outlineLevel="2" x14ac:dyDescent="0.2">
      <c r="D252" s="785" t="str">
        <f>Price_List_BA!D212</f>
        <v>100% alcohol (UG)</v>
      </c>
      <c r="E252" s="786"/>
      <c r="F252" s="786"/>
      <c r="G252" s="786"/>
      <c r="J252" s="668" t="str">
        <f>Price_List_BA!J212</f>
        <v>mililiter</v>
      </c>
      <c r="L252" s="127">
        <f>Price_List_BA!L212</f>
        <v>1.9224106655010398E-2</v>
      </c>
    </row>
    <row r="253" spans="4:12" s="348" customFormat="1" ht="12.95" hidden="1" customHeight="1" outlineLevel="2" x14ac:dyDescent="0.2">
      <c r="D253" s="785" t="str">
        <f>Price_List_BA!D213</f>
        <v>100% Ethanol (UG)</v>
      </c>
      <c r="E253" s="786"/>
      <c r="F253" s="786"/>
      <c r="G253" s="786"/>
      <c r="J253" s="668" t="str">
        <f>Price_List_BA!J213</f>
        <v>mililiter</v>
      </c>
      <c r="L253" s="127">
        <f>Price_List_BA!L213</f>
        <v>1.9224106655010398E-2</v>
      </c>
    </row>
    <row r="254" spans="4:12" s="348" customFormat="1" ht="12.95" hidden="1" customHeight="1" outlineLevel="2" x14ac:dyDescent="0.2">
      <c r="D254" s="785" t="str">
        <f>Price_List_BA!D214</f>
        <v>5% acetic acid (UG)</v>
      </c>
      <c r="E254" s="786"/>
      <c r="F254" s="786"/>
      <c r="G254" s="786"/>
      <c r="J254" s="668" t="str">
        <f>Price_List_BA!J214</f>
        <v>mililiter</v>
      </c>
      <c r="L254" s="127">
        <f>Price_List_BA!L214</f>
        <v>1.52988744399519E-2</v>
      </c>
    </row>
    <row r="255" spans="4:12" s="348" customFormat="1" ht="12.95" hidden="1" customHeight="1" outlineLevel="2" x14ac:dyDescent="0.2">
      <c r="D255" s="785" t="str">
        <f>Price_List_BA!D215</f>
        <v>Acetic acid (UG)</v>
      </c>
      <c r="E255" s="786"/>
      <c r="F255" s="786"/>
      <c r="G255" s="786"/>
      <c r="J255" s="668" t="str">
        <f>Price_List_BA!J215</f>
        <v>mililiter</v>
      </c>
      <c r="L255" s="127">
        <f>Price_List_BA!L215</f>
        <v>1.47739525734892E-2</v>
      </c>
    </row>
    <row r="256" spans="4:12" s="348" customFormat="1" ht="12.95" hidden="1" customHeight="1" outlineLevel="2" x14ac:dyDescent="0.2">
      <c r="D256" s="785" t="str">
        <f>Price_List_BA!D216</f>
        <v>Acetic acid, 3–5% dilution (ZM)</v>
      </c>
      <c r="E256" s="786"/>
      <c r="F256" s="786"/>
      <c r="G256" s="786"/>
      <c r="J256" s="668" t="str">
        <f>Price_List_BA!J216</f>
        <v>centilitre</v>
      </c>
      <c r="L256" s="127">
        <f>Price_List_BA!L216</f>
        <v>3.4000000000000002E-2</v>
      </c>
    </row>
    <row r="257" spans="4:12" s="348" customFormat="1" ht="12.95" hidden="1" customHeight="1" outlineLevel="2" x14ac:dyDescent="0.2">
      <c r="D257" s="785" t="str">
        <f>Price_List_BA!D217</f>
        <v>Acetic acid, 3–5% dilution (TZ)</v>
      </c>
      <c r="E257" s="786"/>
      <c r="F257" s="786"/>
      <c r="G257" s="786"/>
      <c r="J257" s="668" t="str">
        <f>Price_List_BA!J217</f>
        <v>centilitre</v>
      </c>
      <c r="L257" s="127">
        <f>Price_List_BA!L217</f>
        <v>3.5000000000000003E-2</v>
      </c>
    </row>
    <row r="258" spans="4:12" s="348" customFormat="1" ht="12.95" hidden="1" customHeight="1" outlineLevel="2" x14ac:dyDescent="0.2">
      <c r="D258" s="785" t="str">
        <f>Price_List_BA!D218</f>
        <v>Alcohol, 60-90% isopropyl or ethyl (TZ)</v>
      </c>
      <c r="E258" s="786"/>
      <c r="F258" s="786"/>
      <c r="G258" s="786"/>
      <c r="J258" s="668" t="str">
        <f>Price_List_BA!J218</f>
        <v>centilitre</v>
      </c>
      <c r="L258" s="127">
        <f>Price_List_BA!L218</f>
        <v>8.2500000000000004E-2</v>
      </c>
    </row>
    <row r="259" spans="4:12" s="348" customFormat="1" ht="12.95" hidden="1" customHeight="1" outlineLevel="2" x14ac:dyDescent="0.2">
      <c r="D259" s="785" t="str">
        <f>Price_List_BA!D219</f>
        <v>Alcohol, 60-90% isopropyl or ethyl 95% (ZM)</v>
      </c>
      <c r="E259" s="786"/>
      <c r="F259" s="786"/>
      <c r="G259" s="786"/>
      <c r="J259" s="668" t="str">
        <f>Price_List_BA!J219</f>
        <v>centilitre</v>
      </c>
      <c r="L259" s="127">
        <f>Price_List_BA!L219</f>
        <v>4.4125300000000006E-2</v>
      </c>
    </row>
    <row r="260" spans="4:12" s="348" customFormat="1" ht="12.95" hidden="1" customHeight="1" outlineLevel="2" x14ac:dyDescent="0.2">
      <c r="D260" s="785" t="str">
        <f>Price_List_BA!D220</f>
        <v>Amitriptyline hydrochloride( 25mg) (ZM)</v>
      </c>
      <c r="E260" s="786"/>
      <c r="F260" s="786"/>
      <c r="G260" s="786"/>
      <c r="J260" s="668" t="str">
        <f>Price_List_BA!J220</f>
        <v>25 mg</v>
      </c>
      <c r="L260" s="127">
        <f>Price_List_BA!L220</f>
        <v>7.3106999999999998E-3</v>
      </c>
    </row>
    <row r="261" spans="4:12" s="348" customFormat="1" ht="12.95" hidden="1" customHeight="1" outlineLevel="2" x14ac:dyDescent="0.2">
      <c r="D261" s="785" t="str">
        <f>Price_List_BA!D221</f>
        <v>Amitriptyline hydrochloride( 25mg) (TZ)</v>
      </c>
      <c r="E261" s="786"/>
      <c r="F261" s="786"/>
      <c r="G261" s="786"/>
      <c r="J261" s="668" t="str">
        <f>Price_List_BA!J221</f>
        <v>each</v>
      </c>
      <c r="L261" s="127">
        <f>Price_List_BA!L221</f>
        <v>1.8749999999999999E-3</v>
      </c>
    </row>
    <row r="262" spans="4:12" s="348" customFormat="1" ht="12.95" hidden="1" customHeight="1" outlineLevel="2" x14ac:dyDescent="0.2">
      <c r="D262" s="785" t="str">
        <f>Price_List_BA!D222</f>
        <v>Anticeptic solution (UG)</v>
      </c>
      <c r="E262" s="786"/>
      <c r="F262" s="786"/>
      <c r="G262" s="786"/>
      <c r="J262" s="668" t="str">
        <f>Price_List_BA!J222</f>
        <v>mililiter</v>
      </c>
      <c r="L262" s="127">
        <f>Price_List_BA!L222</f>
        <v>1.9869626497533474E-2</v>
      </c>
    </row>
    <row r="263" spans="4:12" s="348" customFormat="1" ht="12.95" hidden="1" customHeight="1" outlineLevel="2" x14ac:dyDescent="0.2">
      <c r="D263" s="785" t="str">
        <f>Price_List_BA!D223</f>
        <v>Arithromycin (250g) (ZM)</v>
      </c>
      <c r="E263" s="786"/>
      <c r="F263" s="786"/>
      <c r="G263" s="786"/>
      <c r="J263" s="668" t="str">
        <f>Price_List_BA!J223</f>
        <v>tablet</v>
      </c>
      <c r="L263" s="127">
        <f>Price_List_BA!L223</f>
        <v>1.0514359999999998</v>
      </c>
    </row>
    <row r="264" spans="4:12" s="348" customFormat="1" ht="12.95" hidden="1" customHeight="1" outlineLevel="2" x14ac:dyDescent="0.2">
      <c r="D264" s="785" t="str">
        <f>Price_List_BA!D224</f>
        <v>Arithromycin (250g) (UG)</v>
      </c>
      <c r="E264" s="786"/>
      <c r="F264" s="786"/>
      <c r="G264" s="786"/>
      <c r="J264" s="668" t="str">
        <f>Price_List_BA!J224</f>
        <v>tablet</v>
      </c>
      <c r="L264" s="127">
        <f>Price_List_BA!L224</f>
        <v>3.8652518850398859E-2</v>
      </c>
    </row>
    <row r="265" spans="4:12" s="348" customFormat="1" ht="12.95" hidden="1" customHeight="1" outlineLevel="2" x14ac:dyDescent="0.2">
      <c r="D265" s="785" t="str">
        <f>Price_List_BA!D225</f>
        <v>Arithromycin (5g) (UG)</v>
      </c>
      <c r="E265" s="786"/>
      <c r="F265" s="786"/>
      <c r="G265" s="786"/>
      <c r="J265" s="668" t="str">
        <f>Price_List_BA!J225</f>
        <v>tablet</v>
      </c>
      <c r="L265" s="127">
        <f>Price_List_BA!L225</f>
        <v>0.77305037700797719</v>
      </c>
    </row>
    <row r="266" spans="4:12" s="348" customFormat="1" ht="12.95" hidden="1" customHeight="1" outlineLevel="2" x14ac:dyDescent="0.2">
      <c r="D266" s="785" t="str">
        <f>Price_List_BA!D226</f>
        <v>Atropine (ZM)</v>
      </c>
      <c r="E266" s="786"/>
      <c r="F266" s="786"/>
      <c r="G266" s="786"/>
      <c r="J266" s="668" t="str">
        <f>Price_List_BA!J226</f>
        <v>SU</v>
      </c>
      <c r="L266" s="127">
        <f>Price_List_BA!L226</f>
        <v>0</v>
      </c>
    </row>
    <row r="267" spans="4:12" s="348" customFormat="1" ht="12.95" hidden="1" customHeight="1" outlineLevel="2" x14ac:dyDescent="0.2">
      <c r="D267" s="785" t="str">
        <f>Price_List_BA!D227</f>
        <v>Ball electrode (UG)</v>
      </c>
      <c r="E267" s="786"/>
      <c r="F267" s="786"/>
      <c r="G267" s="786"/>
      <c r="J267" s="668" t="str">
        <f>Price_List_BA!J227</f>
        <v>each</v>
      </c>
      <c r="L267" s="127">
        <f>Price_List_BA!L227</f>
        <v>9</v>
      </c>
    </row>
    <row r="268" spans="4:12" s="348" customFormat="1" ht="12.95" hidden="1" customHeight="1" outlineLevel="2" x14ac:dyDescent="0.2">
      <c r="D268" s="785" t="str">
        <f>Price_List_BA!D228</f>
        <v>Bed linen sheet (100 uses) (ZM)</v>
      </c>
      <c r="E268" s="786"/>
      <c r="F268" s="786"/>
      <c r="G268" s="786"/>
      <c r="J268" s="668" t="str">
        <f>Price_List_BA!J228</f>
        <v>sheet use</v>
      </c>
      <c r="L268" s="127">
        <f>Price_List_BA!L228</f>
        <v>4.3299999999999998E-2</v>
      </c>
    </row>
    <row r="269" spans="4:12" s="348" customFormat="1" ht="12.95" hidden="1" customHeight="1" outlineLevel="2" x14ac:dyDescent="0.2">
      <c r="D269" s="785" t="str">
        <f>Price_List_BA!D229</f>
        <v>Bed linen sheet (TZ)</v>
      </c>
      <c r="E269" s="786"/>
      <c r="F269" s="786"/>
      <c r="G269" s="786"/>
      <c r="J269" s="668" t="str">
        <f>Price_List_BA!J229</f>
        <v>1 use</v>
      </c>
      <c r="L269" s="127">
        <f>Price_List_BA!L229</f>
        <v>6.25E-2</v>
      </c>
    </row>
    <row r="270" spans="4:12" s="348" customFormat="1" ht="12.95" hidden="1" customHeight="1" outlineLevel="2" x14ac:dyDescent="0.2">
      <c r="D270" s="785" t="str">
        <f>Price_List_BA!D230</f>
        <v>Bin Liner (ZM)</v>
      </c>
      <c r="E270" s="786"/>
      <c r="F270" s="786"/>
      <c r="G270" s="786"/>
      <c r="J270" s="668" t="str">
        <f>Price_List_BA!J230</f>
        <v>liner</v>
      </c>
      <c r="L270" s="127">
        <f>Price_List_BA!L230</f>
        <v>0.234987</v>
      </c>
    </row>
    <row r="271" spans="4:12" s="348" customFormat="1" ht="12.95" hidden="1" customHeight="1" outlineLevel="2" x14ac:dyDescent="0.2">
      <c r="D271" s="785" t="str">
        <f>Price_List_BA!D231</f>
        <v>Bleach (JIK)</v>
      </c>
      <c r="E271" s="786"/>
      <c r="F271" s="786"/>
      <c r="G271" s="786"/>
      <c r="J271" s="668" t="str">
        <f>Price_List_BA!J231</f>
        <v>mililiter</v>
      </c>
      <c r="L271" s="127">
        <f>Price_List_BA!L231</f>
        <v>2.2666666666666664E-3</v>
      </c>
    </row>
    <row r="272" spans="4:12" s="348" customFormat="1" ht="12.95" hidden="1" customHeight="1" outlineLevel="2" x14ac:dyDescent="0.2">
      <c r="D272" s="785" t="str">
        <f>Price_List_BA!D232</f>
        <v>Bleach (UG)</v>
      </c>
      <c r="E272" s="786"/>
      <c r="F272" s="786"/>
      <c r="G272" s="786"/>
      <c r="J272" s="668" t="str">
        <f>Price_List_BA!J232</f>
        <v>mililiter</v>
      </c>
      <c r="L272" s="127">
        <f>Price_List_BA!L232</f>
        <v>1.5735985138236267E-3</v>
      </c>
    </row>
    <row r="273" spans="4:12" s="348" customFormat="1" ht="12.95" hidden="1" customHeight="1" outlineLevel="2" x14ac:dyDescent="0.2">
      <c r="D273" s="785" t="str">
        <f>Price_List_BA!D233</f>
        <v>careHPV DCM tube (UG)</v>
      </c>
      <c r="E273" s="786"/>
      <c r="F273" s="786"/>
      <c r="G273" s="786"/>
      <c r="J273" s="668" t="str">
        <f>Price_List_BA!J233</f>
        <v>tube</v>
      </c>
      <c r="L273" s="127">
        <f>Price_List_BA!L233</f>
        <v>0.22799999999999998</v>
      </c>
    </row>
    <row r="274" spans="4:12" s="348" customFormat="1" ht="12.95" hidden="1" customHeight="1" outlineLevel="2" x14ac:dyDescent="0.2">
      <c r="D274" s="785" t="str">
        <f>Price_List_BA!D234</f>
        <v>Catheter -Urine (TZ)</v>
      </c>
      <c r="E274" s="786"/>
      <c r="F274" s="786"/>
      <c r="G274" s="786"/>
      <c r="J274" s="668" t="str">
        <f>Price_List_BA!J234</f>
        <v>1 catheter set</v>
      </c>
      <c r="L274" s="127">
        <f>Price_List_BA!L234</f>
        <v>0.875</v>
      </c>
    </row>
    <row r="275" spans="4:12" s="348" customFormat="1" ht="12.95" hidden="1" customHeight="1" outlineLevel="2" x14ac:dyDescent="0.2">
      <c r="D275" s="785" t="str">
        <f>Price_List_BA!D235</f>
        <v>Cervical brush (UG)</v>
      </c>
      <c r="E275" s="786"/>
      <c r="F275" s="786"/>
      <c r="G275" s="786"/>
      <c r="J275" s="668" t="str">
        <f>Price_List_BA!J235</f>
        <v>brush</v>
      </c>
      <c r="L275" s="127">
        <f>Price_List_BA!L235</f>
        <v>1.1399999999999999E-2</v>
      </c>
    </row>
    <row r="276" spans="4:12" s="348" customFormat="1" ht="12.95" hidden="1" customHeight="1" outlineLevel="2" x14ac:dyDescent="0.2">
      <c r="D276" s="785" t="str">
        <f>Price_List_BA!D236</f>
        <v>Chlorine 0.5% (Jik-diluted) (ZM)</v>
      </c>
      <c r="E276" s="786"/>
      <c r="F276" s="786"/>
      <c r="G276" s="786"/>
      <c r="J276" s="668" t="str">
        <f>Price_List_BA!J236</f>
        <v>mililiter</v>
      </c>
      <c r="L276" s="127">
        <f>Price_List_BA!L236</f>
        <v>4.5999999999999999E-3</v>
      </c>
    </row>
    <row r="277" spans="4:12" s="348" customFormat="1" ht="12.95" hidden="1" customHeight="1" outlineLevel="2" x14ac:dyDescent="0.2">
      <c r="D277" s="785" t="str">
        <f>Price_List_BA!D237</f>
        <v>Chlorine 0.5% (Jik-diluted)  (TZ)</v>
      </c>
      <c r="E277" s="786"/>
      <c r="F277" s="786"/>
      <c r="G277" s="786"/>
      <c r="J277" s="668" t="str">
        <f>Price_List_BA!J237</f>
        <v>centilitre</v>
      </c>
      <c r="L277" s="127">
        <f>Price_List_BA!L237</f>
        <v>1.375E-2</v>
      </c>
    </row>
    <row r="278" spans="4:12" s="348" customFormat="1" ht="12.95" hidden="1" customHeight="1" outlineLevel="2" x14ac:dyDescent="0.2">
      <c r="D278" s="785" t="str">
        <f>Price_List_BA!D238</f>
        <v>Cidex (2-4% glutaraldehyde) (ZM)</v>
      </c>
      <c r="E278" s="786"/>
      <c r="F278" s="786"/>
      <c r="G278" s="786"/>
      <c r="J278" s="668" t="str">
        <f>Price_List_BA!J238</f>
        <v>mililiter</v>
      </c>
      <c r="L278" s="127">
        <f>Price_List_BA!L238</f>
        <v>1.9321200000000001E-3</v>
      </c>
    </row>
    <row r="279" spans="4:12" s="348" customFormat="1" ht="12.95" hidden="1" customHeight="1" outlineLevel="2" x14ac:dyDescent="0.2">
      <c r="D279" s="785" t="str">
        <f>Price_List_BA!D239</f>
        <v>Cidex (2-4% glutaraldehyde) (TZ)</v>
      </c>
      <c r="E279" s="786"/>
      <c r="F279" s="786"/>
      <c r="G279" s="786"/>
      <c r="J279" s="668" t="str">
        <f>Price_List_BA!J239</f>
        <v>centilitre</v>
      </c>
      <c r="L279" s="127">
        <f>Price_List_BA!L239</f>
        <v>0.140625</v>
      </c>
    </row>
    <row r="280" spans="4:12" s="348" customFormat="1" ht="12.95" hidden="1" customHeight="1" outlineLevel="2" x14ac:dyDescent="0.2">
      <c r="D280" s="785" t="str">
        <f>Price_List_BA!D240</f>
        <v>Ciprofloxacin (500mg) (UG)</v>
      </c>
      <c r="E280" s="786"/>
      <c r="F280" s="786"/>
      <c r="G280" s="786"/>
      <c r="J280" s="668" t="str">
        <f>Price_List_BA!J240</f>
        <v>tablet</v>
      </c>
      <c r="L280" s="127">
        <f>Price_List_BA!L240</f>
        <v>3.4291683968965141E-2</v>
      </c>
    </row>
    <row r="281" spans="4:12" s="348" customFormat="1" ht="12.95" hidden="1" customHeight="1" outlineLevel="2" x14ac:dyDescent="0.2">
      <c r="D281" s="785" t="str">
        <f>Price_List_BA!D241</f>
        <v>Ciprofloxacin (500mg) 250MG (ZM)</v>
      </c>
      <c r="E281" s="786"/>
      <c r="F281" s="786"/>
      <c r="G281" s="786"/>
      <c r="J281" s="668" t="str">
        <f>Price_List_BA!J241</f>
        <v>tablet</v>
      </c>
      <c r="L281" s="127">
        <f>Price_List_BA!L241</f>
        <v>4.9088000000000005E-3</v>
      </c>
    </row>
    <row r="282" spans="4:12" s="348" customFormat="1" ht="12.95" hidden="1" customHeight="1" outlineLevel="2" x14ac:dyDescent="0.2">
      <c r="D282" s="785" t="str">
        <f>Price_List_BA!D242</f>
        <v>Cisplatin (50 mg) (ZM)</v>
      </c>
      <c r="E282" s="786"/>
      <c r="F282" s="786"/>
      <c r="G282" s="786"/>
      <c r="J282" s="668" t="str">
        <f>Price_List_BA!J242</f>
        <v>vial</v>
      </c>
      <c r="L282" s="127">
        <f>Price_List_BA!L242</f>
        <v>14</v>
      </c>
    </row>
    <row r="283" spans="4:12" s="348" customFormat="1" ht="12.95" hidden="1" customHeight="1" outlineLevel="2" x14ac:dyDescent="0.2">
      <c r="D283" s="785" t="str">
        <f>Price_List_BA!D243</f>
        <v>Cisplatin (50 mg) (TZ)</v>
      </c>
      <c r="E283" s="786"/>
      <c r="F283" s="786"/>
      <c r="G283" s="786"/>
      <c r="J283" s="668" t="str">
        <f>Price_List_BA!J243</f>
        <v>50 mg vial</v>
      </c>
      <c r="L283" s="127">
        <f>Price_List_BA!L243</f>
        <v>15.63</v>
      </c>
    </row>
    <row r="284" spans="4:12" s="348" customFormat="1" ht="12.95" hidden="1" customHeight="1" outlineLevel="2" x14ac:dyDescent="0.2">
      <c r="D284" s="785" t="str">
        <f>Price_List_BA!D244</f>
        <v>Citokit (UG)</v>
      </c>
      <c r="E284" s="786"/>
      <c r="F284" s="786"/>
      <c r="G284" s="786"/>
      <c r="J284" s="668" t="str">
        <f>Price_List_BA!J244</f>
        <v>kit</v>
      </c>
      <c r="L284" s="127">
        <f>Price_List_BA!L244</f>
        <v>2.0981313517648346</v>
      </c>
    </row>
    <row r="285" spans="4:12" s="348" customFormat="1" ht="12.95" hidden="1" customHeight="1" outlineLevel="2" x14ac:dyDescent="0.2">
      <c r="D285" s="785" t="str">
        <f>Price_List_BA!D245</f>
        <v>Colostomy Bag (TZ)</v>
      </c>
      <c r="E285" s="786"/>
      <c r="F285" s="786"/>
      <c r="G285" s="786"/>
      <c r="J285" s="668" t="str">
        <f>Price_List_BA!J245</f>
        <v>each</v>
      </c>
      <c r="L285" s="127">
        <f>Price_List_BA!L245</f>
        <v>2.5</v>
      </c>
    </row>
    <row r="286" spans="4:12" s="348" customFormat="1" ht="12.75" hidden="1" customHeight="1" outlineLevel="2" x14ac:dyDescent="0.2">
      <c r="D286" s="785" t="str">
        <f>Price_List_BA!D246</f>
        <v>Condom  (TZ)</v>
      </c>
      <c r="E286" s="786"/>
      <c r="F286" s="786"/>
      <c r="G286" s="786"/>
      <c r="J286" s="668" t="str">
        <f>Price_List_BA!J246</f>
        <v>each</v>
      </c>
      <c r="L286" s="127">
        <f>Price_List_BA!L246</f>
        <v>0.3125</v>
      </c>
    </row>
    <row r="287" spans="4:12" s="348" customFormat="1" ht="12.75" hidden="1" customHeight="1" outlineLevel="2" x14ac:dyDescent="0.2">
      <c r="D287" s="785" t="str">
        <f>Price_List_BA!D247</f>
        <v>Condom MALE (ZM)</v>
      </c>
      <c r="E287" s="786"/>
      <c r="F287" s="786"/>
      <c r="G287" s="786"/>
      <c r="J287" s="668" t="str">
        <f>Price_List_BA!J247</f>
        <v>each</v>
      </c>
      <c r="L287" s="127">
        <f>Price_List_BA!L247</f>
        <v>1.2946041666666666E-2</v>
      </c>
    </row>
    <row r="288" spans="4:12" s="348" customFormat="1" ht="12.75" hidden="1" customHeight="1" outlineLevel="2" x14ac:dyDescent="0.2">
      <c r="D288" s="785" t="str">
        <f>Price_List_BA!D248</f>
        <v>Cotton swab (ZM)</v>
      </c>
      <c r="E288" s="786"/>
      <c r="F288" s="786"/>
      <c r="G288" s="786"/>
      <c r="J288" s="668" t="str">
        <f>Price_List_BA!J248</f>
        <v>swab</v>
      </c>
      <c r="L288" s="127">
        <f>Price_List_BA!L248</f>
        <v>1.0200000000000001E-2</v>
      </c>
    </row>
    <row r="289" spans="4:12" s="348" customFormat="1" ht="12.75" hidden="1" customHeight="1" outlineLevel="2" x14ac:dyDescent="0.2">
      <c r="D289" s="785" t="str">
        <f>Price_List_BA!D249</f>
        <v>Cotton swab (TZ)</v>
      </c>
      <c r="E289" s="786"/>
      <c r="F289" s="786"/>
      <c r="G289" s="786"/>
      <c r="J289" s="668" t="str">
        <f>Price_List_BA!J249</f>
        <v>each</v>
      </c>
      <c r="L289" s="127">
        <f>Price_List_BA!L249</f>
        <v>2.75E-2</v>
      </c>
    </row>
    <row r="290" spans="4:12" s="348" customFormat="1" ht="12.75" hidden="1" customHeight="1" outlineLevel="2" x14ac:dyDescent="0.2">
      <c r="D290" s="785" t="str">
        <f>Price_List_BA!D250</f>
        <v>Cotton swabs (UG)</v>
      </c>
      <c r="E290" s="786"/>
      <c r="F290" s="786"/>
      <c r="G290" s="786"/>
      <c r="J290" s="668" t="str">
        <f>Price_List_BA!J250</f>
        <v>swab</v>
      </c>
      <c r="L290" s="127">
        <f>Price_List_BA!L250</f>
        <v>6.9238334608239596E-3</v>
      </c>
    </row>
    <row r="291" spans="4:12" s="348" customFormat="1" ht="12.75" hidden="1" customHeight="1" outlineLevel="2" x14ac:dyDescent="0.2">
      <c r="D291" s="785" t="str">
        <f>Price_List_BA!D251</f>
        <v>Cotton Wool, roll, non-sterile (ZM)</v>
      </c>
      <c r="E291" s="786"/>
      <c r="F291" s="786"/>
      <c r="G291" s="786"/>
      <c r="J291" s="668" t="str">
        <f>Price_List_BA!J251</f>
        <v>1/100 roll</v>
      </c>
      <c r="L291" s="127">
        <f>Price_List_BA!L251</f>
        <v>7.1200000000000005E-3</v>
      </c>
    </row>
    <row r="292" spans="4:12" s="348" customFormat="1" ht="12.75" hidden="1" customHeight="1" outlineLevel="2" x14ac:dyDescent="0.2">
      <c r="D292" s="785" t="str">
        <f>Price_List_BA!D252</f>
        <v>Cotton Wool, roll, non-sterile (TZ)</v>
      </c>
      <c r="E292" s="786"/>
      <c r="F292" s="786"/>
      <c r="G292" s="786"/>
      <c r="J292" s="668" t="str">
        <f>Price_List_BA!J252</f>
        <v>1 gram</v>
      </c>
      <c r="L292" s="127">
        <f>Price_List_BA!L252</f>
        <v>3.0000000000000001E-3</v>
      </c>
    </row>
    <row r="293" spans="4:12" s="348" customFormat="1" ht="12.75" hidden="1" customHeight="1" outlineLevel="2" x14ac:dyDescent="0.2">
      <c r="D293" s="785" t="str">
        <f>Price_List_BA!D253</f>
        <v xml:space="preserve">Dexamethasone (ZM) </v>
      </c>
      <c r="E293" s="786"/>
      <c r="F293" s="786"/>
      <c r="G293" s="786"/>
      <c r="J293" s="668" t="str">
        <f>Price_List_BA!J253</f>
        <v>4mg</v>
      </c>
      <c r="L293" s="127">
        <f>Price_List_BA!L253</f>
        <v>0.25</v>
      </c>
    </row>
    <row r="294" spans="4:12" s="348" customFormat="1" ht="12.75" hidden="1" customHeight="1" outlineLevel="2" x14ac:dyDescent="0.2">
      <c r="D294" s="785" t="str">
        <f>Price_List_BA!D254</f>
        <v>Diclofenac (50mg) (ZM)</v>
      </c>
      <c r="E294" s="786"/>
      <c r="F294" s="786"/>
      <c r="G294" s="786"/>
      <c r="J294" s="668" t="str">
        <f>Price_List_BA!J254</f>
        <v>tablet</v>
      </c>
      <c r="L294" s="127">
        <f>Price_List_BA!L254</f>
        <v>3.3939999999999999E-3</v>
      </c>
    </row>
    <row r="295" spans="4:12" s="348" customFormat="1" ht="12.75" hidden="1" customHeight="1" outlineLevel="2" x14ac:dyDescent="0.2">
      <c r="D295" s="785" t="str">
        <f>Price_List_BA!D255</f>
        <v>Diclofenac (50mg) (TZ)</v>
      </c>
      <c r="E295" s="786"/>
      <c r="F295" s="786"/>
      <c r="G295" s="786"/>
      <c r="J295" s="668" t="str">
        <f>Price_List_BA!J255</f>
        <v>tablet</v>
      </c>
      <c r="L295" s="127">
        <f>Price_List_BA!L255</f>
        <v>1.5625</v>
      </c>
    </row>
    <row r="296" spans="4:12" s="348" customFormat="1" ht="12.75" hidden="1" customHeight="1" outlineLevel="2" x14ac:dyDescent="0.2">
      <c r="D296" s="785" t="str">
        <f>Price_List_BA!D256</f>
        <v>Distilled water (ZM)</v>
      </c>
      <c r="E296" s="786"/>
      <c r="F296" s="786"/>
      <c r="G296" s="786"/>
      <c r="J296" s="668" t="str">
        <f>Price_List_BA!J256</f>
        <v>mililiter</v>
      </c>
      <c r="L296" s="127">
        <f>Price_List_BA!L256</f>
        <v>2.3199999999999997E-4</v>
      </c>
    </row>
    <row r="297" spans="4:12" s="348" customFormat="1" ht="12.75" hidden="1" customHeight="1" outlineLevel="2" x14ac:dyDescent="0.2">
      <c r="D297" s="785" t="str">
        <f>Price_List_BA!D257</f>
        <v>Distilled water (UG)</v>
      </c>
      <c r="E297" s="786"/>
      <c r="F297" s="786"/>
      <c r="G297" s="786"/>
      <c r="J297" s="668" t="str">
        <f>Price_List_BA!J257</f>
        <v>mililiter</v>
      </c>
      <c r="L297" s="127">
        <f>Price_List_BA!L257</f>
        <v>2.3680472079554149E-4</v>
      </c>
    </row>
    <row r="298" spans="4:12" s="348" customFormat="1" ht="12.75" hidden="1" customHeight="1" outlineLevel="2" x14ac:dyDescent="0.2">
      <c r="D298" s="785" t="str">
        <f>Price_List_BA!D258</f>
        <v>Dulcolax (10mg) (ZM)</v>
      </c>
      <c r="E298" s="786"/>
      <c r="F298" s="786"/>
      <c r="G298" s="786"/>
      <c r="J298" s="668" t="str">
        <f>Price_List_BA!J258</f>
        <v>tablet</v>
      </c>
      <c r="L298" s="127">
        <f>Price_List_BA!L258</f>
        <v>0.1</v>
      </c>
    </row>
    <row r="299" spans="4:12" s="348" customFormat="1" ht="12.75" hidden="1" customHeight="1" outlineLevel="2" x14ac:dyDescent="0.2">
      <c r="D299" s="785" t="str">
        <f>Price_List_BA!D259</f>
        <v>Dulcolax (10mg) (TZ)</v>
      </c>
      <c r="E299" s="786"/>
      <c r="F299" s="786"/>
      <c r="G299" s="786"/>
      <c r="J299" s="668" t="str">
        <f>Price_List_BA!J259</f>
        <v>tablet</v>
      </c>
      <c r="L299" s="127">
        <f>Price_List_BA!L259</f>
        <v>0.625</v>
      </c>
    </row>
    <row r="300" spans="4:12" s="348" customFormat="1" ht="12.75" hidden="1" customHeight="1" outlineLevel="2" x14ac:dyDescent="0.2">
      <c r="D300" s="785" t="str">
        <f>Price_List_BA!D260</f>
        <v>Emend (ZM)</v>
      </c>
      <c r="E300" s="786"/>
      <c r="F300" s="786"/>
      <c r="G300" s="786"/>
      <c r="J300" s="668" t="str">
        <f>Price_List_BA!J260</f>
        <v>SU</v>
      </c>
      <c r="L300" s="127">
        <f>Price_List_BA!L260</f>
        <v>0</v>
      </c>
    </row>
    <row r="301" spans="4:12" s="348" customFormat="1" ht="12.75" hidden="1" customHeight="1" outlineLevel="2" x14ac:dyDescent="0.2">
      <c r="D301" s="785" t="str">
        <f>Price_List_BA!D261</f>
        <v>Formalin (UG)</v>
      </c>
      <c r="E301" s="786"/>
      <c r="F301" s="786"/>
      <c r="G301" s="786"/>
      <c r="J301" s="668" t="str">
        <f>Price_List_BA!J261</f>
        <v>mililiter</v>
      </c>
      <c r="L301" s="127">
        <f>Price_List_BA!L261</f>
        <v>6.5566604742651096E-3</v>
      </c>
    </row>
    <row r="302" spans="4:12" s="348" customFormat="1" ht="12.75" hidden="1" customHeight="1" outlineLevel="2" x14ac:dyDescent="0.2">
      <c r="D302" s="785" t="str">
        <f>Price_List_BA!D262</f>
        <v>Formalin AR 40% (ZM)</v>
      </c>
      <c r="E302" s="786"/>
      <c r="F302" s="786"/>
      <c r="G302" s="786"/>
      <c r="J302" s="668" t="str">
        <f>Price_List_BA!J262</f>
        <v>mililiter</v>
      </c>
      <c r="L302" s="127">
        <f>Price_List_BA!L262</f>
        <v>0.34903395999999998</v>
      </c>
    </row>
    <row r="303" spans="4:12" s="348" customFormat="1" ht="12.75" hidden="1" customHeight="1" outlineLevel="2" x14ac:dyDescent="0.2">
      <c r="D303" s="785" t="str">
        <f>Price_List_BA!D263</f>
        <v>Formalin AR 40% (TZ)</v>
      </c>
      <c r="E303" s="786"/>
      <c r="F303" s="786"/>
      <c r="G303" s="786"/>
      <c r="J303" s="668" t="str">
        <f>Price_List_BA!J263</f>
        <v>centilitre</v>
      </c>
      <c r="L303" s="127">
        <f>Price_List_BA!L263</f>
        <v>0.03</v>
      </c>
    </row>
    <row r="304" spans="4:12" s="348" customFormat="1" ht="12.75" hidden="1" customHeight="1" outlineLevel="2" x14ac:dyDescent="0.2">
      <c r="D304" s="785" t="str">
        <f>Price_List_BA!D264</f>
        <v>Frusamide (ZM)</v>
      </c>
      <c r="E304" s="786"/>
      <c r="F304" s="786"/>
      <c r="G304" s="786"/>
      <c r="J304" s="668" t="str">
        <f>Price_List_BA!J264</f>
        <v>20mg</v>
      </c>
      <c r="L304" s="127">
        <f>Price_List_BA!L264</f>
        <v>0.5</v>
      </c>
    </row>
    <row r="305" spans="4:12" s="348" customFormat="1" ht="12.75" hidden="1" customHeight="1" outlineLevel="2" x14ac:dyDescent="0.2">
      <c r="D305" s="785" t="str">
        <f>Price_List_BA!D265</f>
        <v>Gas - N2O (UG)</v>
      </c>
      <c r="E305" s="786"/>
      <c r="F305" s="786"/>
      <c r="G305" s="786"/>
      <c r="J305" s="668" t="str">
        <f>Price_List_BA!J265</f>
        <v>litre</v>
      </c>
      <c r="L305" s="127">
        <f>Price_List_BA!L265</f>
        <v>0.21116458854315942</v>
      </c>
    </row>
    <row r="306" spans="4:12" s="348" customFormat="1" ht="12.75" hidden="1" customHeight="1" outlineLevel="2" x14ac:dyDescent="0.2">
      <c r="D306" s="785" t="str">
        <f>Price_List_BA!D266</f>
        <v>Gas Cylinder (Nitrous Oxide) 72 kg. (ZM)</v>
      </c>
      <c r="E306" s="786"/>
      <c r="F306" s="786"/>
      <c r="G306" s="786"/>
      <c r="J306" s="668" t="str">
        <f>Price_List_BA!J266</f>
        <v>application</v>
      </c>
      <c r="L306" s="127">
        <f>Price_List_BA!L266</f>
        <v>37.333333333333336</v>
      </c>
    </row>
    <row r="307" spans="4:12" s="348" customFormat="1" ht="12.75" hidden="1" customHeight="1" outlineLevel="2" x14ac:dyDescent="0.2">
      <c r="D307" s="785" t="str">
        <f>Price_List_BA!D267</f>
        <v>Gas Cylinder (TZ)</v>
      </c>
      <c r="E307" s="786"/>
      <c r="F307" s="786"/>
      <c r="G307" s="786"/>
      <c r="J307" s="668" t="str">
        <f>Price_List_BA!J267</f>
        <v>1/15th of a cylinder</v>
      </c>
      <c r="L307" s="127">
        <f>Price_List_BA!L267</f>
        <v>1.6666666666666667</v>
      </c>
    </row>
    <row r="308" spans="4:12" s="348" customFormat="1" ht="12.75" hidden="1" customHeight="1" outlineLevel="2" x14ac:dyDescent="0.2">
      <c r="D308" s="785" t="str">
        <f>Price_List_BA!D268</f>
        <v>Gauze (UG)</v>
      </c>
      <c r="E308" s="786"/>
      <c r="F308" s="786"/>
      <c r="G308" s="786"/>
      <c r="J308" s="668" t="str">
        <f>Price_List_BA!J268</f>
        <v>piece</v>
      </c>
      <c r="L308" s="127">
        <f>Price_List_BA!L268</f>
        <v>1.2239099551961501E-2</v>
      </c>
    </row>
    <row r="309" spans="4:12" s="348" customFormat="1" ht="12.75" hidden="1" customHeight="1" outlineLevel="2" x14ac:dyDescent="0.2">
      <c r="D309" s="785" t="str">
        <f>Price_List_BA!D269</f>
        <v>Gauze hospital quality 10x4 cm (TZ)</v>
      </c>
      <c r="E309" s="786"/>
      <c r="F309" s="786"/>
      <c r="G309" s="786"/>
      <c r="J309" s="668" t="str">
        <f>Price_List_BA!J269</f>
        <v>each</v>
      </c>
      <c r="L309" s="127">
        <f>Price_List_BA!L269</f>
        <v>0.3125</v>
      </c>
    </row>
    <row r="310" spans="4:12" s="348" customFormat="1" ht="12.75" hidden="1" customHeight="1" outlineLevel="2" x14ac:dyDescent="0.2">
      <c r="D310" s="785" t="str">
        <f>Price_List_BA!D270</f>
        <v>Gauze, Non-Sterile (ZM)</v>
      </c>
      <c r="E310" s="786"/>
      <c r="F310" s="786"/>
      <c r="G310" s="786"/>
      <c r="J310" s="668" t="str">
        <f>Price_List_BA!J270</f>
        <v>1/2 roll</v>
      </c>
      <c r="L310" s="127">
        <f>Price_List_BA!L270</f>
        <v>6.7035000000000003E-3</v>
      </c>
    </row>
    <row r="311" spans="4:12" s="348" customFormat="1" ht="12.75" hidden="1" customHeight="1" outlineLevel="2" x14ac:dyDescent="0.2">
      <c r="D311" s="785" t="str">
        <f>Price_List_BA!D271</f>
        <v>Gauze, Non-Sterile (TZ)</v>
      </c>
      <c r="E311" s="786"/>
      <c r="F311" s="786"/>
      <c r="G311" s="786"/>
      <c r="J311" s="668" t="str">
        <f>Price_List_BA!J271</f>
        <v>1/100 of roll</v>
      </c>
      <c r="L311" s="127">
        <f>Price_List_BA!L271</f>
        <v>0.125</v>
      </c>
    </row>
    <row r="312" spans="4:12" s="348" customFormat="1" ht="12.75" hidden="1" customHeight="1" outlineLevel="2" x14ac:dyDescent="0.2">
      <c r="D312" s="785" t="str">
        <f>Price_List_BA!D272</f>
        <v>Gauze, Sterile (ZM)</v>
      </c>
      <c r="E312" s="786"/>
      <c r="F312" s="786"/>
      <c r="G312" s="786"/>
      <c r="J312" s="668" t="str">
        <f>Price_List_BA!J272</f>
        <v>roll</v>
      </c>
      <c r="L312" s="127">
        <f>Price_List_BA!L272</f>
        <v>4.7962999999999999E-2</v>
      </c>
    </row>
    <row r="313" spans="4:12" s="348" customFormat="1" ht="12.75" hidden="1" customHeight="1" outlineLevel="2" x14ac:dyDescent="0.2">
      <c r="D313" s="785" t="str">
        <f>Price_List_BA!D273</f>
        <v>Gauze, Sterile (TZ)</v>
      </c>
      <c r="E313" s="786"/>
      <c r="F313" s="786"/>
      <c r="G313" s="786"/>
      <c r="J313" s="668" t="str">
        <f>Price_List_BA!J273</f>
        <v>1/100 of roll</v>
      </c>
      <c r="L313" s="127">
        <f>Price_List_BA!L273</f>
        <v>0.125</v>
      </c>
    </row>
    <row r="314" spans="4:12" s="348" customFormat="1" ht="12.75" hidden="1" customHeight="1" outlineLevel="2" x14ac:dyDescent="0.2">
      <c r="D314" s="785" t="str">
        <f>Price_List_BA!D274</f>
        <v>Gloves (UG)</v>
      </c>
      <c r="E314" s="786"/>
      <c r="F314" s="786"/>
      <c r="G314" s="786"/>
      <c r="J314" s="668" t="str">
        <f>Price_List_BA!J274</f>
        <v>pair</v>
      </c>
      <c r="L314" s="127">
        <f>Price_List_BA!L274</f>
        <v>0.10490656758824179</v>
      </c>
    </row>
    <row r="315" spans="4:12" s="348" customFormat="1" ht="12.75" hidden="1" customHeight="1" outlineLevel="2" x14ac:dyDescent="0.2">
      <c r="D315" s="785" t="str">
        <f>Price_List_BA!D275</f>
        <v>Gloves, Non-Sterile, Examination, latex, assorted sizes, disp. (ZM)</v>
      </c>
      <c r="E315" s="786"/>
      <c r="F315" s="786"/>
      <c r="G315" s="786"/>
      <c r="J315" s="668" t="str">
        <f>Price_List_BA!J275</f>
        <v>each</v>
      </c>
      <c r="L315" s="127">
        <f>Price_List_BA!L275</f>
        <v>7.2000000000000008E-2</v>
      </c>
    </row>
    <row r="316" spans="4:12" s="348" customFormat="1" ht="12.75" hidden="1" customHeight="1" outlineLevel="2" x14ac:dyDescent="0.2">
      <c r="D316" s="785" t="str">
        <f>Price_List_BA!D276</f>
        <v>Gloves, Non-Sterile, Examination, latex, medium, disp. (TZ)</v>
      </c>
      <c r="E316" s="786"/>
      <c r="F316" s="786"/>
      <c r="G316" s="786"/>
      <c r="J316" s="668" t="str">
        <f>Price_List_BA!J276</f>
        <v>each</v>
      </c>
      <c r="L316" s="127">
        <f>Price_List_BA!L276</f>
        <v>4.2699999999999995E-2</v>
      </c>
    </row>
    <row r="317" spans="4:12" s="348" customFormat="1" ht="12.75" hidden="1" customHeight="1" outlineLevel="2" x14ac:dyDescent="0.2">
      <c r="D317" s="785" t="str">
        <f>Price_List_BA!D277</f>
        <v>Gloves, Sterile (TZ)</v>
      </c>
      <c r="E317" s="786"/>
      <c r="F317" s="786"/>
      <c r="G317" s="786"/>
      <c r="J317" s="668" t="str">
        <f>Price_List_BA!J277</f>
        <v>each</v>
      </c>
      <c r="L317" s="127">
        <f>Price_List_BA!L277</f>
        <v>0.92500000000000004</v>
      </c>
    </row>
    <row r="318" spans="4:12" s="348" customFormat="1" ht="12.75" hidden="1" customHeight="1" outlineLevel="2" x14ac:dyDescent="0.2">
      <c r="D318" s="785" t="str">
        <f>Price_List_BA!D278</f>
        <v>Gloves, Sterile 7.5 (ZM)</v>
      </c>
      <c r="E318" s="786"/>
      <c r="F318" s="786"/>
      <c r="G318" s="786"/>
      <c r="J318" s="668" t="str">
        <f>Price_List_BA!J278</f>
        <v>each</v>
      </c>
      <c r="L318" s="127">
        <f>Price_List_BA!L278</f>
        <v>0.21932200000000002</v>
      </c>
    </row>
    <row r="319" spans="4:12" s="348" customFormat="1" ht="12.75" hidden="1" customHeight="1" outlineLevel="2" x14ac:dyDescent="0.2">
      <c r="D319" s="785" t="str">
        <f>Price_List_BA!D279</f>
        <v>Halothane (ZM)</v>
      </c>
      <c r="E319" s="786"/>
      <c r="F319" s="786"/>
      <c r="G319" s="786"/>
      <c r="J319" s="668" t="str">
        <f>Price_List_BA!J279</f>
        <v>millilitre</v>
      </c>
      <c r="L319" s="127">
        <f>Price_List_BA!L279</f>
        <v>0</v>
      </c>
    </row>
    <row r="320" spans="4:12" s="348" customFormat="1" ht="12.75" hidden="1" customHeight="1" outlineLevel="2" x14ac:dyDescent="0.2">
      <c r="D320" s="785" t="str">
        <f>Price_List_BA!D280</f>
        <v>IV canula 22G  (ZM)</v>
      </c>
      <c r="E320" s="786"/>
      <c r="F320" s="786"/>
      <c r="G320" s="786"/>
      <c r="J320" s="668" t="str">
        <f>Price_List_BA!J280</f>
        <v>canula</v>
      </c>
      <c r="L320" s="127">
        <f>Price_List_BA!L280</f>
        <v>0.130548</v>
      </c>
    </row>
    <row r="321" spans="4:12" s="348" customFormat="1" ht="12.75" hidden="1" customHeight="1" outlineLevel="2" x14ac:dyDescent="0.2">
      <c r="D321" s="785" t="str">
        <f>Price_List_BA!D281</f>
        <v>IV canula 22G (each) (TZ)</v>
      </c>
      <c r="E321" s="786"/>
      <c r="F321" s="786"/>
      <c r="G321" s="786"/>
      <c r="J321" s="668" t="str">
        <f>Price_List_BA!J281</f>
        <v>each</v>
      </c>
      <c r="L321" s="127">
        <f>Price_List_BA!L281</f>
        <v>0.16250000000000001</v>
      </c>
    </row>
    <row r="322" spans="4:12" s="348" customFormat="1" ht="12.75" hidden="1" customHeight="1" outlineLevel="2" x14ac:dyDescent="0.2">
      <c r="D322" s="785" t="str">
        <f>Price_List_BA!D282</f>
        <v>IV giving set (each) (TZ)</v>
      </c>
      <c r="E322" s="786"/>
      <c r="F322" s="786"/>
      <c r="G322" s="786"/>
      <c r="J322" s="668" t="str">
        <f>Price_List_BA!J282</f>
        <v>set</v>
      </c>
      <c r="L322" s="127">
        <f>Price_List_BA!L282</f>
        <v>0.15</v>
      </c>
    </row>
    <row r="323" spans="4:12" s="348" customFormat="1" ht="12.75" hidden="1" customHeight="1" outlineLevel="2" x14ac:dyDescent="0.2">
      <c r="D323" s="785" t="str">
        <f>Price_List_BA!D283</f>
        <v>IV giving set (closed system) (ZM)</v>
      </c>
      <c r="E323" s="786"/>
      <c r="F323" s="786"/>
      <c r="G323" s="786"/>
      <c r="J323" s="668" t="str">
        <f>Price_List_BA!J283</f>
        <v>SU</v>
      </c>
      <c r="L323" s="127">
        <f>Price_List_BA!L283</f>
        <v>0</v>
      </c>
    </row>
    <row r="324" spans="4:12" s="348" customFormat="1" ht="12.75" hidden="1" customHeight="1" outlineLevel="2" x14ac:dyDescent="0.2">
      <c r="D324" s="785" t="str">
        <f>Price_List_BA!D284</f>
        <v>IV line (set) (ZM)</v>
      </c>
      <c r="E324" s="786"/>
      <c r="F324" s="786"/>
      <c r="G324" s="786"/>
      <c r="J324" s="668" t="str">
        <f>Price_List_BA!J284</f>
        <v>set</v>
      </c>
      <c r="L324" s="127">
        <f>Price_List_BA!L284</f>
        <v>0.120104</v>
      </c>
    </row>
    <row r="325" spans="4:12" s="348" customFormat="1" ht="12.75" hidden="1" customHeight="1" outlineLevel="2" x14ac:dyDescent="0.2">
      <c r="D325" s="785" t="str">
        <f>Price_List_BA!D285</f>
        <v>IV line (set) (TZ)</v>
      </c>
      <c r="E325" s="786"/>
      <c r="F325" s="786"/>
      <c r="G325" s="786"/>
      <c r="J325" s="668" t="str">
        <f>Price_List_BA!J285</f>
        <v>set</v>
      </c>
      <c r="L325" s="127">
        <f>Price_List_BA!L285</f>
        <v>0.9375</v>
      </c>
    </row>
    <row r="326" spans="4:12" s="348" customFormat="1" ht="12.75" hidden="1" customHeight="1" outlineLevel="2" x14ac:dyDescent="0.2">
      <c r="D326" s="785" t="str">
        <f>Price_List_BA!D286</f>
        <v>Ketamine (ZM)</v>
      </c>
      <c r="E326" s="786"/>
      <c r="F326" s="786"/>
      <c r="G326" s="786"/>
      <c r="J326" s="668" t="str">
        <f>Price_List_BA!J286</f>
        <v>SU</v>
      </c>
      <c r="L326" s="127">
        <f>Price_List_BA!L286</f>
        <v>0</v>
      </c>
    </row>
    <row r="327" spans="4:12" s="348" customFormat="1" ht="12.75" hidden="1" customHeight="1" outlineLevel="2" x14ac:dyDescent="0.2">
      <c r="D327" s="785" t="str">
        <f>Price_List_BA!D287</f>
        <v>Kitchen Towel (ZM)</v>
      </c>
      <c r="E327" s="786"/>
      <c r="F327" s="786"/>
      <c r="G327" s="786"/>
      <c r="J327" s="668" t="str">
        <f>Price_List_BA!J287</f>
        <v>application</v>
      </c>
      <c r="L327" s="127">
        <f>Price_List_BA!L287</f>
        <v>1.3999999999999999E-2</v>
      </c>
    </row>
    <row r="328" spans="4:12" s="348" customFormat="1" ht="12.75" hidden="1" customHeight="1" outlineLevel="2" x14ac:dyDescent="0.2">
      <c r="D328" s="785" t="str">
        <f>Price_List_BA!D288</f>
        <v>K-Y jelly  (TZ)</v>
      </c>
      <c r="E328" s="786"/>
      <c r="F328" s="786"/>
      <c r="G328" s="786"/>
      <c r="J328" s="668" t="str">
        <f>Price_List_BA!J288</f>
        <v>1/100 of tube</v>
      </c>
      <c r="L328" s="127">
        <f>Price_List_BA!L288</f>
        <v>8.4375000000000006E-2</v>
      </c>
    </row>
    <row r="329" spans="4:12" s="348" customFormat="1" ht="12.75" hidden="1" customHeight="1" outlineLevel="2" x14ac:dyDescent="0.2">
      <c r="D329" s="785" t="str">
        <f>Price_List_BA!D289</f>
        <v>K-Y jelly Tube w/ 100 applcations ea) (ZM)</v>
      </c>
      <c r="E329" s="786"/>
      <c r="F329" s="786"/>
      <c r="G329" s="786"/>
      <c r="J329" s="668" t="str">
        <f>Price_List_BA!J289</f>
        <v>1 application</v>
      </c>
      <c r="L329" s="127">
        <f>Price_List_BA!L289</f>
        <v>4.4999999999999998E-2</v>
      </c>
    </row>
    <row r="330" spans="4:12" s="348" customFormat="1" ht="12.75" hidden="1" customHeight="1" outlineLevel="2" x14ac:dyDescent="0.2">
      <c r="D330" s="785" t="str">
        <f>Price_List_BA!D290</f>
        <v>Label (TZ)</v>
      </c>
      <c r="E330" s="786"/>
      <c r="F330" s="786"/>
      <c r="G330" s="786"/>
      <c r="J330" s="668" t="str">
        <f>Price_List_BA!J290</f>
        <v>label</v>
      </c>
      <c r="L330" s="127">
        <f>Price_List_BA!L290</f>
        <v>3.125E-2</v>
      </c>
    </row>
    <row r="331" spans="4:12" s="348" customFormat="1" ht="12.75" hidden="1" customHeight="1" outlineLevel="2" x14ac:dyDescent="0.2">
      <c r="D331" s="785" t="str">
        <f>Price_List_BA!D291</f>
        <v>Lidocaine 1% or 2% without epinephrine (UG)</v>
      </c>
      <c r="E331" s="786"/>
      <c r="F331" s="786"/>
      <c r="G331" s="786"/>
      <c r="J331" s="668" t="str">
        <f>Price_List_BA!J291</f>
        <v>mililitre</v>
      </c>
      <c r="L331" s="127">
        <f>Price_List_BA!L291</f>
        <v>6.6747459294066225E-2</v>
      </c>
    </row>
    <row r="332" spans="4:12" s="348" customFormat="1" ht="12.75" hidden="1" customHeight="1" outlineLevel="2" x14ac:dyDescent="0.2">
      <c r="D332" s="785" t="str">
        <f>Price_List_BA!D292</f>
        <v>Lidocaine 2% with epinephrine 1:80000 (ZM)</v>
      </c>
      <c r="E332" s="786"/>
      <c r="F332" s="786"/>
      <c r="G332" s="786"/>
      <c r="J332" s="668" t="str">
        <f>Price_List_BA!J292</f>
        <v>unknown</v>
      </c>
      <c r="L332" s="127">
        <f>Price_List_BA!L292</f>
        <v>0.9</v>
      </c>
    </row>
    <row r="333" spans="4:12" s="348" customFormat="1" ht="12.75" hidden="1" customHeight="1" outlineLevel="2" x14ac:dyDescent="0.2">
      <c r="D333" s="785" t="str">
        <f>Price_List_BA!D293</f>
        <v>Lidocaine: 2% with adrenalin 1:80000 (TZ)</v>
      </c>
      <c r="E333" s="786"/>
      <c r="F333" s="786"/>
      <c r="G333" s="786"/>
      <c r="J333" s="668" t="str">
        <f>Price_List_BA!J293</f>
        <v>centilitre</v>
      </c>
      <c r="L333" s="127">
        <f>Price_List_BA!L293</f>
        <v>0.13750000000000001</v>
      </c>
    </row>
    <row r="334" spans="4:12" s="348" customFormat="1" ht="12.75" hidden="1" customHeight="1" outlineLevel="2" x14ac:dyDescent="0.2">
      <c r="D334" s="785" t="str">
        <f>Price_List_BA!D294</f>
        <v>Liquid soap (UG)</v>
      </c>
      <c r="E334" s="786"/>
      <c r="F334" s="786"/>
      <c r="G334" s="786"/>
      <c r="J334" s="668" t="str">
        <f>Price_List_BA!J294</f>
        <v>mililiter</v>
      </c>
      <c r="L334" s="127">
        <f>Price_List_BA!L294</f>
        <v>5.4194295705387399E-4</v>
      </c>
    </row>
    <row r="335" spans="4:12" s="348" customFormat="1" ht="12.75" hidden="1" customHeight="1" outlineLevel="2" x14ac:dyDescent="0.2">
      <c r="D335" s="785" t="str">
        <f>Price_List_BA!D295</f>
        <v>Lugol's iodine (UG)</v>
      </c>
      <c r="E335" s="786"/>
      <c r="F335" s="786"/>
      <c r="G335" s="786"/>
      <c r="J335" s="668" t="str">
        <f>Price_List_BA!J295</f>
        <v>mililiter</v>
      </c>
      <c r="L335" s="127">
        <f>Price_List_BA!L295</f>
        <v>1.2621571412960299E-2</v>
      </c>
    </row>
    <row r="336" spans="4:12" s="348" customFormat="1" ht="12.75" hidden="1" customHeight="1" outlineLevel="2" x14ac:dyDescent="0.2">
      <c r="D336" s="785" t="str">
        <f>Price_List_BA!D296</f>
        <v>Mannitol (ZM)</v>
      </c>
      <c r="E336" s="786"/>
      <c r="F336" s="786"/>
      <c r="G336" s="786"/>
      <c r="J336" s="668" t="str">
        <f>Price_List_BA!J296</f>
        <v>SU</v>
      </c>
      <c r="L336" s="127">
        <f>Price_List_BA!L296</f>
        <v>0</v>
      </c>
    </row>
    <row r="337" spans="4:12" s="348" customFormat="1" ht="12.75" hidden="1" customHeight="1" outlineLevel="2" x14ac:dyDescent="0.2">
      <c r="D337" s="785" t="str">
        <f>Price_List_BA!D297</f>
        <v>Metronizadol (200mg) (ZM)</v>
      </c>
      <c r="E337" s="786"/>
      <c r="F337" s="786"/>
      <c r="G337" s="786"/>
      <c r="J337" s="668" t="str">
        <f>Price_List_BA!J297</f>
        <v>tablet</v>
      </c>
      <c r="L337" s="127">
        <f>Price_List_BA!L297</f>
        <v>3.7859E-3</v>
      </c>
    </row>
    <row r="338" spans="4:12" s="348" customFormat="1" ht="12.75" hidden="1" customHeight="1" outlineLevel="2" x14ac:dyDescent="0.2">
      <c r="D338" s="785" t="str">
        <f>Price_List_BA!D298</f>
        <v>Metronizadol (200mg) (UG)</v>
      </c>
      <c r="E338" s="786"/>
      <c r="F338" s="786"/>
      <c r="G338" s="786"/>
      <c r="J338" s="668" t="str">
        <f>Price_List_BA!J298</f>
        <v>tablet</v>
      </c>
      <c r="L338" s="127">
        <f>Price_List_BA!L298</f>
        <v>3.9235056278002405E-3</v>
      </c>
    </row>
    <row r="339" spans="4:12" s="348" customFormat="1" ht="12.75" hidden="1" customHeight="1" outlineLevel="2" x14ac:dyDescent="0.2">
      <c r="D339" s="785" t="str">
        <f>Price_List_BA!D299</f>
        <v>Metronizadol (400mg) (UG)</v>
      </c>
      <c r="E339" s="786"/>
      <c r="F339" s="786"/>
      <c r="G339" s="786"/>
      <c r="J339" s="668" t="str">
        <f>Price_List_BA!J299</f>
        <v>tablet</v>
      </c>
      <c r="L339" s="127">
        <f>Price_List_BA!L299</f>
        <v>7.847011255600481E-3</v>
      </c>
    </row>
    <row r="340" spans="4:12" s="348" customFormat="1" ht="12.75" hidden="1" customHeight="1" outlineLevel="2" x14ac:dyDescent="0.2">
      <c r="D340" s="785" t="str">
        <f>Price_List_BA!D300</f>
        <v>Mictomycin  C (10mg) (TZ)</v>
      </c>
      <c r="E340" s="786"/>
      <c r="F340" s="786"/>
      <c r="G340" s="786"/>
      <c r="J340" s="668" t="str">
        <f>Price_List_BA!J300</f>
        <v>10mg</v>
      </c>
      <c r="L340" s="127">
        <f>Price_List_BA!L300</f>
        <v>18.75</v>
      </c>
    </row>
    <row r="341" spans="4:12" s="348" customFormat="1" ht="12.75" hidden="1" customHeight="1" outlineLevel="2" x14ac:dyDescent="0.2">
      <c r="D341" s="785" t="str">
        <f>Price_List_BA!D301</f>
        <v>Mitomycin  C (10mg) (ZM)</v>
      </c>
      <c r="E341" s="786"/>
      <c r="F341" s="786"/>
      <c r="G341" s="786"/>
      <c r="J341" s="668" t="str">
        <f>Price_List_BA!J301</f>
        <v>vial</v>
      </c>
      <c r="L341" s="127">
        <f>Price_List_BA!L301</f>
        <v>27.5</v>
      </c>
    </row>
    <row r="342" spans="4:12" s="348" customFormat="1" ht="12.75" hidden="1" customHeight="1" outlineLevel="2" x14ac:dyDescent="0.2">
      <c r="D342" s="785" t="str">
        <f>Price_List_BA!D302</f>
        <v>Monsel's solution (UG)</v>
      </c>
      <c r="E342" s="786"/>
      <c r="F342" s="786"/>
      <c r="G342" s="786"/>
      <c r="J342" s="668" t="str">
        <f>Price_List_BA!J302</f>
        <v>mililiter</v>
      </c>
      <c r="L342" s="127">
        <f>Price_List_BA!L302</f>
        <v>0.41111111111111109</v>
      </c>
    </row>
    <row r="343" spans="4:12" s="348" customFormat="1" ht="12.75" hidden="1" customHeight="1" outlineLevel="2" x14ac:dyDescent="0.2">
      <c r="D343" s="785" t="str">
        <f>Price_List_BA!D303</f>
        <v>Monsel's solution (ZM)</v>
      </c>
      <c r="E343" s="786"/>
      <c r="F343" s="786"/>
      <c r="G343" s="786"/>
      <c r="J343" s="668" t="str">
        <f>Price_List_BA!J303</f>
        <v>application</v>
      </c>
      <c r="L343" s="127">
        <f>Price_List_BA!L303</f>
        <v>10.126666666666667</v>
      </c>
    </row>
    <row r="344" spans="4:12" s="348" customFormat="1" ht="12.75" hidden="1" customHeight="1" outlineLevel="2" x14ac:dyDescent="0.2">
      <c r="D344" s="785" t="str">
        <f>Price_List_BA!D304</f>
        <v>Morphine (10mg) (ZM)</v>
      </c>
      <c r="E344" s="786"/>
      <c r="F344" s="786"/>
      <c r="G344" s="786"/>
      <c r="J344" s="668" t="str">
        <f>Price_List_BA!J304</f>
        <v>tablet</v>
      </c>
      <c r="L344" s="127">
        <f>Price_List_BA!L304</f>
        <v>0.22666666666666666</v>
      </c>
    </row>
    <row r="345" spans="4:12" s="348" customFormat="1" ht="12.75" hidden="1" customHeight="1" outlineLevel="2" x14ac:dyDescent="0.2">
      <c r="D345" s="785" t="str">
        <f>Price_List_BA!D305</f>
        <v>Morphine (10mg) (TZ)</v>
      </c>
      <c r="E345" s="786"/>
      <c r="F345" s="786"/>
      <c r="G345" s="786"/>
      <c r="J345" s="668" t="str">
        <f>Price_List_BA!J305</f>
        <v>10mg</v>
      </c>
      <c r="L345" s="127">
        <f>Price_List_BA!L305</f>
        <v>3.5625</v>
      </c>
    </row>
    <row r="346" spans="4:12" s="348" customFormat="1" ht="12.75" hidden="1" customHeight="1" outlineLevel="2" x14ac:dyDescent="0.2">
      <c r="D346" s="785" t="str">
        <f>Price_List_BA!D306</f>
        <v>Mutton Cloth (ZM)</v>
      </c>
      <c r="E346" s="786"/>
      <c r="F346" s="786"/>
      <c r="G346" s="786"/>
      <c r="J346" s="668" t="str">
        <f>Price_List_BA!J306</f>
        <v>metre</v>
      </c>
      <c r="L346" s="127">
        <f>Price_List_BA!L306</f>
        <v>6.5000000000000002E-2</v>
      </c>
    </row>
    <row r="347" spans="4:12" s="348" customFormat="1" ht="12.75" hidden="1" customHeight="1" outlineLevel="2" x14ac:dyDescent="0.2">
      <c r="D347" s="785" t="str">
        <f>Price_List_BA!D307</f>
        <v>Needle – 18 or 20 gauge (TZ)</v>
      </c>
      <c r="E347" s="786"/>
      <c r="F347" s="786"/>
      <c r="G347" s="786"/>
      <c r="J347" s="668" t="str">
        <f>Price_List_BA!J307</f>
        <v>one piece</v>
      </c>
      <c r="L347" s="127">
        <f>Price_List_BA!L307</f>
        <v>8.8541666666666671E-2</v>
      </c>
    </row>
    <row r="348" spans="4:12" s="348" customFormat="1" ht="12.75" hidden="1" customHeight="1" outlineLevel="2" x14ac:dyDescent="0.2">
      <c r="D348" s="785" t="str">
        <f>Price_List_BA!D308</f>
        <v>Needle - Spinal 22G (disposable) (ZM)</v>
      </c>
      <c r="E348" s="786"/>
      <c r="F348" s="786"/>
      <c r="G348" s="786"/>
      <c r="J348" s="668" t="str">
        <f>Price_List_BA!J308</f>
        <v>needle</v>
      </c>
      <c r="L348" s="127">
        <f>Price_List_BA!L308</f>
        <v>1.240208</v>
      </c>
    </row>
    <row r="349" spans="4:12" s="348" customFormat="1" ht="12.75" hidden="1" customHeight="1" outlineLevel="2" x14ac:dyDescent="0.2">
      <c r="D349" s="785" t="str">
        <f>Price_List_BA!D309</f>
        <v>Needle - Spinal 22G (disposable) (TZ)</v>
      </c>
      <c r="E349" s="786"/>
      <c r="F349" s="786"/>
      <c r="G349" s="786"/>
      <c r="J349" s="668" t="str">
        <f>Price_List_BA!J309</f>
        <v>one piece</v>
      </c>
      <c r="L349" s="127">
        <f>Price_List_BA!L309</f>
        <v>0.91249999999999998</v>
      </c>
    </row>
    <row r="350" spans="4:12" s="348" customFormat="1" ht="12.75" hidden="1" customHeight="1" outlineLevel="2" x14ac:dyDescent="0.2">
      <c r="D350" s="785" t="str">
        <f>Price_List_BA!D310</f>
        <v>Needles - Dental 27G Long (ZM)</v>
      </c>
      <c r="E350" s="786"/>
      <c r="F350" s="786"/>
      <c r="G350" s="786"/>
      <c r="J350" s="668" t="str">
        <f>Price_List_BA!J310</f>
        <v>needle</v>
      </c>
      <c r="L350" s="127">
        <f>Price_List_BA!L310</f>
        <v>0.30909999999999999</v>
      </c>
    </row>
    <row r="351" spans="4:12" s="348" customFormat="1" ht="12.75" hidden="1" customHeight="1" outlineLevel="2" x14ac:dyDescent="0.2">
      <c r="D351" s="785" t="str">
        <f>Price_List_BA!D311</f>
        <v>Neostymine (ZM)</v>
      </c>
      <c r="E351" s="786"/>
      <c r="F351" s="786"/>
      <c r="G351" s="786"/>
      <c r="J351" s="668" t="str">
        <f>Price_List_BA!J311</f>
        <v>SU</v>
      </c>
      <c r="L351" s="127">
        <f>Price_List_BA!L311</f>
        <v>0</v>
      </c>
    </row>
    <row r="352" spans="4:12" s="348" customFormat="1" ht="12.75" hidden="1" customHeight="1" outlineLevel="2" x14ac:dyDescent="0.2">
      <c r="D352" s="785" t="str">
        <f>Price_List_BA!D312</f>
        <v>Normal saline (UG)</v>
      </c>
      <c r="E352" s="786"/>
      <c r="F352" s="786"/>
      <c r="G352" s="786"/>
      <c r="J352" s="668" t="str">
        <f>Price_List_BA!J312</f>
        <v>mililiter</v>
      </c>
      <c r="L352" s="127">
        <f>Price_List_BA!L312</f>
        <v>8.4106217899683098E-4</v>
      </c>
    </row>
    <row r="353" spans="4:12" s="348" customFormat="1" ht="12.75" hidden="1" customHeight="1" outlineLevel="2" x14ac:dyDescent="0.2">
      <c r="D353" s="785" t="str">
        <f>Price_List_BA!D313</f>
        <v>Normal saline (ZM)</v>
      </c>
      <c r="E353" s="786"/>
      <c r="F353" s="786"/>
      <c r="G353" s="786"/>
      <c r="J353" s="668" t="str">
        <f>Price_List_BA!J313</f>
        <v>1 litre</v>
      </c>
      <c r="L353" s="127">
        <f>Price_List_BA!L313</f>
        <v>0</v>
      </c>
    </row>
    <row r="354" spans="4:12" s="348" customFormat="1" ht="12.75" hidden="1" customHeight="1" outlineLevel="2" x14ac:dyDescent="0.2">
      <c r="D354" s="785" t="str">
        <f>Price_List_BA!D314</f>
        <v>Nystain (200mg) (UG)</v>
      </c>
      <c r="E354" s="786"/>
      <c r="F354" s="786"/>
      <c r="G354" s="786"/>
      <c r="J354" s="668" t="str">
        <f>Price_List_BA!J314</f>
        <v>tablet</v>
      </c>
      <c r="L354" s="127">
        <f>Price_List_BA!L314</f>
        <v>2.9588372855425638E-2</v>
      </c>
    </row>
    <row r="355" spans="4:12" s="348" customFormat="1" ht="12.75" hidden="1" customHeight="1" outlineLevel="2" x14ac:dyDescent="0.2">
      <c r="D355" s="785" t="str">
        <f>Price_List_BA!D315</f>
        <v>Ondansetron (IV) 4mg vials</v>
      </c>
      <c r="E355" s="786"/>
      <c r="F355" s="786"/>
      <c r="G355" s="786"/>
      <c r="J355" s="668" t="str">
        <f>Price_List_BA!J315</f>
        <v>SU</v>
      </c>
      <c r="L355" s="127">
        <f>Price_List_BA!L315</f>
        <v>0</v>
      </c>
    </row>
    <row r="356" spans="4:12" s="348" customFormat="1" hidden="1" outlineLevel="2" x14ac:dyDescent="0.2">
      <c r="D356" s="785" t="str">
        <f>Price_List_BA!D316</f>
        <v>Ondasetron (oral) (4mg tablets)</v>
      </c>
      <c r="E356" s="786"/>
      <c r="F356" s="786"/>
      <c r="G356" s="786"/>
      <c r="J356" s="668" t="str">
        <f>Price_List_BA!J316</f>
        <v>tablet</v>
      </c>
      <c r="L356" s="127">
        <f>Price_List_BA!L316</f>
        <v>9</v>
      </c>
    </row>
    <row r="357" spans="4:12" s="348" customFormat="1" ht="12.95" hidden="1" customHeight="1" outlineLevel="2" x14ac:dyDescent="0.2">
      <c r="D357" s="785" t="str">
        <f>Price_List_BA!D317</f>
        <v>Opiods - Pethidine (ZM)</v>
      </c>
      <c r="E357" s="786"/>
      <c r="F357" s="786"/>
      <c r="G357" s="786"/>
      <c r="J357" s="668" t="str">
        <f>Price_List_BA!J317</f>
        <v>SU</v>
      </c>
      <c r="L357" s="127">
        <f>Price_List_BA!L317</f>
        <v>0</v>
      </c>
    </row>
    <row r="358" spans="4:12" s="348" customFormat="1" ht="12.75" hidden="1" customHeight="1" outlineLevel="2" x14ac:dyDescent="0.2">
      <c r="D358" s="785" t="str">
        <f>Price_List_BA!D318</f>
        <v>Supplies Category 109</v>
      </c>
      <c r="E358" s="786"/>
      <c r="F358" s="786"/>
      <c r="G358" s="786"/>
      <c r="J358" s="668" t="str">
        <f>Price_List_BA!J318</f>
        <v>SU</v>
      </c>
      <c r="L358" s="127">
        <f>Price_List_BA!L318</f>
        <v>0</v>
      </c>
    </row>
    <row r="359" spans="4:12" s="348" customFormat="1" ht="12.95" hidden="1" customHeight="1" outlineLevel="2" x14ac:dyDescent="0.2">
      <c r="D359" s="785" t="str">
        <f>Price_List_BA!D319</f>
        <v>Oralpharyngeal airway (ZM)</v>
      </c>
      <c r="E359" s="786"/>
      <c r="F359" s="786"/>
      <c r="G359" s="786"/>
      <c r="J359" s="668" t="str">
        <f>Price_List_BA!J319</f>
        <v>SU</v>
      </c>
      <c r="L359" s="127">
        <f>Price_List_BA!L319</f>
        <v>0</v>
      </c>
    </row>
    <row r="360" spans="4:12" s="348" customFormat="1" ht="12.95" hidden="1" customHeight="1" outlineLevel="2" x14ac:dyDescent="0.2">
      <c r="D360" s="785" t="str">
        <f>Price_List_BA!D320</f>
        <v>Oxygen Mask (ZM)</v>
      </c>
      <c r="E360" s="786"/>
      <c r="F360" s="786"/>
      <c r="G360" s="786"/>
      <c r="J360" s="668" t="str">
        <f>Price_List_BA!J320</f>
        <v>SU</v>
      </c>
      <c r="L360" s="127">
        <f>Price_List_BA!L320</f>
        <v>0</v>
      </c>
    </row>
    <row r="361" spans="4:12" s="348" customFormat="1" ht="12.95" hidden="1" customHeight="1" outlineLevel="2" x14ac:dyDescent="0.2">
      <c r="D361" s="785" t="str">
        <f>Price_List_BA!D321</f>
        <v>Pancuronuien (ZM)</v>
      </c>
      <c r="E361" s="786"/>
      <c r="F361" s="786"/>
      <c r="G361" s="786"/>
      <c r="J361" s="668" t="str">
        <f>Price_List_BA!J321</f>
        <v>SU</v>
      </c>
      <c r="L361" s="127">
        <f>Price_List_BA!L321</f>
        <v>0</v>
      </c>
    </row>
    <row r="362" spans="4:12" s="348" customFormat="1" ht="12.95" hidden="1" customHeight="1" outlineLevel="2" x14ac:dyDescent="0.2">
      <c r="D362" s="785" t="str">
        <f>Price_List_BA!D322</f>
        <v>Paracetamol (1g) (UG)</v>
      </c>
      <c r="E362" s="786"/>
      <c r="F362" s="786"/>
      <c r="G362" s="786"/>
      <c r="J362" s="668" t="str">
        <f>Price_List_BA!J322</f>
        <v>tablet</v>
      </c>
      <c r="L362" s="127">
        <f>Price_List_BA!L322</f>
        <v>1.1203409463446619E-2</v>
      </c>
    </row>
    <row r="363" spans="4:12" s="348" customFormat="1" ht="12.95" hidden="1" customHeight="1" outlineLevel="2" x14ac:dyDescent="0.2">
      <c r="D363" s="785" t="str">
        <f>Price_List_BA!D323</f>
        <v>Paracetamol (500mg) (ZM)</v>
      </c>
      <c r="E363" s="786"/>
      <c r="F363" s="786"/>
      <c r="G363" s="786"/>
      <c r="J363" s="668" t="str">
        <f>Price_List_BA!J323</f>
        <v>tablet</v>
      </c>
      <c r="L363" s="127">
        <f>Price_List_BA!L323</f>
        <v>2.0888E-3</v>
      </c>
    </row>
    <row r="364" spans="4:12" s="348" customFormat="1" ht="12.95" hidden="1" customHeight="1" outlineLevel="2" x14ac:dyDescent="0.2">
      <c r="D364" s="785" t="str">
        <f>Price_List_BA!D324</f>
        <v>Paracetamol (500mg) (TZ)</v>
      </c>
      <c r="E364" s="786"/>
      <c r="F364" s="786"/>
      <c r="G364" s="786"/>
      <c r="J364" s="668" t="str">
        <f>Price_List_BA!J324</f>
        <v>one tablet</v>
      </c>
      <c r="L364" s="127">
        <f>Price_List_BA!L324</f>
        <v>4.5624999999999997E-3</v>
      </c>
    </row>
    <row r="365" spans="4:12" s="348" customFormat="1" ht="12.95" hidden="1" customHeight="1" outlineLevel="2" x14ac:dyDescent="0.2">
      <c r="D365" s="785" t="str">
        <f>Price_List_BA!D325</f>
        <v>Paracetamol (500mg) (UG)</v>
      </c>
      <c r="E365" s="786"/>
      <c r="F365" s="786"/>
      <c r="G365" s="786"/>
      <c r="J365" s="668" t="str">
        <f>Price_List_BA!J325</f>
        <v>tablet</v>
      </c>
      <c r="L365" s="127">
        <f>Price_List_BA!L325</f>
        <v>5.6017047317233094E-3</v>
      </c>
    </row>
    <row r="366" spans="4:12" s="348" customFormat="1" ht="12.95" hidden="1" customHeight="1" outlineLevel="2" x14ac:dyDescent="0.2">
      <c r="D366" s="785" t="str">
        <f>Price_List_BA!D326</f>
        <v>Pathology form (TZ)</v>
      </c>
      <c r="E366" s="786"/>
      <c r="F366" s="786"/>
      <c r="G366" s="786"/>
      <c r="J366" s="668">
        <f>Price_List_BA!J326</f>
        <v>1</v>
      </c>
      <c r="L366" s="127">
        <f>Price_List_BA!L326</f>
        <v>0.31</v>
      </c>
    </row>
    <row r="367" spans="4:12" s="348" customFormat="1" ht="12.95" hidden="1" customHeight="1" outlineLevel="2" x14ac:dyDescent="0.2">
      <c r="D367" s="785" t="str">
        <f>Price_List_BA!D327</f>
        <v>Patient card (TZ)</v>
      </c>
      <c r="E367" s="786"/>
      <c r="F367" s="786"/>
      <c r="G367" s="786"/>
      <c r="J367" s="668" t="str">
        <f>Price_List_BA!J327</f>
        <v>card</v>
      </c>
      <c r="L367" s="127">
        <f>Price_List_BA!L327</f>
        <v>0.625</v>
      </c>
    </row>
    <row r="368" spans="4:12" s="348" customFormat="1" ht="12.95" hidden="1" customHeight="1" outlineLevel="2" x14ac:dyDescent="0.2">
      <c r="D368" s="785" t="str">
        <f>Price_List_BA!D328</f>
        <v>Pencil (TZ)</v>
      </c>
      <c r="E368" s="786"/>
      <c r="F368" s="786"/>
      <c r="G368" s="786"/>
      <c r="J368" s="668" t="str">
        <f>Price_List_BA!J328</f>
        <v>each</v>
      </c>
      <c r="L368" s="127">
        <f>Price_List_BA!L328</f>
        <v>0.1875</v>
      </c>
    </row>
    <row r="369" spans="4:12" s="348" customFormat="1" ht="12.75" hidden="1" customHeight="1" outlineLevel="2" x14ac:dyDescent="0.2">
      <c r="D369" s="785" t="str">
        <f>Price_List_BA!D329</f>
        <v>Perthodine (TZ)</v>
      </c>
      <c r="E369" s="786"/>
      <c r="F369" s="786"/>
      <c r="G369" s="786"/>
      <c r="J369" s="668" t="str">
        <f>Price_List_BA!J329</f>
        <v>100ml vial</v>
      </c>
      <c r="L369" s="127">
        <f>Price_List_BA!L329</f>
        <v>0.5625</v>
      </c>
    </row>
    <row r="370" spans="4:12" s="348" customFormat="1" ht="12.75" hidden="1" customHeight="1" outlineLevel="2" x14ac:dyDescent="0.2">
      <c r="D370" s="785" t="str">
        <f>Price_List_BA!D330</f>
        <v>Pipette Tips (TZ)</v>
      </c>
      <c r="E370" s="786"/>
      <c r="F370" s="786"/>
      <c r="G370" s="786"/>
      <c r="J370" s="668">
        <f>Price_List_BA!J330</f>
        <v>1</v>
      </c>
      <c r="L370" s="127">
        <f>Price_List_BA!L330</f>
        <v>9.3749999999999997E-3</v>
      </c>
    </row>
    <row r="371" spans="4:12" s="348" customFormat="1" ht="12.75" hidden="1" customHeight="1" outlineLevel="2" x14ac:dyDescent="0.2">
      <c r="D371" s="785" t="str">
        <f>Price_List_BA!D331</f>
        <v>Pipette, Fixed, 50 microlitre (TZ)</v>
      </c>
      <c r="E371" s="786"/>
      <c r="F371" s="786"/>
      <c r="G371" s="786"/>
      <c r="J371" s="668" t="str">
        <f>Price_List_BA!J331</f>
        <v>1 use</v>
      </c>
      <c r="L371" s="127">
        <f>Price_List_BA!L331</f>
        <v>7.4999999999999997E-2</v>
      </c>
    </row>
    <row r="372" spans="4:12" s="348" customFormat="1" ht="12.75" hidden="1" customHeight="1" outlineLevel="2" x14ac:dyDescent="0.2">
      <c r="D372" s="785" t="str">
        <f>Price_List_BA!D332</f>
        <v>Pipette, Repeater (TZ)</v>
      </c>
      <c r="E372" s="786"/>
      <c r="F372" s="786"/>
      <c r="G372" s="786"/>
      <c r="J372" s="668" t="str">
        <f>Price_List_BA!J332</f>
        <v>1 use</v>
      </c>
      <c r="L372" s="127">
        <f>Price_List_BA!L332</f>
        <v>6.2500000000000003E-3</v>
      </c>
    </row>
    <row r="373" spans="4:12" s="348" customFormat="1" ht="12.75" hidden="1" customHeight="1" outlineLevel="2" x14ac:dyDescent="0.2">
      <c r="D373" s="785" t="str">
        <f>Price_List_BA!D333</f>
        <v>Pregnancy test– urine test strip (ZM)</v>
      </c>
      <c r="E373" s="786"/>
      <c r="F373" s="786"/>
      <c r="G373" s="786"/>
      <c r="J373" s="668" t="str">
        <f>Price_List_BA!J333</f>
        <v>test</v>
      </c>
      <c r="L373" s="127">
        <f>Price_List_BA!L333</f>
        <v>0.14374900000000002</v>
      </c>
    </row>
    <row r="374" spans="4:12" s="348" customFormat="1" ht="12.75" hidden="1" customHeight="1" outlineLevel="2" x14ac:dyDescent="0.2">
      <c r="D374" s="785" t="str">
        <f>Price_List_BA!D334</f>
        <v>Pregnancy tests – urine test strips (TZ)</v>
      </c>
      <c r="E374" s="786"/>
      <c r="F374" s="786"/>
      <c r="G374" s="786"/>
      <c r="J374" s="668" t="str">
        <f>Price_List_BA!J334</f>
        <v>one strip</v>
      </c>
      <c r="L374" s="127">
        <f>Price_List_BA!L334</f>
        <v>0.15</v>
      </c>
    </row>
    <row r="375" spans="4:12" s="348" customFormat="1" ht="12.75" hidden="1" customHeight="1" outlineLevel="2" x14ac:dyDescent="0.2">
      <c r="D375" s="785" t="str">
        <f>Price_List_BA!D335</f>
        <v>Profol, 2%, 20 mg/l, 50ml (ZM)</v>
      </c>
      <c r="E375" s="786"/>
      <c r="F375" s="786"/>
      <c r="G375" s="786"/>
      <c r="J375" s="668" t="str">
        <f>Price_List_BA!J335</f>
        <v>SU</v>
      </c>
      <c r="L375" s="127">
        <f>Price_List_BA!L335</f>
        <v>0</v>
      </c>
    </row>
    <row r="376" spans="4:12" s="348" customFormat="1" ht="12.75" hidden="1" customHeight="1" outlineLevel="2" x14ac:dyDescent="0.2">
      <c r="D376" s="785" t="str">
        <f>Price_List_BA!D336</f>
        <v>Repeater Tips (TZ)</v>
      </c>
      <c r="E376" s="786"/>
      <c r="F376" s="786"/>
      <c r="G376" s="786"/>
      <c r="J376" s="668">
        <f>Price_List_BA!J336</f>
        <v>1</v>
      </c>
      <c r="L376" s="127">
        <f>Price_List_BA!L336</f>
        <v>9.3749999999999997E-3</v>
      </c>
    </row>
    <row r="377" spans="4:12" s="348" customFormat="1" ht="12.75" hidden="1" customHeight="1" outlineLevel="2" x14ac:dyDescent="0.2">
      <c r="D377" s="785" t="str">
        <f>Price_List_BA!D337</f>
        <v>Return electrode (UG)</v>
      </c>
      <c r="E377" s="786"/>
      <c r="F377" s="786"/>
      <c r="G377" s="786"/>
      <c r="J377" s="668" t="str">
        <f>Price_List_BA!J337</f>
        <v>piece</v>
      </c>
      <c r="L377" s="127">
        <f>Price_List_BA!L337</f>
        <v>9</v>
      </c>
    </row>
    <row r="378" spans="4:12" s="348" customFormat="1" ht="12.75" hidden="1" customHeight="1" outlineLevel="2" x14ac:dyDescent="0.2">
      <c r="D378" s="785" t="str">
        <f>Price_List_BA!D338</f>
        <v>Saline solution, normal (ZM)</v>
      </c>
      <c r="E378" s="786"/>
      <c r="F378" s="786"/>
      <c r="G378" s="786"/>
      <c r="J378" s="668" t="str">
        <f>Price_List_BA!J338</f>
        <v>bag</v>
      </c>
      <c r="L378" s="127">
        <f>Price_List_BA!L338</f>
        <v>0.8224583333333334</v>
      </c>
    </row>
    <row r="379" spans="4:12" s="348" customFormat="1" ht="12.75" hidden="1" customHeight="1" outlineLevel="2" x14ac:dyDescent="0.2">
      <c r="D379" s="785" t="str">
        <f>Price_List_BA!D339</f>
        <v>Saline solution, normal (TZ)</v>
      </c>
      <c r="E379" s="786"/>
      <c r="F379" s="786"/>
      <c r="G379" s="786"/>
      <c r="J379" s="668" t="str">
        <f>Price_List_BA!J339</f>
        <v>mililiter</v>
      </c>
      <c r="L379" s="127">
        <f>Price_List_BA!L339</f>
        <v>1.8749999999999999E-3</v>
      </c>
    </row>
    <row r="380" spans="4:12" s="348" customFormat="1" ht="12.75" hidden="1" customHeight="1" outlineLevel="2" x14ac:dyDescent="0.2">
      <c r="D380" s="785" t="str">
        <f>Price_List_BA!D340</f>
        <v>Sanitary pad (ZM)</v>
      </c>
      <c r="E380" s="786"/>
      <c r="F380" s="786"/>
      <c r="G380" s="786"/>
      <c r="J380" s="668" t="str">
        <f>Price_List_BA!J340</f>
        <v>pad</v>
      </c>
      <c r="L380" s="127">
        <f>Price_List_BA!L340</f>
        <v>0.191</v>
      </c>
    </row>
    <row r="381" spans="4:12" s="348" customFormat="1" ht="12.75" hidden="1" customHeight="1" outlineLevel="2" x14ac:dyDescent="0.2">
      <c r="D381" s="785" t="str">
        <f>Price_List_BA!D341</f>
        <v>Sanitary pad (UG)</v>
      </c>
      <c r="E381" s="786"/>
      <c r="F381" s="786"/>
      <c r="G381" s="786"/>
      <c r="J381" s="668" t="str">
        <f>Price_List_BA!J341</f>
        <v>piece</v>
      </c>
      <c r="L381" s="127">
        <f>Price_List_BA!L341</f>
        <v>1.3890406634369043E-2</v>
      </c>
    </row>
    <row r="382" spans="4:12" s="348" customFormat="1" ht="12.75" hidden="1" customHeight="1" outlineLevel="2" x14ac:dyDescent="0.2">
      <c r="D382" s="785" t="str">
        <f>Price_List_BA!D342</f>
        <v>Scouring Powder (Ajax)</v>
      </c>
      <c r="E382" s="786"/>
      <c r="F382" s="786"/>
      <c r="G382" s="786"/>
      <c r="J382" s="668" t="str">
        <f>Price_List_BA!J342</f>
        <v>1 gram</v>
      </c>
      <c r="L382" s="127">
        <f>Price_List_BA!L342</f>
        <v>2.6199999999999999E-3</v>
      </c>
    </row>
    <row r="383" spans="4:12" s="348" customFormat="1" ht="12.75" hidden="1" customHeight="1" outlineLevel="2" x14ac:dyDescent="0.2">
      <c r="D383" s="785" t="str">
        <f>Price_List_BA!D343</f>
        <v>Soap (or hand sanitizer) (ZM)</v>
      </c>
      <c r="E383" s="786"/>
      <c r="F383" s="786"/>
      <c r="G383" s="786"/>
      <c r="J383" s="668" t="str">
        <f>Price_List_BA!J343</f>
        <v>uses</v>
      </c>
      <c r="L383" s="127">
        <f>Price_List_BA!L343</f>
        <v>5.5999999999999999E-3</v>
      </c>
    </row>
    <row r="384" spans="4:12" s="348" customFormat="1" ht="12.75" hidden="1" customHeight="1" outlineLevel="2" x14ac:dyDescent="0.2">
      <c r="D384" s="785" t="str">
        <f>Price_List_BA!D344</f>
        <v>Soap (or hand sanitizer) (TZ)</v>
      </c>
      <c r="E384" s="786"/>
      <c r="F384" s="786"/>
      <c r="G384" s="786"/>
      <c r="J384" s="668" t="str">
        <f>Price_List_BA!J344</f>
        <v>1/25th</v>
      </c>
      <c r="L384" s="127">
        <f>Price_List_BA!L344</f>
        <v>2.75E-2</v>
      </c>
    </row>
    <row r="385" spans="4:12" s="348" customFormat="1" ht="12.75" hidden="1" customHeight="1" outlineLevel="2" x14ac:dyDescent="0.2">
      <c r="D385" s="785" t="str">
        <f>Price_List_BA!D345</f>
        <v>Specimen bottle / recyled syringe bottles (UG)</v>
      </c>
      <c r="E385" s="786"/>
      <c r="F385" s="786"/>
      <c r="G385" s="786"/>
      <c r="J385" s="668" t="str">
        <f>Price_List_BA!J345</f>
        <v>piece</v>
      </c>
      <c r="L385" s="127">
        <f>Price_List_BA!L345</f>
        <v>0.32350000000000001</v>
      </c>
    </row>
    <row r="386" spans="4:12" s="348" customFormat="1" ht="12.75" hidden="1" customHeight="1" outlineLevel="2" x14ac:dyDescent="0.2">
      <c r="D386" s="785" t="str">
        <f>Price_List_BA!D346</f>
        <v>Specimen cup with lid and label - 100 cc (TZ)</v>
      </c>
      <c r="E386" s="786"/>
      <c r="F386" s="786"/>
      <c r="G386" s="786"/>
      <c r="J386" s="668" t="str">
        <f>Price_List_BA!J346</f>
        <v>cup with lid</v>
      </c>
      <c r="L386" s="127">
        <f>Price_List_BA!L346</f>
        <v>6.25E-2</v>
      </c>
    </row>
    <row r="387" spans="4:12" s="348" customFormat="1" ht="12.75" hidden="1" customHeight="1" outlineLevel="2" x14ac:dyDescent="0.2">
      <c r="D387" s="785" t="str">
        <f>Price_List_BA!D347</f>
        <v>Surgical Apron (ZM)</v>
      </c>
      <c r="E387" s="786"/>
      <c r="F387" s="786"/>
      <c r="G387" s="786"/>
      <c r="J387" s="668" t="str">
        <f>Price_List_BA!J347</f>
        <v>apron</v>
      </c>
      <c r="L387" s="127">
        <f>Price_List_BA!L347</f>
        <v>0.10705000000000001</v>
      </c>
    </row>
    <row r="388" spans="4:12" s="348" customFormat="1" ht="12.75" hidden="1" customHeight="1" outlineLevel="2" x14ac:dyDescent="0.2">
      <c r="D388" s="785" t="str">
        <f>Price_List_BA!D348</f>
        <v>Suxamethonium (ZM)</v>
      </c>
      <c r="E388" s="786"/>
      <c r="F388" s="786"/>
      <c r="G388" s="786"/>
      <c r="J388" s="668" t="str">
        <f>Price_List_BA!J348</f>
        <v>SU</v>
      </c>
      <c r="L388" s="127">
        <f>Price_List_BA!L348</f>
        <v>0</v>
      </c>
    </row>
    <row r="389" spans="4:12" s="348" customFormat="1" ht="12.75" hidden="1" customHeight="1" outlineLevel="2" x14ac:dyDescent="0.2">
      <c r="D389" s="785" t="str">
        <f>Price_List_BA!D349</f>
        <v>Syringe - 2cc (ZM)</v>
      </c>
      <c r="E389" s="786"/>
      <c r="F389" s="786"/>
      <c r="G389" s="786"/>
      <c r="J389" s="668" t="str">
        <f>Price_List_BA!J349</f>
        <v>syringe</v>
      </c>
      <c r="L389" s="127">
        <f>Price_List_BA!L349</f>
        <v>1.9598999999999998E-2</v>
      </c>
    </row>
    <row r="390" spans="4:12" s="348" customFormat="1" ht="12.75" hidden="1" customHeight="1" outlineLevel="2" x14ac:dyDescent="0.2">
      <c r="D390" s="785" t="str">
        <f>Price_List_BA!D350</f>
        <v>Syringe - 2ml (UG)</v>
      </c>
      <c r="E390" s="786"/>
      <c r="F390" s="786"/>
      <c r="G390" s="786"/>
      <c r="J390" s="668" t="str">
        <f>Price_List_BA!J350</f>
        <v>syringe</v>
      </c>
      <c r="L390" s="127">
        <f>Price_List_BA!L350</f>
        <v>6.4910938695224574E-2</v>
      </c>
    </row>
    <row r="391" spans="4:12" s="348" customFormat="1" ht="12.75" hidden="1" customHeight="1" outlineLevel="2" x14ac:dyDescent="0.2">
      <c r="D391" s="785" t="str">
        <f>Price_List_BA!D351</f>
        <v>Syringe, 10 cc with needle (ZM)</v>
      </c>
      <c r="E391" s="786"/>
      <c r="F391" s="786"/>
      <c r="G391" s="786"/>
      <c r="J391" s="668" t="str">
        <f>Price_List_BA!J351</f>
        <v>syringe w/needle</v>
      </c>
      <c r="L391" s="127">
        <f>Price_List_BA!L351</f>
        <v>2.4021000000000001E-2</v>
      </c>
    </row>
    <row r="392" spans="4:12" s="348" customFormat="1" ht="12.75" hidden="1" customHeight="1" outlineLevel="2" x14ac:dyDescent="0.2">
      <c r="D392" s="785" t="str">
        <f>Price_List_BA!D352</f>
        <v>Syringe, 5 cc with needle (ZM)</v>
      </c>
      <c r="E392" s="786"/>
      <c r="F392" s="786"/>
      <c r="G392" s="786"/>
      <c r="J392" s="668" t="str">
        <f>Price_List_BA!J352</f>
        <v>syringe w/needle</v>
      </c>
      <c r="L392" s="127">
        <f>Price_List_BA!L352</f>
        <v>1.4752000000000001E-2</v>
      </c>
    </row>
    <row r="393" spans="4:12" s="348" customFormat="1" ht="12.75" hidden="1" customHeight="1" outlineLevel="2" x14ac:dyDescent="0.2">
      <c r="D393" s="785" t="str">
        <f>Price_List_BA!D353</f>
        <v>Syringes, 10 cc with needle (TZ)</v>
      </c>
      <c r="E393" s="786"/>
      <c r="F393" s="786"/>
      <c r="G393" s="786"/>
      <c r="J393" s="668" t="str">
        <f>Price_List_BA!J353</f>
        <v>one piece</v>
      </c>
      <c r="L393" s="127">
        <f>Price_List_BA!L353</f>
        <v>6.25E-2</v>
      </c>
    </row>
    <row r="394" spans="4:12" s="348" customFormat="1" ht="12.75" hidden="1" customHeight="1" outlineLevel="2" x14ac:dyDescent="0.2">
      <c r="D394" s="785" t="str">
        <f>Price_List_BA!D354</f>
        <v>Syringes, 5 cc with needle (TZ)</v>
      </c>
      <c r="E394" s="786"/>
      <c r="F394" s="786"/>
      <c r="G394" s="786"/>
      <c r="J394" s="668" t="str">
        <f>Price_List_BA!J354</f>
        <v>1 syringe with needle</v>
      </c>
      <c r="L394" s="127">
        <f>Price_List_BA!L354</f>
        <v>4.3749999999999997E-2</v>
      </c>
    </row>
    <row r="395" spans="4:12" s="348" customFormat="1" ht="12.75" hidden="1" customHeight="1" outlineLevel="2" x14ac:dyDescent="0.2">
      <c r="D395" s="785" t="str">
        <f>Price_List_BA!D355</f>
        <v>Syringes, Dental, 25 gauge (ZM)</v>
      </c>
      <c r="E395" s="786"/>
      <c r="F395" s="786"/>
      <c r="G395" s="786"/>
      <c r="J395" s="668" t="str">
        <f>Price_List_BA!J355</f>
        <v>one syringe</v>
      </c>
      <c r="L395" s="127">
        <f>Price_List_BA!L355</f>
        <v>0.48200000000000004</v>
      </c>
    </row>
    <row r="396" spans="4:12" s="348" customFormat="1" ht="12.75" hidden="1" customHeight="1" outlineLevel="2" x14ac:dyDescent="0.2">
      <c r="D396" s="785" t="str">
        <f>Price_List_BA!D356</f>
        <v>Thiopentone,500mg vial (ZM)</v>
      </c>
      <c r="E396" s="786"/>
      <c r="F396" s="786"/>
      <c r="G396" s="786"/>
      <c r="J396" s="668" t="str">
        <f>Price_List_BA!J356</f>
        <v>SU</v>
      </c>
      <c r="L396" s="127">
        <f>Price_List_BA!L356</f>
        <v>0</v>
      </c>
    </row>
    <row r="397" spans="4:12" s="348" customFormat="1" ht="12.75" hidden="1" customHeight="1" outlineLevel="2" x14ac:dyDescent="0.2">
      <c r="D397" s="785" t="str">
        <f>Price_List_BA!D357</f>
        <v>Toilet Tissues (roll) – 500 sheets (ZM)</v>
      </c>
      <c r="E397" s="786"/>
      <c r="F397" s="786"/>
      <c r="G397" s="786"/>
      <c r="J397" s="668" t="str">
        <f>Price_List_BA!J357</f>
        <v>10 sheets</v>
      </c>
      <c r="L397" s="127">
        <f>Price_List_BA!L357</f>
        <v>8.4000000000000012E-3</v>
      </c>
    </row>
    <row r="398" spans="4:12" s="348" customFormat="1" ht="12.75" hidden="1" customHeight="1" outlineLevel="2" x14ac:dyDescent="0.2">
      <c r="D398" s="785" t="str">
        <f>Price_List_BA!D358</f>
        <v>Tramadol (50mg)  (ZM)</v>
      </c>
      <c r="E398" s="786"/>
      <c r="F398" s="786"/>
      <c r="G398" s="786"/>
      <c r="J398" s="668" t="str">
        <f>Price_List_BA!J358</f>
        <v>tablet</v>
      </c>
      <c r="L398" s="127">
        <f>Price_List_BA!L358</f>
        <v>1.0829E-2</v>
      </c>
    </row>
    <row r="399" spans="4:12" s="348" customFormat="1" ht="12.75" hidden="1" customHeight="1" outlineLevel="2" x14ac:dyDescent="0.2">
      <c r="D399" s="785" t="str">
        <f>Price_List_BA!D359</f>
        <v>Tramadol (50mg) (TZ)</v>
      </c>
      <c r="E399" s="786"/>
      <c r="F399" s="786"/>
      <c r="G399" s="786"/>
      <c r="J399" s="668" t="str">
        <f>Price_List_BA!J359</f>
        <v>one tablet</v>
      </c>
      <c r="L399" s="127">
        <f>Price_List_BA!L359</f>
        <v>5.7750000000000003E-2</v>
      </c>
    </row>
    <row r="400" spans="4:12" s="348" customFormat="1" ht="12.75" hidden="1" customHeight="1" outlineLevel="2" x14ac:dyDescent="0.2">
      <c r="D400" s="785" t="str">
        <f>Price_List_BA!D360</f>
        <v>Tubes - Endotrach (ZM)</v>
      </c>
      <c r="E400" s="786"/>
      <c r="F400" s="786"/>
      <c r="G400" s="786"/>
      <c r="J400" s="668" t="str">
        <f>Price_List_BA!J360</f>
        <v>SU</v>
      </c>
      <c r="L400" s="127">
        <f>Price_List_BA!L360</f>
        <v>0</v>
      </c>
    </row>
    <row r="401" spans="4:12" s="348" customFormat="1" ht="12.75" hidden="1" customHeight="1" outlineLevel="2" x14ac:dyDescent="0.2">
      <c r="D401" s="785" t="str">
        <f>Price_List_BA!D361</f>
        <v>Urine Bag (ZM)</v>
      </c>
      <c r="E401" s="786"/>
      <c r="F401" s="786"/>
      <c r="G401" s="786"/>
      <c r="J401" s="668" t="str">
        <f>Price_List_BA!J361</f>
        <v>bag</v>
      </c>
      <c r="L401" s="127">
        <f>Price_List_BA!L361</f>
        <v>0.25979099999999999</v>
      </c>
    </row>
    <row r="402" spans="4:12" s="348" customFormat="1" ht="12.75" hidden="1" customHeight="1" outlineLevel="2" x14ac:dyDescent="0.2">
      <c r="D402" s="785" t="str">
        <f>Price_List_BA!D362</f>
        <v>Urine Bag (TZ)</v>
      </c>
      <c r="E402" s="786"/>
      <c r="F402" s="786"/>
      <c r="G402" s="786"/>
      <c r="J402" s="668" t="str">
        <f>Price_List_BA!J362</f>
        <v>one bag</v>
      </c>
      <c r="L402" s="127">
        <f>Price_List_BA!L362</f>
        <v>0.21249999999999999</v>
      </c>
    </row>
    <row r="403" spans="4:12" s="348" customFormat="1" ht="12.75" hidden="1" customHeight="1" outlineLevel="2" x14ac:dyDescent="0.2">
      <c r="D403" s="785" t="str">
        <f>Price_List_BA!D363</f>
        <v>Washing powder (ZM)</v>
      </c>
      <c r="E403" s="786"/>
      <c r="F403" s="786"/>
      <c r="G403" s="786"/>
      <c r="J403" s="668" t="str">
        <f>Price_List_BA!J363</f>
        <v>gram</v>
      </c>
      <c r="L403" s="127">
        <f>Price_List_BA!L363</f>
        <v>3.0000000000000001E-3</v>
      </c>
    </row>
    <row r="404" spans="4:12" s="348" customFormat="1" ht="12.75" hidden="1" customHeight="1" outlineLevel="2" x14ac:dyDescent="0.2">
      <c r="D404" s="785" t="str">
        <f>Price_List_BA!D364</f>
        <v>Wire electrode (UG)</v>
      </c>
      <c r="E404" s="786"/>
      <c r="F404" s="786"/>
      <c r="G404" s="786"/>
      <c r="J404" s="668" t="str">
        <f>Price_List_BA!J364</f>
        <v>electrode</v>
      </c>
      <c r="L404" s="127">
        <f>Price_List_BA!L364</f>
        <v>9</v>
      </c>
    </row>
    <row r="405" spans="4:12" s="348" customFormat="1" ht="12.75" hidden="1" customHeight="1" outlineLevel="2" x14ac:dyDescent="0.2">
      <c r="D405" s="785" t="str">
        <f>Price_List_BA!D365</f>
        <v>Wood stick (ZM)</v>
      </c>
      <c r="E405" s="786"/>
      <c r="F405" s="786"/>
      <c r="G405" s="786"/>
      <c r="J405" s="668" t="str">
        <f>Price_List_BA!J365</f>
        <v>stick</v>
      </c>
      <c r="L405" s="127">
        <f>Price_List_BA!L365</f>
        <v>2.0052E-3</v>
      </c>
    </row>
    <row r="406" spans="4:12" s="348" customFormat="1" ht="12.75" hidden="1" customHeight="1" outlineLevel="2" x14ac:dyDescent="0.2">
      <c r="D406" s="785" t="str">
        <f>Price_List_BA!D366</f>
        <v>Wood stick (TZ)</v>
      </c>
      <c r="E406" s="786"/>
      <c r="F406" s="786"/>
      <c r="G406" s="786"/>
      <c r="J406" s="668" t="str">
        <f>Price_List_BA!J366</f>
        <v>one stick</v>
      </c>
      <c r="L406" s="127">
        <f>Price_List_BA!L366</f>
        <v>1.2500000000000001E-2</v>
      </c>
    </row>
    <row r="407" spans="4:12" s="348" customFormat="1" ht="12.75" hidden="1" customHeight="1" outlineLevel="2" x14ac:dyDescent="0.2">
      <c r="D407" s="785" t="str">
        <f>Price_List_BA!D367</f>
        <v>Supplies Category 158</v>
      </c>
      <c r="E407" s="786"/>
      <c r="F407" s="786"/>
      <c r="G407" s="786"/>
      <c r="J407" s="668" t="str">
        <f>Price_List_BA!J367</f>
        <v>SU</v>
      </c>
      <c r="L407" s="127">
        <f>Price_List_BA!L367</f>
        <v>0</v>
      </c>
    </row>
    <row r="408" spans="4:12" s="348" customFormat="1" ht="12.75" hidden="1" customHeight="1" outlineLevel="2" x14ac:dyDescent="0.2">
      <c r="D408" s="785" t="str">
        <f>Price_List_BA!D368</f>
        <v>Supplies Category 159</v>
      </c>
      <c r="E408" s="786"/>
      <c r="F408" s="786"/>
      <c r="G408" s="786"/>
      <c r="J408" s="668" t="str">
        <f>Price_List_BA!J368</f>
        <v>SU</v>
      </c>
      <c r="L408" s="127">
        <f>Price_List_BA!L368</f>
        <v>0</v>
      </c>
    </row>
    <row r="409" spans="4:12" s="348" customFormat="1" ht="12.75" hidden="1" customHeight="1" outlineLevel="2" x14ac:dyDescent="0.2">
      <c r="D409" s="785" t="str">
        <f>Price_List_BA!D369</f>
        <v>Supplies Category 160</v>
      </c>
      <c r="E409" s="786"/>
      <c r="F409" s="786"/>
      <c r="G409" s="786"/>
      <c r="J409" s="668" t="str">
        <f>Price_List_BA!J369</f>
        <v>SU</v>
      </c>
      <c r="L409" s="127">
        <f>Price_List_BA!L369</f>
        <v>0</v>
      </c>
    </row>
    <row r="410" spans="4:12" s="348" customFormat="1" ht="12.75" hidden="1" customHeight="1" outlineLevel="2" x14ac:dyDescent="0.2">
      <c r="D410" s="785" t="str">
        <f>Price_List_BA!D370</f>
        <v>Supplies Category 161</v>
      </c>
      <c r="E410" s="786"/>
      <c r="F410" s="786"/>
      <c r="G410" s="786"/>
      <c r="J410" s="668" t="str">
        <f>Price_List_BA!J370</f>
        <v>SU</v>
      </c>
      <c r="L410" s="127">
        <f>Price_List_BA!L370</f>
        <v>0</v>
      </c>
    </row>
    <row r="411" spans="4:12" s="348" customFormat="1" ht="12.75" hidden="1" customHeight="1" outlineLevel="2" x14ac:dyDescent="0.2">
      <c r="D411" s="785" t="str">
        <f>Price_List_BA!D371</f>
        <v>Supplies Category 162</v>
      </c>
      <c r="E411" s="786"/>
      <c r="F411" s="786"/>
      <c r="G411" s="786"/>
      <c r="J411" s="668" t="str">
        <f>Price_List_BA!J371</f>
        <v>SU</v>
      </c>
      <c r="L411" s="127">
        <f>Price_List_BA!L371</f>
        <v>0</v>
      </c>
    </row>
    <row r="412" spans="4:12" s="348" customFormat="1" ht="12.75" hidden="1" customHeight="1" outlineLevel="2" x14ac:dyDescent="0.2">
      <c r="D412" s="785" t="str">
        <f>Price_List_BA!D372</f>
        <v>Supplies Category 163</v>
      </c>
      <c r="E412" s="786"/>
      <c r="F412" s="786"/>
      <c r="G412" s="786"/>
      <c r="J412" s="668" t="str">
        <f>Price_List_BA!J372</f>
        <v>SU</v>
      </c>
      <c r="L412" s="127">
        <f>Price_List_BA!L372</f>
        <v>0</v>
      </c>
    </row>
    <row r="413" spans="4:12" s="348" customFormat="1" ht="12.75" hidden="1" customHeight="1" outlineLevel="2" x14ac:dyDescent="0.2">
      <c r="D413" s="785" t="str">
        <f>Price_List_BA!D373</f>
        <v>Other Supply (Specify)</v>
      </c>
      <c r="E413" s="786"/>
      <c r="F413" s="786"/>
      <c r="G413" s="786"/>
      <c r="J413" s="668" t="str">
        <f>Price_List_BA!J373</f>
        <v>SU</v>
      </c>
      <c r="L413" s="127">
        <f>Price_List_BA!L373</f>
        <v>0</v>
      </c>
    </row>
    <row r="414" spans="4:12" s="348" customFormat="1" ht="12.75" hidden="1" customHeight="1" outlineLevel="2" x14ac:dyDescent="0.2">
      <c r="D414" s="785" t="str">
        <f>Price_List_BA!D374</f>
        <v>Other Supply (Specify)</v>
      </c>
      <c r="E414" s="786"/>
      <c r="F414" s="786"/>
      <c r="G414" s="786"/>
      <c r="J414" s="668" t="str">
        <f>Price_List_BA!J374</f>
        <v>SU</v>
      </c>
      <c r="L414" s="127">
        <f>Price_List_BA!L374</f>
        <v>0</v>
      </c>
    </row>
    <row r="415" spans="4:12" s="348" customFormat="1" ht="12.75" hidden="1" customHeight="1" outlineLevel="2" x14ac:dyDescent="0.2">
      <c r="D415" s="785" t="str">
        <f>Price_List_BA!D375</f>
        <v>Other Supply (Specify)</v>
      </c>
      <c r="E415" s="786"/>
      <c r="F415" s="786"/>
      <c r="G415" s="786"/>
      <c r="J415" s="668" t="str">
        <f>Price_List_BA!J375</f>
        <v>SU</v>
      </c>
      <c r="L415" s="127">
        <f>Price_List_BA!L375</f>
        <v>0</v>
      </c>
    </row>
    <row r="416" spans="4:12" s="348" customFormat="1" ht="12.75" hidden="1" customHeight="1" outlineLevel="2" x14ac:dyDescent="0.2">
      <c r="D416" s="785" t="str">
        <f>Price_List_BA!D376</f>
        <v>Other Supply (Specify)</v>
      </c>
      <c r="E416" s="786"/>
      <c r="F416" s="786"/>
      <c r="G416" s="786"/>
      <c r="J416" s="668" t="str">
        <f>Price_List_BA!J376</f>
        <v>SU</v>
      </c>
      <c r="L416" s="127">
        <f>Price_List_BA!L376</f>
        <v>0</v>
      </c>
    </row>
    <row r="417" spans="4:12" s="348" customFormat="1" hidden="1" outlineLevel="2" x14ac:dyDescent="0.2"/>
    <row r="418" spans="4:12" s="348" customFormat="1" ht="25.5" hidden="1" outlineLevel="2" x14ac:dyDescent="0.2">
      <c r="D418" s="667" t="s">
        <v>313</v>
      </c>
      <c r="J418" s="365" t="str">
        <f>"Cost per Unit ("&amp;$I$181&amp;"/Unit)"</f>
        <v>Cost per Unit (USD/Unit)</v>
      </c>
      <c r="K418" s="365" t="str">
        <f>"Annual Financial Cost ("&amp;$I$181&amp;"/Unit)"</f>
        <v>Annual Financial Cost (USD/Unit)</v>
      </c>
      <c r="L418" s="312" t="str">
        <f>"Annual Economic Cost ("&amp;$I$181&amp;"/Unit)"</f>
        <v>Annual Economic Cost (USD/Unit)</v>
      </c>
    </row>
    <row r="419" spans="4:12" s="348" customFormat="1" ht="12.95" hidden="1" customHeight="1" outlineLevel="2" x14ac:dyDescent="0.2">
      <c r="D419" s="785" t="str">
        <f>Price_List_BA!D84</f>
        <v>_Not Applicable</v>
      </c>
      <c r="E419" s="786"/>
      <c r="F419" s="786"/>
      <c r="G419" s="786"/>
      <c r="J419" s="127">
        <f>Price_List_BA!L84</f>
        <v>0</v>
      </c>
      <c r="K419" s="127">
        <f>Price_List_BA!O84</f>
        <v>0</v>
      </c>
      <c r="L419" s="127">
        <f>Price_List_BA!P84</f>
        <v>0</v>
      </c>
    </row>
    <row r="420" spans="4:12" s="348" customFormat="1" ht="12.95" hidden="1" customHeight="1" outlineLevel="2" x14ac:dyDescent="0.2">
      <c r="D420" s="785" t="str">
        <f>Price_List_BA!D85</f>
        <v>Aluminum pail with lid (TZ)</v>
      </c>
      <c r="E420" s="786"/>
      <c r="F420" s="786"/>
      <c r="G420" s="786"/>
      <c r="J420" s="127">
        <f>Price_List_BA!L85</f>
        <v>11.25</v>
      </c>
      <c r="K420" s="127">
        <f>Price_List_BA!O85</f>
        <v>1.125</v>
      </c>
      <c r="L420" s="127">
        <f>Price_List_BA!P85</f>
        <v>1.3188431993080456</v>
      </c>
    </row>
    <row r="421" spans="4:12" s="348" customFormat="1" ht="12.95" hidden="1" customHeight="1" outlineLevel="2" x14ac:dyDescent="0.2">
      <c r="D421" s="785" t="str">
        <f>Price_List_BA!D86</f>
        <v>Autoclaving Machine (ZM)</v>
      </c>
      <c r="E421" s="786"/>
      <c r="F421" s="786"/>
      <c r="G421" s="786"/>
      <c r="J421" s="127">
        <f>Price_List_BA!L86</f>
        <v>5610</v>
      </c>
      <c r="K421" s="127">
        <f>Price_List_BA!O86</f>
        <v>2805</v>
      </c>
      <c r="L421" s="127">
        <f>Price_List_BA!P86</f>
        <v>2931.8467980295582</v>
      </c>
    </row>
    <row r="422" spans="4:12" s="348" customFormat="1" hidden="1" outlineLevel="2" x14ac:dyDescent="0.2">
      <c r="D422" s="785" t="str">
        <f>Price_List_BA!D87</f>
        <v>Ball electrode  5mm/Ellman (ZM)</v>
      </c>
      <c r="E422" s="786"/>
      <c r="F422" s="786"/>
      <c r="G422" s="786"/>
      <c r="J422" s="127">
        <f>Price_List_BA!L87</f>
        <v>37.200000000000003</v>
      </c>
      <c r="K422" s="127">
        <f>Price_List_BA!O87</f>
        <v>37.200000000000003</v>
      </c>
      <c r="L422" s="127">
        <f>Price_List_BA!P87</f>
        <v>38.315999999999967</v>
      </c>
    </row>
    <row r="423" spans="4:12" s="348" customFormat="1" ht="12.95" hidden="1" customHeight="1" outlineLevel="2" x14ac:dyDescent="0.2">
      <c r="D423" s="785" t="str">
        <f>Price_List_BA!D88</f>
        <v>Basin (for examination couch) (ZM)</v>
      </c>
      <c r="E423" s="786"/>
      <c r="F423" s="786"/>
      <c r="G423" s="786"/>
      <c r="J423" s="127">
        <f>Price_List_BA!L88</f>
        <v>2</v>
      </c>
      <c r="K423" s="127">
        <f>Price_List_BA!O88</f>
        <v>1</v>
      </c>
      <c r="L423" s="127">
        <f>Price_List_BA!P88</f>
        <v>1.0452216748768479</v>
      </c>
    </row>
    <row r="424" spans="4:12" s="348" customFormat="1" ht="12.95" hidden="1" customHeight="1" outlineLevel="2" x14ac:dyDescent="0.2">
      <c r="D424" s="785" t="str">
        <f>Price_List_BA!D89</f>
        <v>Battery Charger (ZM)</v>
      </c>
      <c r="E424" s="786"/>
      <c r="F424" s="786"/>
      <c r="G424" s="786"/>
      <c r="J424" s="127">
        <f>Price_List_BA!L89</f>
        <v>50</v>
      </c>
      <c r="K424" s="127">
        <f>Price_List_BA!O89</f>
        <v>16.666666666666668</v>
      </c>
      <c r="L424" s="127">
        <f>Price_List_BA!P89</f>
        <v>17.676518166229901</v>
      </c>
    </row>
    <row r="425" spans="4:12" s="348" customFormat="1" ht="12.95" hidden="1" customHeight="1" outlineLevel="2" x14ac:dyDescent="0.2">
      <c r="D425" s="785" t="str">
        <f>Price_List_BA!D90</f>
        <v>Bucket (UG)</v>
      </c>
      <c r="E425" s="786"/>
      <c r="F425" s="786"/>
      <c r="G425" s="786"/>
      <c r="J425" s="127">
        <f>Price_List_BA!L90</f>
        <v>42.303199999999997</v>
      </c>
      <c r="K425" s="127">
        <f>Price_List_BA!O90</f>
        <v>4.2303199999999999</v>
      </c>
      <c r="L425" s="127">
        <f>Price_List_BA!P90</f>
        <v>4.9592255670193879</v>
      </c>
    </row>
    <row r="426" spans="4:12" s="348" customFormat="1" ht="12.95" hidden="1" customHeight="1" outlineLevel="2" x14ac:dyDescent="0.2">
      <c r="D426" s="785" t="str">
        <f>Price_List_BA!D91</f>
        <v>Bucket 20Lt plastic with lid (ZM)</v>
      </c>
      <c r="E426" s="786"/>
      <c r="F426" s="786"/>
      <c r="G426" s="786"/>
      <c r="J426" s="127">
        <f>Price_List_BA!L91</f>
        <v>4</v>
      </c>
      <c r="K426" s="127">
        <f>Price_List_BA!O91</f>
        <v>0.8</v>
      </c>
      <c r="L426" s="127">
        <f>Price_List_BA!P91</f>
        <v>0.87341828560230483</v>
      </c>
    </row>
    <row r="427" spans="4:12" s="348" customFormat="1" ht="12.95" hidden="1" customHeight="1" outlineLevel="2" x14ac:dyDescent="0.2">
      <c r="D427" s="785" t="str">
        <f>Price_List_BA!D92</f>
        <v>Camera Rechargeable batteries ( set of 6) (ZM)</v>
      </c>
      <c r="E427" s="786"/>
      <c r="F427" s="786"/>
      <c r="G427" s="786"/>
      <c r="J427" s="127">
        <f>Price_List_BA!L92</f>
        <v>20</v>
      </c>
      <c r="K427" s="127">
        <f>Price_List_BA!O92</f>
        <v>2</v>
      </c>
      <c r="L427" s="127">
        <f>Price_List_BA!P92</f>
        <v>2.3446101321031922</v>
      </c>
    </row>
    <row r="428" spans="4:12" s="348" customFormat="1" ht="12.95" hidden="1" customHeight="1" outlineLevel="2" x14ac:dyDescent="0.2">
      <c r="D428" s="785" t="str">
        <f>Price_List_BA!D93</f>
        <v>Card Reader (ZM)</v>
      </c>
      <c r="E428" s="786"/>
      <c r="F428" s="786"/>
      <c r="G428" s="786"/>
      <c r="J428" s="127">
        <f>Price_List_BA!L93</f>
        <v>40</v>
      </c>
      <c r="K428" s="127">
        <f>Price_List_BA!O93</f>
        <v>20</v>
      </c>
      <c r="L428" s="127">
        <f>Price_List_BA!P93</f>
        <v>20.904433497536957</v>
      </c>
    </row>
    <row r="429" spans="4:12" s="348" customFormat="1" ht="12.95" hidden="1" customHeight="1" outlineLevel="2" x14ac:dyDescent="0.2">
      <c r="D429" s="785" t="str">
        <f>Price_List_BA!D94</f>
        <v>CareHPV Machine (kit set) (ZM)</v>
      </c>
      <c r="E429" s="786"/>
      <c r="F429" s="786"/>
      <c r="G429" s="786"/>
      <c r="J429" s="127">
        <f>Price_List_BA!L94</f>
        <v>150</v>
      </c>
      <c r="K429" s="127">
        <f>Price_List_BA!O94</f>
        <v>16.666666666666668</v>
      </c>
      <c r="L429" s="127">
        <f>Price_List_BA!P94</f>
        <v>19.265078552715515</v>
      </c>
    </row>
    <row r="430" spans="4:12" s="348" customFormat="1" ht="12.95" hidden="1" customHeight="1" outlineLevel="2" x14ac:dyDescent="0.2">
      <c r="D430" s="785" t="str">
        <f>Price_List_BA!D95</f>
        <v>CareHPV Machine (kit)  (TZ)</v>
      </c>
      <c r="E430" s="786"/>
      <c r="F430" s="786"/>
      <c r="G430" s="786"/>
      <c r="J430" s="127">
        <f>Price_List_BA!L95</f>
        <v>1000</v>
      </c>
      <c r="K430" s="127">
        <f>Price_List_BA!O95</f>
        <v>500</v>
      </c>
      <c r="L430" s="127">
        <f>Price_List_BA!P95</f>
        <v>522.61083743842391</v>
      </c>
    </row>
    <row r="431" spans="4:12" s="348" customFormat="1" ht="12.95" hidden="1" customHeight="1" outlineLevel="2" x14ac:dyDescent="0.2">
      <c r="D431" s="785" t="str">
        <f>Price_List_BA!D96</f>
        <v>Cauterizer (ZM)</v>
      </c>
      <c r="E431" s="786"/>
      <c r="F431" s="786"/>
      <c r="G431" s="786"/>
      <c r="J431" s="127">
        <f>Price_List_BA!L96</f>
        <v>100</v>
      </c>
      <c r="K431" s="127">
        <f>Price_List_BA!O96</f>
        <v>10</v>
      </c>
      <c r="L431" s="127">
        <f>Price_List_BA!P96</f>
        <v>11.723050660515961</v>
      </c>
    </row>
    <row r="432" spans="4:12" s="348" customFormat="1" ht="12.95" hidden="1" customHeight="1" outlineLevel="2" x14ac:dyDescent="0.2">
      <c r="D432" s="785" t="str">
        <f>Price_List_BA!D97</f>
        <v>Cauterizer  (TZ)</v>
      </c>
      <c r="E432" s="786"/>
      <c r="F432" s="786"/>
      <c r="G432" s="786"/>
      <c r="J432" s="127">
        <f>Price_List_BA!L97</f>
        <v>18.75</v>
      </c>
      <c r="K432" s="127">
        <f>Price_List_BA!O97</f>
        <v>3.75</v>
      </c>
      <c r="L432" s="127">
        <f>Price_List_BA!P97</f>
        <v>4.0941482137608034</v>
      </c>
    </row>
    <row r="433" spans="4:12" s="348" customFormat="1" hidden="1" outlineLevel="2" x14ac:dyDescent="0.2">
      <c r="D433" s="785" t="str">
        <f>Price_List_BA!D98</f>
        <v>Cervical Cold Coagulator with Instrument Cable and Therapy Probe (ZM)</v>
      </c>
      <c r="E433" s="786"/>
      <c r="F433" s="786"/>
      <c r="G433" s="786"/>
      <c r="J433" s="127">
        <f>Price_List_BA!L98</f>
        <v>2367</v>
      </c>
      <c r="K433" s="127">
        <f>Price_List_BA!O98</f>
        <v>473.4</v>
      </c>
      <c r="L433" s="127">
        <f>Price_List_BA!P98</f>
        <v>516.84527050516385</v>
      </c>
    </row>
    <row r="434" spans="4:12" s="348" customFormat="1" ht="12.95" hidden="1" customHeight="1" outlineLevel="2" x14ac:dyDescent="0.2">
      <c r="D434" s="785" t="str">
        <f>Price_List_BA!D99</f>
        <v>Chair (ZM)</v>
      </c>
      <c r="E434" s="786"/>
      <c r="F434" s="786"/>
      <c r="G434" s="786"/>
      <c r="J434" s="127">
        <f>Price_List_BA!L99</f>
        <v>80</v>
      </c>
      <c r="K434" s="127">
        <f>Price_List_BA!O99</f>
        <v>20</v>
      </c>
      <c r="L434" s="127">
        <f>Price_List_BA!P99</f>
        <v>21.522163615446605</v>
      </c>
    </row>
    <row r="435" spans="4:12" s="348" customFormat="1" ht="12.95" hidden="1" customHeight="1" outlineLevel="2" x14ac:dyDescent="0.2">
      <c r="D435" s="785" t="str">
        <f>Price_List_BA!D100</f>
        <v>Cheetal forceps (UG)</v>
      </c>
      <c r="E435" s="786"/>
      <c r="F435" s="786"/>
      <c r="G435" s="786"/>
      <c r="J435" s="127">
        <f>Price_List_BA!L100</f>
        <v>8.1560000000000006</v>
      </c>
      <c r="K435" s="127">
        <f>Price_List_BA!O100</f>
        <v>4.0780000000000003</v>
      </c>
      <c r="L435" s="127">
        <f>Price_List_BA!P100</f>
        <v>4.2624139901477864</v>
      </c>
    </row>
    <row r="436" spans="4:12" s="348" customFormat="1" ht="12.95" hidden="1" customHeight="1" outlineLevel="2" x14ac:dyDescent="0.2">
      <c r="D436" s="785" t="str">
        <f>Price_List_BA!D101</f>
        <v>Colposcope (set) (ZM)</v>
      </c>
      <c r="E436" s="786"/>
      <c r="F436" s="786"/>
      <c r="G436" s="786"/>
      <c r="J436" s="127">
        <f>Price_List_BA!L101</f>
        <v>10000</v>
      </c>
      <c r="K436" s="127">
        <f>Price_List_BA!O101</f>
        <v>1428.5714285714287</v>
      </c>
      <c r="L436" s="127">
        <f>Price_List_BA!P101</f>
        <v>1605.0635375427203</v>
      </c>
    </row>
    <row r="437" spans="4:12" s="348" customFormat="1" ht="12.95" hidden="1" customHeight="1" outlineLevel="2" x14ac:dyDescent="0.2">
      <c r="D437" s="785" t="str">
        <f>Price_List_BA!D102</f>
        <v>Colposcope (UG)</v>
      </c>
      <c r="E437" s="786"/>
      <c r="F437" s="786"/>
      <c r="G437" s="786"/>
      <c r="J437" s="127">
        <f>Price_List_BA!L102</f>
        <v>3100</v>
      </c>
      <c r="K437" s="127">
        <f>Price_List_BA!O102</f>
        <v>620</v>
      </c>
      <c r="L437" s="127">
        <f>Price_List_BA!P102</f>
        <v>676.8991713417862</v>
      </c>
    </row>
    <row r="438" spans="4:12" s="348" customFormat="1" ht="12.75" hidden="1" customHeight="1" outlineLevel="2" x14ac:dyDescent="0.2">
      <c r="D438" s="785" t="str">
        <f>Price_List_BA!D103</f>
        <v>Colposcopy equipment (TZ)</v>
      </c>
      <c r="E438" s="786"/>
      <c r="F438" s="786"/>
      <c r="G438" s="786"/>
      <c r="J438" s="127">
        <f>Price_List_BA!L103</f>
        <v>6250</v>
      </c>
      <c r="K438" s="127">
        <f>Price_List_BA!O103</f>
        <v>625</v>
      </c>
      <c r="L438" s="127">
        <f>Price_List_BA!P103</f>
        <v>732.69066628224755</v>
      </c>
    </row>
    <row r="439" spans="4:12" s="348" customFormat="1" ht="12.75" hidden="1" customHeight="1" outlineLevel="2" x14ac:dyDescent="0.2">
      <c r="D439" s="785" t="str">
        <f>Price_List_BA!D104</f>
        <v>Cryotherapy unit (UG)</v>
      </c>
      <c r="E439" s="786"/>
      <c r="F439" s="786"/>
      <c r="G439" s="786"/>
      <c r="J439" s="127">
        <f>Price_List_BA!L104</f>
        <v>1091</v>
      </c>
      <c r="K439" s="127">
        <f>Price_List_BA!O104</f>
        <v>218.2</v>
      </c>
      <c r="L439" s="127">
        <f>Price_List_BA!P104</f>
        <v>238.22483739802863</v>
      </c>
    </row>
    <row r="440" spans="4:12" s="348" customFormat="1" ht="12.75" hidden="1" customHeight="1" outlineLevel="2" x14ac:dyDescent="0.2">
      <c r="D440" s="785" t="str">
        <f>Price_List_BA!D105</f>
        <v>Cryotherapy Unit with cryotips (set) (ZM)</v>
      </c>
      <c r="E440" s="786"/>
      <c r="F440" s="786"/>
      <c r="G440" s="786"/>
      <c r="J440" s="127">
        <f>Price_List_BA!L105</f>
        <v>500</v>
      </c>
      <c r="K440" s="127">
        <f>Price_List_BA!O105</f>
        <v>125</v>
      </c>
      <c r="L440" s="127">
        <f>Price_List_BA!P105</f>
        <v>134.51352259654129</v>
      </c>
    </row>
    <row r="441" spans="4:12" s="348" customFormat="1" ht="12.75" hidden="1" customHeight="1" outlineLevel="2" x14ac:dyDescent="0.2">
      <c r="D441" s="785" t="str">
        <f>Price_List_BA!D106</f>
        <v>Cryotherapy Unit with cryotips (TZ)</v>
      </c>
      <c r="E441" s="786"/>
      <c r="F441" s="786"/>
      <c r="G441" s="786"/>
      <c r="J441" s="127">
        <f>Price_List_BA!L106</f>
        <v>1875</v>
      </c>
      <c r="K441" s="127">
        <f>Price_List_BA!O106</f>
        <v>187.5</v>
      </c>
      <c r="L441" s="127">
        <f>Price_List_BA!P106</f>
        <v>219.80719988467428</v>
      </c>
    </row>
    <row r="442" spans="4:12" s="348" customFormat="1" ht="12.75" hidden="1" customHeight="1" outlineLevel="2" x14ac:dyDescent="0.2">
      <c r="D442" s="785" t="str">
        <f>Price_List_BA!D107</f>
        <v>Digital Camera (ZM)</v>
      </c>
      <c r="E442" s="786"/>
      <c r="F442" s="786"/>
      <c r="G442" s="786"/>
      <c r="J442" s="127">
        <f>Price_List_BA!L107</f>
        <v>700</v>
      </c>
      <c r="K442" s="127">
        <f>Price_List_BA!O107</f>
        <v>77.777777777777771</v>
      </c>
      <c r="L442" s="127">
        <f>Price_List_BA!P107</f>
        <v>89.903699912672408</v>
      </c>
    </row>
    <row r="443" spans="4:12" s="348" customFormat="1" ht="12.75" hidden="1" customHeight="1" outlineLevel="2" x14ac:dyDescent="0.2">
      <c r="D443" s="785" t="str">
        <f>Price_List_BA!D108</f>
        <v>Dissecting forceps – 12.5 cm  (TZ)</v>
      </c>
      <c r="E443" s="786"/>
      <c r="F443" s="786"/>
      <c r="G443" s="786"/>
      <c r="J443" s="127">
        <f>Price_List_BA!L108</f>
        <v>5.8125</v>
      </c>
      <c r="K443" s="127">
        <f>Price_List_BA!O108</f>
        <v>0.64583333333333337</v>
      </c>
      <c r="L443" s="127">
        <f>Price_List_BA!P108</f>
        <v>0.74652179391772622</v>
      </c>
    </row>
    <row r="444" spans="4:12" s="348" customFormat="1" ht="12.75" hidden="1" customHeight="1" outlineLevel="2" x14ac:dyDescent="0.2">
      <c r="D444" s="785" t="str">
        <f>Price_List_BA!D109</f>
        <v>Doctor's Stool (ZM)</v>
      </c>
      <c r="E444" s="786"/>
      <c r="F444" s="786"/>
      <c r="G444" s="786"/>
      <c r="J444" s="127">
        <f>Price_List_BA!L109</f>
        <v>100</v>
      </c>
      <c r="K444" s="127">
        <f>Price_List_BA!O109</f>
        <v>16.666666666666668</v>
      </c>
      <c r="L444" s="127">
        <f>Price_List_BA!P109</f>
        <v>18.459750045017728</v>
      </c>
    </row>
    <row r="445" spans="4:12" s="348" customFormat="1" ht="12.75" hidden="1" customHeight="1" outlineLevel="2" x14ac:dyDescent="0.2">
      <c r="D445" s="785" t="str">
        <f>Price_List_BA!D110</f>
        <v>Endocervical speculum  (UG)</v>
      </c>
      <c r="E445" s="786"/>
      <c r="F445" s="786"/>
      <c r="G445" s="786"/>
      <c r="J445" s="127">
        <f>Price_List_BA!L110</f>
        <v>100</v>
      </c>
      <c r="K445" s="127">
        <f>Price_List_BA!O110</f>
        <v>50</v>
      </c>
      <c r="L445" s="127">
        <f>Price_List_BA!P110</f>
        <v>52.261083743842391</v>
      </c>
    </row>
    <row r="446" spans="4:12" s="348" customFormat="1" ht="12.75" hidden="1" customHeight="1" outlineLevel="2" x14ac:dyDescent="0.2">
      <c r="D446" s="785" t="str">
        <f>Price_List_BA!D111</f>
        <v>Examination bed (UG)</v>
      </c>
      <c r="E446" s="786"/>
      <c r="F446" s="786"/>
      <c r="G446" s="786"/>
      <c r="J446" s="127">
        <f>Price_List_BA!L111</f>
        <v>197.1369</v>
      </c>
      <c r="K446" s="127">
        <f>Price_List_BA!O111</f>
        <v>39.427379999999999</v>
      </c>
      <c r="L446" s="127">
        <f>Price_List_BA!P111</f>
        <v>43.045743306738252</v>
      </c>
    </row>
    <row r="447" spans="4:12" s="348" customFormat="1" ht="12.75" hidden="1" customHeight="1" outlineLevel="2" x14ac:dyDescent="0.2">
      <c r="D447" s="785" t="str">
        <f>Price_List_BA!D112</f>
        <v>Examination couch (with Stirrups) (ZM)</v>
      </c>
      <c r="E447" s="786"/>
      <c r="F447" s="786"/>
      <c r="G447" s="786"/>
      <c r="J447" s="127">
        <f>Price_List_BA!L112</f>
        <v>446.5</v>
      </c>
      <c r="K447" s="127">
        <f>Price_List_BA!O112</f>
        <v>89.3</v>
      </c>
      <c r="L447" s="127">
        <f>Price_List_BA!P112</f>
        <v>97.495316130357267</v>
      </c>
    </row>
    <row r="448" spans="4:12" s="348" customFormat="1" ht="12.75" hidden="1" customHeight="1" outlineLevel="2" x14ac:dyDescent="0.2">
      <c r="D448" s="785" t="str">
        <f>Price_List_BA!D113</f>
        <v>Examination light (Halogen, no bulb) (ZM)</v>
      </c>
      <c r="E448" s="786"/>
      <c r="F448" s="786"/>
      <c r="G448" s="786"/>
      <c r="J448" s="127">
        <f>Price_List_BA!L113</f>
        <v>370</v>
      </c>
      <c r="K448" s="127">
        <f>Price_List_BA!O113</f>
        <v>61.666666666666664</v>
      </c>
      <c r="L448" s="127">
        <f>Price_List_BA!P113</f>
        <v>68.301075166565596</v>
      </c>
    </row>
    <row r="449" spans="4:12" s="348" customFormat="1" ht="12.75" hidden="1" customHeight="1" outlineLevel="2" x14ac:dyDescent="0.2">
      <c r="D449" s="785" t="str">
        <f>Price_List_BA!D114</f>
        <v>Examination light source  (TZ)</v>
      </c>
      <c r="E449" s="786"/>
      <c r="F449" s="786"/>
      <c r="G449" s="786"/>
      <c r="J449" s="127">
        <f>Price_List_BA!L114</f>
        <v>40.625</v>
      </c>
      <c r="K449" s="127">
        <f>Price_List_BA!O114</f>
        <v>8.125</v>
      </c>
      <c r="L449" s="127">
        <f>Price_List_BA!P114</f>
        <v>8.8706544631484086</v>
      </c>
    </row>
    <row r="450" spans="4:12" s="348" customFormat="1" ht="12.75" hidden="1" customHeight="1" outlineLevel="2" x14ac:dyDescent="0.2">
      <c r="D450" s="785" t="str">
        <f>Price_List_BA!D115</f>
        <v>Examination light source (Halogen) with bulb (set) (ZM)</v>
      </c>
      <c r="E450" s="786"/>
      <c r="F450" s="786"/>
      <c r="G450" s="786"/>
      <c r="J450" s="127">
        <f>Price_List_BA!L115</f>
        <v>430</v>
      </c>
      <c r="K450" s="127">
        <f>Price_List_BA!O115</f>
        <v>86</v>
      </c>
      <c r="L450" s="127">
        <f>Price_List_BA!P115</f>
        <v>93.892465702247762</v>
      </c>
    </row>
    <row r="451" spans="4:12" s="348" customFormat="1" ht="12.75" hidden="1" customHeight="1" outlineLevel="2" x14ac:dyDescent="0.2">
      <c r="D451" s="785" t="str">
        <f>Price_List_BA!D116</f>
        <v>Examination table (UG)</v>
      </c>
      <c r="E451" s="786"/>
      <c r="F451" s="786"/>
      <c r="G451" s="786"/>
      <c r="J451" s="127">
        <f>Price_List_BA!L116</f>
        <v>197.1369</v>
      </c>
      <c r="K451" s="127">
        <f>Price_List_BA!O116</f>
        <v>39.427379999999999</v>
      </c>
      <c r="L451" s="127">
        <f>Price_List_BA!P116</f>
        <v>43.045743306738252</v>
      </c>
    </row>
    <row r="452" spans="4:12" s="348" customFormat="1" ht="12.75" hidden="1" customHeight="1" outlineLevel="2" x14ac:dyDescent="0.2">
      <c r="D452" s="785" t="str">
        <f>Price_List_BA!D117</f>
        <v>Filing Cabinet (ZM)</v>
      </c>
      <c r="E452" s="786"/>
      <c r="F452" s="786"/>
      <c r="G452" s="786"/>
      <c r="J452" s="127">
        <f>Price_List_BA!L117</f>
        <v>354</v>
      </c>
      <c r="K452" s="127">
        <f>Price_List_BA!O117</f>
        <v>35.4</v>
      </c>
      <c r="L452" s="127">
        <f>Price_List_BA!P117</f>
        <v>41.499599338226503</v>
      </c>
    </row>
    <row r="453" spans="4:12" s="348" customFormat="1" ht="12.75" hidden="1" customHeight="1" outlineLevel="2" x14ac:dyDescent="0.2">
      <c r="D453" s="785" t="str">
        <f>Price_List_BA!D118</f>
        <v>Forceps (UG)</v>
      </c>
      <c r="E453" s="786"/>
      <c r="F453" s="786"/>
      <c r="G453" s="786"/>
      <c r="J453" s="127">
        <f>Price_List_BA!L118</f>
        <v>8.1560000000000006</v>
      </c>
      <c r="K453" s="127">
        <f>Price_List_BA!O118</f>
        <v>1.6312000000000002</v>
      </c>
      <c r="L453" s="127">
        <f>Price_List_BA!P118</f>
        <v>1.7808998843430996</v>
      </c>
    </row>
    <row r="454" spans="4:12" s="348" customFormat="1" ht="12.75" hidden="1" customHeight="1" outlineLevel="2" x14ac:dyDescent="0.2">
      <c r="D454" s="785" t="str">
        <f>Price_List_BA!D119</f>
        <v>Forceps Babcocks  (ZM)</v>
      </c>
      <c r="E454" s="786"/>
      <c r="F454" s="786"/>
      <c r="G454" s="786"/>
      <c r="J454" s="127">
        <f>Price_List_BA!L119</f>
        <v>13</v>
      </c>
      <c r="K454" s="127">
        <f>Price_List_BA!O119</f>
        <v>1.4444444444444444</v>
      </c>
      <c r="L454" s="127">
        <f>Price_List_BA!P119</f>
        <v>1.6696401412353445</v>
      </c>
    </row>
    <row r="455" spans="4:12" s="348" customFormat="1" ht="12.75" hidden="1" customHeight="1" outlineLevel="2" x14ac:dyDescent="0.2">
      <c r="D455" s="785" t="str">
        <f>Price_List_BA!D120</f>
        <v>Forceps tissue - babcocks  (TZ)</v>
      </c>
      <c r="E455" s="786"/>
      <c r="F455" s="786"/>
      <c r="G455" s="786"/>
      <c r="J455" s="127">
        <f>Price_List_BA!L120</f>
        <v>3.75</v>
      </c>
      <c r="K455" s="127">
        <f>Price_List_BA!O120</f>
        <v>0.75</v>
      </c>
      <c r="L455" s="127">
        <f>Price_List_BA!P120</f>
        <v>0.81882964275216075</v>
      </c>
    </row>
    <row r="456" spans="4:12" s="348" customFormat="1" ht="12.75" hidden="1" customHeight="1" outlineLevel="2" x14ac:dyDescent="0.2">
      <c r="D456" s="785" t="str">
        <f>Price_List_BA!D121</f>
        <v>Forceps tissue - long  (TZ)</v>
      </c>
      <c r="E456" s="786"/>
      <c r="F456" s="786"/>
      <c r="G456" s="786"/>
      <c r="J456" s="127">
        <f>Price_List_BA!L121</f>
        <v>8.75</v>
      </c>
      <c r="K456" s="127">
        <f>Price_List_BA!O121</f>
        <v>1.75</v>
      </c>
      <c r="L456" s="127">
        <f>Price_List_BA!P121</f>
        <v>1.9106024997550417</v>
      </c>
    </row>
    <row r="457" spans="4:12" s="348" customFormat="1" ht="12.75" hidden="1" customHeight="1" outlineLevel="2" x14ac:dyDescent="0.2">
      <c r="D457" s="785" t="str">
        <f>Price_List_BA!D122</f>
        <v>Forceps tissue- litlewoods 19 cm  (TZ)</v>
      </c>
      <c r="E457" s="786"/>
      <c r="F457" s="786"/>
      <c r="G457" s="786"/>
      <c r="J457" s="127">
        <f>Price_List_BA!L122</f>
        <v>10.625</v>
      </c>
      <c r="K457" s="127">
        <f>Price_List_BA!O122</f>
        <v>2.125</v>
      </c>
      <c r="L457" s="127">
        <f>Price_List_BA!P122</f>
        <v>2.3200173211311221</v>
      </c>
    </row>
    <row r="458" spans="4:12" s="348" customFormat="1" ht="12.75" hidden="1" customHeight="1" outlineLevel="2" x14ac:dyDescent="0.2">
      <c r="D458" s="785" t="str">
        <f>Price_List_BA!D123</f>
        <v>Forceps, Cheetal (ZM)</v>
      </c>
      <c r="E458" s="786"/>
      <c r="F458" s="786"/>
      <c r="G458" s="786"/>
      <c r="J458" s="127">
        <f>Price_List_BA!L123</f>
        <v>15</v>
      </c>
      <c r="K458" s="127">
        <f>Price_List_BA!O123</f>
        <v>3.75</v>
      </c>
      <c r="L458" s="127">
        <f>Price_List_BA!P123</f>
        <v>4.0354056778962386</v>
      </c>
    </row>
    <row r="459" spans="4:12" s="348" customFormat="1" ht="12.75" hidden="1" customHeight="1" outlineLevel="2" x14ac:dyDescent="0.2">
      <c r="D459" s="785" t="str">
        <f>Price_List_BA!D124</f>
        <v>Forceps, Dissecting - 12.5 cm (ZM)</v>
      </c>
      <c r="E459" s="786"/>
      <c r="F459" s="786"/>
      <c r="G459" s="786"/>
      <c r="J459" s="127">
        <f>Price_List_BA!L124</f>
        <v>16.899999999999999</v>
      </c>
      <c r="K459" s="127">
        <f>Price_List_BA!O124</f>
        <v>1.8777777777777775</v>
      </c>
      <c r="L459" s="127">
        <f>Price_List_BA!P124</f>
        <v>2.1705321836059479</v>
      </c>
    </row>
    <row r="460" spans="4:12" s="348" customFormat="1" ht="12.75" hidden="1" customHeight="1" outlineLevel="2" x14ac:dyDescent="0.2">
      <c r="D460" s="785" t="str">
        <f>Price_List_BA!D125</f>
        <v>Forceps, Littlewoods 19 cm (ZM)</v>
      </c>
      <c r="E460" s="786"/>
      <c r="F460" s="786"/>
      <c r="G460" s="786"/>
      <c r="J460" s="127">
        <f>Price_List_BA!L125</f>
        <v>17</v>
      </c>
      <c r="K460" s="127">
        <f>Price_List_BA!O125</f>
        <v>8.5</v>
      </c>
      <c r="L460" s="127">
        <f>Price_List_BA!P125</f>
        <v>8.884384236453208</v>
      </c>
    </row>
    <row r="461" spans="4:12" s="348" customFormat="1" ht="12.75" hidden="1" customHeight="1" outlineLevel="2" x14ac:dyDescent="0.2">
      <c r="D461" s="785" t="str">
        <f>Price_List_BA!D126</f>
        <v>Forceps, Long  (ZM)</v>
      </c>
      <c r="E461" s="786"/>
      <c r="F461" s="786"/>
      <c r="G461" s="786"/>
      <c r="J461" s="127">
        <f>Price_List_BA!L126</f>
        <v>15</v>
      </c>
      <c r="K461" s="127">
        <f>Price_List_BA!O126</f>
        <v>2.5</v>
      </c>
      <c r="L461" s="127">
        <f>Price_List_BA!P126</f>
        <v>2.7689625067526591</v>
      </c>
    </row>
    <row r="462" spans="4:12" s="348" customFormat="1" ht="12.75" hidden="1" customHeight="1" outlineLevel="2" x14ac:dyDescent="0.2">
      <c r="D462" s="785" t="str">
        <f>Price_List_BA!D127</f>
        <v>Forceps, ovum (ZM)</v>
      </c>
      <c r="E462" s="786"/>
      <c r="F462" s="786"/>
      <c r="G462" s="786"/>
      <c r="J462" s="127">
        <f>Price_List_BA!L127</f>
        <v>15</v>
      </c>
      <c r="K462" s="127">
        <f>Price_List_BA!O127</f>
        <v>2.5</v>
      </c>
      <c r="L462" s="127">
        <f>Price_List_BA!P127</f>
        <v>2.7689625067526591</v>
      </c>
    </row>
    <row r="463" spans="4:12" s="348" customFormat="1" ht="12.75" hidden="1" customHeight="1" outlineLevel="2" x14ac:dyDescent="0.2">
      <c r="D463" s="785" t="str">
        <f>Price_List_BA!D128</f>
        <v>Forceps, ovum  (TZ)</v>
      </c>
      <c r="E463" s="786"/>
      <c r="F463" s="786"/>
      <c r="G463" s="786"/>
      <c r="J463" s="127">
        <f>Price_List_BA!L128</f>
        <v>3.4375</v>
      </c>
      <c r="K463" s="127">
        <f>Price_List_BA!O128</f>
        <v>0.6875</v>
      </c>
      <c r="L463" s="127">
        <f>Price_List_BA!P128</f>
        <v>0.75059383918948064</v>
      </c>
    </row>
    <row r="464" spans="4:12" s="348" customFormat="1" ht="12.75" hidden="1" customHeight="1" outlineLevel="2" x14ac:dyDescent="0.2">
      <c r="D464" s="785" t="str">
        <f>Price_List_BA!D129</f>
        <v>Forceps, Punch biopsy (ZM)</v>
      </c>
      <c r="E464" s="786"/>
      <c r="F464" s="786"/>
      <c r="G464" s="786"/>
      <c r="J464" s="127">
        <f>Price_List_BA!L129</f>
        <v>15</v>
      </c>
      <c r="K464" s="127">
        <f>Price_List_BA!O129</f>
        <v>3.75</v>
      </c>
      <c r="L464" s="127">
        <f>Price_List_BA!P129</f>
        <v>4.0354056778962386</v>
      </c>
    </row>
    <row r="465" spans="4:12" s="348" customFormat="1" ht="12.75" hidden="1" customHeight="1" outlineLevel="2" x14ac:dyDescent="0.2">
      <c r="D465" s="785" t="str">
        <f>Price_List_BA!D130</f>
        <v>Forceps, punch biopsy (TZ)</v>
      </c>
      <c r="E465" s="786"/>
      <c r="F465" s="786"/>
      <c r="G465" s="786"/>
      <c r="J465" s="127">
        <f>Price_List_BA!L130</f>
        <v>37.5</v>
      </c>
      <c r="K465" s="127">
        <f>Price_List_BA!O130</f>
        <v>7.5</v>
      </c>
      <c r="L465" s="127">
        <f>Price_List_BA!P130</f>
        <v>8.1882964275216068</v>
      </c>
    </row>
    <row r="466" spans="4:12" s="348" customFormat="1" ht="12.75" hidden="1" customHeight="1" outlineLevel="2" x14ac:dyDescent="0.2">
      <c r="D466" s="785" t="str">
        <f>Price_List_BA!D131</f>
        <v>Forceps, Sponge holder (ZM)</v>
      </c>
      <c r="E466" s="786"/>
      <c r="F466" s="786"/>
      <c r="G466" s="786"/>
      <c r="J466" s="127">
        <f>Price_List_BA!L131</f>
        <v>12</v>
      </c>
      <c r="K466" s="127">
        <f>Price_List_BA!O131</f>
        <v>1.5</v>
      </c>
      <c r="L466" s="127">
        <f>Price_List_BA!P131</f>
        <v>1.709476665926871</v>
      </c>
    </row>
    <row r="467" spans="4:12" s="348" customFormat="1" ht="12.75" hidden="1" customHeight="1" outlineLevel="2" x14ac:dyDescent="0.2">
      <c r="D467" s="785" t="str">
        <f>Price_List_BA!D132</f>
        <v>Forceps, sponge holder  (TZ)</v>
      </c>
      <c r="E467" s="786"/>
      <c r="F467" s="786"/>
      <c r="G467" s="786"/>
      <c r="J467" s="127">
        <f>Price_List_BA!L132</f>
        <v>3.4375</v>
      </c>
      <c r="K467" s="127">
        <f>Price_List_BA!O132</f>
        <v>0.6875</v>
      </c>
      <c r="L467" s="127">
        <f>Price_List_BA!P132</f>
        <v>0.75059383918948064</v>
      </c>
    </row>
    <row r="468" spans="4:12" s="348" customFormat="1" ht="12.75" hidden="1" customHeight="1" outlineLevel="2" x14ac:dyDescent="0.2">
      <c r="D468" s="785" t="str">
        <f>Price_List_BA!D133</f>
        <v>Gallipot (ZM)</v>
      </c>
      <c r="E468" s="786"/>
      <c r="F468" s="786"/>
      <c r="G468" s="786"/>
      <c r="J468" s="127">
        <f>Price_List_BA!L133</f>
        <v>10</v>
      </c>
      <c r="K468" s="127">
        <f>Price_List_BA!O133</f>
        <v>1.1111111111111112</v>
      </c>
      <c r="L468" s="127">
        <f>Price_List_BA!P133</f>
        <v>1.2843385701810344</v>
      </c>
    </row>
    <row r="469" spans="4:12" s="348" customFormat="1" ht="12.75" hidden="1" customHeight="1" outlineLevel="2" x14ac:dyDescent="0.2">
      <c r="D469" s="785" t="str">
        <f>Price_List_BA!D134</f>
        <v>Gallipot (UG)</v>
      </c>
      <c r="E469" s="786"/>
      <c r="F469" s="786"/>
      <c r="G469" s="786"/>
      <c r="J469" s="127">
        <f>Price_List_BA!L134</f>
        <v>3.9441999999999999</v>
      </c>
      <c r="K469" s="127">
        <f>Price_List_BA!O134</f>
        <v>0.78883999999999999</v>
      </c>
      <c r="L469" s="127">
        <f>Price_List_BA!P134</f>
        <v>0.86123410051815263</v>
      </c>
    </row>
    <row r="470" spans="4:12" s="348" customFormat="1" ht="12.75" hidden="1" customHeight="1" outlineLevel="2" x14ac:dyDescent="0.2">
      <c r="D470" s="785" t="str">
        <f>Price_List_BA!D135</f>
        <v>Gas cylinder adaptor (ZM)</v>
      </c>
      <c r="E470" s="786"/>
      <c r="F470" s="786"/>
      <c r="G470" s="786"/>
      <c r="J470" s="127">
        <f>Price_List_BA!L135</f>
        <v>15</v>
      </c>
      <c r="K470" s="127">
        <f>Price_List_BA!O135</f>
        <v>1.875</v>
      </c>
      <c r="L470" s="127">
        <f>Price_List_BA!P135</f>
        <v>2.1368458324085888</v>
      </c>
    </row>
    <row r="471" spans="4:12" s="348" customFormat="1" ht="12.75" hidden="1" customHeight="1" outlineLevel="2" x14ac:dyDescent="0.2">
      <c r="D471" s="785" t="str">
        <f>Price_List_BA!D136</f>
        <v>Gas cylinder adaptor  (TZ)</v>
      </c>
      <c r="E471" s="786"/>
      <c r="F471" s="786"/>
      <c r="G471" s="786"/>
      <c r="J471" s="127">
        <f>Price_List_BA!L136</f>
        <v>82.5</v>
      </c>
      <c r="K471" s="127">
        <f>Price_List_BA!O136</f>
        <v>8.25</v>
      </c>
      <c r="L471" s="127">
        <f>Price_List_BA!P136</f>
        <v>9.6715167949256688</v>
      </c>
    </row>
    <row r="472" spans="4:12" s="348" customFormat="1" ht="12.75" hidden="1" customHeight="1" outlineLevel="2" x14ac:dyDescent="0.2">
      <c r="D472" s="785" t="str">
        <f>Price_List_BA!D137</f>
        <v>Gynecological examination bed  (TZ)</v>
      </c>
      <c r="E472" s="786"/>
      <c r="F472" s="786"/>
      <c r="G472" s="786"/>
      <c r="J472" s="127">
        <f>Price_List_BA!L137</f>
        <v>346.875</v>
      </c>
      <c r="K472" s="127">
        <f>Price_List_BA!O137</f>
        <v>173.4375</v>
      </c>
      <c r="L472" s="127">
        <f>Price_List_BA!P137</f>
        <v>181.2806342364533</v>
      </c>
    </row>
    <row r="473" spans="4:12" s="348" customFormat="1" ht="12.75" hidden="1" customHeight="1" outlineLevel="2" x14ac:dyDescent="0.2">
      <c r="D473" s="785" t="str">
        <f>Price_List_BA!D138</f>
        <v>Halogen Bulbs (ZM)</v>
      </c>
      <c r="E473" s="786"/>
      <c r="F473" s="786"/>
      <c r="G473" s="786"/>
      <c r="J473" s="127">
        <f>Price_List_BA!L138</f>
        <v>50</v>
      </c>
      <c r="K473" s="127">
        <f>Price_List_BA!O138</f>
        <v>5</v>
      </c>
      <c r="L473" s="127">
        <f>Price_List_BA!P138</f>
        <v>5.8615253302579804</v>
      </c>
    </row>
    <row r="474" spans="4:12" s="348" customFormat="1" ht="12.75" hidden="1" customHeight="1" outlineLevel="2" x14ac:dyDescent="0.2">
      <c r="D474" s="785" t="str">
        <f>Price_List_BA!D139</f>
        <v>Hysterectomy Set (ZM)</v>
      </c>
      <c r="E474" s="786"/>
      <c r="F474" s="786"/>
      <c r="G474" s="786"/>
      <c r="J474" s="127">
        <f>Price_List_BA!L139</f>
        <v>120</v>
      </c>
      <c r="K474" s="127">
        <f>Price_List_BA!O139</f>
        <v>24</v>
      </c>
      <c r="L474" s="127">
        <f>Price_List_BA!P139</f>
        <v>26.202548568069144</v>
      </c>
    </row>
    <row r="475" spans="4:12" s="348" customFormat="1" ht="12.75" hidden="1" customHeight="1" outlineLevel="2" x14ac:dyDescent="0.2">
      <c r="D475" s="785" t="str">
        <f>Price_List_BA!D140</f>
        <v>Instrument tray (ZM)</v>
      </c>
      <c r="E475" s="786"/>
      <c r="F475" s="786"/>
      <c r="G475" s="786"/>
      <c r="J475" s="127">
        <f>Price_List_BA!L140</f>
        <v>20</v>
      </c>
      <c r="K475" s="127">
        <f>Price_List_BA!O140</f>
        <v>5</v>
      </c>
      <c r="L475" s="127">
        <f>Price_List_BA!P140</f>
        <v>5.3805409038616512</v>
      </c>
    </row>
    <row r="476" spans="4:12" s="348" customFormat="1" ht="12.75" hidden="1" customHeight="1" outlineLevel="2" x14ac:dyDescent="0.2">
      <c r="D476" s="785" t="str">
        <f>Price_List_BA!D141</f>
        <v>Instrument tray  (TZ)</v>
      </c>
      <c r="E476" s="786"/>
      <c r="F476" s="786"/>
      <c r="G476" s="786"/>
      <c r="J476" s="127">
        <f>Price_List_BA!L141</f>
        <v>7.5</v>
      </c>
      <c r="K476" s="127">
        <f>Price_List_BA!O141</f>
        <v>3.75</v>
      </c>
      <c r="L476" s="127">
        <f>Price_List_BA!P141</f>
        <v>3.9195812807881798</v>
      </c>
    </row>
    <row r="477" spans="4:12" s="348" customFormat="1" ht="12.75" hidden="1" customHeight="1" outlineLevel="2" x14ac:dyDescent="0.2">
      <c r="D477" s="785" t="str">
        <f>Price_List_BA!D142</f>
        <v>Kidney Dish (ZM)</v>
      </c>
      <c r="E477" s="786"/>
      <c r="F477" s="786"/>
      <c r="G477" s="786"/>
      <c r="J477" s="127">
        <f>Price_List_BA!L142</f>
        <v>20</v>
      </c>
      <c r="K477" s="127">
        <f>Price_List_BA!O142</f>
        <v>2.5</v>
      </c>
      <c r="L477" s="127">
        <f>Price_List_BA!P142</f>
        <v>2.8491277765447851</v>
      </c>
    </row>
    <row r="478" spans="4:12" s="348" customFormat="1" ht="12.75" hidden="1" customHeight="1" outlineLevel="2" x14ac:dyDescent="0.2">
      <c r="D478" s="785" t="str">
        <f>Price_List_BA!D143</f>
        <v>Kidney Dish (UG)</v>
      </c>
      <c r="E478" s="786"/>
      <c r="F478" s="786"/>
      <c r="G478" s="786"/>
      <c r="J478" s="127">
        <f>Price_List_BA!L143</f>
        <v>4.1161000000000003</v>
      </c>
      <c r="K478" s="127">
        <f>Price_List_BA!O143</f>
        <v>0.41161000000000003</v>
      </c>
      <c r="L478" s="127">
        <f>Price_List_BA!P143</f>
        <v>0.4825324882374975</v>
      </c>
    </row>
    <row r="479" spans="4:12" s="348" customFormat="1" ht="12.75" hidden="1" customHeight="1" outlineLevel="2" x14ac:dyDescent="0.2">
      <c r="D479" s="785" t="str">
        <f>Price_List_BA!D144</f>
        <v>Lamp (UG)</v>
      </c>
      <c r="E479" s="786"/>
      <c r="F479" s="786"/>
      <c r="G479" s="786"/>
      <c r="J479" s="127">
        <f>Price_List_BA!L144</f>
        <v>49.744300000000003</v>
      </c>
      <c r="K479" s="127">
        <f>Price_List_BA!O144</f>
        <v>4.9744299999999999</v>
      </c>
      <c r="L479" s="127">
        <f>Price_List_BA!P144</f>
        <v>5.8315494897190421</v>
      </c>
    </row>
    <row r="480" spans="4:12" s="348" customFormat="1" ht="12.75" hidden="1" customHeight="1" outlineLevel="2" x14ac:dyDescent="0.2">
      <c r="D480" s="785" t="str">
        <f>Price_List_BA!D145</f>
        <v>Laptop / Desktop Computer (ZM)</v>
      </c>
      <c r="E480" s="786"/>
      <c r="F480" s="786"/>
      <c r="G480" s="786"/>
      <c r="J480" s="127">
        <f>Price_List_BA!L145</f>
        <v>1100</v>
      </c>
      <c r="K480" s="127">
        <f>Price_List_BA!O145</f>
        <v>220</v>
      </c>
      <c r="L480" s="127">
        <f>Price_List_BA!P145</f>
        <v>240.19002854063382</v>
      </c>
    </row>
    <row r="481" spans="4:12" s="348" customFormat="1" ht="12.75" hidden="1" customHeight="1" outlineLevel="2" x14ac:dyDescent="0.2">
      <c r="D481" s="785" t="str">
        <f>Price_List_BA!D146</f>
        <v>LEEP Equipment  (TZ)</v>
      </c>
      <c r="E481" s="786"/>
      <c r="F481" s="786"/>
      <c r="G481" s="786"/>
      <c r="J481" s="127">
        <f>Price_List_BA!L146</f>
        <v>11838.75</v>
      </c>
      <c r="K481" s="127">
        <f>Price_List_BA!O146</f>
        <v>1479.84375</v>
      </c>
      <c r="L481" s="127">
        <f>Price_List_BA!P146</f>
        <v>1686.5055732284786</v>
      </c>
    </row>
    <row r="482" spans="4:12" s="348" customFormat="1" ht="12.75" hidden="1" customHeight="1" outlineLevel="2" x14ac:dyDescent="0.2">
      <c r="D482" s="785" t="str">
        <f>Price_List_BA!D147</f>
        <v>LEEP machine plus smoke evacuator system plus accessories (ZM)</v>
      </c>
      <c r="E482" s="786"/>
      <c r="F482" s="786"/>
      <c r="G482" s="786"/>
      <c r="J482" s="127">
        <f>Price_List_BA!L147</f>
        <v>6000</v>
      </c>
      <c r="K482" s="127">
        <f>Price_List_BA!O147</f>
        <v>666.66666666666663</v>
      </c>
      <c r="L482" s="127">
        <f>Price_List_BA!P147</f>
        <v>770.60314210862055</v>
      </c>
    </row>
    <row r="483" spans="4:12" s="348" customFormat="1" ht="12.75" hidden="1" customHeight="1" outlineLevel="2" x14ac:dyDescent="0.2">
      <c r="D483" s="785" t="str">
        <f>Price_List_BA!D148</f>
        <v>LEEP machine  with coated speculums (UG)</v>
      </c>
      <c r="E483" s="786"/>
      <c r="F483" s="786"/>
      <c r="G483" s="786"/>
      <c r="J483" s="127">
        <f>Price_List_BA!L148</f>
        <v>5055</v>
      </c>
      <c r="K483" s="127">
        <f>Price_List_BA!O148</f>
        <v>842.5</v>
      </c>
      <c r="L483" s="127">
        <f>Price_List_BA!P148</f>
        <v>933.14036477564616</v>
      </c>
    </row>
    <row r="484" spans="4:12" s="348" customFormat="1" ht="12.75" hidden="1" customHeight="1" outlineLevel="2" x14ac:dyDescent="0.2">
      <c r="D484" s="785" t="str">
        <f>Price_List_BA!D149</f>
        <v>Lensmate SX 40 Filter Adapter 58mm (ZM)</v>
      </c>
      <c r="E484" s="786"/>
      <c r="F484" s="786"/>
      <c r="G484" s="786"/>
      <c r="J484" s="127">
        <f>Price_List_BA!L149</f>
        <v>100</v>
      </c>
      <c r="K484" s="127">
        <f>Price_List_BA!O149</f>
        <v>25</v>
      </c>
      <c r="L484" s="127">
        <f>Price_List_BA!P149</f>
        <v>26.902704519308259</v>
      </c>
    </row>
    <row r="485" spans="4:12" s="348" customFormat="1" hidden="1" outlineLevel="2" x14ac:dyDescent="0.2">
      <c r="D485" s="785" t="str">
        <f>Price_List_BA!D150</f>
        <v>Loop Electrodes - 5 mm x 5mm (Ellman) (ZM)</v>
      </c>
      <c r="E485" s="786"/>
      <c r="F485" s="786"/>
      <c r="G485" s="786"/>
      <c r="J485" s="127">
        <f>Price_List_BA!L150</f>
        <v>37.200000000000003</v>
      </c>
      <c r="K485" s="127">
        <f>Price_List_BA!O150</f>
        <v>37.200000000000003</v>
      </c>
      <c r="L485" s="127">
        <f>Price_List_BA!P150</f>
        <v>38.315999999999967</v>
      </c>
    </row>
    <row r="486" spans="4:12" s="348" customFormat="1" hidden="1" outlineLevel="2" x14ac:dyDescent="0.2">
      <c r="D486" s="785" t="str">
        <f>Price_List_BA!D151</f>
        <v>Loop Electrodes - 10 mm x 10mm (Ellman) (ZM)</v>
      </c>
      <c r="E486" s="786"/>
      <c r="F486" s="786"/>
      <c r="G486" s="786"/>
      <c r="J486" s="127">
        <f>Price_List_BA!L151</f>
        <v>37.200000000000003</v>
      </c>
      <c r="K486" s="127">
        <f>Price_List_BA!O151</f>
        <v>37.200000000000003</v>
      </c>
      <c r="L486" s="127">
        <f>Price_List_BA!P151</f>
        <v>38.315999999999967</v>
      </c>
    </row>
    <row r="487" spans="4:12" s="348" customFormat="1" hidden="1" outlineLevel="2" x14ac:dyDescent="0.2">
      <c r="D487" s="785" t="str">
        <f>Price_List_BA!D152</f>
        <v>Loop Electrodes - 20 mm x 8mm (Ellman) (ZM)</v>
      </c>
      <c r="E487" s="786"/>
      <c r="F487" s="786"/>
      <c r="G487" s="786"/>
      <c r="J487" s="127">
        <f>Price_List_BA!L152</f>
        <v>37.200000000000003</v>
      </c>
      <c r="K487" s="127">
        <f>Price_List_BA!O152</f>
        <v>37.200000000000003</v>
      </c>
      <c r="L487" s="127">
        <f>Price_List_BA!P152</f>
        <v>38.315999999999967</v>
      </c>
    </row>
    <row r="488" spans="4:12" s="348" customFormat="1" hidden="1" outlineLevel="2" x14ac:dyDescent="0.2">
      <c r="D488" s="785" t="str">
        <f>Price_List_BA!D153</f>
        <v>Loop Electrodes - 20 mm x 15mm (Ellman) (ZM)</v>
      </c>
      <c r="E488" s="786"/>
      <c r="F488" s="786"/>
      <c r="G488" s="786"/>
      <c r="J488" s="127">
        <f>Price_List_BA!L153</f>
        <v>37.200000000000003</v>
      </c>
      <c r="K488" s="127">
        <f>Price_List_BA!O153</f>
        <v>37.200000000000003</v>
      </c>
      <c r="L488" s="127">
        <f>Price_List_BA!P153</f>
        <v>38.315999999999967</v>
      </c>
    </row>
    <row r="489" spans="4:12" s="348" customFormat="1" ht="12.75" hidden="1" customHeight="1" outlineLevel="2" x14ac:dyDescent="0.2">
      <c r="D489" s="785" t="str">
        <f>Price_List_BA!D154</f>
        <v>Mackintosh (Plastic sheet for exam couch) (ZM)</v>
      </c>
      <c r="E489" s="786"/>
      <c r="F489" s="786"/>
      <c r="G489" s="786"/>
      <c r="J489" s="127">
        <f>Price_List_BA!L154</f>
        <v>20</v>
      </c>
      <c r="K489" s="127">
        <f>Price_List_BA!O154</f>
        <v>10</v>
      </c>
      <c r="L489" s="127">
        <f>Price_List_BA!P154</f>
        <v>10.452216748768478</v>
      </c>
    </row>
    <row r="490" spans="4:12" s="348" customFormat="1" ht="12.75" hidden="1" customHeight="1" outlineLevel="2" x14ac:dyDescent="0.2">
      <c r="D490" s="785" t="str">
        <f>Price_List_BA!D155</f>
        <v>Magnification Lens (ZM)</v>
      </c>
      <c r="E490" s="786"/>
      <c r="F490" s="786"/>
      <c r="G490" s="786"/>
      <c r="J490" s="127">
        <f>Price_List_BA!L155</f>
        <v>150</v>
      </c>
      <c r="K490" s="127">
        <f>Price_List_BA!O155</f>
        <v>15</v>
      </c>
      <c r="L490" s="127">
        <f>Price_List_BA!P155</f>
        <v>17.584575990773942</v>
      </c>
    </row>
    <row r="491" spans="4:12" s="348" customFormat="1" ht="12.75" hidden="1" customHeight="1" outlineLevel="2" x14ac:dyDescent="0.2">
      <c r="D491" s="785" t="str">
        <f>Price_List_BA!D156</f>
        <v>Medical Rubber Mackintosh Sheet (ZM)</v>
      </c>
      <c r="E491" s="786"/>
      <c r="F491" s="786"/>
      <c r="G491" s="786"/>
      <c r="J491" s="127">
        <f>Price_List_BA!L156</f>
        <v>30</v>
      </c>
      <c r="K491" s="127">
        <f>Price_List_BA!O156</f>
        <v>3.3333333333333335</v>
      </c>
      <c r="L491" s="127">
        <f>Price_List_BA!P156</f>
        <v>3.8530157105431031</v>
      </c>
    </row>
    <row r="492" spans="4:12" s="348" customFormat="1" ht="12.75" hidden="1" customHeight="1" outlineLevel="2" x14ac:dyDescent="0.2">
      <c r="D492" s="785" t="str">
        <f>Price_List_BA!D157</f>
        <v>Medical Rubber Mackintosh Sheet   (TZ)</v>
      </c>
      <c r="E492" s="786"/>
      <c r="F492" s="786"/>
      <c r="G492" s="786"/>
      <c r="J492" s="127">
        <f>Price_List_BA!L157</f>
        <v>46.875</v>
      </c>
      <c r="K492" s="127">
        <f>Price_List_BA!O157</f>
        <v>9.375</v>
      </c>
      <c r="L492" s="127">
        <f>Price_List_BA!P157</f>
        <v>10.235370534402009</v>
      </c>
    </row>
    <row r="493" spans="4:12" s="348" customFormat="1" ht="12.75" hidden="1" customHeight="1" outlineLevel="2" x14ac:dyDescent="0.2">
      <c r="D493" s="785" t="str">
        <f>Price_List_BA!D158</f>
        <v>Memory Card (ZM)</v>
      </c>
      <c r="E493" s="786"/>
      <c r="F493" s="786"/>
      <c r="G493" s="786"/>
      <c r="J493" s="127">
        <f>Price_List_BA!L158</f>
        <v>36</v>
      </c>
      <c r="K493" s="127">
        <f>Price_List_BA!O158</f>
        <v>4.5</v>
      </c>
      <c r="L493" s="127">
        <f>Price_List_BA!P158</f>
        <v>5.1284299977806134</v>
      </c>
    </row>
    <row r="494" spans="4:12" s="348" customFormat="1" ht="12.75" hidden="1" customHeight="1" outlineLevel="2" x14ac:dyDescent="0.2">
      <c r="D494" s="785" t="str">
        <f>Price_List_BA!D159</f>
        <v>Multi-Tip Cryo-Probe System with British adapter for NO2 includes gun, regulator, hose(2/3Tips included) (set) (ZM)</v>
      </c>
      <c r="E494" s="786"/>
      <c r="F494" s="786"/>
      <c r="G494" s="786"/>
      <c r="J494" s="127">
        <f>Price_List_BA!L159</f>
        <v>1800</v>
      </c>
      <c r="K494" s="127">
        <f>Price_List_BA!O159</f>
        <v>360</v>
      </c>
      <c r="L494" s="127">
        <f>Price_List_BA!P159</f>
        <v>393.03822852103718</v>
      </c>
    </row>
    <row r="495" spans="4:12" s="348" customFormat="1" ht="12.75" hidden="1" customHeight="1" outlineLevel="2" x14ac:dyDescent="0.2">
      <c r="D495" s="785" t="str">
        <f>Price_List_BA!D160</f>
        <v>Non-conducting speculum  Pederson  (ZM)</v>
      </c>
      <c r="E495" s="786"/>
      <c r="F495" s="786"/>
      <c r="G495" s="786"/>
      <c r="J495" s="127">
        <f>Price_List_BA!L160</f>
        <v>40</v>
      </c>
      <c r="K495" s="127">
        <f>Price_List_BA!O160</f>
        <v>4.4444444444444446</v>
      </c>
      <c r="L495" s="127">
        <f>Price_List_BA!P160</f>
        <v>5.1373542807241375</v>
      </c>
    </row>
    <row r="496" spans="4:12" s="348" customFormat="1" ht="12.75" hidden="1" customHeight="1" outlineLevel="2" x14ac:dyDescent="0.2">
      <c r="D496" s="785" t="str">
        <f>Price_List_BA!D161</f>
        <v>Non-conducting speculum (UG)</v>
      </c>
      <c r="E496" s="786"/>
      <c r="F496" s="786"/>
      <c r="G496" s="786"/>
      <c r="J496" s="127">
        <f>Price_List_BA!L161</f>
        <v>90</v>
      </c>
      <c r="K496" s="127">
        <f>Price_List_BA!O161</f>
        <v>18</v>
      </c>
      <c r="L496" s="127">
        <f>Price_List_BA!P161</f>
        <v>19.651911426051857</v>
      </c>
    </row>
    <row r="497" spans="4:12" s="348" customFormat="1" ht="12.75" hidden="1" customHeight="1" outlineLevel="2" x14ac:dyDescent="0.2">
      <c r="D497" s="785" t="str">
        <f>Price_List_BA!D162</f>
        <v>Nurses Table (ZM)</v>
      </c>
      <c r="E497" s="786"/>
      <c r="F497" s="786"/>
      <c r="G497" s="786"/>
      <c r="J497" s="127">
        <f>Price_List_BA!L162</f>
        <v>160</v>
      </c>
      <c r="K497" s="127">
        <f>Price_List_BA!O162</f>
        <v>16</v>
      </c>
      <c r="L497" s="127">
        <f>Price_List_BA!P162</f>
        <v>18.756881056825538</v>
      </c>
    </row>
    <row r="498" spans="4:12" s="348" customFormat="1" ht="12.75" hidden="1" customHeight="1" outlineLevel="2" x14ac:dyDescent="0.2">
      <c r="D498" s="785" t="str">
        <f>Price_List_BA!D163</f>
        <v>Pillow (ZM)</v>
      </c>
      <c r="E498" s="786"/>
      <c r="F498" s="786"/>
      <c r="G498" s="786"/>
      <c r="J498" s="127">
        <f>Price_List_BA!L163</f>
        <v>16</v>
      </c>
      <c r="K498" s="127">
        <f>Price_List_BA!O163</f>
        <v>8</v>
      </c>
      <c r="L498" s="127">
        <f>Price_List_BA!P163</f>
        <v>8.3617733990147833</v>
      </c>
    </row>
    <row r="499" spans="4:12" s="348" customFormat="1" ht="12.75" hidden="1" customHeight="1" outlineLevel="2" x14ac:dyDescent="0.2">
      <c r="D499" s="785" t="str">
        <f>Price_List_BA!D164</f>
        <v>Plastic apron (ZM)</v>
      </c>
      <c r="E499" s="786"/>
      <c r="F499" s="786"/>
      <c r="G499" s="786"/>
      <c r="J499" s="127">
        <f>Price_List_BA!L164</f>
        <v>5</v>
      </c>
      <c r="K499" s="127">
        <f>Price_List_BA!O164</f>
        <v>1.6666666666666667</v>
      </c>
      <c r="L499" s="127">
        <f>Price_List_BA!P164</f>
        <v>1.7676518166229902</v>
      </c>
    </row>
    <row r="500" spans="4:12" s="348" customFormat="1" ht="12.75" hidden="1" customHeight="1" outlineLevel="2" x14ac:dyDescent="0.2">
      <c r="D500" s="785" t="str">
        <f>Price_List_BA!D165</f>
        <v>Plastic apron  (TZ)</v>
      </c>
      <c r="E500" s="786"/>
      <c r="F500" s="786"/>
      <c r="G500" s="786"/>
      <c r="J500" s="127">
        <f>Price_List_BA!L165</f>
        <v>10.625</v>
      </c>
      <c r="K500" s="127">
        <f>Price_List_BA!O165</f>
        <v>1.1805555555555556</v>
      </c>
      <c r="L500" s="127">
        <f>Price_List_BA!P165</f>
        <v>1.364609730817349</v>
      </c>
    </row>
    <row r="501" spans="4:12" s="348" customFormat="1" ht="12.75" hidden="1" customHeight="1" outlineLevel="2" x14ac:dyDescent="0.2">
      <c r="D501" s="785" t="str">
        <f>Price_List_BA!D166</f>
        <v>Privacy screen (portable) (ZM)</v>
      </c>
      <c r="E501" s="786"/>
      <c r="F501" s="786"/>
      <c r="G501" s="786"/>
      <c r="J501" s="127">
        <f>Price_List_BA!L166</f>
        <v>18</v>
      </c>
      <c r="K501" s="127">
        <f>Price_List_BA!O166</f>
        <v>2.5714285714285716</v>
      </c>
      <c r="L501" s="127">
        <f>Price_List_BA!P166</f>
        <v>2.8891143675768967</v>
      </c>
    </row>
    <row r="502" spans="4:12" s="348" customFormat="1" ht="12.75" hidden="1" customHeight="1" outlineLevel="2" x14ac:dyDescent="0.2">
      <c r="D502" s="785" t="str">
        <f>Price_List_BA!D167</f>
        <v>Privacy screen (portable) (TZ)</v>
      </c>
      <c r="E502" s="786"/>
      <c r="F502" s="786"/>
      <c r="G502" s="786"/>
      <c r="J502" s="127">
        <f>Price_List_BA!L167</f>
        <v>106.25</v>
      </c>
      <c r="K502" s="127">
        <f>Price_List_BA!O167</f>
        <v>53.125</v>
      </c>
      <c r="L502" s="127">
        <f>Price_List_BA!P167</f>
        <v>55.527401477832541</v>
      </c>
    </row>
    <row r="503" spans="4:12" s="348" customFormat="1" ht="12.75" hidden="1" customHeight="1" outlineLevel="2" x14ac:dyDescent="0.2">
      <c r="D503" s="785" t="str">
        <f>Price_List_BA!D168</f>
        <v>Punch Biopsy Forceps  Titanium 10" (ZM)</v>
      </c>
      <c r="E503" s="786"/>
      <c r="F503" s="786"/>
      <c r="G503" s="786"/>
      <c r="J503" s="127">
        <f>Price_List_BA!L168</f>
        <v>215</v>
      </c>
      <c r="K503" s="127">
        <f>Price_List_BA!O168</f>
        <v>53.75</v>
      </c>
      <c r="L503" s="127">
        <f>Price_List_BA!P168</f>
        <v>57.840814716512753</v>
      </c>
    </row>
    <row r="504" spans="4:12" s="348" customFormat="1" ht="12.75" hidden="1" customHeight="1" outlineLevel="2" x14ac:dyDescent="0.2">
      <c r="D504" s="785" t="str">
        <f>Price_List_BA!D169</f>
        <v>Punch Biopsy Forceps (UG)</v>
      </c>
      <c r="E504" s="786"/>
      <c r="F504" s="786"/>
      <c r="G504" s="786"/>
      <c r="J504" s="127">
        <f>Price_List_BA!L169</f>
        <v>195</v>
      </c>
      <c r="K504" s="127">
        <f>Price_List_BA!O169</f>
        <v>48.75</v>
      </c>
      <c r="L504" s="127">
        <f>Price_List_BA!P169</f>
        <v>52.460273812651103</v>
      </c>
    </row>
    <row r="505" spans="4:12" s="348" customFormat="1" ht="12.75" hidden="1" customHeight="1" outlineLevel="2" x14ac:dyDescent="0.2">
      <c r="D505" s="785" t="str">
        <f>Price_List_BA!D170</f>
        <v>Radiotherapy Machine - intra-cavity ( internal)  (TZ)</v>
      </c>
      <c r="E505" s="786"/>
      <c r="F505" s="786"/>
      <c r="G505" s="786"/>
      <c r="J505" s="127">
        <f>Price_List_BA!L170</f>
        <v>125000</v>
      </c>
      <c r="K505" s="127">
        <f>Price_List_BA!O170</f>
        <v>31250</v>
      </c>
      <c r="L505" s="127">
        <f>Price_List_BA!P170</f>
        <v>33628.380649135324</v>
      </c>
    </row>
    <row r="506" spans="4:12" s="348" customFormat="1" ht="12.75" hidden="1" customHeight="1" outlineLevel="2" x14ac:dyDescent="0.2">
      <c r="D506" s="785" t="str">
        <f>Price_List_BA!D171</f>
        <v>Radiotherapy Machine - teletherapy (external) Cobalt-60  (TZ)</v>
      </c>
      <c r="E506" s="786"/>
      <c r="F506" s="786"/>
      <c r="G506" s="786"/>
      <c r="J506" s="127">
        <f>Price_List_BA!L171</f>
        <v>625000</v>
      </c>
      <c r="K506" s="127">
        <f>Price_List_BA!O171</f>
        <v>78125</v>
      </c>
      <c r="L506" s="127">
        <f>Price_List_BA!P171</f>
        <v>89035.243017024535</v>
      </c>
    </row>
    <row r="507" spans="4:12" s="348" customFormat="1" ht="12.75" hidden="1" customHeight="1" outlineLevel="2" x14ac:dyDescent="0.2">
      <c r="D507" s="785" t="str">
        <f>Price_List_BA!D172</f>
        <v>Radiotherapy Treatment Couch  (TZ)</v>
      </c>
      <c r="E507" s="786"/>
      <c r="F507" s="786"/>
      <c r="G507" s="786"/>
      <c r="J507" s="127">
        <f>Price_List_BA!L172</f>
        <v>93750</v>
      </c>
      <c r="K507" s="127">
        <f>Price_List_BA!O172</f>
        <v>18750</v>
      </c>
      <c r="L507" s="127">
        <f>Price_List_BA!P172</f>
        <v>20470.741068804018</v>
      </c>
    </row>
    <row r="508" spans="4:12" s="348" customFormat="1" ht="12.75" hidden="1" customHeight="1" outlineLevel="2" x14ac:dyDescent="0.2">
      <c r="D508" s="785" t="str">
        <f>Price_List_BA!D173</f>
        <v>Registration book, patient  (TZ)</v>
      </c>
      <c r="E508" s="786"/>
      <c r="F508" s="786"/>
      <c r="G508" s="786"/>
      <c r="J508" s="127">
        <f>Price_List_BA!L173</f>
        <v>2.1875</v>
      </c>
      <c r="K508" s="127">
        <f>Price_List_BA!O173</f>
        <v>0.24305555555555555</v>
      </c>
      <c r="L508" s="127">
        <f>Price_List_BA!P173</f>
        <v>0.28094906222710125</v>
      </c>
    </row>
    <row r="509" spans="4:12" s="348" customFormat="1" hidden="1" outlineLevel="2" x14ac:dyDescent="0.2">
      <c r="D509" s="785" t="str">
        <f>Price_List_BA!D174</f>
        <v>Retractor 3.5" Coated Lateral Wall (ZM)</v>
      </c>
      <c r="E509" s="786"/>
      <c r="F509" s="786"/>
      <c r="G509" s="786"/>
      <c r="J509" s="127">
        <f>Price_List_BA!L174</f>
        <v>165</v>
      </c>
      <c r="K509" s="127">
        <f>Price_List_BA!O174</f>
        <v>33</v>
      </c>
      <c r="L509" s="127">
        <f>Price_List_BA!P174</f>
        <v>36.028504281095074</v>
      </c>
    </row>
    <row r="510" spans="4:12" s="348" customFormat="1" hidden="1" outlineLevel="2" x14ac:dyDescent="0.2">
      <c r="D510" s="785" t="str">
        <f>Price_List_BA!D175</f>
        <v>Smoke evacuator (UG)</v>
      </c>
      <c r="E510" s="786"/>
      <c r="F510" s="786"/>
      <c r="G510" s="786"/>
      <c r="J510" s="127">
        <f>Price_List_BA!L175</f>
        <v>1990</v>
      </c>
      <c r="K510" s="127">
        <f>Price_List_BA!O175</f>
        <v>497.5</v>
      </c>
      <c r="L510" s="127">
        <f>Price_List_BA!P175</f>
        <v>535.36381993423436</v>
      </c>
    </row>
    <row r="511" spans="4:12" s="348" customFormat="1" hidden="1" outlineLevel="2" x14ac:dyDescent="0.2">
      <c r="D511" s="785" t="str">
        <f>Price_List_BA!D176</f>
        <v>Specimen Tube rack  (TZ)</v>
      </c>
      <c r="E511" s="786"/>
      <c r="F511" s="786"/>
      <c r="G511" s="786"/>
      <c r="J511" s="127">
        <f>Price_List_BA!L176</f>
        <v>10</v>
      </c>
      <c r="K511" s="127">
        <f>Price_List_BA!O176</f>
        <v>5</v>
      </c>
      <c r="L511" s="127">
        <f>Price_List_BA!P176</f>
        <v>5.2261083743842391</v>
      </c>
    </row>
    <row r="512" spans="4:12" s="348" customFormat="1" hidden="1" outlineLevel="2" x14ac:dyDescent="0.2">
      <c r="D512" s="785" t="str">
        <f>Price_List_BA!D177</f>
        <v>Speculum  (TZ)</v>
      </c>
      <c r="E512" s="786"/>
      <c r="F512" s="786"/>
      <c r="G512" s="786"/>
      <c r="J512" s="127">
        <f>Price_List_BA!L177</f>
        <v>18.75</v>
      </c>
      <c r="K512" s="127">
        <f>Price_List_BA!O177</f>
        <v>1.875</v>
      </c>
      <c r="L512" s="127">
        <f>Price_List_BA!P177</f>
        <v>2.1980719988467428</v>
      </c>
    </row>
    <row r="513" spans="4:12" s="348" customFormat="1" hidden="1" outlineLevel="2" x14ac:dyDescent="0.2">
      <c r="D513" s="785" t="str">
        <f>Price_List_BA!D178</f>
        <v>Speculum (reusable) (UG)</v>
      </c>
      <c r="E513" s="786"/>
      <c r="F513" s="786"/>
      <c r="G513" s="786"/>
      <c r="J513" s="127">
        <f>Price_List_BA!L178</f>
        <v>8.4809000000000001</v>
      </c>
      <c r="K513" s="127">
        <f>Price_List_BA!O178</f>
        <v>0.94232222222222228</v>
      </c>
      <c r="L513" s="127">
        <f>Price_List_BA!P178</f>
        <v>1.0892346979848335</v>
      </c>
    </row>
    <row r="514" spans="4:12" s="348" customFormat="1" hidden="1" outlineLevel="2" x14ac:dyDescent="0.2">
      <c r="D514" s="785" t="str">
        <f>Price_List_BA!D179</f>
        <v>Speculum (UG)</v>
      </c>
      <c r="E514" s="786"/>
      <c r="F514" s="786"/>
      <c r="G514" s="786"/>
      <c r="J514" s="127">
        <f>Price_List_BA!L179</f>
        <v>8.4809000000000001</v>
      </c>
      <c r="K514" s="127">
        <f>Price_List_BA!O179</f>
        <v>1.0601125</v>
      </c>
      <c r="L514" s="127">
        <f>Price_List_BA!P179</f>
        <v>1.2081583880049334</v>
      </c>
    </row>
    <row r="515" spans="4:12" s="348" customFormat="1" hidden="1" outlineLevel="2" x14ac:dyDescent="0.2">
      <c r="D515" s="785" t="str">
        <f>Price_List_BA!D180</f>
        <v>Speculum Graves' large  (ZM)</v>
      </c>
      <c r="E515" s="786"/>
      <c r="F515" s="786"/>
      <c r="G515" s="786"/>
      <c r="J515" s="127">
        <f>Price_List_BA!L180</f>
        <v>14</v>
      </c>
      <c r="K515" s="127">
        <f>Price_List_BA!O180</f>
        <v>2.3333333333333335</v>
      </c>
      <c r="L515" s="127">
        <f>Price_List_BA!P180</f>
        <v>2.5843650063024817</v>
      </c>
    </row>
    <row r="516" spans="4:12" s="348" customFormat="1" hidden="1" outlineLevel="2" x14ac:dyDescent="0.2">
      <c r="D516" s="785" t="str">
        <f>Price_List_BA!D181</f>
        <v>Speculum Graves' Medium (ZM)</v>
      </c>
      <c r="E516" s="786"/>
      <c r="F516" s="786"/>
      <c r="G516" s="786"/>
      <c r="J516" s="127">
        <f>Price_List_BA!L181</f>
        <v>14</v>
      </c>
      <c r="K516" s="127">
        <f>Price_List_BA!O181</f>
        <v>2.3333333333333335</v>
      </c>
      <c r="L516" s="127">
        <f>Price_List_BA!P181</f>
        <v>2.5843650063024817</v>
      </c>
    </row>
    <row r="517" spans="4:12" s="348" customFormat="1" hidden="1" outlineLevel="2" x14ac:dyDescent="0.2">
      <c r="D517" s="785" t="str">
        <f>Price_List_BA!D182</f>
        <v>Speculum  Graves'  Small (ZM)</v>
      </c>
      <c r="E517" s="786"/>
      <c r="F517" s="786"/>
      <c r="G517" s="786"/>
      <c r="J517" s="127">
        <f>Price_List_BA!L182</f>
        <v>14</v>
      </c>
      <c r="K517" s="127">
        <f>Price_List_BA!O182</f>
        <v>4.666666666666667</v>
      </c>
      <c r="L517" s="127">
        <f>Price_List_BA!P182</f>
        <v>4.9494250865443723</v>
      </c>
    </row>
    <row r="518" spans="4:12" s="348" customFormat="1" ht="12.75" hidden="1" customHeight="1" outlineLevel="2" x14ac:dyDescent="0.2">
      <c r="D518" s="785" t="str">
        <f>Price_List_BA!D183</f>
        <v>Speculum, endocervical (ZM)</v>
      </c>
      <c r="E518" s="786"/>
      <c r="F518" s="786"/>
      <c r="G518" s="786"/>
      <c r="J518" s="127">
        <f>Price_List_BA!L183</f>
        <v>50</v>
      </c>
      <c r="K518" s="127">
        <f>Price_List_BA!O183</f>
        <v>16.666666666666668</v>
      </c>
      <c r="L518" s="127">
        <f>Price_List_BA!P183</f>
        <v>17.676518166229901</v>
      </c>
    </row>
    <row r="519" spans="4:12" s="348" customFormat="1" ht="12.75" hidden="1" customHeight="1" outlineLevel="2" x14ac:dyDescent="0.2">
      <c r="D519" s="785" t="str">
        <f>Price_List_BA!D184</f>
        <v>Sponge holding forceps (UG)</v>
      </c>
      <c r="E519" s="786"/>
      <c r="F519" s="786"/>
      <c r="G519" s="786"/>
      <c r="J519" s="127">
        <f>Price_List_BA!L184</f>
        <v>8.1560000000000006</v>
      </c>
      <c r="K519" s="127">
        <f>Price_List_BA!O184</f>
        <v>2.718666666666667</v>
      </c>
      <c r="L519" s="127">
        <f>Price_List_BA!P184</f>
        <v>2.8833936432754217</v>
      </c>
    </row>
    <row r="520" spans="4:12" s="348" customFormat="1" ht="12.75" hidden="1" customHeight="1" outlineLevel="2" x14ac:dyDescent="0.2">
      <c r="D520" s="785" t="str">
        <f>Price_List_BA!D185</f>
        <v>Steel trolley (Two/three shelves) (ZM)</v>
      </c>
      <c r="E520" s="786"/>
      <c r="F520" s="786"/>
      <c r="G520" s="786"/>
      <c r="J520" s="127">
        <f>Price_List_BA!L185</f>
        <v>220</v>
      </c>
      <c r="K520" s="127">
        <f>Price_List_BA!O185</f>
        <v>55</v>
      </c>
      <c r="L520" s="127">
        <f>Price_List_BA!P185</f>
        <v>59.185949942478167</v>
      </c>
    </row>
    <row r="521" spans="4:12" s="348" customFormat="1" ht="12.75" hidden="1" customHeight="1" outlineLevel="2" x14ac:dyDescent="0.2">
      <c r="D521" s="785" t="str">
        <f>Price_List_BA!D186</f>
        <v>Step-on stool (ZM)</v>
      </c>
      <c r="E521" s="786"/>
      <c r="F521" s="786"/>
      <c r="G521" s="786"/>
      <c r="J521" s="127">
        <f>Price_List_BA!L186</f>
        <v>120</v>
      </c>
      <c r="K521" s="127">
        <f>Price_List_BA!O186</f>
        <v>13.333333333333334</v>
      </c>
      <c r="L521" s="127">
        <f>Price_List_BA!P186</f>
        <v>15.412062842172412</v>
      </c>
    </row>
    <row r="522" spans="4:12" s="348" customFormat="1" ht="12.75" hidden="1" customHeight="1" outlineLevel="2" x14ac:dyDescent="0.2">
      <c r="D522" s="785" t="str">
        <f>Price_List_BA!D187</f>
        <v>Sterilising Drum (ZM)</v>
      </c>
      <c r="E522" s="786"/>
      <c r="F522" s="786"/>
      <c r="G522" s="786"/>
      <c r="J522" s="127">
        <f>Price_List_BA!L187</f>
        <v>40</v>
      </c>
      <c r="K522" s="127">
        <f>Price_List_BA!O187</f>
        <v>10</v>
      </c>
      <c r="L522" s="127">
        <f>Price_List_BA!P187</f>
        <v>10.761081807723302</v>
      </c>
    </row>
    <row r="523" spans="4:12" s="348" customFormat="1" ht="12.75" hidden="1" customHeight="1" outlineLevel="2" x14ac:dyDescent="0.2">
      <c r="D523" s="785" t="str">
        <f>Price_List_BA!D188</f>
        <v>Sterilizer (UG)</v>
      </c>
      <c r="E523" s="786"/>
      <c r="F523" s="786"/>
      <c r="G523" s="786"/>
      <c r="J523" s="127">
        <f>Price_List_BA!L188</f>
        <v>1189.78</v>
      </c>
      <c r="K523" s="127">
        <f>Price_List_BA!O188</f>
        <v>198.29666666666665</v>
      </c>
      <c r="L523" s="127">
        <f>Price_List_BA!P188</f>
        <v>219.6304140856119</v>
      </c>
    </row>
    <row r="524" spans="4:12" s="348" customFormat="1" ht="12.75" hidden="1" customHeight="1" outlineLevel="2" x14ac:dyDescent="0.2">
      <c r="D524" s="785" t="str">
        <f>Price_List_BA!D189</f>
        <v>Television set (ZM)</v>
      </c>
      <c r="E524" s="786"/>
      <c r="F524" s="786"/>
      <c r="G524" s="786"/>
      <c r="J524" s="127">
        <f>Price_List_BA!L189</f>
        <v>200</v>
      </c>
      <c r="K524" s="127">
        <f>Price_List_BA!O189</f>
        <v>66.666666666666671</v>
      </c>
      <c r="L524" s="127">
        <f>Price_List_BA!P189</f>
        <v>70.706072664919603</v>
      </c>
    </row>
    <row r="525" spans="4:12" s="348" customFormat="1" ht="12.75" hidden="1" customHeight="1" outlineLevel="2" x14ac:dyDescent="0.2">
      <c r="D525" s="785" t="str">
        <f>Price_List_BA!D190</f>
        <v>Timer / wall clock (UG)</v>
      </c>
      <c r="E525" s="786"/>
      <c r="F525" s="786"/>
      <c r="G525" s="786"/>
      <c r="J525" s="127">
        <f>Price_List_BA!L190</f>
        <v>4.9939999999999998</v>
      </c>
      <c r="K525" s="127">
        <f>Price_List_BA!O190</f>
        <v>1.2484999999999999</v>
      </c>
      <c r="L525" s="127">
        <f>Price_List_BA!P190</f>
        <v>1.3435210636942543</v>
      </c>
    </row>
    <row r="526" spans="4:12" s="348" customFormat="1" ht="12.75" hidden="1" customHeight="1" outlineLevel="2" x14ac:dyDescent="0.2">
      <c r="D526" s="785" t="str">
        <f>Price_List_BA!D191</f>
        <v>Torch (UG)</v>
      </c>
      <c r="E526" s="786"/>
      <c r="F526" s="786"/>
      <c r="G526" s="786"/>
      <c r="J526" s="127">
        <f>Price_List_BA!L191</f>
        <v>39.595100000000002</v>
      </c>
      <c r="K526" s="127">
        <f>Price_List_BA!O191</f>
        <v>4.3994555555555559</v>
      </c>
      <c r="L526" s="127">
        <f>Price_List_BA!P191</f>
        <v>5.0853514120175074</v>
      </c>
    </row>
    <row r="527" spans="4:12" s="348" customFormat="1" ht="12.75" hidden="1" customHeight="1" outlineLevel="2" x14ac:dyDescent="0.2">
      <c r="D527" s="785" t="str">
        <f>Price_List_BA!D192</f>
        <v>Uterine Cervical Dilator (ZM)</v>
      </c>
      <c r="E527" s="786"/>
      <c r="F527" s="786"/>
      <c r="G527" s="786"/>
      <c r="J527" s="127">
        <f>Price_List_BA!L192</f>
        <v>30</v>
      </c>
      <c r="K527" s="127">
        <f>Price_List_BA!O192</f>
        <v>4.2857142857142856</v>
      </c>
      <c r="L527" s="127">
        <f>Price_List_BA!P192</f>
        <v>4.8151906126281609</v>
      </c>
    </row>
    <row r="528" spans="4:12" s="348" customFormat="1" ht="12.75" hidden="1" customHeight="1" outlineLevel="2" x14ac:dyDescent="0.2">
      <c r="D528" s="785" t="str">
        <f>Price_List_BA!D193</f>
        <v>Uterine Cervical Dilator  (TZ)</v>
      </c>
      <c r="E528" s="786"/>
      <c r="F528" s="786"/>
      <c r="G528" s="786"/>
      <c r="J528" s="127">
        <f>Price_List_BA!L193</f>
        <v>875</v>
      </c>
      <c r="K528" s="127">
        <f>Price_List_BA!O193</f>
        <v>291.66666666666669</v>
      </c>
      <c r="L528" s="127">
        <f>Price_List_BA!P193</f>
        <v>309.3390679090233</v>
      </c>
    </row>
    <row r="529" spans="4:12" s="348" customFormat="1" ht="12.75" hidden="1" customHeight="1" outlineLevel="2" x14ac:dyDescent="0.2">
      <c r="D529" s="785" t="str">
        <f>Price_List_BA!D194</f>
        <v>Uterine Probe (ZM)</v>
      </c>
      <c r="E529" s="786"/>
      <c r="F529" s="786"/>
      <c r="G529" s="786"/>
      <c r="J529" s="127">
        <f>Price_List_BA!L194</f>
        <v>46</v>
      </c>
      <c r="K529" s="127">
        <f>Price_List_BA!O194</f>
        <v>5.1111111111111107</v>
      </c>
      <c r="L529" s="127">
        <f>Price_List_BA!P194</f>
        <v>5.9079574228327578</v>
      </c>
    </row>
    <row r="530" spans="4:12" s="348" customFormat="1" ht="12.75" hidden="1" customHeight="1" outlineLevel="2" x14ac:dyDescent="0.2">
      <c r="D530" s="785" t="str">
        <f>Price_List_BA!D195</f>
        <v>Uterine Probe  (TZ)</v>
      </c>
      <c r="E530" s="786"/>
      <c r="F530" s="786"/>
      <c r="G530" s="786"/>
      <c r="J530" s="127">
        <f>Price_List_BA!L195</f>
        <v>43.75</v>
      </c>
      <c r="K530" s="127">
        <f>Price_List_BA!O195</f>
        <v>4.8611111111111107</v>
      </c>
      <c r="L530" s="127">
        <f>Price_List_BA!P195</f>
        <v>5.6189812445420255</v>
      </c>
    </row>
    <row r="531" spans="4:12" s="348" customFormat="1" ht="12.75" hidden="1" customHeight="1" outlineLevel="2" x14ac:dyDescent="0.2">
      <c r="D531" s="785" t="str">
        <f>Price_List_BA!D196</f>
        <v>Equipment Category 113</v>
      </c>
      <c r="E531" s="786"/>
      <c r="F531" s="786"/>
      <c r="G531" s="786"/>
      <c r="J531" s="127">
        <f>Price_List_BA!L196</f>
        <v>0</v>
      </c>
      <c r="K531" s="127">
        <f>Price_List_BA!O196</f>
        <v>0</v>
      </c>
      <c r="L531" s="127">
        <f>Price_List_BA!P196</f>
        <v>0</v>
      </c>
    </row>
    <row r="532" spans="4:12" s="348" customFormat="1" ht="12.75" hidden="1" customHeight="1" outlineLevel="2" x14ac:dyDescent="0.2">
      <c r="D532" s="785" t="str">
        <f>Price_List_BA!D197</f>
        <v>Equipment Category 114</v>
      </c>
      <c r="E532" s="786"/>
      <c r="F532" s="786"/>
      <c r="G532" s="786"/>
      <c r="J532" s="127">
        <f>Price_List_BA!L197</f>
        <v>0</v>
      </c>
      <c r="K532" s="127">
        <f>Price_List_BA!O197</f>
        <v>0</v>
      </c>
      <c r="L532" s="127">
        <f>Price_List_BA!P197</f>
        <v>0</v>
      </c>
    </row>
    <row r="533" spans="4:12" s="348" customFormat="1" ht="12.75" hidden="1" customHeight="1" outlineLevel="2" x14ac:dyDescent="0.2">
      <c r="D533" s="785" t="str">
        <f>Price_List_BA!D198</f>
        <v>Equipment Category 115</v>
      </c>
      <c r="E533" s="786"/>
      <c r="F533" s="786"/>
      <c r="G533" s="786"/>
      <c r="J533" s="127">
        <f>Price_List_BA!L198</f>
        <v>0</v>
      </c>
      <c r="K533" s="127">
        <f>Price_List_BA!O198</f>
        <v>0</v>
      </c>
      <c r="L533" s="127">
        <f>Price_List_BA!P198</f>
        <v>0</v>
      </c>
    </row>
    <row r="534" spans="4:12" s="348" customFormat="1" ht="12.75" hidden="1" customHeight="1" outlineLevel="2" x14ac:dyDescent="0.2">
      <c r="D534" s="785" t="str">
        <f>Price_List_BA!D199</f>
        <v>Equipment Category 116</v>
      </c>
      <c r="E534" s="786"/>
      <c r="F534" s="786"/>
      <c r="G534" s="786"/>
      <c r="J534" s="127">
        <f>Price_List_BA!L199</f>
        <v>0</v>
      </c>
      <c r="K534" s="127">
        <f>Price_List_BA!O199</f>
        <v>0</v>
      </c>
      <c r="L534" s="127">
        <f>Price_List_BA!P199</f>
        <v>0</v>
      </c>
    </row>
    <row r="535" spans="4:12" s="348" customFormat="1" ht="12.75" hidden="1" customHeight="1" outlineLevel="2" x14ac:dyDescent="0.2">
      <c r="D535" s="785" t="str">
        <f>Price_List_BA!D200</f>
        <v>Equipment Category 117</v>
      </c>
      <c r="E535" s="786"/>
      <c r="F535" s="786"/>
      <c r="G535" s="786"/>
      <c r="J535" s="127">
        <f>Price_List_BA!L200</f>
        <v>0</v>
      </c>
      <c r="K535" s="127">
        <f>Price_List_BA!O200</f>
        <v>0</v>
      </c>
      <c r="L535" s="127">
        <f>Price_List_BA!P200</f>
        <v>0</v>
      </c>
    </row>
    <row r="536" spans="4:12" s="348" customFormat="1" ht="12.75" hidden="1" customHeight="1" outlineLevel="2" x14ac:dyDescent="0.2">
      <c r="D536" s="785" t="str">
        <f>Price_List_BA!D201</f>
        <v>Equipment Category 118</v>
      </c>
      <c r="E536" s="786"/>
      <c r="F536" s="786"/>
      <c r="G536" s="786"/>
      <c r="J536" s="127">
        <f>Price_List_BA!L201</f>
        <v>0</v>
      </c>
      <c r="K536" s="127">
        <f>Price_List_BA!O201</f>
        <v>0</v>
      </c>
      <c r="L536" s="127">
        <f>Price_List_BA!P201</f>
        <v>0</v>
      </c>
    </row>
    <row r="537" spans="4:12" s="348" customFormat="1" ht="12.75" hidden="1" customHeight="1" outlineLevel="2" x14ac:dyDescent="0.2">
      <c r="D537" s="785" t="str">
        <f>Price_List_BA!D202</f>
        <v>Equipment Category 119</v>
      </c>
      <c r="E537" s="786"/>
      <c r="F537" s="786"/>
      <c r="G537" s="786"/>
      <c r="J537" s="127">
        <f>Price_List_BA!L202</f>
        <v>0</v>
      </c>
      <c r="K537" s="127">
        <f>Price_List_BA!O202</f>
        <v>0</v>
      </c>
      <c r="L537" s="127">
        <f>Price_List_BA!P202</f>
        <v>0</v>
      </c>
    </row>
    <row r="538" spans="4:12" s="348" customFormat="1" ht="12.75" hidden="1" customHeight="1" outlineLevel="2" x14ac:dyDescent="0.2">
      <c r="D538" s="785" t="str">
        <f>Price_List_BA!D203</f>
        <v>Equipment Category 120</v>
      </c>
      <c r="E538" s="786"/>
      <c r="F538" s="786"/>
      <c r="G538" s="786"/>
      <c r="J538" s="127">
        <f>Price_List_BA!L203</f>
        <v>0</v>
      </c>
      <c r="K538" s="127">
        <f>Price_List_BA!O203</f>
        <v>0</v>
      </c>
      <c r="L538" s="127">
        <f>Price_List_BA!P203</f>
        <v>0</v>
      </c>
    </row>
    <row r="539" spans="4:12" s="348" customFormat="1" ht="12.75" hidden="1" customHeight="1" outlineLevel="2" x14ac:dyDescent="0.2">
      <c r="D539" s="785" t="str">
        <f>Price_List_BA!D204</f>
        <v>Equipment Category 121</v>
      </c>
      <c r="E539" s="786"/>
      <c r="F539" s="786"/>
      <c r="G539" s="786"/>
      <c r="J539" s="127">
        <f>Price_List_BA!L204</f>
        <v>0</v>
      </c>
      <c r="K539" s="127">
        <f>Price_List_BA!O204</f>
        <v>0</v>
      </c>
      <c r="L539" s="127">
        <f>Price_List_BA!P204</f>
        <v>0</v>
      </c>
    </row>
    <row r="540" spans="4:12" s="348" customFormat="1" ht="12.75" hidden="1" customHeight="1" outlineLevel="2" x14ac:dyDescent="0.2">
      <c r="D540" s="785" t="str">
        <f>Price_List_BA!D205</f>
        <v>Equipment Category 122</v>
      </c>
      <c r="E540" s="786"/>
      <c r="F540" s="786"/>
      <c r="G540" s="786"/>
      <c r="J540" s="127">
        <f>Price_List_BA!L205</f>
        <v>0</v>
      </c>
      <c r="K540" s="127">
        <f>Price_List_BA!O205</f>
        <v>0</v>
      </c>
      <c r="L540" s="127">
        <f>Price_List_BA!P205</f>
        <v>0</v>
      </c>
    </row>
    <row r="541" spans="4:12" s="348" customFormat="1" ht="12.75" hidden="1" customHeight="1" outlineLevel="2" x14ac:dyDescent="0.2">
      <c r="D541" s="785" t="str">
        <f>Price_List_BA!D206</f>
        <v>Equipment Category 123</v>
      </c>
      <c r="E541" s="786"/>
      <c r="F541" s="786"/>
      <c r="G541" s="786"/>
      <c r="J541" s="127">
        <f>Price_List_BA!L206</f>
        <v>0</v>
      </c>
      <c r="K541" s="127">
        <f>Price_List_BA!O206</f>
        <v>0</v>
      </c>
      <c r="L541" s="127">
        <f>Price_List_BA!P206</f>
        <v>0</v>
      </c>
    </row>
    <row r="542" spans="4:12" s="348" customFormat="1" hidden="1" outlineLevel="2" x14ac:dyDescent="0.2"/>
    <row r="543" spans="4:12" s="348" customFormat="1" ht="25.5" hidden="1" outlineLevel="2" x14ac:dyDescent="0.2">
      <c r="D543" s="667" t="s">
        <v>186</v>
      </c>
      <c r="L543" s="312" t="str">
        <f>"Cost per Unit ("&amp;$I$181&amp;"/Unit)"</f>
        <v>Cost per Unit (USD/Unit)</v>
      </c>
    </row>
    <row r="544" spans="4:12" s="348" customFormat="1" ht="12.75" hidden="1" customHeight="1" outlineLevel="2" x14ac:dyDescent="0.2">
      <c r="D544" s="785" t="str">
        <f>Price_List_BA!D381</f>
        <v>_Not Applicable</v>
      </c>
      <c r="E544" s="786"/>
      <c r="F544" s="786"/>
      <c r="G544" s="786"/>
      <c r="L544" s="127">
        <f>Price_List_BA!L381</f>
        <v>0</v>
      </c>
    </row>
    <row r="545" spans="4:12" s="348" customFormat="1" ht="12.75" hidden="1" customHeight="1" outlineLevel="2" x14ac:dyDescent="0.2">
      <c r="D545" s="785" t="str">
        <f>Price_List_BA!D382</f>
        <v>Biopsy Pathology (ZM)</v>
      </c>
      <c r="E545" s="786"/>
      <c r="F545" s="786"/>
      <c r="G545" s="786"/>
      <c r="L545" s="127">
        <f>Price_List_BA!L382</f>
        <v>10.45</v>
      </c>
    </row>
    <row r="546" spans="4:12" s="348" customFormat="1" ht="12.75" hidden="1" customHeight="1" outlineLevel="2" x14ac:dyDescent="0.2">
      <c r="D546" s="785" t="str">
        <f>Price_List_BA!D383</f>
        <v>Blood chemistry (TZ)</v>
      </c>
      <c r="E546" s="786"/>
      <c r="F546" s="786"/>
      <c r="G546" s="786"/>
      <c r="L546" s="127">
        <f>Price_List_BA!L383</f>
        <v>21.875</v>
      </c>
    </row>
    <row r="547" spans="4:12" s="348" customFormat="1" ht="12.75" hidden="1" customHeight="1" outlineLevel="2" x14ac:dyDescent="0.2">
      <c r="D547" s="785" t="str">
        <f>Price_List_BA!D384</f>
        <v>Blood slide for malaria (TZ)</v>
      </c>
      <c r="E547" s="786"/>
      <c r="F547" s="786"/>
      <c r="G547" s="786"/>
      <c r="L547" s="127">
        <f>Price_List_BA!L384</f>
        <v>1.25</v>
      </c>
    </row>
    <row r="548" spans="4:12" s="348" customFormat="1" ht="12.75" hidden="1" customHeight="1" outlineLevel="2" x14ac:dyDescent="0.2">
      <c r="D548" s="785" t="str">
        <f>Price_List_BA!D385</f>
        <v>CareHPV test (TZ)</v>
      </c>
      <c r="E548" s="786"/>
      <c r="F548" s="786"/>
      <c r="G548" s="786"/>
      <c r="L548" s="127">
        <f>Price_List_BA!L385</f>
        <v>5</v>
      </c>
    </row>
    <row r="549" spans="4:12" s="348" customFormat="1" ht="12.75" hidden="1" customHeight="1" outlineLevel="2" x14ac:dyDescent="0.2">
      <c r="D549" s="785" t="str">
        <f>Price_List_BA!D386</f>
        <v>Chest X-ray (ZM)</v>
      </c>
      <c r="E549" s="786"/>
      <c r="F549" s="786"/>
      <c r="G549" s="786"/>
      <c r="L549" s="127">
        <f>Price_List_BA!L386</f>
        <v>1.67</v>
      </c>
    </row>
    <row r="550" spans="4:12" s="348" customFormat="1" ht="12.75" hidden="1" customHeight="1" outlineLevel="2" x14ac:dyDescent="0.2">
      <c r="D550" s="785" t="str">
        <f>Price_List_BA!D387</f>
        <v>Chest x-ray (TZ)</v>
      </c>
      <c r="E550" s="786"/>
      <c r="F550" s="786"/>
      <c r="G550" s="786"/>
      <c r="L550" s="127">
        <f>Price_List_BA!L387</f>
        <v>3.75</v>
      </c>
    </row>
    <row r="551" spans="4:12" s="348" customFormat="1" ht="12.75" hidden="1" customHeight="1" outlineLevel="2" x14ac:dyDescent="0.2">
      <c r="D551" s="785" t="str">
        <f>Price_List_BA!D388</f>
        <v>Full Blood Count (ZM)</v>
      </c>
      <c r="E551" s="786"/>
      <c r="F551" s="786"/>
      <c r="G551" s="786"/>
      <c r="L551" s="127">
        <f>Price_List_BA!L388</f>
        <v>2.5</v>
      </c>
    </row>
    <row r="552" spans="4:12" s="348" customFormat="1" ht="12.75" hidden="1" customHeight="1" outlineLevel="2" x14ac:dyDescent="0.2">
      <c r="D552" s="785" t="str">
        <f>Price_List_BA!D389</f>
        <v>Full blood picture (TZ)</v>
      </c>
      <c r="E552" s="786"/>
      <c r="F552" s="786"/>
      <c r="G552" s="786"/>
      <c r="L552" s="127">
        <f>Price_List_BA!L389</f>
        <v>6.25</v>
      </c>
    </row>
    <row r="553" spans="4:12" s="348" customFormat="1" ht="12.75" hidden="1" customHeight="1" outlineLevel="2" x14ac:dyDescent="0.2">
      <c r="D553" s="785" t="str">
        <f>Price_List_BA!D390</f>
        <v>Grouping, X matching (TZ)</v>
      </c>
      <c r="E553" s="786"/>
      <c r="F553" s="786"/>
      <c r="G553" s="786"/>
      <c r="L553" s="127">
        <f>Price_List_BA!L390</f>
        <v>1.875</v>
      </c>
    </row>
    <row r="554" spans="4:12" s="348" customFormat="1" ht="12.75" hidden="1" customHeight="1" outlineLevel="2" x14ac:dyDescent="0.2">
      <c r="D554" s="785" t="str">
        <f>Price_List_BA!D391</f>
        <v>Haemoglobin (TZ)</v>
      </c>
      <c r="E554" s="786"/>
      <c r="F554" s="786"/>
      <c r="G554" s="786"/>
      <c r="L554" s="127">
        <f>Price_List_BA!L391</f>
        <v>0.625</v>
      </c>
    </row>
    <row r="555" spans="4:12" s="348" customFormat="1" ht="12.75" hidden="1" customHeight="1" outlineLevel="2" x14ac:dyDescent="0.2">
      <c r="D555" s="785" t="str">
        <f>Price_List_BA!D392</f>
        <v>Histopathology (TZ)</v>
      </c>
      <c r="E555" s="786"/>
      <c r="F555" s="786"/>
      <c r="G555" s="786"/>
      <c r="L555" s="127">
        <f>Price_List_BA!L392</f>
        <v>31.25</v>
      </c>
    </row>
    <row r="556" spans="4:12" s="348" customFormat="1" ht="12.75" hidden="1" customHeight="1" outlineLevel="2" x14ac:dyDescent="0.2">
      <c r="D556" s="785" t="str">
        <f>Price_List_BA!D393</f>
        <v>Home Care (Day) (TZ)</v>
      </c>
      <c r="E556" s="786"/>
      <c r="F556" s="786"/>
      <c r="G556" s="786"/>
      <c r="L556" s="127">
        <f>Price_List_BA!L393</f>
        <v>12.5</v>
      </c>
    </row>
    <row r="557" spans="4:12" s="348" customFormat="1" ht="12.75" hidden="1" customHeight="1" outlineLevel="2" x14ac:dyDescent="0.2">
      <c r="D557" s="785" t="str">
        <f>Price_List_BA!D394</f>
        <v>Hospital Stay (Bed Day) (TZ)</v>
      </c>
      <c r="E557" s="786"/>
      <c r="F557" s="786"/>
      <c r="G557" s="786"/>
      <c r="L557" s="127">
        <f>Price_List_BA!L394</f>
        <v>18.75</v>
      </c>
    </row>
    <row r="558" spans="4:12" s="348" customFormat="1" ht="12.75" hidden="1" customHeight="1" outlineLevel="2" x14ac:dyDescent="0.2">
      <c r="D558" s="785" t="str">
        <f>Price_List_BA!D395</f>
        <v>Hysterectomy Pathology (ZM)</v>
      </c>
      <c r="E558" s="786"/>
      <c r="F558" s="786"/>
      <c r="G558" s="786"/>
      <c r="L558" s="127">
        <f>Price_List_BA!L395</f>
        <v>135.77000000000001</v>
      </c>
    </row>
    <row r="559" spans="4:12" s="348" customFormat="1" ht="12.75" hidden="1" customHeight="1" outlineLevel="2" x14ac:dyDescent="0.2">
      <c r="D559" s="785" t="str">
        <f>Price_List_BA!D396</f>
        <v>LEEP Pathology (ZM)</v>
      </c>
      <c r="E559" s="786"/>
      <c r="F559" s="786"/>
      <c r="G559" s="786"/>
      <c r="L559" s="127">
        <f>Price_List_BA!L396</f>
        <v>62.66</v>
      </c>
    </row>
    <row r="560" spans="4:12" s="348" customFormat="1" ht="12.75" hidden="1" customHeight="1" outlineLevel="2" x14ac:dyDescent="0.2">
      <c r="D560" s="785" t="str">
        <f>Price_List_BA!D397</f>
        <v>Liver Function (ZM)</v>
      </c>
      <c r="E560" s="786"/>
      <c r="F560" s="786"/>
      <c r="G560" s="786"/>
      <c r="L560" s="127">
        <f>Price_List_BA!L397</f>
        <v>6.67</v>
      </c>
    </row>
    <row r="561" spans="4:12" s="348" customFormat="1" ht="12.75" hidden="1" customHeight="1" outlineLevel="2" x14ac:dyDescent="0.2">
      <c r="D561" s="785" t="str">
        <f>Price_List_BA!D398</f>
        <v>Planning x-ray (TZ)</v>
      </c>
      <c r="E561" s="786"/>
      <c r="F561" s="786"/>
      <c r="G561" s="786"/>
      <c r="L561" s="127">
        <f>Price_List_BA!L398</f>
        <v>3.75</v>
      </c>
    </row>
    <row r="562" spans="4:12" s="348" customFormat="1" ht="12.75" hidden="1" customHeight="1" outlineLevel="2" x14ac:dyDescent="0.2">
      <c r="D562" s="785" t="str">
        <f>Price_List_BA!D399</f>
        <v>Renal Function (ZM)</v>
      </c>
      <c r="E562" s="786"/>
      <c r="F562" s="786"/>
      <c r="G562" s="786"/>
      <c r="L562" s="127">
        <f>Price_List_BA!L399</f>
        <v>3.33</v>
      </c>
    </row>
    <row r="563" spans="4:12" s="348" customFormat="1" ht="12.75" hidden="1" customHeight="1" outlineLevel="2" x14ac:dyDescent="0.2">
      <c r="D563" s="785" t="str">
        <f>Price_List_BA!D400</f>
        <v>Ultrasound (ZM)</v>
      </c>
      <c r="E563" s="786"/>
      <c r="F563" s="786"/>
      <c r="G563" s="786"/>
      <c r="L563" s="127">
        <f>Price_List_BA!L400</f>
        <v>4.17</v>
      </c>
    </row>
    <row r="564" spans="4:12" s="348" customFormat="1" ht="12.75" hidden="1" customHeight="1" outlineLevel="2" x14ac:dyDescent="0.2">
      <c r="D564" s="785" t="str">
        <f>Price_List_BA!D401</f>
        <v>ultrasound (abdominal &amp; pelvic) (TZ)</v>
      </c>
      <c r="E564" s="786"/>
      <c r="F564" s="786"/>
      <c r="G564" s="786"/>
      <c r="L564" s="127">
        <f>Price_List_BA!L401</f>
        <v>15.625</v>
      </c>
    </row>
    <row r="565" spans="4:12" s="348" customFormat="1" ht="12.75" hidden="1" customHeight="1" outlineLevel="2" x14ac:dyDescent="0.2">
      <c r="D565" s="785" t="str">
        <f>Price_List_BA!D402</f>
        <v>Urine/stool test (TZ)</v>
      </c>
      <c r="E565" s="786"/>
      <c r="F565" s="786"/>
      <c r="G565" s="786"/>
      <c r="L565" s="127">
        <f>Price_List_BA!L402</f>
        <v>2.5</v>
      </c>
    </row>
    <row r="566" spans="4:12" s="348" customFormat="1" ht="12.75" hidden="1" customHeight="1" outlineLevel="2" x14ac:dyDescent="0.2">
      <c r="D566" s="785" t="str">
        <f>Price_List_BA!D403</f>
        <v>Lab Tests &amp; Other Direct Costs Category 23</v>
      </c>
      <c r="E566" s="786"/>
      <c r="F566" s="786"/>
      <c r="G566" s="786"/>
      <c r="L566" s="127">
        <f>Price_List_BA!L403</f>
        <v>0</v>
      </c>
    </row>
    <row r="567" spans="4:12" s="348" customFormat="1" ht="12.75" hidden="1" customHeight="1" outlineLevel="2" x14ac:dyDescent="0.2">
      <c r="D567" s="785" t="str">
        <f>Price_List_BA!D404</f>
        <v>Lab Tests &amp; Other Direct Costs Category 24</v>
      </c>
      <c r="E567" s="786"/>
      <c r="F567" s="786"/>
      <c r="G567" s="786"/>
      <c r="L567" s="127">
        <f>Price_List_BA!L404</f>
        <v>0</v>
      </c>
    </row>
    <row r="568" spans="4:12" s="348" customFormat="1" ht="12.75" hidden="1" customHeight="1" outlineLevel="2" x14ac:dyDescent="0.2">
      <c r="D568" s="785" t="str">
        <f>Price_List_BA!D405</f>
        <v>Lab Tests &amp; Other Direct Costs Category 25</v>
      </c>
      <c r="E568" s="786"/>
      <c r="F568" s="786"/>
      <c r="G568" s="786"/>
      <c r="L568" s="127">
        <f>Price_List_BA!L405</f>
        <v>0</v>
      </c>
    </row>
    <row r="569" spans="4:12" s="348" customFormat="1" ht="12.75" hidden="1" customHeight="1" outlineLevel="2" x14ac:dyDescent="0.2">
      <c r="D569" s="785" t="str">
        <f>Price_List_BA!D406</f>
        <v>Lab Tests &amp; Other Direct Costs Category 26</v>
      </c>
      <c r="E569" s="786"/>
      <c r="F569" s="786"/>
      <c r="G569" s="786"/>
      <c r="L569" s="127">
        <f>Price_List_BA!L406</f>
        <v>0</v>
      </c>
    </row>
    <row r="570" spans="4:12" s="348" customFormat="1" ht="12.75" hidden="1" customHeight="1" outlineLevel="2" x14ac:dyDescent="0.2">
      <c r="D570" s="785" t="str">
        <f>Price_List_BA!D407</f>
        <v>Lab Tests &amp; Other Direct Costs Category 27</v>
      </c>
      <c r="E570" s="786"/>
      <c r="F570" s="786"/>
      <c r="G570" s="786"/>
      <c r="L570" s="127">
        <f>Price_List_BA!L407</f>
        <v>0</v>
      </c>
    </row>
    <row r="571" spans="4:12" s="348" customFormat="1" ht="12.75" hidden="1" customHeight="1" outlineLevel="2" x14ac:dyDescent="0.2">
      <c r="D571" s="785" t="str">
        <f>Price_List_BA!D408</f>
        <v>Lab Tests &amp; Other Direct Costs Category 28</v>
      </c>
      <c r="E571" s="786"/>
      <c r="F571" s="786"/>
      <c r="G571" s="786"/>
      <c r="L571" s="127">
        <f>Price_List_BA!L408</f>
        <v>0</v>
      </c>
    </row>
    <row r="572" spans="4:12" s="348" customFormat="1" ht="12.75" hidden="1" customHeight="1" outlineLevel="2" x14ac:dyDescent="0.2">
      <c r="D572" s="785" t="str">
        <f>Price_List_BA!D409</f>
        <v>Lab Tests &amp; Other Direct Costs Category 29</v>
      </c>
      <c r="E572" s="786"/>
      <c r="F572" s="786"/>
      <c r="G572" s="786"/>
      <c r="L572" s="127">
        <f>Price_List_BA!L409</f>
        <v>0</v>
      </c>
    </row>
    <row r="573" spans="4:12" s="348" customFormat="1" ht="12.75" hidden="1" customHeight="1" outlineLevel="2" x14ac:dyDescent="0.2">
      <c r="D573" s="785" t="str">
        <f>Price_List_BA!D410</f>
        <v>Lab Tests &amp; Other Direct Costs Category 30</v>
      </c>
      <c r="E573" s="786"/>
      <c r="F573" s="786"/>
      <c r="G573" s="786"/>
      <c r="L573" s="127">
        <f>Price_List_BA!L410</f>
        <v>0</v>
      </c>
    </row>
    <row r="574" spans="4:12" s="348" customFormat="1" ht="12.75" hidden="1" customHeight="1" outlineLevel="2" x14ac:dyDescent="0.2">
      <c r="D574" s="785" t="str">
        <f>Price_List_BA!D411</f>
        <v>Lab Tests &amp; Other Direct Costs Category 31</v>
      </c>
      <c r="E574" s="786"/>
      <c r="F574" s="786"/>
      <c r="G574" s="786"/>
      <c r="L574" s="127">
        <f>Price_List_BA!L411</f>
        <v>0</v>
      </c>
    </row>
    <row r="575" spans="4:12" s="348" customFormat="1" ht="12.75" hidden="1" customHeight="1" outlineLevel="2" x14ac:dyDescent="0.2">
      <c r="D575" s="785" t="str">
        <f>Price_List_BA!D412</f>
        <v>Lab Tests &amp; Other Direct Costs Category 32</v>
      </c>
      <c r="E575" s="786"/>
      <c r="F575" s="786"/>
      <c r="G575" s="786"/>
      <c r="L575" s="127">
        <f>Price_List_BA!L412</f>
        <v>0</v>
      </c>
    </row>
    <row r="576" spans="4:12" s="348" customFormat="1" ht="12.75" hidden="1" customHeight="1" outlineLevel="2" x14ac:dyDescent="0.2">
      <c r="D576" s="785" t="str">
        <f>Price_List_BA!D413</f>
        <v>Last ODC Row</v>
      </c>
      <c r="E576" s="786"/>
      <c r="F576" s="786"/>
      <c r="G576" s="786"/>
      <c r="L576" s="127">
        <f>Price_List_BA!L413</f>
        <v>0</v>
      </c>
    </row>
    <row r="577" spans="2:14" s="348" customFormat="1" hidden="1" outlineLevel="2" collapsed="1" x14ac:dyDescent="0.2"/>
    <row r="578" spans="2:14" s="348" customFormat="1" hidden="1" outlineLevel="2" x14ac:dyDescent="0.2">
      <c r="D578" s="671" t="s">
        <v>312</v>
      </c>
      <c r="I578" s="130">
        <f>IF(ISERROR(SUM(U$88:U$89,U$101:U$102,U$115:U$121,U$134:U$138,U$151:U$154,U181)),1,MIN(SUM(U$88:U$89,U$101:U$102,U$115:U$121,U$134:U$138,U$151:U$154,U181),1))</f>
        <v>0</v>
      </c>
    </row>
    <row r="579" spans="2:14" s="348" customFormat="1" collapsed="1" x14ac:dyDescent="0.2">
      <c r="C579" s="671" t="s">
        <v>23</v>
      </c>
      <c r="I579" s="131">
        <f>IF(ISERROR(SUM(I578)),1,MIN(SUM(I578),1))</f>
        <v>0</v>
      </c>
    </row>
    <row r="580" spans="2:14" s="348" customFormat="1" x14ac:dyDescent="0.2"/>
    <row r="581" spans="2:14" s="348" customFormat="1" x14ac:dyDescent="0.2">
      <c r="C581" s="722" t="str">
        <f>"Go to "&amp;HL_Intv_Ann_Ass</f>
        <v>Go to Intervention Services - Annual Assumptions</v>
      </c>
      <c r="D581" s="777"/>
      <c r="E581" s="777"/>
      <c r="F581" s="777"/>
      <c r="G581" s="777"/>
      <c r="H581" s="777"/>
      <c r="I581" s="777"/>
    </row>
    <row r="582" spans="2:14" s="348" customFormat="1" x14ac:dyDescent="0.2">
      <c r="C582" s="722" t="str">
        <f>"Go to "&amp;HL_Intv_Out</f>
        <v>Go to Cryotherapy - Same Visit</v>
      </c>
      <c r="D582" s="777"/>
      <c r="E582" s="777"/>
      <c r="F582" s="777"/>
      <c r="G582" s="777"/>
      <c r="H582" s="777"/>
      <c r="I582" s="777"/>
    </row>
    <row r="583" spans="2:14" s="348" customFormat="1" x14ac:dyDescent="0.2"/>
    <row r="584" spans="2:14" s="348" customFormat="1" x14ac:dyDescent="0.2"/>
    <row r="585" spans="2:14" s="348" customFormat="1" ht="18.75" x14ac:dyDescent="0.2">
      <c r="B585" s="424" t="str">
        <f>G587</f>
        <v>Loop Electrosurgical Excision Procedure  with BIOP-H</v>
      </c>
    </row>
    <row r="586" spans="2:14" s="348" customFormat="1" x14ac:dyDescent="0.2"/>
    <row r="587" spans="2:14" s="348" customFormat="1" x14ac:dyDescent="0.2">
      <c r="C587" s="671" t="s">
        <v>77</v>
      </c>
      <c r="G587" s="721" t="s">
        <v>1641</v>
      </c>
      <c r="H587" s="721"/>
      <c r="I587" s="721"/>
      <c r="J587" s="721"/>
    </row>
    <row r="588" spans="2:14" s="348" customFormat="1" x14ac:dyDescent="0.2">
      <c r="C588" s="671" t="s">
        <v>79</v>
      </c>
      <c r="G588" s="721" t="s">
        <v>1642</v>
      </c>
      <c r="H588" s="721"/>
      <c r="I588" s="721"/>
      <c r="J588" s="721"/>
    </row>
    <row r="589" spans="2:14" s="348" customFormat="1" x14ac:dyDescent="0.2">
      <c r="L589" s="671" t="s">
        <v>1712</v>
      </c>
    </row>
    <row r="590" spans="2:14" s="348" customFormat="1" x14ac:dyDescent="0.2">
      <c r="C590" s="802" t="s">
        <v>815</v>
      </c>
      <c r="D590" s="803"/>
      <c r="E590" s="803"/>
      <c r="F590" s="803"/>
      <c r="G590" s="803"/>
      <c r="H590" s="803"/>
      <c r="I590" s="803"/>
      <c r="J590" s="313">
        <f>IFERROR(INDEX($J$594:$J$600,MATCH($G$588,$C$594:$C$600,0))+INDEX($J$604:$J$609,MATCH($G$588,$C$604:$C$609,0)),0)</f>
        <v>6.3E-2</v>
      </c>
    </row>
    <row r="591" spans="2:14" s="348" customFormat="1" x14ac:dyDescent="0.2">
      <c r="C591" s="671" t="s">
        <v>142</v>
      </c>
      <c r="J591" s="413">
        <v>0.5</v>
      </c>
      <c r="L591" s="721" t="s">
        <v>1713</v>
      </c>
      <c r="M591" s="721"/>
      <c r="N591" s="721"/>
    </row>
    <row r="592" spans="2:14" s="348" customFormat="1" hidden="1" outlineLevel="1" x14ac:dyDescent="0.2"/>
    <row r="593" spans="3:10" s="348" customFormat="1" ht="15" hidden="1" outlineLevel="1" x14ac:dyDescent="0.2">
      <c r="C593" s="667" t="s">
        <v>270</v>
      </c>
      <c r="J593" s="671" t="s">
        <v>779</v>
      </c>
    </row>
    <row r="594" spans="3:10" s="348" customFormat="1" hidden="1" outlineLevel="1" x14ac:dyDescent="0.2">
      <c r="C594" s="668" t="str">
        <f>Reg_Pop_Ann_TA!D57</f>
        <v>BIOP-H</v>
      </c>
      <c r="J594" s="303">
        <f>Reg_Pop_Ann_TA!H57</f>
        <v>0.01</v>
      </c>
    </row>
    <row r="595" spans="3:10" s="348" customFormat="1" hidden="1" outlineLevel="1" x14ac:dyDescent="0.2">
      <c r="C595" s="668" t="str">
        <f>Reg_Pop_Ann_TA!D58</f>
        <v>Cryo -SV</v>
      </c>
      <c r="J595" s="303">
        <f>Reg_Pop_Ann_TA!H58</f>
        <v>0.106</v>
      </c>
    </row>
    <row r="596" spans="3:10" s="348" customFormat="1" hidden="1" outlineLevel="1" x14ac:dyDescent="0.2">
      <c r="C596" s="668" t="str">
        <f>Reg_Pop_Ann_TA!D59</f>
        <v>LEEP with BIOP-H</v>
      </c>
      <c r="J596" s="303">
        <f>Reg_Pop_Ann_TA!H59</f>
        <v>6.3E-2</v>
      </c>
    </row>
    <row r="597" spans="3:10" s="348" customFormat="1" hidden="1" outlineLevel="1" x14ac:dyDescent="0.2">
      <c r="C597" s="668" t="str">
        <f>Reg_Pop_Ann_TA!D60</f>
        <v>SURG</v>
      </c>
      <c r="J597" s="303">
        <f>Reg_Pop_Ann_TA!H60</f>
        <v>0</v>
      </c>
    </row>
    <row r="598" spans="3:10" s="348" customFormat="1" hidden="1" outlineLevel="1" x14ac:dyDescent="0.2">
      <c r="C598" s="668" t="str">
        <f>Reg_Pop_Ann_TA!D61</f>
        <v>Chemo</v>
      </c>
      <c r="J598" s="303">
        <f>Reg_Pop_Ann_TA!H61</f>
        <v>0</v>
      </c>
    </row>
    <row r="599" spans="3:10" s="348" customFormat="1" hidden="1" outlineLevel="1" x14ac:dyDescent="0.2">
      <c r="C599" s="668" t="str">
        <f>Reg_Pop_Ann_TA!D62</f>
        <v>RADIO</v>
      </c>
      <c r="J599" s="303">
        <f>Reg_Pop_Ann_TA!H62</f>
        <v>0</v>
      </c>
    </row>
    <row r="600" spans="3:10" s="348" customFormat="1" hidden="1" outlineLevel="1" x14ac:dyDescent="0.2">
      <c r="C600" s="668" t="str">
        <f>Reg_Pop_Ann_TA!D63</f>
        <v>PALL</v>
      </c>
      <c r="J600" s="303">
        <f>Reg_Pop_Ann_TA!H63</f>
        <v>0</v>
      </c>
    </row>
    <row r="601" spans="3:10" s="348" customFormat="1" ht="15" hidden="1" outlineLevel="1" collapsed="1" x14ac:dyDescent="0.2">
      <c r="C601" s="667" t="s">
        <v>781</v>
      </c>
      <c r="J601" s="303">
        <f>SUM(J594:J600)</f>
        <v>0.17899999999999999</v>
      </c>
    </row>
    <row r="602" spans="3:10" s="348" customFormat="1" hidden="1" outlineLevel="1" x14ac:dyDescent="0.2"/>
    <row r="603" spans="3:10" s="348" customFormat="1" ht="15" hidden="1" outlineLevel="1" x14ac:dyDescent="0.2">
      <c r="C603" s="667" t="s">
        <v>270</v>
      </c>
      <c r="J603" s="671" t="s">
        <v>780</v>
      </c>
    </row>
    <row r="604" spans="3:10" s="348" customFormat="1" hidden="1" outlineLevel="1" x14ac:dyDescent="0.2">
      <c r="C604" s="668" t="str">
        <f>Reg_Pop_Ann_TA!D80</f>
        <v>Cryo -SV</v>
      </c>
      <c r="J604" s="313">
        <f>Reg_Pop_Ann_TA!I80</f>
        <v>0</v>
      </c>
    </row>
    <row r="605" spans="3:10" s="348" customFormat="1" hidden="1" outlineLevel="1" x14ac:dyDescent="0.2">
      <c r="C605" s="668" t="str">
        <f>Reg_Pop_Ann_TA!D81</f>
        <v>LEEP with BIOP-H</v>
      </c>
      <c r="J605" s="313">
        <f>Reg_Pop_Ann_TA!I81</f>
        <v>0</v>
      </c>
    </row>
    <row r="606" spans="3:10" s="348" customFormat="1" hidden="1" outlineLevel="1" x14ac:dyDescent="0.2">
      <c r="C606" s="668" t="str">
        <f>Reg_Pop_Ann_TA!D82</f>
        <v>SURG</v>
      </c>
      <c r="J606" s="313">
        <f>Reg_Pop_Ann_TA!I82</f>
        <v>7.1599999999999997E-3</v>
      </c>
    </row>
    <row r="607" spans="3:10" s="348" customFormat="1" hidden="1" outlineLevel="1" x14ac:dyDescent="0.2">
      <c r="C607" s="668" t="str">
        <f>Reg_Pop_Ann_TA!D83</f>
        <v>Chemo</v>
      </c>
      <c r="J607" s="313">
        <f>Reg_Pop_Ann_TA!I83</f>
        <v>8.9499999999999996E-3</v>
      </c>
    </row>
    <row r="608" spans="3:10" s="348" customFormat="1" hidden="1" outlineLevel="1" x14ac:dyDescent="0.2">
      <c r="C608" s="668" t="str">
        <f>Reg_Pop_Ann_TA!D84</f>
        <v>RADIO</v>
      </c>
      <c r="J608" s="313">
        <f>Reg_Pop_Ann_TA!I84</f>
        <v>8.9499999999999996E-3</v>
      </c>
    </row>
    <row r="609" spans="2:16" s="348" customFormat="1" hidden="1" outlineLevel="1" x14ac:dyDescent="0.2">
      <c r="C609" s="668" t="str">
        <f>Reg_Pop_Ann_TA!D85</f>
        <v>PALL</v>
      </c>
      <c r="J609" s="313">
        <f>Reg_Pop_Ann_TA!I85</f>
        <v>5.3699999999999998E-3</v>
      </c>
    </row>
    <row r="610" spans="2:16" s="348" customFormat="1" ht="15" hidden="1" outlineLevel="1" x14ac:dyDescent="0.2">
      <c r="C610" s="667" t="s">
        <v>782</v>
      </c>
      <c r="J610" s="304">
        <f>SUM(J604:J609)</f>
        <v>3.0429999999999999E-2</v>
      </c>
    </row>
    <row r="611" spans="2:16" s="348" customFormat="1" hidden="1" outlineLevel="1" x14ac:dyDescent="0.2"/>
    <row r="612" spans="2:16" s="348" customFormat="1" collapsed="1" x14ac:dyDescent="0.2"/>
    <row r="613" spans="2:16" s="348" customFormat="1" ht="15.75" x14ac:dyDescent="0.2">
      <c r="B613" s="124" t="str">
        <f>"Annual Capacity per Service Unit - "&amp;Intv_2_Short_Code</f>
        <v>Annual Capacity per Service Unit - LEEP with BIOP-H</v>
      </c>
    </row>
    <row r="614" spans="2:16" s="348" customFormat="1" x14ac:dyDescent="0.2"/>
    <row r="615" spans="2:16" s="348" customFormat="1" ht="38.25" x14ac:dyDescent="0.2">
      <c r="C615" s="671" t="s">
        <v>1752</v>
      </c>
      <c r="H615" s="676" t="s">
        <v>1746</v>
      </c>
      <c r="I615" s="676" t="s">
        <v>1747</v>
      </c>
      <c r="J615" s="676" t="s">
        <v>1749</v>
      </c>
      <c r="K615" s="676" t="s">
        <v>1748</v>
      </c>
      <c r="L615" s="676" t="s">
        <v>1750</v>
      </c>
      <c r="N615" s="800" t="s">
        <v>1759</v>
      </c>
      <c r="O615" s="801"/>
      <c r="P615" s="801"/>
    </row>
    <row r="616" spans="2:16" s="348" customFormat="1" x14ac:dyDescent="0.2">
      <c r="D616" s="668" t="str">
        <f>Labels_BA!D16</f>
        <v>Central Referral Hospital</v>
      </c>
      <c r="H616" s="494">
        <v>220</v>
      </c>
      <c r="I616" s="494">
        <v>8</v>
      </c>
      <c r="J616" s="494">
        <v>60</v>
      </c>
      <c r="K616" s="494">
        <v>19</v>
      </c>
      <c r="L616" s="487">
        <f>IFERROR((H616*I616*J616)/K616,0)</f>
        <v>5557.894736842105</v>
      </c>
      <c r="N616" s="721"/>
      <c r="O616" s="721"/>
      <c r="P616" s="721"/>
    </row>
    <row r="617" spans="2:16" s="348" customFormat="1" x14ac:dyDescent="0.2">
      <c r="D617" s="668" t="str">
        <f>Labels_BA!E16</f>
        <v>Provincial Hospital</v>
      </c>
      <c r="H617" s="494">
        <v>0</v>
      </c>
      <c r="I617" s="494">
        <v>0</v>
      </c>
      <c r="J617" s="494">
        <v>0</v>
      </c>
      <c r="K617" s="494">
        <v>0</v>
      </c>
      <c r="L617" s="487">
        <f>IFERROR((H617*I617*J617)/K617,0)</f>
        <v>0</v>
      </c>
      <c r="N617" s="721"/>
      <c r="O617" s="721"/>
      <c r="P617" s="721"/>
    </row>
    <row r="618" spans="2:16" s="348" customFormat="1" x14ac:dyDescent="0.2">
      <c r="D618" s="668" t="str">
        <f>Labels_BA!F16</f>
        <v>District Hospital</v>
      </c>
      <c r="H618" s="494">
        <v>0</v>
      </c>
      <c r="I618" s="494">
        <v>0</v>
      </c>
      <c r="J618" s="494">
        <v>0</v>
      </c>
      <c r="K618" s="494">
        <v>0</v>
      </c>
      <c r="L618" s="487">
        <f>IFERROR((H618*I618*J618)/K618,0)</f>
        <v>0</v>
      </c>
      <c r="N618" s="721"/>
      <c r="O618" s="721"/>
      <c r="P618" s="721"/>
    </row>
    <row r="619" spans="2:16" s="348" customFormat="1" x14ac:dyDescent="0.2"/>
    <row r="620" spans="2:16" s="348" customFormat="1" x14ac:dyDescent="0.2">
      <c r="C620" s="671" t="s">
        <v>1751</v>
      </c>
    </row>
    <row r="621" spans="2:16" s="348" customFormat="1" x14ac:dyDescent="0.2">
      <c r="D621" s="668" t="str">
        <f>Labels_BA!G16</f>
        <v>Fixed Health Clinic</v>
      </c>
      <c r="H621" s="494">
        <v>0</v>
      </c>
      <c r="I621" s="494">
        <v>0</v>
      </c>
      <c r="J621" s="494">
        <v>0</v>
      </c>
      <c r="K621" s="494">
        <v>0</v>
      </c>
      <c r="L621" s="487">
        <f t="shared" ref="L621:L627" si="8">IFERROR((H621*I621*J621)/K621,0)</f>
        <v>0</v>
      </c>
      <c r="N621" s="721"/>
      <c r="O621" s="721"/>
      <c r="P621" s="721"/>
    </row>
    <row r="622" spans="2:16" s="348" customFormat="1" x14ac:dyDescent="0.2">
      <c r="D622" s="668" t="str">
        <f>Labels_BA!H16</f>
        <v>PCI Mobile Health Team</v>
      </c>
      <c r="H622" s="494">
        <v>0</v>
      </c>
      <c r="I622" s="494">
        <v>0</v>
      </c>
      <c r="J622" s="494">
        <v>0</v>
      </c>
      <c r="K622" s="494">
        <v>0</v>
      </c>
      <c r="L622" s="487">
        <f t="shared" si="8"/>
        <v>0</v>
      </c>
      <c r="N622" s="721"/>
      <c r="O622" s="721"/>
      <c r="P622" s="721"/>
    </row>
    <row r="623" spans="2:16" s="348" customFormat="1" x14ac:dyDescent="0.2">
      <c r="D623" s="668" t="str">
        <f>Labels_BA!I16</f>
        <v>Gov't Mobile Health Team (Hospital)</v>
      </c>
      <c r="H623" s="494">
        <v>0</v>
      </c>
      <c r="I623" s="494">
        <v>0</v>
      </c>
      <c r="J623" s="494">
        <v>0</v>
      </c>
      <c r="K623" s="494">
        <v>0</v>
      </c>
      <c r="L623" s="487">
        <f t="shared" si="8"/>
        <v>0</v>
      </c>
      <c r="N623" s="721"/>
      <c r="O623" s="721"/>
      <c r="P623" s="721"/>
    </row>
    <row r="624" spans="2:16" s="348" customFormat="1" x14ac:dyDescent="0.2">
      <c r="D624" s="668" t="str">
        <f>Labels_BA!J16</f>
        <v>CIDRZ Mobile Health Team</v>
      </c>
      <c r="H624" s="494">
        <v>0</v>
      </c>
      <c r="I624" s="494">
        <v>0</v>
      </c>
      <c r="J624" s="494">
        <v>0</v>
      </c>
      <c r="K624" s="494">
        <v>0</v>
      </c>
      <c r="L624" s="487">
        <f t="shared" si="8"/>
        <v>0</v>
      </c>
      <c r="N624" s="721"/>
      <c r="O624" s="721"/>
      <c r="P624" s="721"/>
    </row>
    <row r="625" spans="2:16" s="348" customFormat="1" x14ac:dyDescent="0.2">
      <c r="D625" s="668" t="str">
        <f>Labels_BA!K16</f>
        <v>Facility Type 8</v>
      </c>
      <c r="H625" s="494">
        <v>0</v>
      </c>
      <c r="I625" s="494">
        <v>0</v>
      </c>
      <c r="J625" s="494">
        <v>0</v>
      </c>
      <c r="K625" s="494">
        <v>0</v>
      </c>
      <c r="L625" s="487">
        <f t="shared" si="8"/>
        <v>0</v>
      </c>
      <c r="N625" s="721"/>
      <c r="O625" s="721"/>
      <c r="P625" s="721"/>
    </row>
    <row r="626" spans="2:16" s="348" customFormat="1" x14ac:dyDescent="0.2">
      <c r="D626" s="668" t="str">
        <f>Labels_BA!L16</f>
        <v>Facility Type 9</v>
      </c>
      <c r="H626" s="494">
        <v>0</v>
      </c>
      <c r="I626" s="494">
        <v>0</v>
      </c>
      <c r="J626" s="494">
        <v>0</v>
      </c>
      <c r="K626" s="494">
        <v>0</v>
      </c>
      <c r="L626" s="487">
        <f t="shared" si="8"/>
        <v>0</v>
      </c>
      <c r="N626" s="721"/>
      <c r="O626" s="721"/>
      <c r="P626" s="721"/>
    </row>
    <row r="627" spans="2:16" s="348" customFormat="1" x14ac:dyDescent="0.2">
      <c r="D627" s="668" t="str">
        <f>Labels_BA!M16</f>
        <v>Facility Type 10</v>
      </c>
      <c r="H627" s="494">
        <v>0</v>
      </c>
      <c r="I627" s="494">
        <v>0</v>
      </c>
      <c r="J627" s="494">
        <v>0</v>
      </c>
      <c r="K627" s="494">
        <v>0</v>
      </c>
      <c r="L627" s="487">
        <f t="shared" si="8"/>
        <v>0</v>
      </c>
      <c r="N627" s="721"/>
      <c r="O627" s="721"/>
      <c r="P627" s="721"/>
    </row>
    <row r="628" spans="2:16" s="348" customFormat="1" x14ac:dyDescent="0.2"/>
    <row r="629" spans="2:16" s="348" customFormat="1" x14ac:dyDescent="0.2">
      <c r="D629" s="671" t="s">
        <v>1754</v>
      </c>
    </row>
    <row r="630" spans="2:16" s="348" customFormat="1" x14ac:dyDescent="0.2">
      <c r="E630" s="721"/>
      <c r="F630" s="721"/>
      <c r="G630" s="721"/>
      <c r="H630" s="721"/>
      <c r="I630" s="721"/>
      <c r="J630" s="721"/>
      <c r="K630" s="721"/>
      <c r="L630" s="721"/>
    </row>
    <row r="631" spans="2:16" s="348" customFormat="1" x14ac:dyDescent="0.2">
      <c r="E631" s="721"/>
      <c r="F631" s="721"/>
      <c r="G631" s="721"/>
      <c r="H631" s="721"/>
      <c r="I631" s="721"/>
      <c r="J631" s="721"/>
      <c r="K631" s="721"/>
      <c r="L631" s="721"/>
    </row>
    <row r="632" spans="2:16" s="348" customFormat="1" x14ac:dyDescent="0.2">
      <c r="E632" s="721"/>
      <c r="F632" s="721"/>
      <c r="G632" s="721"/>
      <c r="H632" s="721"/>
      <c r="I632" s="721"/>
      <c r="J632" s="721"/>
      <c r="K632" s="721"/>
      <c r="L632" s="721"/>
    </row>
    <row r="633" spans="2:16" s="348" customFormat="1" x14ac:dyDescent="0.2">
      <c r="E633" s="721"/>
      <c r="F633" s="721"/>
      <c r="G633" s="721"/>
      <c r="H633" s="721"/>
      <c r="I633" s="721"/>
      <c r="J633" s="721"/>
      <c r="K633" s="721"/>
      <c r="L633" s="721"/>
    </row>
    <row r="634" spans="2:16" s="348" customFormat="1" x14ac:dyDescent="0.2">
      <c r="E634" s="721"/>
      <c r="F634" s="721"/>
      <c r="G634" s="721"/>
      <c r="H634" s="721"/>
      <c r="I634" s="721"/>
      <c r="J634" s="721"/>
      <c r="K634" s="721"/>
      <c r="L634" s="721"/>
    </row>
    <row r="635" spans="2:16" s="348" customFormat="1" x14ac:dyDescent="0.2">
      <c r="E635" s="721"/>
      <c r="F635" s="721"/>
      <c r="G635" s="721"/>
      <c r="H635" s="721"/>
      <c r="I635" s="721"/>
      <c r="J635" s="721"/>
      <c r="K635" s="721"/>
      <c r="L635" s="721"/>
    </row>
    <row r="636" spans="2:16" s="348" customFormat="1" x14ac:dyDescent="0.2"/>
    <row r="637" spans="2:16" s="348" customFormat="1" ht="15.75" x14ac:dyDescent="0.2">
      <c r="B637" s="124" t="str">
        <f>"Pre-existing Equipment and Supplies per Service Unit - "&amp;Intv_2_Short_Code</f>
        <v>Pre-existing Equipment and Supplies per Service Unit - LEEP with BIOP-H</v>
      </c>
    </row>
    <row r="638" spans="2:16" s="348" customFormat="1" x14ac:dyDescent="0.2"/>
    <row r="639" spans="2:16" s="348" customFormat="1" x14ac:dyDescent="0.2">
      <c r="D639" s="671" t="s">
        <v>846</v>
      </c>
      <c r="K639" s="671" t="s">
        <v>847</v>
      </c>
    </row>
    <row r="640" spans="2:16" s="348" customFormat="1" x14ac:dyDescent="0.2">
      <c r="D640" s="737"/>
      <c r="E640" s="738"/>
      <c r="F640" s="738"/>
      <c r="G640" s="738"/>
      <c r="H640" s="738"/>
      <c r="I640" s="739"/>
      <c r="J640" s="372">
        <v>0</v>
      </c>
      <c r="K640" s="737"/>
      <c r="L640" s="738"/>
      <c r="M640" s="738"/>
      <c r="N640" s="739"/>
    </row>
    <row r="641" spans="4:14" s="348" customFormat="1" x14ac:dyDescent="0.2">
      <c r="D641" s="737"/>
      <c r="E641" s="738"/>
      <c r="F641" s="738"/>
      <c r="G641" s="738"/>
      <c r="H641" s="738"/>
      <c r="I641" s="739"/>
      <c r="J641" s="372">
        <v>0</v>
      </c>
      <c r="K641" s="737"/>
      <c r="L641" s="738"/>
      <c r="M641" s="738"/>
      <c r="N641" s="739"/>
    </row>
    <row r="642" spans="4:14" s="348" customFormat="1" x14ac:dyDescent="0.2">
      <c r="D642" s="737"/>
      <c r="E642" s="738"/>
      <c r="F642" s="738"/>
      <c r="G642" s="738"/>
      <c r="H642" s="738"/>
      <c r="I642" s="739"/>
      <c r="J642" s="372">
        <v>0</v>
      </c>
      <c r="K642" s="737"/>
      <c r="L642" s="738"/>
      <c r="M642" s="738"/>
      <c r="N642" s="739"/>
    </row>
    <row r="643" spans="4:14" s="348" customFormat="1" x14ac:dyDescent="0.2">
      <c r="D643" s="737"/>
      <c r="E643" s="738"/>
      <c r="F643" s="738"/>
      <c r="G643" s="738"/>
      <c r="H643" s="738"/>
      <c r="I643" s="739"/>
      <c r="J643" s="372">
        <v>0</v>
      </c>
      <c r="K643" s="737"/>
      <c r="L643" s="738"/>
      <c r="M643" s="738"/>
      <c r="N643" s="739"/>
    </row>
    <row r="644" spans="4:14" s="348" customFormat="1" x14ac:dyDescent="0.2">
      <c r="D644" s="737"/>
      <c r="E644" s="738"/>
      <c r="F644" s="738"/>
      <c r="G644" s="738"/>
      <c r="H644" s="738"/>
      <c r="I644" s="739"/>
      <c r="J644" s="372">
        <v>0</v>
      </c>
      <c r="K644" s="737"/>
      <c r="L644" s="738"/>
      <c r="M644" s="738"/>
      <c r="N644" s="739"/>
    </row>
    <row r="645" spans="4:14" s="348" customFormat="1" x14ac:dyDescent="0.2">
      <c r="D645" s="737"/>
      <c r="E645" s="738"/>
      <c r="F645" s="738"/>
      <c r="G645" s="738"/>
      <c r="H645" s="738"/>
      <c r="I645" s="739"/>
      <c r="J645" s="372">
        <v>0</v>
      </c>
      <c r="K645" s="737"/>
      <c r="L645" s="738"/>
      <c r="M645" s="738"/>
      <c r="N645" s="739"/>
    </row>
    <row r="646" spans="4:14" s="348" customFormat="1" x14ac:dyDescent="0.2">
      <c r="D646" s="737"/>
      <c r="E646" s="738"/>
      <c r="F646" s="738"/>
      <c r="G646" s="738"/>
      <c r="H646" s="738"/>
      <c r="I646" s="739"/>
      <c r="J646" s="372">
        <v>0</v>
      </c>
      <c r="K646" s="737"/>
      <c r="L646" s="738"/>
      <c r="M646" s="738"/>
      <c r="N646" s="739"/>
    </row>
    <row r="647" spans="4:14" s="348" customFormat="1" x14ac:dyDescent="0.2">
      <c r="D647" s="737"/>
      <c r="E647" s="738"/>
      <c r="F647" s="738"/>
      <c r="G647" s="738"/>
      <c r="H647" s="738"/>
      <c r="I647" s="739"/>
      <c r="J647" s="372">
        <v>0</v>
      </c>
      <c r="K647" s="737"/>
      <c r="L647" s="738"/>
      <c r="M647" s="738"/>
      <c r="N647" s="739"/>
    </row>
    <row r="648" spans="4:14" s="348" customFormat="1" x14ac:dyDescent="0.2">
      <c r="D648" s="737"/>
      <c r="E648" s="738"/>
      <c r="F648" s="738"/>
      <c r="G648" s="738"/>
      <c r="H648" s="738"/>
      <c r="I648" s="739"/>
      <c r="J648" s="372">
        <v>0</v>
      </c>
      <c r="K648" s="737"/>
      <c r="L648" s="738"/>
      <c r="M648" s="738"/>
      <c r="N648" s="739"/>
    </row>
    <row r="649" spans="4:14" s="348" customFormat="1" x14ac:dyDescent="0.2">
      <c r="D649" s="737"/>
      <c r="E649" s="738"/>
      <c r="F649" s="738"/>
      <c r="G649" s="738"/>
      <c r="H649" s="738"/>
      <c r="I649" s="739"/>
      <c r="J649" s="372">
        <v>0</v>
      </c>
      <c r="K649" s="737"/>
      <c r="L649" s="738"/>
      <c r="M649" s="738"/>
      <c r="N649" s="739"/>
    </row>
    <row r="650" spans="4:14" s="348" customFormat="1" x14ac:dyDescent="0.2">
      <c r="D650" s="737"/>
      <c r="E650" s="738"/>
      <c r="F650" s="738"/>
      <c r="G650" s="738"/>
      <c r="H650" s="738"/>
      <c r="I650" s="739"/>
      <c r="J650" s="372">
        <v>0</v>
      </c>
      <c r="K650" s="737"/>
      <c r="L650" s="738"/>
      <c r="M650" s="738"/>
      <c r="N650" s="739"/>
    </row>
    <row r="651" spans="4:14" s="348" customFormat="1" x14ac:dyDescent="0.2">
      <c r="D651" s="737"/>
      <c r="E651" s="738"/>
      <c r="F651" s="738"/>
      <c r="G651" s="738"/>
      <c r="H651" s="738"/>
      <c r="I651" s="739"/>
      <c r="J651" s="372">
        <v>0</v>
      </c>
      <c r="K651" s="737"/>
      <c r="L651" s="738"/>
      <c r="M651" s="738"/>
      <c r="N651" s="739"/>
    </row>
    <row r="652" spans="4:14" s="348" customFormat="1" x14ac:dyDescent="0.2">
      <c r="D652" s="737"/>
      <c r="E652" s="738"/>
      <c r="F652" s="738"/>
      <c r="G652" s="738"/>
      <c r="H652" s="738"/>
      <c r="I652" s="739"/>
      <c r="J652" s="372">
        <v>0</v>
      </c>
      <c r="K652" s="737"/>
      <c r="L652" s="738"/>
      <c r="M652" s="738"/>
      <c r="N652" s="739"/>
    </row>
    <row r="653" spans="4:14" s="348" customFormat="1" x14ac:dyDescent="0.2">
      <c r="D653" s="737"/>
      <c r="E653" s="738"/>
      <c r="F653" s="738"/>
      <c r="G653" s="738"/>
      <c r="H653" s="738"/>
      <c r="I653" s="739"/>
      <c r="J653" s="372">
        <v>0</v>
      </c>
      <c r="K653" s="737"/>
      <c r="L653" s="738"/>
      <c r="M653" s="738"/>
      <c r="N653" s="739"/>
    </row>
    <row r="654" spans="4:14" s="348" customFormat="1" x14ac:dyDescent="0.2">
      <c r="D654" s="737"/>
      <c r="E654" s="738"/>
      <c r="F654" s="738"/>
      <c r="G654" s="738"/>
      <c r="H654" s="738"/>
      <c r="I654" s="739"/>
      <c r="J654" s="372">
        <v>0</v>
      </c>
      <c r="K654" s="737"/>
      <c r="L654" s="738"/>
      <c r="M654" s="738"/>
      <c r="N654" s="739"/>
    </row>
    <row r="655" spans="4:14" s="348" customFormat="1" x14ac:dyDescent="0.2">
      <c r="D655" s="737"/>
      <c r="E655" s="738"/>
      <c r="F655" s="738"/>
      <c r="G655" s="738"/>
      <c r="H655" s="738"/>
      <c r="I655" s="739"/>
      <c r="J655" s="372">
        <v>0</v>
      </c>
      <c r="K655" s="737"/>
      <c r="L655" s="738"/>
      <c r="M655" s="738"/>
      <c r="N655" s="739"/>
    </row>
    <row r="656" spans="4:14" s="348" customFormat="1" x14ac:dyDescent="0.2">
      <c r="D656" s="737"/>
      <c r="E656" s="738"/>
      <c r="F656" s="738"/>
      <c r="G656" s="738"/>
      <c r="H656" s="738"/>
      <c r="I656" s="739"/>
      <c r="J656" s="372">
        <v>0</v>
      </c>
      <c r="K656" s="737"/>
      <c r="L656" s="738"/>
      <c r="M656" s="738"/>
      <c r="N656" s="739"/>
    </row>
    <row r="657" spans="3:21" s="348" customFormat="1" x14ac:dyDescent="0.2">
      <c r="D657" s="737"/>
      <c r="E657" s="738"/>
      <c r="F657" s="738"/>
      <c r="G657" s="738"/>
      <c r="H657" s="738"/>
      <c r="I657" s="739"/>
      <c r="J657" s="372">
        <v>0</v>
      </c>
      <c r="K657" s="737"/>
      <c r="L657" s="738"/>
      <c r="M657" s="738"/>
      <c r="N657" s="739"/>
    </row>
    <row r="658" spans="3:21" s="348" customFormat="1" x14ac:dyDescent="0.2">
      <c r="D658" s="737"/>
      <c r="E658" s="738"/>
      <c r="F658" s="738"/>
      <c r="G658" s="738"/>
      <c r="H658" s="738"/>
      <c r="I658" s="739"/>
      <c r="J658" s="372">
        <v>0</v>
      </c>
      <c r="K658" s="737"/>
      <c r="L658" s="738"/>
      <c r="M658" s="738"/>
      <c r="N658" s="739"/>
    </row>
    <row r="659" spans="3:21" s="348" customFormat="1" x14ac:dyDescent="0.2"/>
    <row r="660" spans="3:21" s="348" customFormat="1" x14ac:dyDescent="0.2"/>
    <row r="661" spans="3:21" s="348" customFormat="1" ht="15.75" x14ac:dyDescent="0.2">
      <c r="C661" s="124" t="str">
        <f>"Personnel Required for "&amp;G588</f>
        <v>Personnel Required for LEEP with BIOP-H</v>
      </c>
    </row>
    <row r="662" spans="3:21" s="348" customFormat="1" x14ac:dyDescent="0.2"/>
    <row r="663" spans="3:21" s="348" customFormat="1" ht="15" x14ac:dyDescent="0.2">
      <c r="J663" s="849" t="str">
        <f>"Cost Per Minute ("&amp;$I$774&amp;")"</f>
        <v>Cost Per Minute (USD)</v>
      </c>
      <c r="K663" s="891" t="s">
        <v>112</v>
      </c>
      <c r="L663" s="892"/>
      <c r="M663" s="892"/>
      <c r="N663" s="875" t="s">
        <v>183</v>
      </c>
      <c r="O663" s="898" t="str">
        <f>"Cost ("&amp;$I$774&amp;")"</f>
        <v>Cost (USD)</v>
      </c>
    </row>
    <row r="664" spans="3:21" s="348" customFormat="1" ht="30" x14ac:dyDescent="0.2">
      <c r="D664" s="508" t="str">
        <f>C615</f>
        <v>Fixed Hospital Sites</v>
      </c>
      <c r="H664" s="880" t="s">
        <v>385</v>
      </c>
      <c r="I664" s="881"/>
      <c r="J664" s="850"/>
      <c r="K664" s="159" t="s">
        <v>109</v>
      </c>
      <c r="L664" s="305" t="s">
        <v>110</v>
      </c>
      <c r="M664" s="159" t="s">
        <v>111</v>
      </c>
      <c r="N664" s="876"/>
      <c r="O664" s="899"/>
      <c r="U664" s="671" t="s">
        <v>312</v>
      </c>
    </row>
    <row r="665" spans="3:21" s="348" customFormat="1" x14ac:dyDescent="0.2">
      <c r="D665" s="721" t="s">
        <v>1260</v>
      </c>
      <c r="E665" s="721"/>
      <c r="F665" s="721"/>
      <c r="G665" s="721"/>
      <c r="H665" s="721"/>
      <c r="I665" s="721"/>
      <c r="J665" s="147">
        <f>IFERROR(INDEX($L$777:$L$807,MATCH(D665,LU_Intv_2_Pers_Hosp,0)),0)</f>
        <v>0.39408430337975103</v>
      </c>
      <c r="K665" s="187">
        <v>4</v>
      </c>
      <c r="L665" s="188">
        <v>6</v>
      </c>
      <c r="M665" s="217">
        <v>9</v>
      </c>
      <c r="N665" s="218">
        <v>1</v>
      </c>
      <c r="O665" s="134">
        <f>J665*SUM(K665:M665)*N665</f>
        <v>7.4876017642152695</v>
      </c>
      <c r="U665" s="119">
        <f>IF(AND(ISERROR(MATCH(D665,LU_Intv_2_Pers_Hosp,0)),SUM(K665:M665),N665),1,0)</f>
        <v>0</v>
      </c>
    </row>
    <row r="666" spans="3:21" s="348" customFormat="1" x14ac:dyDescent="0.2">
      <c r="D666" s="721" t="s">
        <v>1276</v>
      </c>
      <c r="E666" s="721"/>
      <c r="F666" s="721"/>
      <c r="G666" s="721"/>
      <c r="H666" s="721"/>
      <c r="I666" s="721"/>
      <c r="J666" s="147">
        <f>IFERROR(INDEX($L$777:$L$807,MATCH(D666,LU_Intv_2_Pers_Hosp,0)),0)</f>
        <v>5.7114882506527402E-2</v>
      </c>
      <c r="K666" s="221">
        <v>4</v>
      </c>
      <c r="L666" s="182">
        <v>6</v>
      </c>
      <c r="M666" s="222">
        <v>9</v>
      </c>
      <c r="N666" s="223">
        <v>1</v>
      </c>
      <c r="O666" s="135">
        <f>J666*SUM(K666:M666)*N666</f>
        <v>1.0851827676240207</v>
      </c>
      <c r="U666" s="119">
        <f>IF(AND(ISERROR(MATCH(D666,LU_Intv_2_Pers_Hosp,0)),SUM(K666:M666),N666),1,0)</f>
        <v>0</v>
      </c>
    </row>
    <row r="667" spans="3:21" s="348" customFormat="1" x14ac:dyDescent="0.2">
      <c r="D667" s="721"/>
      <c r="E667" s="721"/>
      <c r="F667" s="721"/>
      <c r="G667" s="721"/>
      <c r="H667" s="721"/>
      <c r="I667" s="721"/>
      <c r="J667" s="149">
        <f>IFERROR(INDEX($L$777:$L$807,MATCH(D667,LU_Intv_2_Pers_Hosp,0)),0)</f>
        <v>0</v>
      </c>
      <c r="K667" s="224">
        <v>0</v>
      </c>
      <c r="L667" s="225">
        <v>0</v>
      </c>
      <c r="M667" s="226">
        <v>0</v>
      </c>
      <c r="N667" s="219">
        <v>0</v>
      </c>
      <c r="O667" s="135">
        <f>J667*SUM(K667:M667)*N667</f>
        <v>0</v>
      </c>
      <c r="U667" s="119">
        <f>IF(AND(ISERROR(MATCH(D667,LU_Intv_2_Pers_Hosp,0)),SUM(K667:M667),N667),1,0)</f>
        <v>0</v>
      </c>
    </row>
    <row r="668" spans="3:21" s="348" customFormat="1" ht="15" x14ac:dyDescent="0.2">
      <c r="D668" s="782" t="s">
        <v>113</v>
      </c>
      <c r="E668" s="783"/>
      <c r="F668" s="783"/>
      <c r="G668" s="783"/>
      <c r="H668" s="669"/>
      <c r="I668" s="669"/>
      <c r="J668" s="119"/>
      <c r="K668" s="883"/>
      <c r="L668" s="884"/>
      <c r="M668" s="884"/>
      <c r="N668" s="119"/>
      <c r="O668" s="136">
        <f>SUM(O665:O667)</f>
        <v>8.5727845318392895</v>
      </c>
      <c r="U668" s="672"/>
    </row>
    <row r="669" spans="3:21" s="348" customFormat="1" x14ac:dyDescent="0.2"/>
    <row r="670" spans="3:21" s="348" customFormat="1" ht="15" x14ac:dyDescent="0.2">
      <c r="D670" s="667" t="s">
        <v>949</v>
      </c>
      <c r="K670" s="671" t="s">
        <v>950</v>
      </c>
    </row>
    <row r="671" spans="3:21" s="348" customFormat="1" x14ac:dyDescent="0.2">
      <c r="D671" s="721"/>
      <c r="E671" s="721"/>
      <c r="F671" s="721"/>
      <c r="G671" s="721"/>
      <c r="H671" s="721"/>
      <c r="I671" s="721"/>
      <c r="K671" s="721"/>
      <c r="L671" s="721"/>
      <c r="M671" s="721"/>
      <c r="N671" s="721"/>
      <c r="O671" s="721"/>
      <c r="P671" s="721"/>
    </row>
    <row r="672" spans="3:21" s="348" customFormat="1" x14ac:dyDescent="0.2">
      <c r="D672" s="721"/>
      <c r="E672" s="721"/>
      <c r="F672" s="721"/>
      <c r="G672" s="721"/>
      <c r="H672" s="721"/>
      <c r="I672" s="721"/>
      <c r="K672" s="721"/>
      <c r="L672" s="721"/>
      <c r="M672" s="721"/>
      <c r="N672" s="721"/>
      <c r="O672" s="721"/>
      <c r="P672" s="721"/>
    </row>
    <row r="673" spans="4:21" s="348" customFormat="1" x14ac:dyDescent="0.2">
      <c r="D673" s="721"/>
      <c r="E673" s="721"/>
      <c r="F673" s="721"/>
      <c r="G673" s="721"/>
      <c r="H673" s="721"/>
      <c r="I673" s="721"/>
      <c r="K673" s="721"/>
      <c r="L673" s="721"/>
      <c r="M673" s="721"/>
      <c r="N673" s="721"/>
      <c r="O673" s="721"/>
      <c r="P673" s="721"/>
    </row>
    <row r="674" spans="4:21" s="348" customFormat="1" x14ac:dyDescent="0.2">
      <c r="D674" s="721"/>
      <c r="E674" s="721"/>
      <c r="F674" s="721"/>
      <c r="G674" s="721"/>
      <c r="H674" s="721"/>
      <c r="I674" s="721"/>
      <c r="K674" s="721"/>
      <c r="L674" s="721"/>
      <c r="M674" s="721"/>
      <c r="N674" s="721"/>
      <c r="O674" s="721"/>
      <c r="P674" s="721"/>
    </row>
    <row r="675" spans="4:21" s="348" customFormat="1" x14ac:dyDescent="0.2">
      <c r="D675" s="721"/>
      <c r="E675" s="721"/>
      <c r="F675" s="721"/>
      <c r="G675" s="721"/>
      <c r="H675" s="721"/>
      <c r="I675" s="721"/>
      <c r="K675" s="721"/>
      <c r="L675" s="721"/>
      <c r="M675" s="721"/>
      <c r="N675" s="721"/>
      <c r="O675" s="721"/>
      <c r="P675" s="721"/>
    </row>
    <row r="676" spans="4:21" s="348" customFormat="1" x14ac:dyDescent="0.2"/>
    <row r="677" spans="4:21" s="348" customFormat="1" ht="15" x14ac:dyDescent="0.2">
      <c r="J677" s="849" t="str">
        <f>"Cost Per Minute ("&amp;$I$774&amp;")"</f>
        <v>Cost Per Minute (USD)</v>
      </c>
      <c r="K677" s="891" t="s">
        <v>112</v>
      </c>
      <c r="L677" s="892"/>
      <c r="M677" s="892"/>
      <c r="N677" s="896" t="s">
        <v>183</v>
      </c>
      <c r="O677" s="888" t="str">
        <f>"Cost ("&amp;$I$774&amp;")"</f>
        <v>Cost (USD)</v>
      </c>
    </row>
    <row r="678" spans="4:21" s="348" customFormat="1" ht="30" x14ac:dyDescent="0.2">
      <c r="D678" s="669" t="str">
        <f>C620</f>
        <v>Other Facility Types</v>
      </c>
      <c r="H678" s="880" t="s">
        <v>385</v>
      </c>
      <c r="I678" s="881"/>
      <c r="J678" s="850"/>
      <c r="K678" s="159" t="s">
        <v>109</v>
      </c>
      <c r="L678" s="305" t="s">
        <v>110</v>
      </c>
      <c r="M678" s="159" t="s">
        <v>111</v>
      </c>
      <c r="N678" s="897"/>
      <c r="O678" s="889"/>
      <c r="U678" s="671" t="s">
        <v>312</v>
      </c>
    </row>
    <row r="679" spans="4:21" s="348" customFormat="1" x14ac:dyDescent="0.2">
      <c r="D679" s="721"/>
      <c r="E679" s="721"/>
      <c r="F679" s="721"/>
      <c r="G679" s="721"/>
      <c r="H679" s="721"/>
      <c r="I679" s="721"/>
      <c r="J679" s="147">
        <f>IFERROR(INDEX($L$810:$L$840,MATCH(D679,LU_Intv_2_Pers_Oth,0)),0)</f>
        <v>0</v>
      </c>
      <c r="K679" s="187">
        <v>0</v>
      </c>
      <c r="L679" s="188">
        <v>0</v>
      </c>
      <c r="M679" s="217">
        <v>0</v>
      </c>
      <c r="N679" s="218"/>
      <c r="O679" s="134">
        <f>J679*SUM(K679:M679)*N679</f>
        <v>0</v>
      </c>
      <c r="U679" s="119">
        <f>IF(AND(ISERROR(MATCH(D679,LU_Intv_2_Pers_Oth,0)),SUM(K679:M679),N679),1,0)</f>
        <v>0</v>
      </c>
    </row>
    <row r="680" spans="4:21" s="348" customFormat="1" x14ac:dyDescent="0.2">
      <c r="D680" s="721"/>
      <c r="E680" s="721"/>
      <c r="F680" s="721"/>
      <c r="G680" s="721"/>
      <c r="H680" s="721"/>
      <c r="I680" s="721"/>
      <c r="J680" s="147">
        <f>IFERROR(INDEX($L$810:$L$840,MATCH(D680,LU_Intv_2_Pers_Oth,0)),0)</f>
        <v>0</v>
      </c>
      <c r="K680" s="221">
        <v>0</v>
      </c>
      <c r="L680" s="182">
        <v>0</v>
      </c>
      <c r="M680" s="222">
        <v>0</v>
      </c>
      <c r="N680" s="223"/>
      <c r="O680" s="135">
        <f>J680*SUM(K680:M680)*N680</f>
        <v>0</v>
      </c>
      <c r="U680" s="119">
        <f>IF(AND(ISERROR(MATCH(D680,LU_Intv_2_Pers_Oth,0)),SUM(K680:M680),N680),1,0)</f>
        <v>0</v>
      </c>
    </row>
    <row r="681" spans="4:21" s="348" customFormat="1" x14ac:dyDescent="0.2">
      <c r="D681" s="721"/>
      <c r="E681" s="721"/>
      <c r="F681" s="721"/>
      <c r="G681" s="721"/>
      <c r="H681" s="721"/>
      <c r="I681" s="721"/>
      <c r="J681" s="149">
        <f>IFERROR(INDEX($L$810:$L$840,MATCH(D681,LU_Intv_2_Pers_Oth,0)),0)</f>
        <v>0</v>
      </c>
      <c r="K681" s="224">
        <v>0</v>
      </c>
      <c r="L681" s="225">
        <v>0</v>
      </c>
      <c r="M681" s="226">
        <v>0</v>
      </c>
      <c r="N681" s="219"/>
      <c r="O681" s="135">
        <f>J681*SUM(K681:M681)*N681</f>
        <v>0</v>
      </c>
      <c r="U681" s="119">
        <f>IF(AND(ISERROR(MATCH(D681,LU_Intv_2_Pers_Oth,0)),SUM(K681:M681),N681),1,0)</f>
        <v>0</v>
      </c>
    </row>
    <row r="682" spans="4:21" s="348" customFormat="1" ht="15" x14ac:dyDescent="0.2">
      <c r="D682" s="782" t="s">
        <v>287</v>
      </c>
      <c r="E682" s="783"/>
      <c r="F682" s="783"/>
      <c r="G682" s="783"/>
      <c r="H682" s="669"/>
      <c r="I682" s="669"/>
      <c r="J682" s="119"/>
      <c r="K682" s="883"/>
      <c r="L682" s="884"/>
      <c r="M682" s="884"/>
      <c r="N682" s="119"/>
      <c r="O682" s="136">
        <f>SUM(O679:O681)</f>
        <v>0</v>
      </c>
      <c r="U682" s="672"/>
    </row>
    <row r="683" spans="4:21" s="348" customFormat="1" x14ac:dyDescent="0.2"/>
    <row r="684" spans="4:21" s="348" customFormat="1" ht="15" x14ac:dyDescent="0.2">
      <c r="D684" s="667" t="s">
        <v>949</v>
      </c>
      <c r="K684" s="671" t="s">
        <v>950</v>
      </c>
    </row>
    <row r="685" spans="4:21" s="348" customFormat="1" x14ac:dyDescent="0.2">
      <c r="D685" s="721"/>
      <c r="E685" s="721"/>
      <c r="F685" s="721"/>
      <c r="G685" s="721"/>
      <c r="H685" s="721"/>
      <c r="I685" s="721"/>
      <c r="K685" s="721"/>
      <c r="L685" s="721"/>
      <c r="M685" s="721"/>
      <c r="N685" s="721"/>
      <c r="O685" s="721"/>
      <c r="P685" s="721"/>
    </row>
    <row r="686" spans="4:21" s="348" customFormat="1" x14ac:dyDescent="0.2">
      <c r="D686" s="721"/>
      <c r="E686" s="721"/>
      <c r="F686" s="721"/>
      <c r="G686" s="721"/>
      <c r="H686" s="721"/>
      <c r="I686" s="721"/>
      <c r="K686" s="721"/>
      <c r="L686" s="721"/>
      <c r="M686" s="721"/>
      <c r="N686" s="721"/>
      <c r="O686" s="721"/>
      <c r="P686" s="721"/>
    </row>
    <row r="687" spans="4:21" s="348" customFormat="1" x14ac:dyDescent="0.2">
      <c r="D687" s="721"/>
      <c r="E687" s="721"/>
      <c r="F687" s="721"/>
      <c r="G687" s="721"/>
      <c r="H687" s="721"/>
      <c r="I687" s="721"/>
      <c r="K687" s="721"/>
      <c r="L687" s="721"/>
      <c r="M687" s="721"/>
      <c r="N687" s="721"/>
      <c r="O687" s="721"/>
      <c r="P687" s="721"/>
    </row>
    <row r="688" spans="4:21" s="348" customFormat="1" x14ac:dyDescent="0.2">
      <c r="D688" s="721"/>
      <c r="E688" s="721"/>
      <c r="F688" s="721"/>
      <c r="G688" s="721"/>
      <c r="H688" s="721"/>
      <c r="I688" s="721"/>
      <c r="K688" s="721"/>
      <c r="L688" s="721"/>
      <c r="M688" s="721"/>
      <c r="N688" s="721"/>
      <c r="O688" s="721"/>
      <c r="P688" s="721"/>
    </row>
    <row r="689" spans="3:21" s="348" customFormat="1" x14ac:dyDescent="0.2"/>
    <row r="690" spans="3:21" s="348" customFormat="1" x14ac:dyDescent="0.2"/>
    <row r="691" spans="3:21" s="348" customFormat="1" ht="15.75" x14ac:dyDescent="0.2">
      <c r="C691" s="124" t="str">
        <f>"Supplies Required for "&amp;G588</f>
        <v>Supplies Required for LEEP with BIOP-H</v>
      </c>
    </row>
    <row r="692" spans="3:21" s="348" customFormat="1" x14ac:dyDescent="0.2"/>
    <row r="693" spans="3:21" s="348" customFormat="1" ht="30" x14ac:dyDescent="0.2">
      <c r="D693" s="667" t="s">
        <v>106</v>
      </c>
      <c r="H693" s="671" t="s">
        <v>951</v>
      </c>
      <c r="J693" s="132" t="str">
        <f>"Cost per Unit ("&amp;$I$774&amp;")"</f>
        <v>Cost per Unit (USD)</v>
      </c>
      <c r="K693" s="366" t="s">
        <v>107</v>
      </c>
      <c r="L693" s="307" t="s">
        <v>183</v>
      </c>
      <c r="M693" s="132" t="str">
        <f>"Total Cost ("&amp;$I$774&amp;")"</f>
        <v>Total Cost (USD)</v>
      </c>
      <c r="N693" s="725" t="s">
        <v>74</v>
      </c>
      <c r="O693" s="726"/>
      <c r="P693" s="726"/>
      <c r="U693" s="671" t="s">
        <v>312</v>
      </c>
    </row>
    <row r="694" spans="3:21" s="348" customFormat="1" x14ac:dyDescent="0.2">
      <c r="D694" s="723" t="s">
        <v>1388</v>
      </c>
      <c r="E694" s="723"/>
      <c r="F694" s="723"/>
      <c r="G694" s="723"/>
      <c r="H694" s="419" t="str">
        <f t="shared" ref="H694:H711" si="9">IFERROR(INDEX($J$843:$J$1009,MATCH(D694,LU_Intv_2_Supplies,0)),0)</f>
        <v>mililiter</v>
      </c>
      <c r="J694" s="511">
        <f t="shared" ref="J694:J711" si="10">IFERROR(INDEX($L$843:$L$1009,MATCH(D694,LU_Intv_2_Supplies,0)),0)</f>
        <v>4.5999999999999999E-3</v>
      </c>
      <c r="K694" s="462">
        <v>10</v>
      </c>
      <c r="L694" s="458">
        <v>1</v>
      </c>
      <c r="M694" s="137">
        <f t="shared" ref="M694:M711" si="11">J694*K694*L694</f>
        <v>4.5999999999999999E-2</v>
      </c>
      <c r="N694" s="723" t="s">
        <v>1711</v>
      </c>
      <c r="O694" s="723"/>
      <c r="P694" s="723"/>
      <c r="U694" s="119">
        <f t="shared" ref="U694:U711" si="12">IF(AND(ISERROR(MATCH(D694,LU_Intv_2_Supplies,0)),L694),1,0)</f>
        <v>0</v>
      </c>
    </row>
    <row r="695" spans="3:21" s="348" customFormat="1" x14ac:dyDescent="0.2">
      <c r="D695" s="723" t="s">
        <v>1399</v>
      </c>
      <c r="E695" s="723"/>
      <c r="F695" s="723"/>
      <c r="G695" s="723"/>
      <c r="H695" s="419" t="str">
        <f t="shared" si="9"/>
        <v>mililiter</v>
      </c>
      <c r="J695" s="511">
        <f t="shared" si="10"/>
        <v>2.3199999999999997E-4</v>
      </c>
      <c r="K695" s="462">
        <v>33</v>
      </c>
      <c r="L695" s="458">
        <v>1</v>
      </c>
      <c r="M695" s="137">
        <f t="shared" si="11"/>
        <v>7.6559999999999987E-3</v>
      </c>
      <c r="N695" s="723" t="s">
        <v>1711</v>
      </c>
      <c r="O695" s="723"/>
      <c r="P695" s="723"/>
      <c r="U695" s="119">
        <f t="shared" si="12"/>
        <v>0</v>
      </c>
    </row>
    <row r="696" spans="3:21" s="348" customFormat="1" x14ac:dyDescent="0.2">
      <c r="D696" s="723" t="s">
        <v>1410</v>
      </c>
      <c r="E696" s="723"/>
      <c r="F696" s="723"/>
      <c r="G696" s="723"/>
      <c r="H696" s="419" t="str">
        <f t="shared" si="9"/>
        <v>each</v>
      </c>
      <c r="J696" s="511">
        <f t="shared" si="10"/>
        <v>7.2000000000000008E-2</v>
      </c>
      <c r="K696" s="462">
        <v>6</v>
      </c>
      <c r="L696" s="458">
        <v>1</v>
      </c>
      <c r="M696" s="137">
        <f t="shared" si="11"/>
        <v>0.43200000000000005</v>
      </c>
      <c r="N696" s="723" t="s">
        <v>1711</v>
      </c>
      <c r="O696" s="723"/>
      <c r="P696" s="723"/>
      <c r="U696" s="119">
        <f t="shared" si="12"/>
        <v>0</v>
      </c>
    </row>
    <row r="697" spans="3:21" s="348" customFormat="1" x14ac:dyDescent="0.2">
      <c r="D697" s="723" t="s">
        <v>1445</v>
      </c>
      <c r="E697" s="723"/>
      <c r="F697" s="723"/>
      <c r="G697" s="723"/>
      <c r="H697" s="419" t="str">
        <f t="shared" si="9"/>
        <v>pad</v>
      </c>
      <c r="J697" s="511">
        <f t="shared" si="10"/>
        <v>0.191</v>
      </c>
      <c r="K697" s="462">
        <v>1</v>
      </c>
      <c r="L697" s="458">
        <v>1</v>
      </c>
      <c r="M697" s="137">
        <f t="shared" si="11"/>
        <v>0.191</v>
      </c>
      <c r="N697" s="723" t="s">
        <v>1711</v>
      </c>
      <c r="O697" s="723"/>
      <c r="P697" s="723"/>
      <c r="U697" s="119">
        <f t="shared" si="12"/>
        <v>0</v>
      </c>
    </row>
    <row r="698" spans="3:21" s="348" customFormat="1" x14ac:dyDescent="0.2">
      <c r="D698" s="723" t="s">
        <v>1457</v>
      </c>
      <c r="E698" s="723"/>
      <c r="F698" s="723"/>
      <c r="G698" s="723"/>
      <c r="H698" s="419" t="str">
        <f t="shared" si="9"/>
        <v>10 sheets</v>
      </c>
      <c r="J698" s="511">
        <f t="shared" si="10"/>
        <v>8.4000000000000012E-3</v>
      </c>
      <c r="K698" s="462">
        <v>1</v>
      </c>
      <c r="L698" s="458">
        <v>1</v>
      </c>
      <c r="M698" s="137">
        <f t="shared" si="11"/>
        <v>8.4000000000000012E-3</v>
      </c>
      <c r="N698" s="723" t="s">
        <v>1711</v>
      </c>
      <c r="O698" s="723"/>
      <c r="P698" s="723"/>
      <c r="U698" s="119">
        <f t="shared" si="12"/>
        <v>0</v>
      </c>
    </row>
    <row r="699" spans="3:21" s="348" customFormat="1" x14ac:dyDescent="0.2">
      <c r="D699" s="723" t="s">
        <v>1397</v>
      </c>
      <c r="E699" s="723"/>
      <c r="F699" s="723"/>
      <c r="G699" s="723"/>
      <c r="H699" s="419" t="str">
        <f t="shared" si="9"/>
        <v>1/100 roll</v>
      </c>
      <c r="J699" s="511">
        <f t="shared" si="10"/>
        <v>7.1200000000000005E-3</v>
      </c>
      <c r="K699" s="462">
        <v>2</v>
      </c>
      <c r="L699" s="458">
        <v>1</v>
      </c>
      <c r="M699" s="137">
        <f t="shared" si="11"/>
        <v>1.4240000000000001E-2</v>
      </c>
      <c r="N699" s="723" t="s">
        <v>1711</v>
      </c>
      <c r="O699" s="723"/>
      <c r="P699" s="723"/>
      <c r="U699" s="119">
        <f t="shared" si="12"/>
        <v>0</v>
      </c>
    </row>
    <row r="700" spans="3:21" s="348" customFormat="1" x14ac:dyDescent="0.2">
      <c r="D700" s="723" t="s">
        <v>1447</v>
      </c>
      <c r="E700" s="723"/>
      <c r="F700" s="723"/>
      <c r="G700" s="723"/>
      <c r="H700" s="419" t="str">
        <f t="shared" si="9"/>
        <v>1 gram</v>
      </c>
      <c r="J700" s="511">
        <f t="shared" si="10"/>
        <v>2.6199999999999999E-3</v>
      </c>
      <c r="K700" s="462">
        <v>2</v>
      </c>
      <c r="L700" s="458">
        <v>1</v>
      </c>
      <c r="M700" s="137">
        <f t="shared" si="11"/>
        <v>5.2399999999999999E-3</v>
      </c>
      <c r="N700" s="723" t="s">
        <v>1711</v>
      </c>
      <c r="O700" s="723"/>
      <c r="P700" s="723"/>
      <c r="U700" s="119">
        <f t="shared" si="12"/>
        <v>0</v>
      </c>
    </row>
    <row r="701" spans="3:21" s="348" customFormat="1" x14ac:dyDescent="0.2">
      <c r="D701" s="723" t="s">
        <v>1448</v>
      </c>
      <c r="E701" s="723"/>
      <c r="F701" s="723"/>
      <c r="G701" s="723"/>
      <c r="H701" s="419" t="str">
        <f t="shared" si="9"/>
        <v>uses</v>
      </c>
      <c r="J701" s="511">
        <f t="shared" si="10"/>
        <v>5.5999999999999999E-3</v>
      </c>
      <c r="K701" s="462">
        <v>2</v>
      </c>
      <c r="L701" s="458">
        <v>1</v>
      </c>
      <c r="M701" s="137">
        <f t="shared" si="11"/>
        <v>1.12E-2</v>
      </c>
      <c r="N701" s="723" t="s">
        <v>1711</v>
      </c>
      <c r="O701" s="723"/>
      <c r="P701" s="723"/>
      <c r="U701" s="119">
        <f t="shared" si="12"/>
        <v>0</v>
      </c>
    </row>
    <row r="702" spans="3:21" s="348" customFormat="1" x14ac:dyDescent="0.2">
      <c r="D702" s="723" t="s">
        <v>1461</v>
      </c>
      <c r="E702" s="723"/>
      <c r="F702" s="723"/>
      <c r="G702" s="723"/>
      <c r="H702" s="419" t="str">
        <f t="shared" si="9"/>
        <v>gram</v>
      </c>
      <c r="J702" s="511">
        <f t="shared" si="10"/>
        <v>3.0000000000000001E-3</v>
      </c>
      <c r="K702" s="462">
        <v>3</v>
      </c>
      <c r="L702" s="458">
        <v>1</v>
      </c>
      <c r="M702" s="137">
        <f t="shared" si="11"/>
        <v>9.0000000000000011E-3</v>
      </c>
      <c r="N702" s="723" t="s">
        <v>1711</v>
      </c>
      <c r="O702" s="723"/>
      <c r="P702" s="723"/>
      <c r="U702" s="119">
        <f t="shared" si="12"/>
        <v>0</v>
      </c>
    </row>
    <row r="703" spans="3:21" s="348" customFormat="1" x14ac:dyDescent="0.2">
      <c r="D703" s="723" t="s">
        <v>1374</v>
      </c>
      <c r="E703" s="723"/>
      <c r="F703" s="723"/>
      <c r="G703" s="723"/>
      <c r="H703" s="419" t="str">
        <f t="shared" si="9"/>
        <v>centilitre</v>
      </c>
      <c r="J703" s="511">
        <f t="shared" si="10"/>
        <v>4.4125300000000006E-2</v>
      </c>
      <c r="K703" s="462">
        <v>0.6</v>
      </c>
      <c r="L703" s="458">
        <v>1</v>
      </c>
      <c r="M703" s="137">
        <f t="shared" si="11"/>
        <v>2.6475180000000004E-2</v>
      </c>
      <c r="N703" s="723" t="s">
        <v>1711</v>
      </c>
      <c r="O703" s="723"/>
      <c r="P703" s="723"/>
      <c r="U703" s="119">
        <f t="shared" si="12"/>
        <v>0</v>
      </c>
    </row>
    <row r="704" spans="3:21" s="348" customFormat="1" x14ac:dyDescent="0.2">
      <c r="D704" s="723" t="s">
        <v>1389</v>
      </c>
      <c r="E704" s="723"/>
      <c r="F704" s="723"/>
      <c r="G704" s="723"/>
      <c r="H704" s="419" t="str">
        <f t="shared" si="9"/>
        <v>mililiter</v>
      </c>
      <c r="J704" s="511">
        <f t="shared" si="10"/>
        <v>1.9321200000000001E-3</v>
      </c>
      <c r="K704" s="462">
        <v>11</v>
      </c>
      <c r="L704" s="458">
        <v>1</v>
      </c>
      <c r="M704" s="137">
        <f t="shared" si="11"/>
        <v>2.1253319999999999E-2</v>
      </c>
      <c r="N704" s="723" t="s">
        <v>1711</v>
      </c>
      <c r="O704" s="723"/>
      <c r="P704" s="723"/>
      <c r="U704" s="119">
        <f t="shared" si="12"/>
        <v>0</v>
      </c>
    </row>
    <row r="705" spans="3:21" s="348" customFormat="1" x14ac:dyDescent="0.2">
      <c r="D705" s="723" t="s">
        <v>1658</v>
      </c>
      <c r="E705" s="723"/>
      <c r="F705" s="723"/>
      <c r="G705" s="723"/>
      <c r="H705" s="510" t="str">
        <f t="shared" si="9"/>
        <v>application</v>
      </c>
      <c r="J705" s="512">
        <f t="shared" si="10"/>
        <v>10.126666666666667</v>
      </c>
      <c r="K705" s="462">
        <v>1</v>
      </c>
      <c r="L705" s="458">
        <v>1</v>
      </c>
      <c r="M705" s="137">
        <f t="shared" si="11"/>
        <v>10.126666666666667</v>
      </c>
      <c r="N705" s="723" t="s">
        <v>1711</v>
      </c>
      <c r="O705" s="723"/>
      <c r="P705" s="723"/>
      <c r="U705" s="119">
        <f t="shared" si="12"/>
        <v>0</v>
      </c>
    </row>
    <row r="706" spans="3:21" s="348" customFormat="1" x14ac:dyDescent="0.2">
      <c r="D706" s="723" t="s">
        <v>1714</v>
      </c>
      <c r="E706" s="723"/>
      <c r="F706" s="723"/>
      <c r="G706" s="723"/>
      <c r="H706" s="419" t="str">
        <f t="shared" si="9"/>
        <v>unknown</v>
      </c>
      <c r="J706" s="511">
        <f t="shared" si="10"/>
        <v>0.9</v>
      </c>
      <c r="K706" s="462">
        <v>1</v>
      </c>
      <c r="L706" s="458">
        <v>1</v>
      </c>
      <c r="M706" s="137">
        <f t="shared" si="11"/>
        <v>0.9</v>
      </c>
      <c r="N706" s="723" t="s">
        <v>1711</v>
      </c>
      <c r="O706" s="723"/>
      <c r="P706" s="723"/>
      <c r="U706" s="119">
        <f t="shared" si="12"/>
        <v>0</v>
      </c>
    </row>
    <row r="707" spans="3:21" s="348" customFormat="1" x14ac:dyDescent="0.2">
      <c r="D707" s="723" t="s">
        <v>1656</v>
      </c>
      <c r="E707" s="723"/>
      <c r="F707" s="723"/>
      <c r="G707" s="723"/>
      <c r="H707" s="419" t="str">
        <f t="shared" si="9"/>
        <v>one syringe</v>
      </c>
      <c r="J707" s="511">
        <f t="shared" si="10"/>
        <v>0.48200000000000004</v>
      </c>
      <c r="K707" s="462">
        <v>1</v>
      </c>
      <c r="L707" s="458">
        <v>1</v>
      </c>
      <c r="M707" s="137">
        <f t="shared" si="11"/>
        <v>0.48200000000000004</v>
      </c>
      <c r="N707" s="723" t="s">
        <v>1711</v>
      </c>
      <c r="O707" s="723"/>
      <c r="P707" s="723"/>
      <c r="U707" s="119">
        <f t="shared" si="12"/>
        <v>0</v>
      </c>
    </row>
    <row r="708" spans="3:21" s="348" customFormat="1" x14ac:dyDescent="0.2">
      <c r="D708" s="723" t="s">
        <v>1257</v>
      </c>
      <c r="E708" s="723"/>
      <c r="F708" s="723"/>
      <c r="G708" s="723"/>
      <c r="H708" s="419" t="str">
        <f t="shared" si="9"/>
        <v>SU</v>
      </c>
      <c r="J708" s="511">
        <f t="shared" si="10"/>
        <v>0</v>
      </c>
      <c r="K708" s="462">
        <v>1</v>
      </c>
      <c r="L708" s="458">
        <v>1</v>
      </c>
      <c r="M708" s="137">
        <f t="shared" si="11"/>
        <v>0</v>
      </c>
      <c r="N708" s="723" t="s">
        <v>1719</v>
      </c>
      <c r="O708" s="723"/>
      <c r="P708" s="723"/>
      <c r="U708" s="119">
        <f t="shared" si="12"/>
        <v>0</v>
      </c>
    </row>
    <row r="709" spans="3:21" s="348" customFormat="1" x14ac:dyDescent="0.2">
      <c r="D709" s="723" t="s">
        <v>1257</v>
      </c>
      <c r="E709" s="723"/>
      <c r="F709" s="723"/>
      <c r="G709" s="723"/>
      <c r="H709" s="419" t="str">
        <f t="shared" si="9"/>
        <v>SU</v>
      </c>
      <c r="J709" s="511">
        <f t="shared" si="10"/>
        <v>0</v>
      </c>
      <c r="K709" s="462">
        <v>1</v>
      </c>
      <c r="L709" s="458">
        <v>1</v>
      </c>
      <c r="M709" s="137">
        <f t="shared" si="11"/>
        <v>0</v>
      </c>
      <c r="N709" s="723" t="s">
        <v>1720</v>
      </c>
      <c r="O709" s="723"/>
      <c r="P709" s="723"/>
      <c r="U709" s="119">
        <f t="shared" si="12"/>
        <v>0</v>
      </c>
    </row>
    <row r="710" spans="3:21" s="348" customFormat="1" x14ac:dyDescent="0.2">
      <c r="D710" s="723" t="s">
        <v>1257</v>
      </c>
      <c r="E710" s="723"/>
      <c r="F710" s="723"/>
      <c r="G710" s="723"/>
      <c r="H710" s="419" t="str">
        <f t="shared" si="9"/>
        <v>SU</v>
      </c>
      <c r="J710" s="511">
        <f t="shared" si="10"/>
        <v>0</v>
      </c>
      <c r="K710" s="462">
        <v>1</v>
      </c>
      <c r="L710" s="458">
        <v>1</v>
      </c>
      <c r="M710" s="137">
        <f t="shared" si="11"/>
        <v>0</v>
      </c>
      <c r="N710" s="723" t="s">
        <v>1721</v>
      </c>
      <c r="O710" s="723"/>
      <c r="P710" s="723"/>
      <c r="U710" s="119">
        <f t="shared" si="12"/>
        <v>0</v>
      </c>
    </row>
    <row r="711" spans="3:21" s="348" customFormat="1" x14ac:dyDescent="0.2">
      <c r="D711" s="723" t="s">
        <v>1257</v>
      </c>
      <c r="E711" s="723"/>
      <c r="F711" s="723"/>
      <c r="G711" s="723"/>
      <c r="H711" s="419" t="str">
        <f t="shared" si="9"/>
        <v>SU</v>
      </c>
      <c r="J711" s="511">
        <f t="shared" si="10"/>
        <v>0</v>
      </c>
      <c r="K711" s="462">
        <v>1</v>
      </c>
      <c r="L711" s="458">
        <v>1</v>
      </c>
      <c r="M711" s="137">
        <f t="shared" si="11"/>
        <v>0</v>
      </c>
      <c r="N711" s="723" t="s">
        <v>1722</v>
      </c>
      <c r="O711" s="723"/>
      <c r="P711" s="723"/>
      <c r="U711" s="119">
        <f t="shared" si="12"/>
        <v>0</v>
      </c>
    </row>
    <row r="712" spans="3:21" s="348" customFormat="1" ht="15" x14ac:dyDescent="0.2">
      <c r="D712" s="782" t="s">
        <v>108</v>
      </c>
      <c r="E712" s="783"/>
      <c r="F712" s="783"/>
      <c r="G712" s="783"/>
      <c r="H712" s="669"/>
      <c r="J712" s="308"/>
      <c r="K712" s="119"/>
      <c r="L712" s="674"/>
      <c r="M712" s="309">
        <f>SUM(M694:M711)</f>
        <v>12.281131166666666</v>
      </c>
      <c r="N712" s="669"/>
      <c r="O712" s="669"/>
      <c r="P712" s="669"/>
      <c r="U712" s="672"/>
    </row>
    <row r="713" spans="3:21" s="348" customFormat="1" x14ac:dyDescent="0.2"/>
    <row r="714" spans="3:21" s="348" customFormat="1" ht="15" x14ac:dyDescent="0.2">
      <c r="D714" s="667" t="s">
        <v>962</v>
      </c>
      <c r="K714" s="671" t="s">
        <v>963</v>
      </c>
    </row>
    <row r="715" spans="3:21" s="348" customFormat="1" x14ac:dyDescent="0.2">
      <c r="D715" s="721"/>
      <c r="E715" s="721"/>
      <c r="F715" s="721"/>
      <c r="G715" s="721"/>
      <c r="H715" s="721"/>
      <c r="I715" s="721"/>
      <c r="K715" s="721"/>
      <c r="L715" s="721"/>
      <c r="M715" s="721"/>
      <c r="N715" s="721"/>
      <c r="O715" s="721"/>
      <c r="P715" s="721"/>
    </row>
    <row r="716" spans="3:21" s="348" customFormat="1" x14ac:dyDescent="0.2">
      <c r="D716" s="721"/>
      <c r="E716" s="721"/>
      <c r="F716" s="721"/>
      <c r="G716" s="721"/>
      <c r="H716" s="721"/>
      <c r="I716" s="721"/>
      <c r="K716" s="721"/>
      <c r="L716" s="721"/>
      <c r="M716" s="721"/>
      <c r="N716" s="721"/>
      <c r="O716" s="721"/>
      <c r="P716" s="721"/>
    </row>
    <row r="717" spans="3:21" s="348" customFormat="1" x14ac:dyDescent="0.2">
      <c r="D717" s="721"/>
      <c r="E717" s="721"/>
      <c r="F717" s="721"/>
      <c r="G717" s="721"/>
      <c r="H717" s="721"/>
      <c r="I717" s="721"/>
      <c r="K717" s="737"/>
      <c r="L717" s="738"/>
      <c r="M717" s="738"/>
      <c r="N717" s="738"/>
      <c r="O717" s="738"/>
      <c r="P717" s="739"/>
    </row>
    <row r="718" spans="3:21" s="348" customFormat="1" x14ac:dyDescent="0.2">
      <c r="D718" s="721"/>
      <c r="E718" s="721"/>
      <c r="F718" s="721"/>
      <c r="G718" s="721"/>
      <c r="H718" s="721"/>
      <c r="I718" s="721"/>
      <c r="K718" s="721"/>
      <c r="L718" s="721"/>
      <c r="M718" s="721"/>
      <c r="N718" s="721"/>
      <c r="O718" s="721"/>
      <c r="P718" s="721"/>
    </row>
    <row r="719" spans="3:21" s="348" customFormat="1" x14ac:dyDescent="0.2"/>
    <row r="720" spans="3:21" s="348" customFormat="1" ht="15.75" x14ac:dyDescent="0.2">
      <c r="C720" s="124" t="str">
        <f>"Equipment Required to Outfit a Health Facility for "&amp;G588&amp;""</f>
        <v>Equipment Required to Outfit a Health Facility for LEEP with BIOP-H</v>
      </c>
    </row>
    <row r="721" spans="4:21" s="348" customFormat="1" x14ac:dyDescent="0.2"/>
    <row r="722" spans="4:21" s="348" customFormat="1" ht="30" x14ac:dyDescent="0.2">
      <c r="J722" s="141" t="str">
        <f>"Cost per Unit ("&amp;$I$774&amp;")"</f>
        <v>Cost per Unit (USD)</v>
      </c>
      <c r="L722" s="885" t="str">
        <f>"Total Cost per Site ("&amp;$I$774&amp;")"</f>
        <v>Total Cost per Site (USD)</v>
      </c>
      <c r="M722" s="886"/>
      <c r="N722" s="887"/>
    </row>
    <row r="723" spans="4:21" s="348" customFormat="1" ht="30" x14ac:dyDescent="0.2">
      <c r="D723" s="667" t="s">
        <v>106</v>
      </c>
      <c r="J723" s="142" t="s">
        <v>117</v>
      </c>
      <c r="K723" s="675" t="s">
        <v>116</v>
      </c>
      <c r="L723" s="513" t="str">
        <f>J723</f>
        <v>Facility</v>
      </c>
      <c r="M723" s="159" t="s">
        <v>632</v>
      </c>
      <c r="N723" s="288" t="s">
        <v>633</v>
      </c>
      <c r="O723" s="870" t="s">
        <v>74</v>
      </c>
      <c r="P723" s="871"/>
      <c r="Q723" s="872"/>
      <c r="U723" s="671" t="s">
        <v>312</v>
      </c>
    </row>
    <row r="724" spans="4:21" s="348" customFormat="1" x14ac:dyDescent="0.2">
      <c r="D724" s="721" t="s">
        <v>1717</v>
      </c>
      <c r="E724" s="721"/>
      <c r="F724" s="721"/>
      <c r="G724" s="721"/>
      <c r="J724" s="311">
        <f t="shared" ref="J724:J734" si="13">IFERROR(INDEX($J$1012:$J$1134,MATCH(D724,LU_Intv_2_Equip,0)),0)</f>
        <v>6000</v>
      </c>
      <c r="K724" s="220">
        <v>1</v>
      </c>
      <c r="L724" s="163">
        <f t="shared" ref="L724:L734" si="14">J724*K724</f>
        <v>6000</v>
      </c>
      <c r="M724" s="163">
        <f t="shared" ref="M724:M734" si="15">IFERROR(INDEX($K$1012:$K$1134,MATCH(D724,LU_Intv_2_Equip,0)),0)*K724</f>
        <v>666.66666666666663</v>
      </c>
      <c r="N724" s="146">
        <f t="shared" ref="N724:N734" si="16">IFERROR(INDEX($L$1012:$L$1134,MATCH(D724,LU_Intv_2_Equip,0)),0)*K724</f>
        <v>770.60314210862055</v>
      </c>
      <c r="O724" s="865"/>
      <c r="P724" s="865"/>
      <c r="Q724" s="866"/>
      <c r="U724" s="119">
        <f t="shared" ref="U724:U734" si="17">IF(AND(ISERROR(MATCH(D724,LU_Intv_2_Equip,0)),K724),1,0)</f>
        <v>0</v>
      </c>
    </row>
    <row r="725" spans="4:21" s="348" customFormat="1" x14ac:dyDescent="0.2">
      <c r="D725" s="721" t="s">
        <v>1724</v>
      </c>
      <c r="E725" s="721"/>
      <c r="F725" s="721"/>
      <c r="G725" s="721"/>
      <c r="J725" s="297">
        <f t="shared" si="13"/>
        <v>37.200000000000003</v>
      </c>
      <c r="K725" s="191">
        <v>10</v>
      </c>
      <c r="L725" s="153">
        <f t="shared" si="14"/>
        <v>372</v>
      </c>
      <c r="M725" s="153">
        <f t="shared" si="15"/>
        <v>372</v>
      </c>
      <c r="N725" s="146">
        <f t="shared" si="16"/>
        <v>383.15999999999968</v>
      </c>
      <c r="O725" s="868"/>
      <c r="P725" s="868"/>
      <c r="Q725" s="869"/>
      <c r="U725" s="119">
        <f t="shared" si="17"/>
        <v>0</v>
      </c>
    </row>
    <row r="726" spans="4:21" s="348" customFormat="1" x14ac:dyDescent="0.2">
      <c r="D726" s="721" t="s">
        <v>1723</v>
      </c>
      <c r="E726" s="721"/>
      <c r="F726" s="721"/>
      <c r="G726" s="721"/>
      <c r="J726" s="297">
        <f t="shared" si="13"/>
        <v>37.200000000000003</v>
      </c>
      <c r="K726" s="192">
        <v>10</v>
      </c>
      <c r="L726" s="153">
        <f t="shared" si="14"/>
        <v>372</v>
      </c>
      <c r="M726" s="153">
        <f t="shared" si="15"/>
        <v>372</v>
      </c>
      <c r="N726" s="146">
        <f t="shared" si="16"/>
        <v>383.15999999999968</v>
      </c>
      <c r="O726" s="868"/>
      <c r="P726" s="868"/>
      <c r="Q726" s="869"/>
      <c r="U726" s="119">
        <f t="shared" si="17"/>
        <v>0</v>
      </c>
    </row>
    <row r="727" spans="4:21" s="348" customFormat="1" x14ac:dyDescent="0.2">
      <c r="D727" s="721" t="s">
        <v>1653</v>
      </c>
      <c r="E727" s="721"/>
      <c r="F727" s="721"/>
      <c r="G727" s="721"/>
      <c r="J727" s="297">
        <f t="shared" si="13"/>
        <v>37.200000000000003</v>
      </c>
      <c r="K727" s="192">
        <v>10</v>
      </c>
      <c r="L727" s="153">
        <f t="shared" si="14"/>
        <v>372</v>
      </c>
      <c r="M727" s="153">
        <f t="shared" si="15"/>
        <v>372</v>
      </c>
      <c r="N727" s="146">
        <f t="shared" si="16"/>
        <v>383.15999999999968</v>
      </c>
      <c r="O727" s="868"/>
      <c r="P727" s="868"/>
      <c r="Q727" s="869"/>
      <c r="U727" s="119">
        <f t="shared" si="17"/>
        <v>0</v>
      </c>
    </row>
    <row r="728" spans="4:21" s="348" customFormat="1" x14ac:dyDescent="0.2">
      <c r="D728" s="805" t="s">
        <v>1654</v>
      </c>
      <c r="E728" s="811"/>
      <c r="F728" s="811"/>
      <c r="G728" s="812"/>
      <c r="J728" s="297">
        <f t="shared" si="13"/>
        <v>37.200000000000003</v>
      </c>
      <c r="K728" s="192">
        <v>5</v>
      </c>
      <c r="L728" s="153">
        <f t="shared" si="14"/>
        <v>186</v>
      </c>
      <c r="M728" s="153">
        <f t="shared" si="15"/>
        <v>186</v>
      </c>
      <c r="N728" s="119">
        <f t="shared" si="16"/>
        <v>191.57999999999984</v>
      </c>
      <c r="O728" s="877"/>
      <c r="P728" s="900"/>
      <c r="Q728" s="901"/>
      <c r="U728" s="119">
        <f t="shared" si="17"/>
        <v>0</v>
      </c>
    </row>
    <row r="729" spans="4:21" s="348" customFormat="1" x14ac:dyDescent="0.2">
      <c r="D729" s="805" t="s">
        <v>1381</v>
      </c>
      <c r="E729" s="811"/>
      <c r="F729" s="811"/>
      <c r="G729" s="812"/>
      <c r="J729" s="297">
        <f t="shared" si="13"/>
        <v>37.200000000000003</v>
      </c>
      <c r="K729" s="192">
        <v>5</v>
      </c>
      <c r="L729" s="153">
        <f t="shared" si="14"/>
        <v>186</v>
      </c>
      <c r="M729" s="153">
        <f t="shared" si="15"/>
        <v>186</v>
      </c>
      <c r="N729" s="119">
        <f t="shared" si="16"/>
        <v>191.57999999999984</v>
      </c>
      <c r="O729" s="877"/>
      <c r="P729" s="900"/>
      <c r="Q729" s="901"/>
      <c r="U729" s="119">
        <f t="shared" si="17"/>
        <v>0</v>
      </c>
    </row>
    <row r="730" spans="4:21" s="348" customFormat="1" x14ac:dyDescent="0.2">
      <c r="D730" s="805" t="s">
        <v>1343</v>
      </c>
      <c r="E730" s="811"/>
      <c r="F730" s="811"/>
      <c r="G730" s="812"/>
      <c r="J730" s="297">
        <f t="shared" si="13"/>
        <v>165</v>
      </c>
      <c r="K730" s="192">
        <v>2</v>
      </c>
      <c r="L730" s="153">
        <f t="shared" si="14"/>
        <v>330</v>
      </c>
      <c r="M730" s="153">
        <f t="shared" si="15"/>
        <v>66</v>
      </c>
      <c r="N730" s="119">
        <f t="shared" si="16"/>
        <v>72.057008562190148</v>
      </c>
      <c r="O730" s="877"/>
      <c r="P730" s="900"/>
      <c r="Q730" s="901"/>
      <c r="U730" s="119">
        <f t="shared" si="17"/>
        <v>0</v>
      </c>
    </row>
    <row r="731" spans="4:21" s="348" customFormat="1" x14ac:dyDescent="0.2">
      <c r="D731" s="721" t="s">
        <v>1335</v>
      </c>
      <c r="E731" s="721"/>
      <c r="F731" s="721"/>
      <c r="G731" s="721"/>
      <c r="J731" s="297">
        <f t="shared" si="13"/>
        <v>40</v>
      </c>
      <c r="K731" s="192">
        <v>10</v>
      </c>
      <c r="L731" s="153">
        <f t="shared" si="14"/>
        <v>400</v>
      </c>
      <c r="M731" s="153">
        <f t="shared" si="15"/>
        <v>44.444444444444443</v>
      </c>
      <c r="N731" s="146">
        <f t="shared" si="16"/>
        <v>51.373542807241378</v>
      </c>
      <c r="O731" s="868"/>
      <c r="P731" s="868"/>
      <c r="Q731" s="869"/>
      <c r="U731" s="119">
        <f t="shared" si="17"/>
        <v>0</v>
      </c>
    </row>
    <row r="732" spans="4:21" s="348" customFormat="1" x14ac:dyDescent="0.2">
      <c r="D732" s="721" t="s">
        <v>1316</v>
      </c>
      <c r="E732" s="721"/>
      <c r="F732" s="721"/>
      <c r="G732" s="721"/>
      <c r="J732" s="297">
        <f t="shared" si="13"/>
        <v>15</v>
      </c>
      <c r="K732" s="192">
        <v>3</v>
      </c>
      <c r="L732" s="153">
        <f t="shared" si="14"/>
        <v>45</v>
      </c>
      <c r="M732" s="153">
        <f t="shared" si="15"/>
        <v>11.25</v>
      </c>
      <c r="N732" s="146">
        <f t="shared" si="16"/>
        <v>12.106217033688715</v>
      </c>
      <c r="O732" s="868"/>
      <c r="P732" s="868"/>
      <c r="Q732" s="869"/>
      <c r="U732" s="119">
        <f t="shared" si="17"/>
        <v>0</v>
      </c>
    </row>
    <row r="733" spans="4:21" s="348" customFormat="1" x14ac:dyDescent="0.2">
      <c r="D733" s="721" t="s">
        <v>1257</v>
      </c>
      <c r="E733" s="721"/>
      <c r="F733" s="721"/>
      <c r="G733" s="721"/>
      <c r="J733" s="297">
        <f t="shared" si="13"/>
        <v>0</v>
      </c>
      <c r="K733" s="192">
        <v>0</v>
      </c>
      <c r="L733" s="153">
        <f t="shared" si="14"/>
        <v>0</v>
      </c>
      <c r="M733" s="153">
        <f t="shared" si="15"/>
        <v>0</v>
      </c>
      <c r="N733" s="146">
        <f t="shared" si="16"/>
        <v>0</v>
      </c>
      <c r="O733" s="868"/>
      <c r="P733" s="868"/>
      <c r="Q733" s="869"/>
      <c r="U733" s="119">
        <f t="shared" si="17"/>
        <v>0</v>
      </c>
    </row>
    <row r="734" spans="4:21" s="348" customFormat="1" x14ac:dyDescent="0.2">
      <c r="D734" s="721" t="s">
        <v>1257</v>
      </c>
      <c r="E734" s="721"/>
      <c r="F734" s="721"/>
      <c r="G734" s="721"/>
      <c r="J734" s="306">
        <f t="shared" si="13"/>
        <v>0</v>
      </c>
      <c r="K734" s="193">
        <v>0</v>
      </c>
      <c r="L734" s="515">
        <f t="shared" si="14"/>
        <v>0</v>
      </c>
      <c r="M734" s="515">
        <f t="shared" si="15"/>
        <v>0</v>
      </c>
      <c r="N734" s="146">
        <f t="shared" si="16"/>
        <v>0</v>
      </c>
      <c r="O734" s="860"/>
      <c r="P734" s="860"/>
      <c r="Q734" s="861"/>
      <c r="U734" s="119">
        <f t="shared" si="17"/>
        <v>0</v>
      </c>
    </row>
    <row r="735" spans="4:21" s="348" customFormat="1" x14ac:dyDescent="0.2">
      <c r="D735" s="671" t="s">
        <v>191</v>
      </c>
      <c r="L735" s="514">
        <f>SUM(L724:L734)</f>
        <v>8263</v>
      </c>
      <c r="M735" s="153">
        <f>SUM(M724:M734)</f>
        <v>2276.3611111111109</v>
      </c>
      <c r="N735" s="152">
        <f>SUM(N724:N734)</f>
        <v>2438.7799105117397</v>
      </c>
    </row>
    <row r="736" spans="4:21" s="348" customFormat="1" x14ac:dyDescent="0.2">
      <c r="D736" s="671" t="s">
        <v>120</v>
      </c>
      <c r="I736" s="239">
        <v>0.15</v>
      </c>
      <c r="M736" s="153">
        <f>M735*$I$736</f>
        <v>341.45416666666659</v>
      </c>
      <c r="N736" s="154">
        <f>N735*$I$736</f>
        <v>365.81698657676094</v>
      </c>
    </row>
    <row r="737" spans="3:21" s="348" customFormat="1" ht="15" x14ac:dyDescent="0.2">
      <c r="D737" s="667" t="s">
        <v>121</v>
      </c>
      <c r="M737" s="155">
        <f>SUM(M735:M736)</f>
        <v>2617.8152777777773</v>
      </c>
      <c r="N737" s="156">
        <f>SUM(N735:N736)</f>
        <v>2804.5968970885006</v>
      </c>
    </row>
    <row r="738" spans="3:21" s="348" customFormat="1" x14ac:dyDescent="0.2"/>
    <row r="739" spans="3:21" s="348" customFormat="1" ht="15" x14ac:dyDescent="0.2">
      <c r="D739" s="667" t="s">
        <v>964</v>
      </c>
      <c r="K739" s="671" t="s">
        <v>965</v>
      </c>
    </row>
    <row r="740" spans="3:21" s="348" customFormat="1" x14ac:dyDescent="0.2">
      <c r="D740" s="721"/>
      <c r="E740" s="721"/>
      <c r="F740" s="721"/>
      <c r="G740" s="721"/>
      <c r="H740" s="721"/>
      <c r="I740" s="721"/>
      <c r="K740" s="721"/>
      <c r="L740" s="721"/>
      <c r="M740" s="721"/>
      <c r="N740" s="721"/>
      <c r="O740" s="721"/>
      <c r="P740" s="721"/>
    </row>
    <row r="741" spans="3:21" s="348" customFormat="1" x14ac:dyDescent="0.2">
      <c r="D741" s="721"/>
      <c r="E741" s="721"/>
      <c r="F741" s="721"/>
      <c r="G741" s="721"/>
      <c r="H741" s="721"/>
      <c r="I741" s="721"/>
      <c r="K741" s="721"/>
      <c r="L741" s="721"/>
      <c r="M741" s="721"/>
      <c r="N741" s="721"/>
      <c r="O741" s="721"/>
      <c r="P741" s="721"/>
    </row>
    <row r="742" spans="3:21" s="348" customFormat="1" x14ac:dyDescent="0.2">
      <c r="D742" s="721"/>
      <c r="E742" s="721"/>
      <c r="F742" s="721"/>
      <c r="G742" s="721"/>
      <c r="H742" s="721"/>
      <c r="I742" s="721"/>
      <c r="K742" s="721"/>
      <c r="L742" s="721"/>
      <c r="M742" s="721"/>
      <c r="N742" s="721"/>
      <c r="O742" s="721"/>
      <c r="P742" s="721"/>
    </row>
    <row r="743" spans="3:21" s="348" customFormat="1" x14ac:dyDescent="0.2">
      <c r="D743" s="721"/>
      <c r="E743" s="721"/>
      <c r="F743" s="721"/>
      <c r="G743" s="721"/>
      <c r="H743" s="721"/>
      <c r="I743" s="721"/>
      <c r="K743" s="721"/>
      <c r="L743" s="721"/>
      <c r="M743" s="721"/>
      <c r="N743" s="721"/>
      <c r="O743" s="721"/>
      <c r="P743" s="721"/>
    </row>
    <row r="744" spans="3:21" s="348" customFormat="1" ht="15.75" x14ac:dyDescent="0.2">
      <c r="C744" s="124" t="str">
        <f>"Lab Tests &amp; Other Direct Costs for "&amp;G588&amp;""</f>
        <v>Lab Tests &amp; Other Direct Costs for LEEP with BIOP-H</v>
      </c>
    </row>
    <row r="745" spans="3:21" s="348" customFormat="1" x14ac:dyDescent="0.2"/>
    <row r="746" spans="3:21" s="348" customFormat="1" ht="30" x14ac:dyDescent="0.2">
      <c r="D746" s="667" t="s">
        <v>106</v>
      </c>
      <c r="J746" s="132" t="str">
        <f>"Cost per Unit ("&amp;$I$774&amp;")"</f>
        <v>Cost per Unit (USD)</v>
      </c>
      <c r="K746" s="366" t="s">
        <v>107</v>
      </c>
      <c r="L746" s="307" t="s">
        <v>183</v>
      </c>
      <c r="M746" s="132" t="str">
        <f>"Total Cost ("&amp;$I$774&amp;")"</f>
        <v>Total Cost (USD)</v>
      </c>
      <c r="N746" s="725" t="s">
        <v>74</v>
      </c>
      <c r="O746" s="726"/>
      <c r="P746" s="726"/>
      <c r="U746" s="671" t="s">
        <v>312</v>
      </c>
    </row>
    <row r="747" spans="3:21" s="348" customFormat="1" x14ac:dyDescent="0.2">
      <c r="D747" s="721" t="s">
        <v>1568</v>
      </c>
      <c r="E747" s="721"/>
      <c r="F747" s="721"/>
      <c r="G747" s="721"/>
      <c r="H747" s="672"/>
      <c r="J747" s="674">
        <f>IFERROR(INDEX($L$1137:$L$1169,MATCH(D747,LU_Intv_2_Lab_Oth,0)),0)</f>
        <v>62.66</v>
      </c>
      <c r="K747" s="183">
        <v>1</v>
      </c>
      <c r="L747" s="183">
        <v>1</v>
      </c>
      <c r="M747" s="161">
        <f>J747*K747*L747</f>
        <v>62.66</v>
      </c>
      <c r="N747" s="721"/>
      <c r="O747" s="721"/>
      <c r="P747" s="721"/>
      <c r="U747" s="119">
        <f>IF(AND(ISERROR(MATCH(D747,LU_Intv_2_Lab_Oth,0)),L747),1,0)</f>
        <v>0</v>
      </c>
    </row>
    <row r="748" spans="3:21" s="348" customFormat="1" ht="15" x14ac:dyDescent="0.2">
      <c r="D748" s="782" t="s">
        <v>108</v>
      </c>
      <c r="E748" s="783"/>
      <c r="F748" s="783"/>
      <c r="G748" s="783"/>
      <c r="H748" s="672"/>
      <c r="J748" s="308"/>
      <c r="K748" s="119"/>
      <c r="L748" s="674"/>
      <c r="M748" s="162">
        <f>SUM(M747:M747)</f>
        <v>62.66</v>
      </c>
      <c r="N748" s="669"/>
      <c r="O748" s="669"/>
      <c r="P748" s="669"/>
      <c r="U748" s="672"/>
    </row>
    <row r="749" spans="3:21" s="348" customFormat="1" x14ac:dyDescent="0.2"/>
    <row r="750" spans="3:21" s="348" customFormat="1" ht="15" x14ac:dyDescent="0.2">
      <c r="D750" s="667" t="s">
        <v>966</v>
      </c>
      <c r="K750" s="671" t="s">
        <v>967</v>
      </c>
    </row>
    <row r="751" spans="3:21" s="348" customFormat="1" x14ac:dyDescent="0.2">
      <c r="D751" s="721"/>
      <c r="E751" s="721"/>
      <c r="F751" s="721"/>
      <c r="G751" s="721"/>
      <c r="H751" s="721"/>
      <c r="I751" s="721"/>
      <c r="K751" s="721"/>
      <c r="L751" s="721"/>
      <c r="M751" s="721"/>
      <c r="N751" s="721"/>
      <c r="O751" s="721"/>
      <c r="P751" s="721"/>
    </row>
    <row r="752" spans="3:21" s="348" customFormat="1" x14ac:dyDescent="0.2">
      <c r="D752" s="721"/>
      <c r="E752" s="721"/>
      <c r="F752" s="721"/>
      <c r="G752" s="721"/>
      <c r="H752" s="721"/>
      <c r="I752" s="721"/>
      <c r="K752" s="721"/>
      <c r="L752" s="721"/>
      <c r="M752" s="721"/>
      <c r="N752" s="721"/>
      <c r="O752" s="721"/>
      <c r="P752" s="721"/>
    </row>
    <row r="753" spans="3:16" s="348" customFormat="1" x14ac:dyDescent="0.2">
      <c r="D753" s="721"/>
      <c r="E753" s="721"/>
      <c r="F753" s="721"/>
      <c r="G753" s="721"/>
      <c r="H753" s="721"/>
      <c r="I753" s="721"/>
      <c r="K753" s="721"/>
      <c r="L753" s="721"/>
      <c r="M753" s="721"/>
      <c r="N753" s="721"/>
      <c r="O753" s="721"/>
      <c r="P753" s="721"/>
    </row>
    <row r="754" spans="3:16" s="348" customFormat="1" x14ac:dyDescent="0.2">
      <c r="D754" s="721"/>
      <c r="E754" s="721"/>
      <c r="F754" s="721"/>
      <c r="G754" s="721"/>
      <c r="H754" s="721"/>
      <c r="I754" s="721"/>
      <c r="K754" s="721"/>
      <c r="L754" s="721"/>
      <c r="M754" s="721"/>
      <c r="N754" s="721"/>
      <c r="O754" s="721"/>
      <c r="P754" s="721"/>
    </row>
    <row r="755" spans="3:16" s="348" customFormat="1" hidden="1" outlineLevel="2" x14ac:dyDescent="0.2"/>
    <row r="756" spans="3:16" s="348" customFormat="1" collapsed="1" x14ac:dyDescent="0.2"/>
    <row r="757" spans="3:16" s="348" customFormat="1" ht="15.75" x14ac:dyDescent="0.2">
      <c r="C757" s="664" t="s">
        <v>1870</v>
      </c>
    </row>
    <row r="758" spans="3:16" s="348" customFormat="1" outlineLevel="1" x14ac:dyDescent="0.2">
      <c r="D758" s="668" t="str">
        <f>Plac_Start_Facs_BA!C10</f>
        <v>Central</v>
      </c>
    </row>
    <row r="759" spans="3:16" s="348" customFormat="1" outlineLevel="1" x14ac:dyDescent="0.2">
      <c r="D759" s="668" t="str">
        <f>Plac_Start_Facs_BA!C11</f>
        <v>Copperbelt</v>
      </c>
    </row>
    <row r="760" spans="3:16" s="348" customFormat="1" outlineLevel="1" x14ac:dyDescent="0.2">
      <c r="D760" s="668" t="str">
        <f>Plac_Start_Facs_BA!C12</f>
        <v>Eastern</v>
      </c>
    </row>
    <row r="761" spans="3:16" s="348" customFormat="1" outlineLevel="1" x14ac:dyDescent="0.2">
      <c r="D761" s="668" t="str">
        <f>Plac_Start_Facs_BA!C13</f>
        <v>Luapula</v>
      </c>
    </row>
    <row r="762" spans="3:16" s="348" customFormat="1" outlineLevel="1" x14ac:dyDescent="0.2">
      <c r="D762" s="668" t="str">
        <f>Plac_Start_Facs_BA!C14</f>
        <v>Lusaka</v>
      </c>
    </row>
    <row r="763" spans="3:16" s="348" customFormat="1" outlineLevel="1" x14ac:dyDescent="0.2">
      <c r="D763" s="668" t="str">
        <f>Plac_Start_Facs_BA!C15</f>
        <v>Muchinga</v>
      </c>
    </row>
    <row r="764" spans="3:16" s="348" customFormat="1" outlineLevel="1" x14ac:dyDescent="0.2">
      <c r="D764" s="668" t="str">
        <f>Plac_Start_Facs_BA!C16</f>
        <v>Northern</v>
      </c>
    </row>
    <row r="765" spans="3:16" s="348" customFormat="1" outlineLevel="1" x14ac:dyDescent="0.2">
      <c r="D765" s="668" t="str">
        <f>Plac_Start_Facs_BA!C17</f>
        <v>North-Western</v>
      </c>
    </row>
    <row r="766" spans="3:16" s="348" customFormat="1" outlineLevel="1" x14ac:dyDescent="0.2">
      <c r="D766" s="668" t="str">
        <f>Plac_Start_Facs_BA!C18</f>
        <v>Southern</v>
      </c>
    </row>
    <row r="767" spans="3:16" s="348" customFormat="1" outlineLevel="1" x14ac:dyDescent="0.2">
      <c r="D767" s="668" t="str">
        <f>Plac_Start_Facs_BA!C19</f>
        <v>Western</v>
      </c>
    </row>
    <row r="768" spans="3:16" s="348" customFormat="1" x14ac:dyDescent="0.2"/>
    <row r="769" spans="3:21" s="348" customFormat="1" x14ac:dyDescent="0.2"/>
    <row r="770" spans="3:21" s="348" customFormat="1" x14ac:dyDescent="0.2"/>
    <row r="771" spans="3:21" s="348" customFormat="1" x14ac:dyDescent="0.2"/>
    <row r="772" spans="3:21" s="348" customFormat="1" ht="15.75" hidden="1" outlineLevel="2" x14ac:dyDescent="0.2">
      <c r="C772" s="664" t="s">
        <v>303</v>
      </c>
    </row>
    <row r="773" spans="3:21" s="348" customFormat="1" hidden="1" outlineLevel="2" x14ac:dyDescent="0.2">
      <c r="U773" s="671" t="s">
        <v>312</v>
      </c>
    </row>
    <row r="774" spans="3:21" s="348" customFormat="1" ht="14.45" hidden="1" customHeight="1" outlineLevel="2" x14ac:dyDescent="0.2">
      <c r="D774" s="667" t="s">
        <v>302</v>
      </c>
      <c r="I774" s="785" t="str">
        <f>Price_List_BA!G10</f>
        <v>USD</v>
      </c>
      <c r="J774" s="786"/>
      <c r="U774" s="119">
        <f>IF(ISERROR(MATCH(I774,LU_Intv_2_Curr,0)),1,0)</f>
        <v>0</v>
      </c>
    </row>
    <row r="775" spans="3:21" s="348" customFormat="1" hidden="1" outlineLevel="2" x14ac:dyDescent="0.2"/>
    <row r="776" spans="3:21" s="348" customFormat="1" ht="25.5" hidden="1" outlineLevel="2" x14ac:dyDescent="0.2">
      <c r="D776" s="359" t="str">
        <f>"Personnel - "&amp;D664</f>
        <v>Personnel - Fixed Hospital Sites</v>
      </c>
      <c r="L776" s="312" t="str">
        <f>"Cost per Unit ("&amp;$I$774&amp;"/Unit)"</f>
        <v>Cost per Unit (USD/Unit)</v>
      </c>
    </row>
    <row r="777" spans="3:21" s="348" customFormat="1" ht="12.75" hidden="1" customHeight="1" outlineLevel="2" x14ac:dyDescent="0.2">
      <c r="D777" s="785" t="str">
        <f>Price_List_BA!D14</f>
        <v>_Not Applicable</v>
      </c>
      <c r="E777" s="786"/>
      <c r="F777" s="786"/>
      <c r="G777" s="786"/>
      <c r="L777" s="137">
        <f>Price_List_BA!L14</f>
        <v>0</v>
      </c>
    </row>
    <row r="778" spans="3:21" s="348" customFormat="1" ht="12.95" hidden="1" customHeight="1" outlineLevel="2" x14ac:dyDescent="0.2">
      <c r="D778" s="785" t="str">
        <f>Price_List_BA!D15</f>
        <v>Biomedical scientist (ZM)</v>
      </c>
      <c r="E778" s="786"/>
      <c r="F778" s="786"/>
      <c r="G778" s="786"/>
      <c r="L778" s="137">
        <f>Price_List_BA!L15</f>
        <v>9.6099869451697087E-2</v>
      </c>
    </row>
    <row r="779" spans="3:21" s="348" customFormat="1" ht="12.95" hidden="1" customHeight="1" outlineLevel="2" x14ac:dyDescent="0.2">
      <c r="D779" s="785" t="str">
        <f>Price_List_BA!D16</f>
        <v>Clinical officer  (ZM)</v>
      </c>
      <c r="E779" s="786"/>
      <c r="F779" s="786"/>
      <c r="G779" s="786"/>
      <c r="L779" s="137">
        <f>Price_List_BA!L16</f>
        <v>5.4314893385552607E-2</v>
      </c>
    </row>
    <row r="780" spans="3:21" s="348" customFormat="1" ht="12.75" hidden="1" customHeight="1" outlineLevel="2" x14ac:dyDescent="0.2">
      <c r="D780" s="785" t="str">
        <f>Price_List_BA!D17</f>
        <v>Consultant  (ZM)</v>
      </c>
      <c r="E780" s="786"/>
      <c r="F780" s="786"/>
      <c r="G780" s="786"/>
      <c r="L780" s="137">
        <f>Price_List_BA!L17</f>
        <v>0.39408430337975103</v>
      </c>
    </row>
    <row r="781" spans="3:21" s="348" customFormat="1" hidden="1" outlineLevel="2" x14ac:dyDescent="0.2">
      <c r="D781" s="785" t="str">
        <f>Price_List_BA!D18</f>
        <v>General Medical Doctor</v>
      </c>
      <c r="E781" s="786"/>
      <c r="F781" s="786"/>
      <c r="G781" s="786"/>
      <c r="L781" s="137">
        <f>Price_List_BA!L18</f>
        <v>0.33333333333333331</v>
      </c>
    </row>
    <row r="782" spans="3:21" s="348" customFormat="1" ht="12.75" hidden="1" customHeight="1" outlineLevel="2" x14ac:dyDescent="0.2">
      <c r="D782" s="785" t="str">
        <f>Price_List_BA!D19</f>
        <v>Junior Resident Medical officer  (ZM)</v>
      </c>
      <c r="E782" s="786"/>
      <c r="F782" s="786"/>
      <c r="G782" s="786"/>
      <c r="L782" s="137">
        <f>Price_List_BA!L19</f>
        <v>0.30300363087467391</v>
      </c>
    </row>
    <row r="783" spans="3:21" s="348" customFormat="1" ht="12.95" hidden="1" customHeight="1" outlineLevel="2" x14ac:dyDescent="0.2">
      <c r="D783" s="785" t="str">
        <f>Price_List_BA!D20</f>
        <v>Lab Scientist (ZM)</v>
      </c>
      <c r="E783" s="786"/>
      <c r="F783" s="786"/>
      <c r="G783" s="786"/>
      <c r="L783" s="137">
        <f>Price_List_BA!L20</f>
        <v>9.6099869451697087E-2</v>
      </c>
    </row>
    <row r="784" spans="3:21" s="348" customFormat="1" ht="12.95" hidden="1" customHeight="1" outlineLevel="2" x14ac:dyDescent="0.2">
      <c r="D784" s="785" t="str">
        <f>Price_List_BA!D21</f>
        <v>Lab Technician (ZM)</v>
      </c>
      <c r="E784" s="786"/>
      <c r="F784" s="786"/>
      <c r="G784" s="786"/>
      <c r="L784" s="137">
        <f>Price_List_BA!L21</f>
        <v>4.7519582245430833E-2</v>
      </c>
    </row>
    <row r="785" spans="4:12" s="348" customFormat="1" ht="12.75" hidden="1" customHeight="1" outlineLevel="2" x14ac:dyDescent="0.2">
      <c r="D785" s="785" t="str">
        <f>Price_List_BA!D22</f>
        <v>Lab Technologist (ZM)</v>
      </c>
      <c r="E785" s="786"/>
      <c r="F785" s="786"/>
      <c r="G785" s="786"/>
      <c r="L785" s="137">
        <f>Price_List_BA!L22</f>
        <v>5.4308093994778019E-2</v>
      </c>
    </row>
    <row r="786" spans="4:12" s="348" customFormat="1" ht="12.75" hidden="1" customHeight="1" outlineLevel="2" x14ac:dyDescent="0.2">
      <c r="D786" s="785" t="str">
        <f>Price_List_BA!D23</f>
        <v>Medical Physicist (ZM)</v>
      </c>
      <c r="E786" s="786"/>
      <c r="F786" s="786"/>
      <c r="G786" s="786"/>
      <c r="L786" s="137">
        <f>Price_List_BA!L23</f>
        <v>0.15991895126196667</v>
      </c>
    </row>
    <row r="787" spans="4:12" s="348" customFormat="1" ht="12.95" hidden="1" customHeight="1" outlineLevel="2" x14ac:dyDescent="0.2">
      <c r="D787" s="785" t="str">
        <f>Price_List_BA!D24</f>
        <v>Nursing Officer (ZM)</v>
      </c>
      <c r="E787" s="786"/>
      <c r="F787" s="786"/>
      <c r="G787" s="786"/>
      <c r="L787" s="137">
        <f>Price_List_BA!L24</f>
        <v>9.6099869451697087E-2</v>
      </c>
    </row>
    <row r="788" spans="4:12" s="348" customFormat="1" ht="12.95" hidden="1" customHeight="1" outlineLevel="2" x14ac:dyDescent="0.2">
      <c r="D788" s="785" t="str">
        <f>Price_List_BA!D25</f>
        <v>Pathologist (ZM)</v>
      </c>
      <c r="E788" s="786"/>
      <c r="F788" s="786"/>
      <c r="G788" s="786"/>
      <c r="L788" s="137">
        <f>Price_List_BA!L25</f>
        <v>0.39408430337975103</v>
      </c>
    </row>
    <row r="789" spans="4:12" s="348" customFormat="1" ht="12.95" hidden="1" customHeight="1" outlineLevel="2" x14ac:dyDescent="0.2">
      <c r="D789" s="785" t="str">
        <f>Price_List_BA!D26</f>
        <v>Pharmacy Technologist (ZM)</v>
      </c>
      <c r="E789" s="786"/>
      <c r="F789" s="786"/>
      <c r="G789" s="786"/>
      <c r="L789" s="137">
        <f>Price_List_BA!L26</f>
        <v>5.4312173629242816E-2</v>
      </c>
    </row>
    <row r="790" spans="4:12" s="348" customFormat="1" ht="12.95" hidden="1" customHeight="1" outlineLevel="2" x14ac:dyDescent="0.2">
      <c r="D790" s="785" t="str">
        <f>Price_List_BA!D27</f>
        <v>Principal Nursing Officer (ZM)</v>
      </c>
      <c r="E790" s="786"/>
      <c r="F790" s="786"/>
      <c r="G790" s="786"/>
      <c r="L790" s="137">
        <f>Price_List_BA!L27</f>
        <v>0.15919413620539585</v>
      </c>
    </row>
    <row r="791" spans="4:12" s="348" customFormat="1" ht="12.95" hidden="1" customHeight="1" outlineLevel="2" x14ac:dyDescent="0.2">
      <c r="D791" s="785" t="str">
        <f>Price_List_BA!D28</f>
        <v>Principal Pharmacist (ZM)</v>
      </c>
      <c r="E791" s="786"/>
      <c r="F791" s="786"/>
      <c r="G791" s="786"/>
      <c r="L791" s="137">
        <f>Price_List_BA!L28</f>
        <v>0.15919560940673019</v>
      </c>
    </row>
    <row r="792" spans="4:12" s="348" customFormat="1" ht="12.75" hidden="1" customHeight="1" outlineLevel="2" x14ac:dyDescent="0.2">
      <c r="D792" s="785" t="str">
        <f>Price_List_BA!D29</f>
        <v>Principal Radiographer (ZM)</v>
      </c>
      <c r="E792" s="786"/>
      <c r="F792" s="786"/>
      <c r="G792" s="786"/>
      <c r="L792" s="137">
        <f>Price_List_BA!L29</f>
        <v>0.15919855580939896</v>
      </c>
    </row>
    <row r="793" spans="4:12" s="348" customFormat="1" ht="12.75" hidden="1" customHeight="1" outlineLevel="2" x14ac:dyDescent="0.2">
      <c r="D793" s="785" t="str">
        <f>Price_List_BA!D30</f>
        <v>Principal Therapist - Radiation (ZM)</v>
      </c>
      <c r="E793" s="786"/>
      <c r="F793" s="786"/>
      <c r="G793" s="786"/>
      <c r="L793" s="137">
        <f>Price_List_BA!L30</f>
        <v>0.15919708260806459</v>
      </c>
    </row>
    <row r="794" spans="4:12" s="348" customFormat="1" ht="12.75" hidden="1" customHeight="1" outlineLevel="2" x14ac:dyDescent="0.2">
      <c r="D794" s="785" t="str">
        <f>Price_List_BA!D31</f>
        <v>Radiation Lab Scientist (ZM)</v>
      </c>
      <c r="E794" s="786"/>
      <c r="F794" s="786"/>
      <c r="G794" s="786"/>
      <c r="L794" s="137">
        <f>Price_List_BA!L31</f>
        <v>9.6099869451697087E-2</v>
      </c>
    </row>
    <row r="795" spans="4:12" s="348" customFormat="1" ht="12.95" hidden="1" customHeight="1" outlineLevel="2" x14ac:dyDescent="0.2">
      <c r="D795" s="785" t="str">
        <f>Price_List_BA!D32</f>
        <v>Radiation Protection Officer (ZM)</v>
      </c>
      <c r="E795" s="786"/>
      <c r="F795" s="786"/>
      <c r="G795" s="786"/>
      <c r="L795" s="137">
        <f>Price_List_BA!L32</f>
        <v>9.6099869451697087E-2</v>
      </c>
    </row>
    <row r="796" spans="4:12" s="348" customFormat="1" ht="12.95" hidden="1" customHeight="1" outlineLevel="2" x14ac:dyDescent="0.2">
      <c r="D796" s="785" t="str">
        <f>Price_List_BA!D33</f>
        <v>Radiographer (ZM)</v>
      </c>
      <c r="E796" s="786"/>
      <c r="F796" s="786"/>
      <c r="G796" s="786"/>
      <c r="L796" s="137">
        <f>Price_List_BA!L33</f>
        <v>9.6099869451697087E-2</v>
      </c>
    </row>
    <row r="797" spans="4:12" s="348" customFormat="1" ht="12.95" hidden="1" customHeight="1" outlineLevel="2" x14ac:dyDescent="0.2">
      <c r="D797" s="785" t="str">
        <f>Price_List_BA!D34</f>
        <v>Registered Nurse (ZM)</v>
      </c>
      <c r="E797" s="786"/>
      <c r="F797" s="786"/>
      <c r="G797" s="786"/>
      <c r="L797" s="137">
        <f>Price_List_BA!L34</f>
        <v>5.7114882506527402E-2</v>
      </c>
    </row>
    <row r="798" spans="4:12" s="348" customFormat="1" ht="12.95" hidden="1" customHeight="1" outlineLevel="2" x14ac:dyDescent="0.2">
      <c r="D798" s="785" t="str">
        <f>Price_List_BA!D35</f>
        <v>Senior Enrolled Nurse (ZM)</v>
      </c>
      <c r="E798" s="786"/>
      <c r="F798" s="786"/>
      <c r="G798" s="786"/>
      <c r="L798" s="137">
        <f>Price_List_BA!L35</f>
        <v>5.4313533507397704E-2</v>
      </c>
    </row>
    <row r="799" spans="4:12" s="348" customFormat="1" ht="12.75" hidden="1" customHeight="1" outlineLevel="2" x14ac:dyDescent="0.2">
      <c r="D799" s="785" t="str">
        <f>Price_List_BA!D36</f>
        <v>Senior Nursing Officer (ZM)</v>
      </c>
      <c r="E799" s="786"/>
      <c r="F799" s="786"/>
      <c r="G799" s="786"/>
      <c r="L799" s="137">
        <f>Price_List_BA!L36</f>
        <v>0.12206946257615311</v>
      </c>
    </row>
    <row r="800" spans="4:12" s="348" customFormat="1" ht="12.75" hidden="1" customHeight="1" outlineLevel="2" x14ac:dyDescent="0.2">
      <c r="D800" s="785" t="str">
        <f>Price_List_BA!D37</f>
        <v>Senior Radiation protection Officer (ZM)</v>
      </c>
      <c r="E800" s="786"/>
      <c r="F800" s="786"/>
      <c r="G800" s="786"/>
      <c r="L800" s="137">
        <f>Price_List_BA!L37</f>
        <v>0.12207093577748751</v>
      </c>
    </row>
    <row r="801" spans="4:12" s="348" customFormat="1" ht="12.75" hidden="1" customHeight="1" outlineLevel="2" x14ac:dyDescent="0.2">
      <c r="D801" s="785" t="str">
        <f>Price_List_BA!D38</f>
        <v>Senior Radiographer (ZM)</v>
      </c>
      <c r="E801" s="786"/>
      <c r="F801" s="786"/>
      <c r="G801" s="786"/>
      <c r="L801" s="137">
        <f>Price_List_BA!L38</f>
        <v>0.12207240897882186</v>
      </c>
    </row>
    <row r="802" spans="4:12" s="348" customFormat="1" ht="12.75" hidden="1" customHeight="1" outlineLevel="2" x14ac:dyDescent="0.2">
      <c r="D802" s="785" t="str">
        <f>Price_List_BA!D39</f>
        <v>Zambia Enrolled Nurse (ZEN) (ZM)</v>
      </c>
      <c r="E802" s="786"/>
      <c r="F802" s="786"/>
      <c r="G802" s="786"/>
      <c r="L802" s="137">
        <f>Price_List_BA!L39</f>
        <v>5.4309453872933025E-2</v>
      </c>
    </row>
    <row r="803" spans="4:12" s="348" customFormat="1" hidden="1" outlineLevel="2" x14ac:dyDescent="0.2">
      <c r="D803" s="785" t="str">
        <f>Price_List_BA!D40</f>
        <v>Personnel - Hospital Cadre - Other 27</v>
      </c>
      <c r="E803" s="786"/>
      <c r="F803" s="786"/>
      <c r="G803" s="786"/>
      <c r="L803" s="137">
        <f>Price_List_BA!L40</f>
        <v>0</v>
      </c>
    </row>
    <row r="804" spans="4:12" s="348" customFormat="1" hidden="1" outlineLevel="2" x14ac:dyDescent="0.2">
      <c r="D804" s="785" t="str">
        <f>Price_List_BA!D41</f>
        <v>Personnel - Hospital Cadre - Other 28</v>
      </c>
      <c r="E804" s="786"/>
      <c r="F804" s="786"/>
      <c r="G804" s="786"/>
      <c r="L804" s="137">
        <f>Price_List_BA!L41</f>
        <v>0</v>
      </c>
    </row>
    <row r="805" spans="4:12" s="348" customFormat="1" hidden="1" outlineLevel="2" x14ac:dyDescent="0.2">
      <c r="D805" s="785" t="str">
        <f>Price_List_BA!D42</f>
        <v>Personnel - Hospital Cadre - Other 29</v>
      </c>
      <c r="E805" s="786"/>
      <c r="F805" s="786"/>
      <c r="G805" s="786"/>
      <c r="L805" s="137">
        <f>Price_List_BA!L42</f>
        <v>0</v>
      </c>
    </row>
    <row r="806" spans="4:12" s="348" customFormat="1" hidden="1" outlineLevel="2" x14ac:dyDescent="0.2">
      <c r="D806" s="785" t="str">
        <f>Price_List_BA!D43</f>
        <v>Personnel - Hospital Cadre - Other 30</v>
      </c>
      <c r="E806" s="786"/>
      <c r="F806" s="786"/>
      <c r="G806" s="786"/>
      <c r="L806" s="137">
        <f>Price_List_BA!L43</f>
        <v>0</v>
      </c>
    </row>
    <row r="807" spans="4:12" s="348" customFormat="1" hidden="1" outlineLevel="2" x14ac:dyDescent="0.2">
      <c r="D807" s="785" t="str">
        <f>Price_List_BA!D44</f>
        <v>Personnel - Hospital Cadre - Other 31</v>
      </c>
      <c r="E807" s="786"/>
      <c r="F807" s="786"/>
      <c r="G807" s="786"/>
      <c r="L807" s="137">
        <f>Price_List_BA!L44</f>
        <v>0</v>
      </c>
    </row>
    <row r="808" spans="4:12" s="348" customFormat="1" hidden="1" outlineLevel="2" x14ac:dyDescent="0.2"/>
    <row r="809" spans="4:12" s="348" customFormat="1" ht="25.5" hidden="1" outlineLevel="2" x14ac:dyDescent="0.2">
      <c r="D809" s="359" t="str">
        <f>"Personnel - "&amp;D678</f>
        <v>Personnel - Other Facility Types</v>
      </c>
      <c r="L809" s="312" t="str">
        <f>"Cost per Unit ("&amp;$I$774&amp;"/Unit)"</f>
        <v>Cost per Unit (USD/Unit)</v>
      </c>
    </row>
    <row r="810" spans="4:12" s="348" customFormat="1" ht="12.75" hidden="1" customHeight="1" outlineLevel="2" x14ac:dyDescent="0.2">
      <c r="D810" s="785" t="str">
        <f>Price_List_BA!D47</f>
        <v>_Not Applicable</v>
      </c>
      <c r="E810" s="786"/>
      <c r="F810" s="786"/>
      <c r="G810" s="786"/>
      <c r="L810" s="127">
        <f>Price_List_BA!L47</f>
        <v>0</v>
      </c>
    </row>
    <row r="811" spans="4:12" s="348" customFormat="1" ht="12.95" hidden="1" customHeight="1" outlineLevel="2" x14ac:dyDescent="0.2">
      <c r="D811" s="785" t="str">
        <f>Price_List_BA!D48</f>
        <v>Biomedical scientist (ZM)</v>
      </c>
      <c r="E811" s="786"/>
      <c r="F811" s="786"/>
      <c r="G811" s="786"/>
      <c r="L811" s="127">
        <f>Price_List_BA!L48</f>
        <v>9.6099869451697087E-2</v>
      </c>
    </row>
    <row r="812" spans="4:12" s="348" customFormat="1" ht="12.75" hidden="1" customHeight="1" outlineLevel="2" x14ac:dyDescent="0.2">
      <c r="D812" s="785" t="str">
        <f>Price_List_BA!D49</f>
        <v>Clinical officer  (ZM)</v>
      </c>
      <c r="E812" s="786"/>
      <c r="F812" s="786"/>
      <c r="G812" s="786"/>
      <c r="L812" s="127">
        <f>Price_List_BA!L49</f>
        <v>5.4314893385552607E-2</v>
      </c>
    </row>
    <row r="813" spans="4:12" s="348" customFormat="1" ht="12.75" hidden="1" customHeight="1" outlineLevel="2" x14ac:dyDescent="0.2">
      <c r="D813" s="785" t="str">
        <f>Price_List_BA!D50</f>
        <v>Consultant  (ZM)</v>
      </c>
      <c r="E813" s="786"/>
      <c r="F813" s="786"/>
      <c r="G813" s="786"/>
      <c r="L813" s="127">
        <f>Price_List_BA!L50</f>
        <v>0.39408430337975103</v>
      </c>
    </row>
    <row r="814" spans="4:12" s="348" customFormat="1" hidden="1" outlineLevel="2" x14ac:dyDescent="0.2">
      <c r="D814" s="785" t="str">
        <f>Price_List_BA!D51</f>
        <v>General Medical Doctor</v>
      </c>
      <c r="E814" s="786"/>
      <c r="F814" s="786"/>
      <c r="G814" s="786"/>
      <c r="L814" s="127">
        <f>Price_List_BA!L51</f>
        <v>0.3125</v>
      </c>
    </row>
    <row r="815" spans="4:12" s="348" customFormat="1" ht="12.75" hidden="1" customHeight="1" outlineLevel="2" x14ac:dyDescent="0.2">
      <c r="D815" s="785" t="str">
        <f>Price_List_BA!D52</f>
        <v>Junior Resident Medical officer  (ZM)</v>
      </c>
      <c r="E815" s="786"/>
      <c r="F815" s="786"/>
      <c r="G815" s="786"/>
      <c r="L815" s="127">
        <f>Price_List_BA!L52</f>
        <v>0.30300363087467391</v>
      </c>
    </row>
    <row r="816" spans="4:12" s="348" customFormat="1" ht="12.95" hidden="1" customHeight="1" outlineLevel="2" x14ac:dyDescent="0.2">
      <c r="D816" s="785" t="str">
        <f>Price_List_BA!D53</f>
        <v>Lab Scientist (ZM)</v>
      </c>
      <c r="E816" s="786"/>
      <c r="F816" s="786"/>
      <c r="G816" s="786"/>
      <c r="L816" s="127">
        <f>Price_List_BA!L53</f>
        <v>9.6099869451697087E-2</v>
      </c>
    </row>
    <row r="817" spans="4:12" s="348" customFormat="1" ht="12.75" hidden="1" customHeight="1" outlineLevel="2" x14ac:dyDescent="0.2">
      <c r="D817" s="785" t="str">
        <f>Price_List_BA!D54</f>
        <v>Lab Technician (ZM)</v>
      </c>
      <c r="E817" s="786"/>
      <c r="F817" s="786"/>
      <c r="G817" s="786"/>
      <c r="L817" s="127">
        <f>Price_List_BA!L54</f>
        <v>4.7519582245430833E-2</v>
      </c>
    </row>
    <row r="818" spans="4:12" s="348" customFormat="1" ht="12.75" hidden="1" customHeight="1" outlineLevel="2" x14ac:dyDescent="0.2">
      <c r="D818" s="785" t="str">
        <f>Price_List_BA!D55</f>
        <v>Lab Technologist (ZM)</v>
      </c>
      <c r="E818" s="786"/>
      <c r="F818" s="786"/>
      <c r="G818" s="786"/>
      <c r="L818" s="127">
        <f>Price_List_BA!L55</f>
        <v>5.4308093994778019E-2</v>
      </c>
    </row>
    <row r="819" spans="4:12" s="348" customFormat="1" ht="12.75" hidden="1" customHeight="1" outlineLevel="2" x14ac:dyDescent="0.2">
      <c r="D819" s="785" t="str">
        <f>Price_List_BA!D56</f>
        <v>Medical Physicist (ZM)</v>
      </c>
      <c r="E819" s="786"/>
      <c r="F819" s="786"/>
      <c r="G819" s="786"/>
      <c r="L819" s="127">
        <f>Price_List_BA!L56</f>
        <v>0.15991895126196667</v>
      </c>
    </row>
    <row r="820" spans="4:12" s="348" customFormat="1" ht="12.75" hidden="1" customHeight="1" outlineLevel="2" x14ac:dyDescent="0.2">
      <c r="D820" s="785" t="str">
        <f>Price_List_BA!D57</f>
        <v>Nursing Officer (ZM)</v>
      </c>
      <c r="E820" s="786"/>
      <c r="F820" s="786"/>
      <c r="G820" s="786"/>
      <c r="L820" s="127">
        <f>Price_List_BA!L57</f>
        <v>9.6099869451697087E-2</v>
      </c>
    </row>
    <row r="821" spans="4:12" s="348" customFormat="1" ht="12.75" hidden="1" customHeight="1" outlineLevel="2" x14ac:dyDescent="0.2">
      <c r="D821" s="785" t="str">
        <f>Price_List_BA!D58</f>
        <v>Pathologist (ZM)</v>
      </c>
      <c r="E821" s="786"/>
      <c r="F821" s="786"/>
      <c r="G821" s="786"/>
      <c r="L821" s="127">
        <f>Price_List_BA!L58</f>
        <v>0.39408430337975103</v>
      </c>
    </row>
    <row r="822" spans="4:12" s="348" customFormat="1" ht="12.75" hidden="1" customHeight="1" outlineLevel="2" x14ac:dyDescent="0.2">
      <c r="D822" s="785" t="str">
        <f>Price_List_BA!D59</f>
        <v>Pharmacy Technologist (ZM)</v>
      </c>
      <c r="E822" s="786"/>
      <c r="F822" s="786"/>
      <c r="G822" s="786"/>
      <c r="L822" s="127">
        <f>Price_List_BA!L59</f>
        <v>5.4312173629242816E-2</v>
      </c>
    </row>
    <row r="823" spans="4:12" s="348" customFormat="1" ht="12.75" hidden="1" customHeight="1" outlineLevel="2" x14ac:dyDescent="0.2">
      <c r="D823" s="785" t="str">
        <f>Price_List_BA!D60</f>
        <v>Principal Nursing Officer (ZM)</v>
      </c>
      <c r="E823" s="786"/>
      <c r="F823" s="786"/>
      <c r="G823" s="786"/>
      <c r="L823" s="127">
        <f>Price_List_BA!L60</f>
        <v>0.15919413620539585</v>
      </c>
    </row>
    <row r="824" spans="4:12" s="348" customFormat="1" ht="12.75" hidden="1" customHeight="1" outlineLevel="2" x14ac:dyDescent="0.2">
      <c r="D824" s="785" t="str">
        <f>Price_List_BA!D61</f>
        <v>Principal Pharmacist (ZM)</v>
      </c>
      <c r="E824" s="786"/>
      <c r="F824" s="786"/>
      <c r="G824" s="786"/>
      <c r="L824" s="127">
        <f>Price_List_BA!L61</f>
        <v>0.15919560940673019</v>
      </c>
    </row>
    <row r="825" spans="4:12" s="348" customFormat="1" ht="12.75" hidden="1" customHeight="1" outlineLevel="2" x14ac:dyDescent="0.2">
      <c r="D825" s="785" t="str">
        <f>Price_List_BA!D62</f>
        <v>Principal Radiographer (ZM)</v>
      </c>
      <c r="E825" s="786"/>
      <c r="F825" s="786"/>
      <c r="G825" s="786"/>
      <c r="L825" s="127">
        <f>Price_List_BA!L62</f>
        <v>0.15919855580939896</v>
      </c>
    </row>
    <row r="826" spans="4:12" s="348" customFormat="1" ht="12.95" hidden="1" customHeight="1" outlineLevel="2" x14ac:dyDescent="0.2">
      <c r="D826" s="785" t="str">
        <f>Price_List_BA!D63</f>
        <v>Principal Therapist - Radiation (ZM)</v>
      </c>
      <c r="E826" s="786"/>
      <c r="F826" s="786"/>
      <c r="G826" s="786"/>
      <c r="L826" s="127">
        <f>Price_List_BA!L63</f>
        <v>0.15919708260806459</v>
      </c>
    </row>
    <row r="827" spans="4:12" s="348" customFormat="1" ht="12.95" hidden="1" customHeight="1" outlineLevel="2" x14ac:dyDescent="0.2">
      <c r="D827" s="785" t="str">
        <f>Price_List_BA!D64</f>
        <v>Radiation Lab Scientist (ZM)</v>
      </c>
      <c r="E827" s="786"/>
      <c r="F827" s="786"/>
      <c r="G827" s="786"/>
      <c r="L827" s="127">
        <f>Price_List_BA!L64</f>
        <v>9.6099869451697087E-2</v>
      </c>
    </row>
    <row r="828" spans="4:12" s="348" customFormat="1" ht="12.95" hidden="1" customHeight="1" outlineLevel="2" x14ac:dyDescent="0.2">
      <c r="D828" s="785" t="str">
        <f>Price_List_BA!D65</f>
        <v>Radiation Protection Officer (ZM)</v>
      </c>
      <c r="E828" s="786"/>
      <c r="F828" s="786"/>
      <c r="G828" s="786"/>
      <c r="L828" s="127">
        <f>Price_List_BA!L65</f>
        <v>9.6099869451697087E-2</v>
      </c>
    </row>
    <row r="829" spans="4:12" s="348" customFormat="1" ht="12.95" hidden="1" customHeight="1" outlineLevel="2" x14ac:dyDescent="0.2">
      <c r="D829" s="785" t="str">
        <f>Price_List_BA!D66</f>
        <v>Radiographer (ZM)</v>
      </c>
      <c r="E829" s="786"/>
      <c r="F829" s="786"/>
      <c r="G829" s="786"/>
      <c r="L829" s="127">
        <f>Price_List_BA!L66</f>
        <v>9.6099869451697087E-2</v>
      </c>
    </row>
    <row r="830" spans="4:12" s="348" customFormat="1" ht="12.95" hidden="1" customHeight="1" outlineLevel="2" x14ac:dyDescent="0.2">
      <c r="D830" s="785" t="str">
        <f>Price_List_BA!D67</f>
        <v>Registered Nurse (ZM)</v>
      </c>
      <c r="E830" s="786"/>
      <c r="F830" s="786"/>
      <c r="G830" s="786"/>
      <c r="L830" s="127">
        <f>Price_List_BA!L67</f>
        <v>5.7114882506527402E-2</v>
      </c>
    </row>
    <row r="831" spans="4:12" s="348" customFormat="1" ht="12.75" hidden="1" customHeight="1" outlineLevel="2" x14ac:dyDescent="0.2">
      <c r="D831" s="785" t="str">
        <f>Price_List_BA!D68</f>
        <v>Senior Enrolled Nurse (ZM)</v>
      </c>
      <c r="E831" s="786"/>
      <c r="F831" s="786"/>
      <c r="G831" s="786"/>
      <c r="L831" s="127">
        <f>Price_List_BA!L68</f>
        <v>5.4313533507397704E-2</v>
      </c>
    </row>
    <row r="832" spans="4:12" s="348" customFormat="1" ht="12.75" hidden="1" customHeight="1" outlineLevel="2" x14ac:dyDescent="0.2">
      <c r="D832" s="785" t="str">
        <f>Price_List_BA!D69</f>
        <v>Senior Nursing Officer (ZM)</v>
      </c>
      <c r="E832" s="786"/>
      <c r="F832" s="786"/>
      <c r="G832" s="786"/>
      <c r="L832" s="127">
        <f>Price_List_BA!L69</f>
        <v>0.12206946257615311</v>
      </c>
    </row>
    <row r="833" spans="4:12" s="348" customFormat="1" ht="12.75" hidden="1" customHeight="1" outlineLevel="2" x14ac:dyDescent="0.2">
      <c r="D833" s="785" t="str">
        <f>Price_List_BA!D70</f>
        <v>Senior Radiation protection Officer (ZM)</v>
      </c>
      <c r="E833" s="786"/>
      <c r="F833" s="786"/>
      <c r="G833" s="786"/>
      <c r="L833" s="127">
        <f>Price_List_BA!L70</f>
        <v>0.12207093577748751</v>
      </c>
    </row>
    <row r="834" spans="4:12" s="348" customFormat="1" hidden="1" outlineLevel="2" x14ac:dyDescent="0.2">
      <c r="D834" s="785" t="str">
        <f>Price_List_BA!D71</f>
        <v>Senior Radiographer (ZM)</v>
      </c>
      <c r="E834" s="786"/>
      <c r="F834" s="786"/>
      <c r="G834" s="786"/>
      <c r="L834" s="127">
        <f>Price_List_BA!L71</f>
        <v>0.12207240897882186</v>
      </c>
    </row>
    <row r="835" spans="4:12" s="348" customFormat="1" hidden="1" outlineLevel="2" x14ac:dyDescent="0.2">
      <c r="D835" s="785" t="str">
        <f>Price_List_BA!D72</f>
        <v>Zambia Enrolled Nurse (ZEN) (ZM)</v>
      </c>
      <c r="E835" s="786"/>
      <c r="F835" s="786"/>
      <c r="G835" s="786"/>
      <c r="L835" s="127">
        <f>Price_List_BA!L72</f>
        <v>5.4309453872933025E-2</v>
      </c>
    </row>
    <row r="836" spans="4:12" s="348" customFormat="1" hidden="1" outlineLevel="2" x14ac:dyDescent="0.2">
      <c r="D836" s="785" t="str">
        <f>Price_List_BA!D73</f>
        <v>Personnel - Other Category 27</v>
      </c>
      <c r="E836" s="786"/>
      <c r="F836" s="786"/>
      <c r="G836" s="786"/>
      <c r="L836" s="127">
        <f>Price_List_BA!L73</f>
        <v>0</v>
      </c>
    </row>
    <row r="837" spans="4:12" s="348" customFormat="1" hidden="1" outlineLevel="2" x14ac:dyDescent="0.2">
      <c r="D837" s="785" t="str">
        <f>Price_List_BA!D74</f>
        <v>Personnel - Other Category 28</v>
      </c>
      <c r="E837" s="786"/>
      <c r="F837" s="786"/>
      <c r="G837" s="786"/>
      <c r="L837" s="127">
        <f>Price_List_BA!L74</f>
        <v>0</v>
      </c>
    </row>
    <row r="838" spans="4:12" s="348" customFormat="1" hidden="1" outlineLevel="2" x14ac:dyDescent="0.2">
      <c r="D838" s="785" t="str">
        <f>Price_List_BA!D75</f>
        <v>Personnel - Other Category 29</v>
      </c>
      <c r="E838" s="786"/>
      <c r="F838" s="786"/>
      <c r="G838" s="786"/>
      <c r="L838" s="127">
        <f>Price_List_BA!L75</f>
        <v>0</v>
      </c>
    </row>
    <row r="839" spans="4:12" s="348" customFormat="1" hidden="1" outlineLevel="2" x14ac:dyDescent="0.2">
      <c r="D839" s="785" t="str">
        <f>Price_List_BA!D76</f>
        <v>Personnel - Other Category 30</v>
      </c>
      <c r="E839" s="786"/>
      <c r="F839" s="786"/>
      <c r="G839" s="786"/>
      <c r="L839" s="127">
        <f>Price_List_BA!L76</f>
        <v>0</v>
      </c>
    </row>
    <row r="840" spans="4:12" s="348" customFormat="1" ht="12.95" hidden="1" customHeight="1" outlineLevel="2" x14ac:dyDescent="0.2">
      <c r="D840" s="785">
        <f>Price_List_BA!D77</f>
        <v>0</v>
      </c>
      <c r="E840" s="786"/>
      <c r="F840" s="786"/>
      <c r="G840" s="786"/>
      <c r="L840" s="127">
        <f>Price_List_BA!L77</f>
        <v>0</v>
      </c>
    </row>
    <row r="841" spans="4:12" s="348" customFormat="1" hidden="1" outlineLevel="2" x14ac:dyDescent="0.2"/>
    <row r="842" spans="4:12" s="348" customFormat="1" ht="25.5" hidden="1" outlineLevel="2" x14ac:dyDescent="0.2">
      <c r="D842" s="667" t="s">
        <v>316</v>
      </c>
      <c r="J842" s="671" t="s">
        <v>951</v>
      </c>
      <c r="L842" s="312" t="str">
        <f>"Cost per Unit ("&amp;$I$774&amp;"/Unit)"</f>
        <v>Cost per Unit (USD/Unit)</v>
      </c>
    </row>
    <row r="843" spans="4:12" s="348" customFormat="1" ht="12.95" hidden="1" customHeight="1" outlineLevel="2" x14ac:dyDescent="0.2">
      <c r="D843" s="785" t="str">
        <f>Price_List_BA!D210</f>
        <v>_Not Applicable</v>
      </c>
      <c r="E843" s="786"/>
      <c r="F843" s="786"/>
      <c r="G843" s="786"/>
      <c r="J843" s="668" t="str">
        <f>Price_List_BA!J210</f>
        <v>SU</v>
      </c>
      <c r="L843" s="127">
        <f>Price_List_BA!L210</f>
        <v>0</v>
      </c>
    </row>
    <row r="844" spans="4:12" s="348" customFormat="1" ht="12.95" hidden="1" customHeight="1" outlineLevel="2" x14ac:dyDescent="0.2">
      <c r="D844" s="785" t="str">
        <f>Price_List_BA!D211</f>
        <v>10 ml syringes with long 27-gauge needle (UG)</v>
      </c>
      <c r="E844" s="786"/>
      <c r="F844" s="786"/>
      <c r="G844" s="786"/>
      <c r="J844" s="668" t="str">
        <f>Price_List_BA!J211</f>
        <v>each</v>
      </c>
      <c r="L844" s="127">
        <f>Price_List_BA!L211</f>
        <v>0.18578</v>
      </c>
    </row>
    <row r="845" spans="4:12" s="348" customFormat="1" ht="12.95" hidden="1" customHeight="1" outlineLevel="2" x14ac:dyDescent="0.2">
      <c r="D845" s="785" t="str">
        <f>Price_List_BA!D212</f>
        <v>100% alcohol (UG)</v>
      </c>
      <c r="E845" s="786"/>
      <c r="F845" s="786"/>
      <c r="G845" s="786"/>
      <c r="J845" s="668" t="str">
        <f>Price_List_BA!J212</f>
        <v>mililiter</v>
      </c>
      <c r="L845" s="127">
        <f>Price_List_BA!L212</f>
        <v>1.9224106655010398E-2</v>
      </c>
    </row>
    <row r="846" spans="4:12" s="348" customFormat="1" ht="12.95" hidden="1" customHeight="1" outlineLevel="2" x14ac:dyDescent="0.2">
      <c r="D846" s="785" t="str">
        <f>Price_List_BA!D213</f>
        <v>100% Ethanol (UG)</v>
      </c>
      <c r="E846" s="786"/>
      <c r="F846" s="786"/>
      <c r="G846" s="786"/>
      <c r="J846" s="668" t="str">
        <f>Price_List_BA!J213</f>
        <v>mililiter</v>
      </c>
      <c r="L846" s="127">
        <f>Price_List_BA!L213</f>
        <v>1.9224106655010398E-2</v>
      </c>
    </row>
    <row r="847" spans="4:12" s="348" customFormat="1" ht="12.95" hidden="1" customHeight="1" outlineLevel="2" x14ac:dyDescent="0.2">
      <c r="D847" s="785" t="str">
        <f>Price_List_BA!D214</f>
        <v>5% acetic acid (UG)</v>
      </c>
      <c r="E847" s="786"/>
      <c r="F847" s="786"/>
      <c r="G847" s="786"/>
      <c r="J847" s="668" t="str">
        <f>Price_List_BA!J214</f>
        <v>mililiter</v>
      </c>
      <c r="L847" s="127">
        <f>Price_List_BA!L214</f>
        <v>1.52988744399519E-2</v>
      </c>
    </row>
    <row r="848" spans="4:12" s="348" customFormat="1" ht="12.95" hidden="1" customHeight="1" outlineLevel="2" x14ac:dyDescent="0.2">
      <c r="D848" s="785" t="str">
        <f>Price_List_BA!D215</f>
        <v>Acetic acid (UG)</v>
      </c>
      <c r="E848" s="786"/>
      <c r="F848" s="786"/>
      <c r="G848" s="786"/>
      <c r="J848" s="668" t="str">
        <f>Price_List_BA!J215</f>
        <v>mililiter</v>
      </c>
      <c r="L848" s="127">
        <f>Price_List_BA!L215</f>
        <v>1.47739525734892E-2</v>
      </c>
    </row>
    <row r="849" spans="4:12" s="348" customFormat="1" ht="12.95" hidden="1" customHeight="1" outlineLevel="2" x14ac:dyDescent="0.2">
      <c r="D849" s="785" t="str">
        <f>Price_List_BA!D216</f>
        <v>Acetic acid, 3–5% dilution (ZM)</v>
      </c>
      <c r="E849" s="786"/>
      <c r="F849" s="786"/>
      <c r="G849" s="786"/>
      <c r="J849" s="668" t="str">
        <f>Price_List_BA!J216</f>
        <v>centilitre</v>
      </c>
      <c r="L849" s="127">
        <f>Price_List_BA!L216</f>
        <v>3.4000000000000002E-2</v>
      </c>
    </row>
    <row r="850" spans="4:12" s="348" customFormat="1" ht="12.95" hidden="1" customHeight="1" outlineLevel="2" x14ac:dyDescent="0.2">
      <c r="D850" s="785" t="str">
        <f>Price_List_BA!D217</f>
        <v>Acetic acid, 3–5% dilution (TZ)</v>
      </c>
      <c r="E850" s="786"/>
      <c r="F850" s="786"/>
      <c r="G850" s="786"/>
      <c r="J850" s="668" t="str">
        <f>Price_List_BA!J217</f>
        <v>centilitre</v>
      </c>
      <c r="L850" s="127">
        <f>Price_List_BA!L217</f>
        <v>3.5000000000000003E-2</v>
      </c>
    </row>
    <row r="851" spans="4:12" s="348" customFormat="1" ht="12.95" hidden="1" customHeight="1" outlineLevel="2" x14ac:dyDescent="0.2">
      <c r="D851" s="785" t="str">
        <f>Price_List_BA!D218</f>
        <v>Alcohol, 60-90% isopropyl or ethyl (TZ)</v>
      </c>
      <c r="E851" s="786"/>
      <c r="F851" s="786"/>
      <c r="G851" s="786"/>
      <c r="J851" s="668" t="str">
        <f>Price_List_BA!J218</f>
        <v>centilitre</v>
      </c>
      <c r="L851" s="127">
        <f>Price_List_BA!L218</f>
        <v>8.2500000000000004E-2</v>
      </c>
    </row>
    <row r="852" spans="4:12" s="348" customFormat="1" ht="12.95" hidden="1" customHeight="1" outlineLevel="2" x14ac:dyDescent="0.2">
      <c r="D852" s="785" t="str">
        <f>Price_List_BA!D219</f>
        <v>Alcohol, 60-90% isopropyl or ethyl 95% (ZM)</v>
      </c>
      <c r="E852" s="786"/>
      <c r="F852" s="786"/>
      <c r="G852" s="786"/>
      <c r="J852" s="668" t="str">
        <f>Price_List_BA!J219</f>
        <v>centilitre</v>
      </c>
      <c r="L852" s="127">
        <f>Price_List_BA!L219</f>
        <v>4.4125300000000006E-2</v>
      </c>
    </row>
    <row r="853" spans="4:12" s="348" customFormat="1" ht="12.95" hidden="1" customHeight="1" outlineLevel="2" x14ac:dyDescent="0.2">
      <c r="D853" s="785" t="str">
        <f>Price_List_BA!D220</f>
        <v>Amitriptyline hydrochloride( 25mg) (ZM)</v>
      </c>
      <c r="E853" s="786"/>
      <c r="F853" s="786"/>
      <c r="G853" s="786"/>
      <c r="J853" s="668" t="str">
        <f>Price_List_BA!J220</f>
        <v>25 mg</v>
      </c>
      <c r="L853" s="127">
        <f>Price_List_BA!L220</f>
        <v>7.3106999999999998E-3</v>
      </c>
    </row>
    <row r="854" spans="4:12" s="348" customFormat="1" ht="12.95" hidden="1" customHeight="1" outlineLevel="2" x14ac:dyDescent="0.2">
      <c r="D854" s="785" t="str">
        <f>Price_List_BA!D221</f>
        <v>Amitriptyline hydrochloride( 25mg) (TZ)</v>
      </c>
      <c r="E854" s="786"/>
      <c r="F854" s="786"/>
      <c r="G854" s="786"/>
      <c r="J854" s="668" t="str">
        <f>Price_List_BA!J221</f>
        <v>each</v>
      </c>
      <c r="L854" s="127">
        <f>Price_List_BA!L221</f>
        <v>1.8749999999999999E-3</v>
      </c>
    </row>
    <row r="855" spans="4:12" s="348" customFormat="1" ht="12.95" hidden="1" customHeight="1" outlineLevel="2" x14ac:dyDescent="0.2">
      <c r="D855" s="785" t="str">
        <f>Price_List_BA!D222</f>
        <v>Anticeptic solution (UG)</v>
      </c>
      <c r="E855" s="786"/>
      <c r="F855" s="786"/>
      <c r="G855" s="786"/>
      <c r="J855" s="668" t="str">
        <f>Price_List_BA!J222</f>
        <v>mililiter</v>
      </c>
      <c r="L855" s="127">
        <f>Price_List_BA!L222</f>
        <v>1.9869626497533474E-2</v>
      </c>
    </row>
    <row r="856" spans="4:12" s="348" customFormat="1" ht="12.95" hidden="1" customHeight="1" outlineLevel="2" x14ac:dyDescent="0.2">
      <c r="D856" s="785" t="str">
        <f>Price_List_BA!D223</f>
        <v>Arithromycin (250g) (ZM)</v>
      </c>
      <c r="E856" s="786"/>
      <c r="F856" s="786"/>
      <c r="G856" s="786"/>
      <c r="J856" s="668" t="str">
        <f>Price_List_BA!J223</f>
        <v>tablet</v>
      </c>
      <c r="L856" s="127">
        <f>Price_List_BA!L223</f>
        <v>1.0514359999999998</v>
      </c>
    </row>
    <row r="857" spans="4:12" s="348" customFormat="1" ht="12.95" hidden="1" customHeight="1" outlineLevel="2" x14ac:dyDescent="0.2">
      <c r="D857" s="785" t="str">
        <f>Price_List_BA!D224</f>
        <v>Arithromycin (250g) (UG)</v>
      </c>
      <c r="E857" s="786"/>
      <c r="F857" s="786"/>
      <c r="G857" s="786"/>
      <c r="J857" s="668" t="str">
        <f>Price_List_BA!J224</f>
        <v>tablet</v>
      </c>
      <c r="L857" s="127">
        <f>Price_List_BA!L224</f>
        <v>3.8652518850398859E-2</v>
      </c>
    </row>
    <row r="858" spans="4:12" s="348" customFormat="1" ht="12.95" hidden="1" customHeight="1" outlineLevel="2" x14ac:dyDescent="0.2">
      <c r="D858" s="785" t="str">
        <f>Price_List_BA!D225</f>
        <v>Arithromycin (5g) (UG)</v>
      </c>
      <c r="E858" s="786"/>
      <c r="F858" s="786"/>
      <c r="G858" s="786"/>
      <c r="J858" s="668" t="str">
        <f>Price_List_BA!J225</f>
        <v>tablet</v>
      </c>
      <c r="L858" s="127">
        <f>Price_List_BA!L225</f>
        <v>0.77305037700797719</v>
      </c>
    </row>
    <row r="859" spans="4:12" s="348" customFormat="1" ht="12.95" hidden="1" customHeight="1" outlineLevel="2" x14ac:dyDescent="0.2">
      <c r="D859" s="785" t="str">
        <f>Price_List_BA!D226</f>
        <v>Atropine (ZM)</v>
      </c>
      <c r="E859" s="786"/>
      <c r="F859" s="786"/>
      <c r="G859" s="786"/>
      <c r="J859" s="668" t="str">
        <f>Price_List_BA!J226</f>
        <v>SU</v>
      </c>
      <c r="L859" s="127">
        <f>Price_List_BA!L226</f>
        <v>0</v>
      </c>
    </row>
    <row r="860" spans="4:12" s="348" customFormat="1" ht="12.95" hidden="1" customHeight="1" outlineLevel="2" x14ac:dyDescent="0.2">
      <c r="D860" s="785" t="str">
        <f>Price_List_BA!D227</f>
        <v>Ball electrode (UG)</v>
      </c>
      <c r="E860" s="786"/>
      <c r="F860" s="786"/>
      <c r="G860" s="786"/>
      <c r="J860" s="668" t="str">
        <f>Price_List_BA!J227</f>
        <v>each</v>
      </c>
      <c r="L860" s="127">
        <f>Price_List_BA!L227</f>
        <v>9</v>
      </c>
    </row>
    <row r="861" spans="4:12" s="348" customFormat="1" ht="12.95" hidden="1" customHeight="1" outlineLevel="2" x14ac:dyDescent="0.2">
      <c r="D861" s="785" t="str">
        <f>Price_List_BA!D228</f>
        <v>Bed linen sheet (100 uses) (ZM)</v>
      </c>
      <c r="E861" s="786"/>
      <c r="F861" s="786"/>
      <c r="G861" s="786"/>
      <c r="J861" s="668" t="str">
        <f>Price_List_BA!J228</f>
        <v>sheet use</v>
      </c>
      <c r="L861" s="127">
        <f>Price_List_BA!L228</f>
        <v>4.3299999999999998E-2</v>
      </c>
    </row>
    <row r="862" spans="4:12" s="348" customFormat="1" ht="12.95" hidden="1" customHeight="1" outlineLevel="2" x14ac:dyDescent="0.2">
      <c r="D862" s="785" t="str">
        <f>Price_List_BA!D229</f>
        <v>Bed linen sheet (TZ)</v>
      </c>
      <c r="E862" s="786"/>
      <c r="F862" s="786"/>
      <c r="G862" s="786"/>
      <c r="J862" s="668" t="str">
        <f>Price_List_BA!J229</f>
        <v>1 use</v>
      </c>
      <c r="L862" s="127">
        <f>Price_List_BA!L229</f>
        <v>6.25E-2</v>
      </c>
    </row>
    <row r="863" spans="4:12" s="348" customFormat="1" ht="12.95" hidden="1" customHeight="1" outlineLevel="2" x14ac:dyDescent="0.2">
      <c r="D863" s="785" t="str">
        <f>Price_List_BA!D230</f>
        <v>Bin Liner (ZM)</v>
      </c>
      <c r="E863" s="786"/>
      <c r="F863" s="786"/>
      <c r="G863" s="786"/>
      <c r="J863" s="668" t="str">
        <f>Price_List_BA!J230</f>
        <v>liner</v>
      </c>
      <c r="L863" s="127">
        <f>Price_List_BA!L230</f>
        <v>0.234987</v>
      </c>
    </row>
    <row r="864" spans="4:12" s="348" customFormat="1" ht="12.95" hidden="1" customHeight="1" outlineLevel="2" x14ac:dyDescent="0.2">
      <c r="D864" s="785" t="str">
        <f>Price_List_BA!D231</f>
        <v>Bleach (JIK)</v>
      </c>
      <c r="E864" s="786"/>
      <c r="F864" s="786"/>
      <c r="G864" s="786"/>
      <c r="J864" s="668" t="str">
        <f>Price_List_BA!J231</f>
        <v>mililiter</v>
      </c>
      <c r="L864" s="127">
        <f>Price_List_BA!L231</f>
        <v>2.2666666666666664E-3</v>
      </c>
    </row>
    <row r="865" spans="4:12" s="348" customFormat="1" ht="12.95" hidden="1" customHeight="1" outlineLevel="2" x14ac:dyDescent="0.2">
      <c r="D865" s="785" t="str">
        <f>Price_List_BA!D232</f>
        <v>Bleach (UG)</v>
      </c>
      <c r="E865" s="786"/>
      <c r="F865" s="786"/>
      <c r="G865" s="786"/>
      <c r="J865" s="668" t="str">
        <f>Price_List_BA!J232</f>
        <v>mililiter</v>
      </c>
      <c r="L865" s="127">
        <f>Price_List_BA!L232</f>
        <v>1.5735985138236267E-3</v>
      </c>
    </row>
    <row r="866" spans="4:12" s="348" customFormat="1" ht="12.95" hidden="1" customHeight="1" outlineLevel="2" x14ac:dyDescent="0.2">
      <c r="D866" s="785" t="str">
        <f>Price_List_BA!D233</f>
        <v>careHPV DCM tube (UG)</v>
      </c>
      <c r="E866" s="786"/>
      <c r="F866" s="786"/>
      <c r="G866" s="786"/>
      <c r="J866" s="668" t="str">
        <f>Price_List_BA!J233</f>
        <v>tube</v>
      </c>
      <c r="L866" s="127">
        <f>Price_List_BA!L233</f>
        <v>0.22799999999999998</v>
      </c>
    </row>
    <row r="867" spans="4:12" s="348" customFormat="1" ht="12.95" hidden="1" customHeight="1" outlineLevel="2" x14ac:dyDescent="0.2">
      <c r="D867" s="785" t="str">
        <f>Price_List_BA!D234</f>
        <v>Catheter -Urine (TZ)</v>
      </c>
      <c r="E867" s="786"/>
      <c r="F867" s="786"/>
      <c r="G867" s="786"/>
      <c r="J867" s="668" t="str">
        <f>Price_List_BA!J234</f>
        <v>1 catheter set</v>
      </c>
      <c r="L867" s="127">
        <f>Price_List_BA!L234</f>
        <v>0.875</v>
      </c>
    </row>
    <row r="868" spans="4:12" s="348" customFormat="1" ht="12.95" hidden="1" customHeight="1" outlineLevel="2" x14ac:dyDescent="0.2">
      <c r="D868" s="785" t="str">
        <f>Price_List_BA!D235</f>
        <v>Cervical brush (UG)</v>
      </c>
      <c r="E868" s="786"/>
      <c r="F868" s="786"/>
      <c r="G868" s="786"/>
      <c r="J868" s="668" t="str">
        <f>Price_List_BA!J235</f>
        <v>brush</v>
      </c>
      <c r="L868" s="127">
        <f>Price_List_BA!L235</f>
        <v>1.1399999999999999E-2</v>
      </c>
    </row>
    <row r="869" spans="4:12" s="348" customFormat="1" ht="12.95" hidden="1" customHeight="1" outlineLevel="2" x14ac:dyDescent="0.2">
      <c r="D869" s="785" t="str">
        <f>Price_List_BA!D236</f>
        <v>Chlorine 0.5% (Jik-diluted) (ZM)</v>
      </c>
      <c r="E869" s="786"/>
      <c r="F869" s="786"/>
      <c r="G869" s="786"/>
      <c r="J869" s="668" t="str">
        <f>Price_List_BA!J236</f>
        <v>mililiter</v>
      </c>
      <c r="L869" s="127">
        <f>Price_List_BA!L236</f>
        <v>4.5999999999999999E-3</v>
      </c>
    </row>
    <row r="870" spans="4:12" s="348" customFormat="1" ht="12.95" hidden="1" customHeight="1" outlineLevel="2" x14ac:dyDescent="0.2">
      <c r="D870" s="785" t="str">
        <f>Price_List_BA!D237</f>
        <v>Chlorine 0.5% (Jik-diluted)  (TZ)</v>
      </c>
      <c r="E870" s="786"/>
      <c r="F870" s="786"/>
      <c r="G870" s="786"/>
      <c r="J870" s="668" t="str">
        <f>Price_List_BA!J237</f>
        <v>centilitre</v>
      </c>
      <c r="L870" s="127">
        <f>Price_List_BA!L237</f>
        <v>1.375E-2</v>
      </c>
    </row>
    <row r="871" spans="4:12" s="348" customFormat="1" ht="12.95" hidden="1" customHeight="1" outlineLevel="2" x14ac:dyDescent="0.2">
      <c r="D871" s="785" t="str">
        <f>Price_List_BA!D238</f>
        <v>Cidex (2-4% glutaraldehyde) (ZM)</v>
      </c>
      <c r="E871" s="786"/>
      <c r="F871" s="786"/>
      <c r="G871" s="786"/>
      <c r="J871" s="668" t="str">
        <f>Price_List_BA!J238</f>
        <v>mililiter</v>
      </c>
      <c r="L871" s="127">
        <f>Price_List_BA!L238</f>
        <v>1.9321200000000001E-3</v>
      </c>
    </row>
    <row r="872" spans="4:12" s="348" customFormat="1" ht="12.95" hidden="1" customHeight="1" outlineLevel="2" x14ac:dyDescent="0.2">
      <c r="D872" s="785" t="str">
        <f>Price_List_BA!D239</f>
        <v>Cidex (2-4% glutaraldehyde) (TZ)</v>
      </c>
      <c r="E872" s="786"/>
      <c r="F872" s="786"/>
      <c r="G872" s="786"/>
      <c r="J872" s="668" t="str">
        <f>Price_List_BA!J239</f>
        <v>centilitre</v>
      </c>
      <c r="L872" s="127">
        <f>Price_List_BA!L239</f>
        <v>0.140625</v>
      </c>
    </row>
    <row r="873" spans="4:12" s="348" customFormat="1" ht="12.95" hidden="1" customHeight="1" outlineLevel="2" x14ac:dyDescent="0.2">
      <c r="D873" s="785" t="str">
        <f>Price_List_BA!D240</f>
        <v>Ciprofloxacin (500mg) (UG)</v>
      </c>
      <c r="E873" s="786"/>
      <c r="F873" s="786"/>
      <c r="G873" s="786"/>
      <c r="J873" s="668" t="str">
        <f>Price_List_BA!J240</f>
        <v>tablet</v>
      </c>
      <c r="L873" s="127">
        <f>Price_List_BA!L240</f>
        <v>3.4291683968965141E-2</v>
      </c>
    </row>
    <row r="874" spans="4:12" s="348" customFormat="1" ht="12.95" hidden="1" customHeight="1" outlineLevel="2" x14ac:dyDescent="0.2">
      <c r="D874" s="785" t="str">
        <f>Price_List_BA!D241</f>
        <v>Ciprofloxacin (500mg) 250MG (ZM)</v>
      </c>
      <c r="E874" s="786"/>
      <c r="F874" s="786"/>
      <c r="G874" s="786"/>
      <c r="J874" s="668" t="str">
        <f>Price_List_BA!J241</f>
        <v>tablet</v>
      </c>
      <c r="L874" s="127">
        <f>Price_List_BA!L241</f>
        <v>4.9088000000000005E-3</v>
      </c>
    </row>
    <row r="875" spans="4:12" s="348" customFormat="1" ht="12.95" hidden="1" customHeight="1" outlineLevel="2" x14ac:dyDescent="0.2">
      <c r="D875" s="785" t="str">
        <f>Price_List_BA!D242</f>
        <v>Cisplatin (50 mg) (ZM)</v>
      </c>
      <c r="E875" s="786"/>
      <c r="F875" s="786"/>
      <c r="G875" s="786"/>
      <c r="J875" s="668" t="str">
        <f>Price_List_BA!J242</f>
        <v>vial</v>
      </c>
      <c r="L875" s="127">
        <f>Price_List_BA!L242</f>
        <v>14</v>
      </c>
    </row>
    <row r="876" spans="4:12" s="348" customFormat="1" ht="12.95" hidden="1" customHeight="1" outlineLevel="2" x14ac:dyDescent="0.2">
      <c r="D876" s="785" t="str">
        <f>Price_List_BA!D243</f>
        <v>Cisplatin (50 mg) (TZ)</v>
      </c>
      <c r="E876" s="786"/>
      <c r="F876" s="786"/>
      <c r="G876" s="786"/>
      <c r="J876" s="668" t="str">
        <f>Price_List_BA!J243</f>
        <v>50 mg vial</v>
      </c>
      <c r="L876" s="127">
        <f>Price_List_BA!L243</f>
        <v>15.63</v>
      </c>
    </row>
    <row r="877" spans="4:12" s="348" customFormat="1" ht="12.95" hidden="1" customHeight="1" outlineLevel="2" x14ac:dyDescent="0.2">
      <c r="D877" s="785" t="str">
        <f>Price_List_BA!D244</f>
        <v>Citokit (UG)</v>
      </c>
      <c r="E877" s="786"/>
      <c r="F877" s="786"/>
      <c r="G877" s="786"/>
      <c r="J877" s="668" t="str">
        <f>Price_List_BA!J244</f>
        <v>kit</v>
      </c>
      <c r="L877" s="127">
        <f>Price_List_BA!L244</f>
        <v>2.0981313517648346</v>
      </c>
    </row>
    <row r="878" spans="4:12" s="348" customFormat="1" ht="12.95" hidden="1" customHeight="1" outlineLevel="2" x14ac:dyDescent="0.2">
      <c r="D878" s="785" t="str">
        <f>Price_List_BA!D245</f>
        <v>Colostomy Bag (TZ)</v>
      </c>
      <c r="E878" s="786"/>
      <c r="F878" s="786"/>
      <c r="G878" s="786"/>
      <c r="J878" s="668" t="str">
        <f>Price_List_BA!J245</f>
        <v>each</v>
      </c>
      <c r="L878" s="127">
        <f>Price_List_BA!L245</f>
        <v>2.5</v>
      </c>
    </row>
    <row r="879" spans="4:12" s="348" customFormat="1" ht="12.75" hidden="1" customHeight="1" outlineLevel="2" x14ac:dyDescent="0.2">
      <c r="D879" s="785" t="str">
        <f>Price_List_BA!D246</f>
        <v>Condom  (TZ)</v>
      </c>
      <c r="E879" s="786"/>
      <c r="F879" s="786"/>
      <c r="G879" s="786"/>
      <c r="J879" s="668" t="str">
        <f>Price_List_BA!J246</f>
        <v>each</v>
      </c>
      <c r="L879" s="127">
        <f>Price_List_BA!L246</f>
        <v>0.3125</v>
      </c>
    </row>
    <row r="880" spans="4:12" s="348" customFormat="1" ht="12.75" hidden="1" customHeight="1" outlineLevel="2" x14ac:dyDescent="0.2">
      <c r="D880" s="785" t="str">
        <f>Price_List_BA!D247</f>
        <v>Condom MALE (ZM)</v>
      </c>
      <c r="E880" s="786"/>
      <c r="F880" s="786"/>
      <c r="G880" s="786"/>
      <c r="J880" s="668" t="str">
        <f>Price_List_BA!J247</f>
        <v>each</v>
      </c>
      <c r="L880" s="127">
        <f>Price_List_BA!L247</f>
        <v>1.2946041666666666E-2</v>
      </c>
    </row>
    <row r="881" spans="4:12" s="348" customFormat="1" ht="12.75" hidden="1" customHeight="1" outlineLevel="2" x14ac:dyDescent="0.2">
      <c r="D881" s="785" t="str">
        <f>Price_List_BA!D248</f>
        <v>Cotton swab (ZM)</v>
      </c>
      <c r="E881" s="786"/>
      <c r="F881" s="786"/>
      <c r="G881" s="786"/>
      <c r="J881" s="668" t="str">
        <f>Price_List_BA!J248</f>
        <v>swab</v>
      </c>
      <c r="L881" s="127">
        <f>Price_List_BA!L248</f>
        <v>1.0200000000000001E-2</v>
      </c>
    </row>
    <row r="882" spans="4:12" s="348" customFormat="1" ht="12.75" hidden="1" customHeight="1" outlineLevel="2" x14ac:dyDescent="0.2">
      <c r="D882" s="785" t="str">
        <f>Price_List_BA!D249</f>
        <v>Cotton swab (TZ)</v>
      </c>
      <c r="E882" s="786"/>
      <c r="F882" s="786"/>
      <c r="G882" s="786"/>
      <c r="J882" s="668" t="str">
        <f>Price_List_BA!J249</f>
        <v>each</v>
      </c>
      <c r="L882" s="127">
        <f>Price_List_BA!L249</f>
        <v>2.75E-2</v>
      </c>
    </row>
    <row r="883" spans="4:12" s="348" customFormat="1" ht="12.75" hidden="1" customHeight="1" outlineLevel="2" x14ac:dyDescent="0.2">
      <c r="D883" s="785" t="str">
        <f>Price_List_BA!D250</f>
        <v>Cotton swabs (UG)</v>
      </c>
      <c r="E883" s="786"/>
      <c r="F883" s="786"/>
      <c r="G883" s="786"/>
      <c r="J883" s="668" t="str">
        <f>Price_List_BA!J250</f>
        <v>swab</v>
      </c>
      <c r="L883" s="127">
        <f>Price_List_BA!L250</f>
        <v>6.9238334608239596E-3</v>
      </c>
    </row>
    <row r="884" spans="4:12" s="348" customFormat="1" ht="12.75" hidden="1" customHeight="1" outlineLevel="2" x14ac:dyDescent="0.2">
      <c r="D884" s="785" t="str">
        <f>Price_List_BA!D251</f>
        <v>Cotton Wool, roll, non-sterile (ZM)</v>
      </c>
      <c r="E884" s="786"/>
      <c r="F884" s="786"/>
      <c r="G884" s="786"/>
      <c r="J884" s="668" t="str">
        <f>Price_List_BA!J251</f>
        <v>1/100 roll</v>
      </c>
      <c r="L884" s="127">
        <f>Price_List_BA!L251</f>
        <v>7.1200000000000005E-3</v>
      </c>
    </row>
    <row r="885" spans="4:12" s="348" customFormat="1" ht="12.75" hidden="1" customHeight="1" outlineLevel="2" x14ac:dyDescent="0.2">
      <c r="D885" s="785" t="str">
        <f>Price_List_BA!D252</f>
        <v>Cotton Wool, roll, non-sterile (TZ)</v>
      </c>
      <c r="E885" s="786"/>
      <c r="F885" s="786"/>
      <c r="G885" s="786"/>
      <c r="J885" s="668" t="str">
        <f>Price_List_BA!J252</f>
        <v>1 gram</v>
      </c>
      <c r="L885" s="127">
        <f>Price_List_BA!L252</f>
        <v>3.0000000000000001E-3</v>
      </c>
    </row>
    <row r="886" spans="4:12" s="348" customFormat="1" ht="12.75" hidden="1" customHeight="1" outlineLevel="2" x14ac:dyDescent="0.2">
      <c r="D886" s="785" t="str">
        <f>Price_List_BA!D253</f>
        <v xml:space="preserve">Dexamethasone (ZM) </v>
      </c>
      <c r="E886" s="786"/>
      <c r="F886" s="786"/>
      <c r="G886" s="786"/>
      <c r="J886" s="668" t="str">
        <f>Price_List_BA!J253</f>
        <v>4mg</v>
      </c>
      <c r="L886" s="127">
        <f>Price_List_BA!L253</f>
        <v>0.25</v>
      </c>
    </row>
    <row r="887" spans="4:12" s="348" customFormat="1" ht="12.75" hidden="1" customHeight="1" outlineLevel="2" x14ac:dyDescent="0.2">
      <c r="D887" s="785" t="str">
        <f>Price_List_BA!D254</f>
        <v>Diclofenac (50mg) (ZM)</v>
      </c>
      <c r="E887" s="786"/>
      <c r="F887" s="786"/>
      <c r="G887" s="786"/>
      <c r="J887" s="668" t="str">
        <f>Price_List_BA!J254</f>
        <v>tablet</v>
      </c>
      <c r="L887" s="127">
        <f>Price_List_BA!L254</f>
        <v>3.3939999999999999E-3</v>
      </c>
    </row>
    <row r="888" spans="4:12" s="348" customFormat="1" ht="12.75" hidden="1" customHeight="1" outlineLevel="2" x14ac:dyDescent="0.2">
      <c r="D888" s="785" t="str">
        <f>Price_List_BA!D255</f>
        <v>Diclofenac (50mg) (TZ)</v>
      </c>
      <c r="E888" s="786"/>
      <c r="F888" s="786"/>
      <c r="G888" s="786"/>
      <c r="J888" s="668" t="str">
        <f>Price_List_BA!J255</f>
        <v>tablet</v>
      </c>
      <c r="L888" s="127">
        <f>Price_List_BA!L255</f>
        <v>1.5625</v>
      </c>
    </row>
    <row r="889" spans="4:12" s="348" customFormat="1" ht="12.75" hidden="1" customHeight="1" outlineLevel="2" x14ac:dyDescent="0.2">
      <c r="D889" s="785" t="str">
        <f>Price_List_BA!D256</f>
        <v>Distilled water (ZM)</v>
      </c>
      <c r="E889" s="786"/>
      <c r="F889" s="786"/>
      <c r="G889" s="786"/>
      <c r="J889" s="668" t="str">
        <f>Price_List_BA!J256</f>
        <v>mililiter</v>
      </c>
      <c r="L889" s="127">
        <f>Price_List_BA!L256</f>
        <v>2.3199999999999997E-4</v>
      </c>
    </row>
    <row r="890" spans="4:12" s="348" customFormat="1" ht="12.75" hidden="1" customHeight="1" outlineLevel="2" x14ac:dyDescent="0.2">
      <c r="D890" s="785" t="str">
        <f>Price_List_BA!D257</f>
        <v>Distilled water (UG)</v>
      </c>
      <c r="E890" s="786"/>
      <c r="F890" s="786"/>
      <c r="G890" s="786"/>
      <c r="J890" s="668" t="str">
        <f>Price_List_BA!J257</f>
        <v>mililiter</v>
      </c>
      <c r="L890" s="127">
        <f>Price_List_BA!L257</f>
        <v>2.3680472079554149E-4</v>
      </c>
    </row>
    <row r="891" spans="4:12" s="348" customFormat="1" ht="12.75" hidden="1" customHeight="1" outlineLevel="2" x14ac:dyDescent="0.2">
      <c r="D891" s="785" t="str">
        <f>Price_List_BA!D258</f>
        <v>Dulcolax (10mg) (ZM)</v>
      </c>
      <c r="E891" s="786"/>
      <c r="F891" s="786"/>
      <c r="G891" s="786"/>
      <c r="J891" s="668" t="str">
        <f>Price_List_BA!J258</f>
        <v>tablet</v>
      </c>
      <c r="L891" s="127">
        <f>Price_List_BA!L258</f>
        <v>0.1</v>
      </c>
    </row>
    <row r="892" spans="4:12" s="348" customFormat="1" ht="12.75" hidden="1" customHeight="1" outlineLevel="2" x14ac:dyDescent="0.2">
      <c r="D892" s="785" t="str">
        <f>Price_List_BA!D259</f>
        <v>Dulcolax (10mg) (TZ)</v>
      </c>
      <c r="E892" s="786"/>
      <c r="F892" s="786"/>
      <c r="G892" s="786"/>
      <c r="J892" s="668" t="str">
        <f>Price_List_BA!J259</f>
        <v>tablet</v>
      </c>
      <c r="L892" s="127">
        <f>Price_List_BA!L259</f>
        <v>0.625</v>
      </c>
    </row>
    <row r="893" spans="4:12" s="348" customFormat="1" ht="12.75" hidden="1" customHeight="1" outlineLevel="2" x14ac:dyDescent="0.2">
      <c r="D893" s="785" t="str">
        <f>Price_List_BA!D260</f>
        <v>Emend (ZM)</v>
      </c>
      <c r="E893" s="786"/>
      <c r="F893" s="786"/>
      <c r="G893" s="786"/>
      <c r="J893" s="668" t="str">
        <f>Price_List_BA!J260</f>
        <v>SU</v>
      </c>
      <c r="L893" s="127">
        <f>Price_List_BA!L260</f>
        <v>0</v>
      </c>
    </row>
    <row r="894" spans="4:12" s="348" customFormat="1" ht="12.75" hidden="1" customHeight="1" outlineLevel="2" x14ac:dyDescent="0.2">
      <c r="D894" s="785" t="str">
        <f>Price_List_BA!D261</f>
        <v>Formalin (UG)</v>
      </c>
      <c r="E894" s="786"/>
      <c r="F894" s="786"/>
      <c r="G894" s="786"/>
      <c r="J894" s="668" t="str">
        <f>Price_List_BA!J261</f>
        <v>mililiter</v>
      </c>
      <c r="L894" s="127">
        <f>Price_List_BA!L261</f>
        <v>6.5566604742651096E-3</v>
      </c>
    </row>
    <row r="895" spans="4:12" s="348" customFormat="1" ht="12.75" hidden="1" customHeight="1" outlineLevel="2" x14ac:dyDescent="0.2">
      <c r="D895" s="785" t="str">
        <f>Price_List_BA!D262</f>
        <v>Formalin AR 40% (ZM)</v>
      </c>
      <c r="E895" s="786"/>
      <c r="F895" s="786"/>
      <c r="G895" s="786"/>
      <c r="J895" s="668" t="str">
        <f>Price_List_BA!J262</f>
        <v>mililiter</v>
      </c>
      <c r="L895" s="127">
        <f>Price_List_BA!L262</f>
        <v>0.34903395999999998</v>
      </c>
    </row>
    <row r="896" spans="4:12" s="348" customFormat="1" ht="12.75" hidden="1" customHeight="1" outlineLevel="2" x14ac:dyDescent="0.2">
      <c r="D896" s="785" t="str">
        <f>Price_List_BA!D263</f>
        <v>Formalin AR 40% (TZ)</v>
      </c>
      <c r="E896" s="786"/>
      <c r="F896" s="786"/>
      <c r="G896" s="786"/>
      <c r="J896" s="668" t="str">
        <f>Price_List_BA!J263</f>
        <v>centilitre</v>
      </c>
      <c r="L896" s="127">
        <f>Price_List_BA!L263</f>
        <v>0.03</v>
      </c>
    </row>
    <row r="897" spans="4:12" s="348" customFormat="1" ht="12.75" hidden="1" customHeight="1" outlineLevel="2" x14ac:dyDescent="0.2">
      <c r="D897" s="785" t="str">
        <f>Price_List_BA!D264</f>
        <v>Frusamide (ZM)</v>
      </c>
      <c r="E897" s="786"/>
      <c r="F897" s="786"/>
      <c r="G897" s="786"/>
      <c r="J897" s="668" t="str">
        <f>Price_List_BA!J264</f>
        <v>20mg</v>
      </c>
      <c r="L897" s="127">
        <f>Price_List_BA!L264</f>
        <v>0.5</v>
      </c>
    </row>
    <row r="898" spans="4:12" s="348" customFormat="1" ht="12.75" hidden="1" customHeight="1" outlineLevel="2" x14ac:dyDescent="0.2">
      <c r="D898" s="785" t="str">
        <f>Price_List_BA!D265</f>
        <v>Gas - N2O (UG)</v>
      </c>
      <c r="E898" s="786"/>
      <c r="F898" s="786"/>
      <c r="G898" s="786"/>
      <c r="J898" s="668" t="str">
        <f>Price_List_BA!J265</f>
        <v>litre</v>
      </c>
      <c r="L898" s="127">
        <f>Price_List_BA!L265</f>
        <v>0.21116458854315942</v>
      </c>
    </row>
    <row r="899" spans="4:12" s="348" customFormat="1" ht="12.75" hidden="1" customHeight="1" outlineLevel="2" x14ac:dyDescent="0.2">
      <c r="D899" s="785" t="str">
        <f>Price_List_BA!D266</f>
        <v>Gas Cylinder (Nitrous Oxide) 72 kg. (ZM)</v>
      </c>
      <c r="E899" s="786"/>
      <c r="F899" s="786"/>
      <c r="G899" s="786"/>
      <c r="J899" s="668" t="str">
        <f>Price_List_BA!J266</f>
        <v>application</v>
      </c>
      <c r="L899" s="127">
        <f>Price_List_BA!L266</f>
        <v>37.333333333333336</v>
      </c>
    </row>
    <row r="900" spans="4:12" s="348" customFormat="1" ht="12.75" hidden="1" customHeight="1" outlineLevel="2" x14ac:dyDescent="0.2">
      <c r="D900" s="785" t="str">
        <f>Price_List_BA!D267</f>
        <v>Gas Cylinder (TZ)</v>
      </c>
      <c r="E900" s="786"/>
      <c r="F900" s="786"/>
      <c r="G900" s="786"/>
      <c r="J900" s="668" t="str">
        <f>Price_List_BA!J267</f>
        <v>1/15th of a cylinder</v>
      </c>
      <c r="L900" s="127">
        <f>Price_List_BA!L267</f>
        <v>1.6666666666666667</v>
      </c>
    </row>
    <row r="901" spans="4:12" s="348" customFormat="1" ht="12.75" hidden="1" customHeight="1" outlineLevel="2" x14ac:dyDescent="0.2">
      <c r="D901" s="785" t="str">
        <f>Price_List_BA!D268</f>
        <v>Gauze (UG)</v>
      </c>
      <c r="E901" s="786"/>
      <c r="F901" s="786"/>
      <c r="G901" s="786"/>
      <c r="J901" s="668" t="str">
        <f>Price_List_BA!J268</f>
        <v>piece</v>
      </c>
      <c r="L901" s="127">
        <f>Price_List_BA!L268</f>
        <v>1.2239099551961501E-2</v>
      </c>
    </row>
    <row r="902" spans="4:12" s="348" customFormat="1" ht="12.75" hidden="1" customHeight="1" outlineLevel="2" x14ac:dyDescent="0.2">
      <c r="D902" s="785" t="str">
        <f>Price_List_BA!D269</f>
        <v>Gauze hospital quality 10x4 cm (TZ)</v>
      </c>
      <c r="E902" s="786"/>
      <c r="F902" s="786"/>
      <c r="G902" s="786"/>
      <c r="J902" s="668" t="str">
        <f>Price_List_BA!J269</f>
        <v>each</v>
      </c>
      <c r="L902" s="127">
        <f>Price_List_BA!L269</f>
        <v>0.3125</v>
      </c>
    </row>
    <row r="903" spans="4:12" s="348" customFormat="1" ht="12.75" hidden="1" customHeight="1" outlineLevel="2" x14ac:dyDescent="0.2">
      <c r="D903" s="785" t="str">
        <f>Price_List_BA!D270</f>
        <v>Gauze, Non-Sterile (ZM)</v>
      </c>
      <c r="E903" s="786"/>
      <c r="F903" s="786"/>
      <c r="G903" s="786"/>
      <c r="J903" s="668" t="str">
        <f>Price_List_BA!J270</f>
        <v>1/2 roll</v>
      </c>
      <c r="L903" s="127">
        <f>Price_List_BA!L270</f>
        <v>6.7035000000000003E-3</v>
      </c>
    </row>
    <row r="904" spans="4:12" s="348" customFormat="1" ht="12.75" hidden="1" customHeight="1" outlineLevel="2" x14ac:dyDescent="0.2">
      <c r="D904" s="785" t="str">
        <f>Price_List_BA!D271</f>
        <v>Gauze, Non-Sterile (TZ)</v>
      </c>
      <c r="E904" s="786"/>
      <c r="F904" s="786"/>
      <c r="G904" s="786"/>
      <c r="J904" s="668" t="str">
        <f>Price_List_BA!J271</f>
        <v>1/100 of roll</v>
      </c>
      <c r="L904" s="127">
        <f>Price_List_BA!L271</f>
        <v>0.125</v>
      </c>
    </row>
    <row r="905" spans="4:12" s="348" customFormat="1" ht="12.75" hidden="1" customHeight="1" outlineLevel="2" x14ac:dyDescent="0.2">
      <c r="D905" s="785" t="str">
        <f>Price_List_BA!D272</f>
        <v>Gauze, Sterile (ZM)</v>
      </c>
      <c r="E905" s="786"/>
      <c r="F905" s="786"/>
      <c r="G905" s="786"/>
      <c r="J905" s="668" t="str">
        <f>Price_List_BA!J272</f>
        <v>roll</v>
      </c>
      <c r="L905" s="127">
        <f>Price_List_BA!L272</f>
        <v>4.7962999999999999E-2</v>
      </c>
    </row>
    <row r="906" spans="4:12" s="348" customFormat="1" ht="12.75" hidden="1" customHeight="1" outlineLevel="2" x14ac:dyDescent="0.2">
      <c r="D906" s="785" t="str">
        <f>Price_List_BA!D273</f>
        <v>Gauze, Sterile (TZ)</v>
      </c>
      <c r="E906" s="786"/>
      <c r="F906" s="786"/>
      <c r="G906" s="786"/>
      <c r="J906" s="668" t="str">
        <f>Price_List_BA!J273</f>
        <v>1/100 of roll</v>
      </c>
      <c r="L906" s="127">
        <f>Price_List_BA!L273</f>
        <v>0.125</v>
      </c>
    </row>
    <row r="907" spans="4:12" s="348" customFormat="1" ht="12.75" hidden="1" customHeight="1" outlineLevel="2" x14ac:dyDescent="0.2">
      <c r="D907" s="785" t="str">
        <f>Price_List_BA!D274</f>
        <v>Gloves (UG)</v>
      </c>
      <c r="E907" s="786"/>
      <c r="F907" s="786"/>
      <c r="G907" s="786"/>
      <c r="J907" s="668" t="str">
        <f>Price_List_BA!J274</f>
        <v>pair</v>
      </c>
      <c r="L907" s="127">
        <f>Price_List_BA!L274</f>
        <v>0.10490656758824179</v>
      </c>
    </row>
    <row r="908" spans="4:12" s="348" customFormat="1" ht="12.75" hidden="1" customHeight="1" outlineLevel="2" x14ac:dyDescent="0.2">
      <c r="D908" s="785" t="str">
        <f>Price_List_BA!D275</f>
        <v>Gloves, Non-Sterile, Examination, latex, assorted sizes, disp. (ZM)</v>
      </c>
      <c r="E908" s="786"/>
      <c r="F908" s="786"/>
      <c r="G908" s="786"/>
      <c r="J908" s="668" t="str">
        <f>Price_List_BA!J275</f>
        <v>each</v>
      </c>
      <c r="L908" s="127">
        <f>Price_List_BA!L275</f>
        <v>7.2000000000000008E-2</v>
      </c>
    </row>
    <row r="909" spans="4:12" s="348" customFormat="1" ht="12.75" hidden="1" customHeight="1" outlineLevel="2" x14ac:dyDescent="0.2">
      <c r="D909" s="785" t="str">
        <f>Price_List_BA!D276</f>
        <v>Gloves, Non-Sterile, Examination, latex, medium, disp. (TZ)</v>
      </c>
      <c r="E909" s="786"/>
      <c r="F909" s="786"/>
      <c r="G909" s="786"/>
      <c r="J909" s="668" t="str">
        <f>Price_List_BA!J276</f>
        <v>each</v>
      </c>
      <c r="L909" s="127">
        <f>Price_List_BA!L276</f>
        <v>4.2699999999999995E-2</v>
      </c>
    </row>
    <row r="910" spans="4:12" s="348" customFormat="1" ht="12.75" hidden="1" customHeight="1" outlineLevel="2" x14ac:dyDescent="0.2">
      <c r="D910" s="785" t="str">
        <f>Price_List_BA!D277</f>
        <v>Gloves, Sterile (TZ)</v>
      </c>
      <c r="E910" s="786"/>
      <c r="F910" s="786"/>
      <c r="G910" s="786"/>
      <c r="J910" s="668" t="str">
        <f>Price_List_BA!J277</f>
        <v>each</v>
      </c>
      <c r="L910" s="127">
        <f>Price_List_BA!L277</f>
        <v>0.92500000000000004</v>
      </c>
    </row>
    <row r="911" spans="4:12" s="348" customFormat="1" ht="12.75" hidden="1" customHeight="1" outlineLevel="2" x14ac:dyDescent="0.2">
      <c r="D911" s="785" t="str">
        <f>Price_List_BA!D278</f>
        <v>Gloves, Sterile 7.5 (ZM)</v>
      </c>
      <c r="E911" s="786"/>
      <c r="F911" s="786"/>
      <c r="G911" s="786"/>
      <c r="J911" s="668" t="str">
        <f>Price_List_BA!J278</f>
        <v>each</v>
      </c>
      <c r="L911" s="127">
        <f>Price_List_BA!L278</f>
        <v>0.21932200000000002</v>
      </c>
    </row>
    <row r="912" spans="4:12" s="348" customFormat="1" ht="12.75" hidden="1" customHeight="1" outlineLevel="2" x14ac:dyDescent="0.2">
      <c r="D912" s="785" t="str">
        <f>Price_List_BA!D279</f>
        <v>Halothane (ZM)</v>
      </c>
      <c r="E912" s="786"/>
      <c r="F912" s="786"/>
      <c r="G912" s="786"/>
      <c r="J912" s="668" t="str">
        <f>Price_List_BA!J279</f>
        <v>millilitre</v>
      </c>
      <c r="L912" s="127">
        <f>Price_List_BA!L279</f>
        <v>0</v>
      </c>
    </row>
    <row r="913" spans="4:12" s="348" customFormat="1" ht="12.75" hidden="1" customHeight="1" outlineLevel="2" x14ac:dyDescent="0.2">
      <c r="D913" s="785" t="str">
        <f>Price_List_BA!D280</f>
        <v>IV canula 22G  (ZM)</v>
      </c>
      <c r="E913" s="786"/>
      <c r="F913" s="786"/>
      <c r="G913" s="786"/>
      <c r="J913" s="668" t="str">
        <f>Price_List_BA!J280</f>
        <v>canula</v>
      </c>
      <c r="L913" s="127">
        <f>Price_List_BA!L280</f>
        <v>0.130548</v>
      </c>
    </row>
    <row r="914" spans="4:12" s="348" customFormat="1" ht="12.75" hidden="1" customHeight="1" outlineLevel="2" x14ac:dyDescent="0.2">
      <c r="D914" s="785" t="str">
        <f>Price_List_BA!D281</f>
        <v>IV canula 22G (each) (TZ)</v>
      </c>
      <c r="E914" s="786"/>
      <c r="F914" s="786"/>
      <c r="G914" s="786"/>
      <c r="J914" s="668" t="str">
        <f>Price_List_BA!J281</f>
        <v>each</v>
      </c>
      <c r="L914" s="127">
        <f>Price_List_BA!L281</f>
        <v>0.16250000000000001</v>
      </c>
    </row>
    <row r="915" spans="4:12" s="348" customFormat="1" ht="12.75" hidden="1" customHeight="1" outlineLevel="2" x14ac:dyDescent="0.2">
      <c r="D915" s="785" t="str">
        <f>Price_List_BA!D282</f>
        <v>IV giving set (each) (TZ)</v>
      </c>
      <c r="E915" s="786"/>
      <c r="F915" s="786"/>
      <c r="G915" s="786"/>
      <c r="J915" s="668" t="str">
        <f>Price_List_BA!J282</f>
        <v>set</v>
      </c>
      <c r="L915" s="127">
        <f>Price_List_BA!L282</f>
        <v>0.15</v>
      </c>
    </row>
    <row r="916" spans="4:12" s="348" customFormat="1" ht="12.75" hidden="1" customHeight="1" outlineLevel="2" x14ac:dyDescent="0.2">
      <c r="D916" s="785" t="str">
        <f>Price_List_BA!D283</f>
        <v>IV giving set (closed system) (ZM)</v>
      </c>
      <c r="E916" s="786"/>
      <c r="F916" s="786"/>
      <c r="G916" s="786"/>
      <c r="J916" s="668" t="str">
        <f>Price_List_BA!J283</f>
        <v>SU</v>
      </c>
      <c r="L916" s="127">
        <f>Price_List_BA!L283</f>
        <v>0</v>
      </c>
    </row>
    <row r="917" spans="4:12" s="348" customFormat="1" ht="12.75" hidden="1" customHeight="1" outlineLevel="2" x14ac:dyDescent="0.2">
      <c r="D917" s="785" t="str">
        <f>Price_List_BA!D284</f>
        <v>IV line (set) (ZM)</v>
      </c>
      <c r="E917" s="786"/>
      <c r="F917" s="786"/>
      <c r="G917" s="786"/>
      <c r="J917" s="668" t="str">
        <f>Price_List_BA!J284</f>
        <v>set</v>
      </c>
      <c r="L917" s="127">
        <f>Price_List_BA!L284</f>
        <v>0.120104</v>
      </c>
    </row>
    <row r="918" spans="4:12" s="348" customFormat="1" ht="12.75" hidden="1" customHeight="1" outlineLevel="2" x14ac:dyDescent="0.2">
      <c r="D918" s="785" t="str">
        <f>Price_List_BA!D285</f>
        <v>IV line (set) (TZ)</v>
      </c>
      <c r="E918" s="786"/>
      <c r="F918" s="786"/>
      <c r="G918" s="786"/>
      <c r="J918" s="668" t="str">
        <f>Price_List_BA!J285</f>
        <v>set</v>
      </c>
      <c r="L918" s="127">
        <f>Price_List_BA!L285</f>
        <v>0.9375</v>
      </c>
    </row>
    <row r="919" spans="4:12" s="348" customFormat="1" ht="12.75" hidden="1" customHeight="1" outlineLevel="2" x14ac:dyDescent="0.2">
      <c r="D919" s="785" t="str">
        <f>Price_List_BA!D286</f>
        <v>Ketamine (ZM)</v>
      </c>
      <c r="E919" s="786"/>
      <c r="F919" s="786"/>
      <c r="G919" s="786"/>
      <c r="J919" s="668" t="str">
        <f>Price_List_BA!J286</f>
        <v>SU</v>
      </c>
      <c r="L919" s="127">
        <f>Price_List_BA!L286</f>
        <v>0</v>
      </c>
    </row>
    <row r="920" spans="4:12" s="348" customFormat="1" ht="12.75" hidden="1" customHeight="1" outlineLevel="2" x14ac:dyDescent="0.2">
      <c r="D920" s="785" t="str">
        <f>Price_List_BA!D287</f>
        <v>Kitchen Towel (ZM)</v>
      </c>
      <c r="E920" s="786"/>
      <c r="F920" s="786"/>
      <c r="G920" s="786"/>
      <c r="J920" s="668" t="str">
        <f>Price_List_BA!J287</f>
        <v>application</v>
      </c>
      <c r="L920" s="127">
        <f>Price_List_BA!L287</f>
        <v>1.3999999999999999E-2</v>
      </c>
    </row>
    <row r="921" spans="4:12" s="348" customFormat="1" ht="12.75" hidden="1" customHeight="1" outlineLevel="2" x14ac:dyDescent="0.2">
      <c r="D921" s="785" t="str">
        <f>Price_List_BA!D288</f>
        <v>K-Y jelly  (TZ)</v>
      </c>
      <c r="E921" s="786"/>
      <c r="F921" s="786"/>
      <c r="G921" s="786"/>
      <c r="J921" s="668" t="str">
        <f>Price_List_BA!J288</f>
        <v>1/100 of tube</v>
      </c>
      <c r="L921" s="127">
        <f>Price_List_BA!L288</f>
        <v>8.4375000000000006E-2</v>
      </c>
    </row>
    <row r="922" spans="4:12" s="348" customFormat="1" ht="12.75" hidden="1" customHeight="1" outlineLevel="2" x14ac:dyDescent="0.2">
      <c r="D922" s="785" t="str">
        <f>Price_List_BA!D289</f>
        <v>K-Y jelly Tube w/ 100 applcations ea) (ZM)</v>
      </c>
      <c r="E922" s="786"/>
      <c r="F922" s="786"/>
      <c r="G922" s="786"/>
      <c r="J922" s="668" t="str">
        <f>Price_List_BA!J289</f>
        <v>1 application</v>
      </c>
      <c r="L922" s="127">
        <f>Price_List_BA!L289</f>
        <v>4.4999999999999998E-2</v>
      </c>
    </row>
    <row r="923" spans="4:12" s="348" customFormat="1" ht="12.75" hidden="1" customHeight="1" outlineLevel="2" x14ac:dyDescent="0.2">
      <c r="D923" s="785" t="str">
        <f>Price_List_BA!D290</f>
        <v>Label (TZ)</v>
      </c>
      <c r="E923" s="786"/>
      <c r="F923" s="786"/>
      <c r="G923" s="786"/>
      <c r="J923" s="668" t="str">
        <f>Price_List_BA!J290</f>
        <v>label</v>
      </c>
      <c r="L923" s="127">
        <f>Price_List_BA!L290</f>
        <v>3.125E-2</v>
      </c>
    </row>
    <row r="924" spans="4:12" s="348" customFormat="1" ht="12.75" hidden="1" customHeight="1" outlineLevel="2" x14ac:dyDescent="0.2">
      <c r="D924" s="785" t="str">
        <f>Price_List_BA!D291</f>
        <v>Lidocaine 1% or 2% without epinephrine (UG)</v>
      </c>
      <c r="E924" s="786"/>
      <c r="F924" s="786"/>
      <c r="G924" s="786"/>
      <c r="J924" s="668" t="str">
        <f>Price_List_BA!J291</f>
        <v>mililitre</v>
      </c>
      <c r="L924" s="127">
        <f>Price_List_BA!L291</f>
        <v>6.6747459294066225E-2</v>
      </c>
    </row>
    <row r="925" spans="4:12" s="348" customFormat="1" ht="12.75" hidden="1" customHeight="1" outlineLevel="2" x14ac:dyDescent="0.2">
      <c r="D925" s="785" t="str">
        <f>Price_List_BA!D292</f>
        <v>Lidocaine 2% with epinephrine 1:80000 (ZM)</v>
      </c>
      <c r="E925" s="786"/>
      <c r="F925" s="786"/>
      <c r="G925" s="786"/>
      <c r="J925" s="668" t="str">
        <f>Price_List_BA!J292</f>
        <v>unknown</v>
      </c>
      <c r="L925" s="127">
        <f>Price_List_BA!L292</f>
        <v>0.9</v>
      </c>
    </row>
    <row r="926" spans="4:12" s="348" customFormat="1" ht="12.75" hidden="1" customHeight="1" outlineLevel="2" x14ac:dyDescent="0.2">
      <c r="D926" s="785" t="str">
        <f>Price_List_BA!D293</f>
        <v>Lidocaine: 2% with adrenalin 1:80000 (TZ)</v>
      </c>
      <c r="E926" s="786"/>
      <c r="F926" s="786"/>
      <c r="G926" s="786"/>
      <c r="J926" s="668" t="str">
        <f>Price_List_BA!J293</f>
        <v>centilitre</v>
      </c>
      <c r="L926" s="127">
        <f>Price_List_BA!L293</f>
        <v>0.13750000000000001</v>
      </c>
    </row>
    <row r="927" spans="4:12" s="348" customFormat="1" ht="12.75" hidden="1" customHeight="1" outlineLevel="2" x14ac:dyDescent="0.2">
      <c r="D927" s="785" t="str">
        <f>Price_List_BA!D294</f>
        <v>Liquid soap (UG)</v>
      </c>
      <c r="E927" s="786"/>
      <c r="F927" s="786"/>
      <c r="G927" s="786"/>
      <c r="J927" s="668" t="str">
        <f>Price_List_BA!J294</f>
        <v>mililiter</v>
      </c>
      <c r="L927" s="127">
        <f>Price_List_BA!L294</f>
        <v>5.4194295705387399E-4</v>
      </c>
    </row>
    <row r="928" spans="4:12" s="348" customFormat="1" ht="12.75" hidden="1" customHeight="1" outlineLevel="2" x14ac:dyDescent="0.2">
      <c r="D928" s="785" t="str">
        <f>Price_List_BA!D295</f>
        <v>Lugol's iodine (UG)</v>
      </c>
      <c r="E928" s="786"/>
      <c r="F928" s="786"/>
      <c r="G928" s="786"/>
      <c r="J928" s="668" t="str">
        <f>Price_List_BA!J295</f>
        <v>mililiter</v>
      </c>
      <c r="L928" s="127">
        <f>Price_List_BA!L295</f>
        <v>1.2621571412960299E-2</v>
      </c>
    </row>
    <row r="929" spans="4:12" s="348" customFormat="1" ht="12.75" hidden="1" customHeight="1" outlineLevel="2" x14ac:dyDescent="0.2">
      <c r="D929" s="785" t="str">
        <f>Price_List_BA!D296</f>
        <v>Mannitol (ZM)</v>
      </c>
      <c r="E929" s="786"/>
      <c r="F929" s="786"/>
      <c r="G929" s="786"/>
      <c r="J929" s="668" t="str">
        <f>Price_List_BA!J296</f>
        <v>SU</v>
      </c>
      <c r="L929" s="127">
        <f>Price_List_BA!L296</f>
        <v>0</v>
      </c>
    </row>
    <row r="930" spans="4:12" s="348" customFormat="1" ht="12.75" hidden="1" customHeight="1" outlineLevel="2" x14ac:dyDescent="0.2">
      <c r="D930" s="785" t="str">
        <f>Price_List_BA!D297</f>
        <v>Metronizadol (200mg) (ZM)</v>
      </c>
      <c r="E930" s="786"/>
      <c r="F930" s="786"/>
      <c r="G930" s="786"/>
      <c r="J930" s="668" t="str">
        <f>Price_List_BA!J297</f>
        <v>tablet</v>
      </c>
      <c r="L930" s="127">
        <f>Price_List_BA!L297</f>
        <v>3.7859E-3</v>
      </c>
    </row>
    <row r="931" spans="4:12" s="348" customFormat="1" ht="12.75" hidden="1" customHeight="1" outlineLevel="2" x14ac:dyDescent="0.2">
      <c r="D931" s="785" t="str">
        <f>Price_List_BA!D298</f>
        <v>Metronizadol (200mg) (UG)</v>
      </c>
      <c r="E931" s="786"/>
      <c r="F931" s="786"/>
      <c r="G931" s="786"/>
      <c r="J931" s="668" t="str">
        <f>Price_List_BA!J298</f>
        <v>tablet</v>
      </c>
      <c r="L931" s="127">
        <f>Price_List_BA!L298</f>
        <v>3.9235056278002405E-3</v>
      </c>
    </row>
    <row r="932" spans="4:12" s="348" customFormat="1" ht="12.75" hidden="1" customHeight="1" outlineLevel="2" x14ac:dyDescent="0.2">
      <c r="D932" s="785" t="str">
        <f>Price_List_BA!D299</f>
        <v>Metronizadol (400mg) (UG)</v>
      </c>
      <c r="E932" s="786"/>
      <c r="F932" s="786"/>
      <c r="G932" s="786"/>
      <c r="J932" s="668" t="str">
        <f>Price_List_BA!J299</f>
        <v>tablet</v>
      </c>
      <c r="L932" s="127">
        <f>Price_List_BA!L299</f>
        <v>7.847011255600481E-3</v>
      </c>
    </row>
    <row r="933" spans="4:12" s="348" customFormat="1" ht="12.75" hidden="1" customHeight="1" outlineLevel="2" x14ac:dyDescent="0.2">
      <c r="D933" s="785" t="str">
        <f>Price_List_BA!D300</f>
        <v>Mictomycin  C (10mg) (TZ)</v>
      </c>
      <c r="E933" s="786"/>
      <c r="F933" s="786"/>
      <c r="G933" s="786"/>
      <c r="J933" s="668" t="str">
        <f>Price_List_BA!J300</f>
        <v>10mg</v>
      </c>
      <c r="L933" s="127">
        <f>Price_List_BA!L300</f>
        <v>18.75</v>
      </c>
    </row>
    <row r="934" spans="4:12" s="348" customFormat="1" ht="12.75" hidden="1" customHeight="1" outlineLevel="2" x14ac:dyDescent="0.2">
      <c r="D934" s="785" t="str">
        <f>Price_List_BA!D301</f>
        <v>Mitomycin  C (10mg) (ZM)</v>
      </c>
      <c r="E934" s="786"/>
      <c r="F934" s="786"/>
      <c r="G934" s="786"/>
      <c r="J934" s="668" t="str">
        <f>Price_List_BA!J301</f>
        <v>vial</v>
      </c>
      <c r="L934" s="127">
        <f>Price_List_BA!L301</f>
        <v>27.5</v>
      </c>
    </row>
    <row r="935" spans="4:12" s="348" customFormat="1" ht="12.75" hidden="1" customHeight="1" outlineLevel="2" x14ac:dyDescent="0.2">
      <c r="D935" s="785" t="str">
        <f>Price_List_BA!D302</f>
        <v>Monsel's solution (UG)</v>
      </c>
      <c r="E935" s="786"/>
      <c r="F935" s="786"/>
      <c r="G935" s="786"/>
      <c r="J935" s="668" t="str">
        <f>Price_List_BA!J302</f>
        <v>mililiter</v>
      </c>
      <c r="L935" s="127">
        <f>Price_List_BA!L302</f>
        <v>0.41111111111111109</v>
      </c>
    </row>
    <row r="936" spans="4:12" s="348" customFormat="1" ht="12.75" hidden="1" customHeight="1" outlineLevel="2" x14ac:dyDescent="0.2">
      <c r="D936" s="785" t="str">
        <f>Price_List_BA!D303</f>
        <v>Monsel's solution (ZM)</v>
      </c>
      <c r="E936" s="786"/>
      <c r="F936" s="786"/>
      <c r="G936" s="786"/>
      <c r="J936" s="668" t="str">
        <f>Price_List_BA!J303</f>
        <v>application</v>
      </c>
      <c r="L936" s="127">
        <f>Price_List_BA!L303</f>
        <v>10.126666666666667</v>
      </c>
    </row>
    <row r="937" spans="4:12" s="348" customFormat="1" ht="12.75" hidden="1" customHeight="1" outlineLevel="2" x14ac:dyDescent="0.2">
      <c r="D937" s="785" t="str">
        <f>Price_List_BA!D304</f>
        <v>Morphine (10mg) (ZM)</v>
      </c>
      <c r="E937" s="786"/>
      <c r="F937" s="786"/>
      <c r="G937" s="786"/>
      <c r="J937" s="668" t="str">
        <f>Price_List_BA!J304</f>
        <v>tablet</v>
      </c>
      <c r="L937" s="127">
        <f>Price_List_BA!L304</f>
        <v>0.22666666666666666</v>
      </c>
    </row>
    <row r="938" spans="4:12" s="348" customFormat="1" ht="12.75" hidden="1" customHeight="1" outlineLevel="2" x14ac:dyDescent="0.2">
      <c r="D938" s="785" t="str">
        <f>Price_List_BA!D305</f>
        <v>Morphine (10mg) (TZ)</v>
      </c>
      <c r="E938" s="786"/>
      <c r="F938" s="786"/>
      <c r="G938" s="786"/>
      <c r="J938" s="668" t="str">
        <f>Price_List_BA!J305</f>
        <v>10mg</v>
      </c>
      <c r="L938" s="127">
        <f>Price_List_BA!L305</f>
        <v>3.5625</v>
      </c>
    </row>
    <row r="939" spans="4:12" s="348" customFormat="1" ht="12.75" hidden="1" customHeight="1" outlineLevel="2" x14ac:dyDescent="0.2">
      <c r="D939" s="785" t="str">
        <f>Price_List_BA!D306</f>
        <v>Mutton Cloth (ZM)</v>
      </c>
      <c r="E939" s="786"/>
      <c r="F939" s="786"/>
      <c r="G939" s="786"/>
      <c r="J939" s="668" t="str">
        <f>Price_List_BA!J306</f>
        <v>metre</v>
      </c>
      <c r="L939" s="127">
        <f>Price_List_BA!L306</f>
        <v>6.5000000000000002E-2</v>
      </c>
    </row>
    <row r="940" spans="4:12" s="348" customFormat="1" ht="12.75" hidden="1" customHeight="1" outlineLevel="2" x14ac:dyDescent="0.2">
      <c r="D940" s="785" t="str">
        <f>Price_List_BA!D307</f>
        <v>Needle – 18 or 20 gauge (TZ)</v>
      </c>
      <c r="E940" s="786"/>
      <c r="F940" s="786"/>
      <c r="G940" s="786"/>
      <c r="J940" s="668" t="str">
        <f>Price_List_BA!J307</f>
        <v>one piece</v>
      </c>
      <c r="L940" s="127">
        <f>Price_List_BA!L307</f>
        <v>8.8541666666666671E-2</v>
      </c>
    </row>
    <row r="941" spans="4:12" s="348" customFormat="1" ht="12.75" hidden="1" customHeight="1" outlineLevel="2" x14ac:dyDescent="0.2">
      <c r="D941" s="785" t="str">
        <f>Price_List_BA!D308</f>
        <v>Needle - Spinal 22G (disposable) (ZM)</v>
      </c>
      <c r="E941" s="786"/>
      <c r="F941" s="786"/>
      <c r="G941" s="786"/>
      <c r="J941" s="668" t="str">
        <f>Price_List_BA!J308</f>
        <v>needle</v>
      </c>
      <c r="L941" s="127">
        <f>Price_List_BA!L308</f>
        <v>1.240208</v>
      </c>
    </row>
    <row r="942" spans="4:12" s="348" customFormat="1" ht="12.75" hidden="1" customHeight="1" outlineLevel="2" x14ac:dyDescent="0.2">
      <c r="D942" s="785" t="str">
        <f>Price_List_BA!D309</f>
        <v>Needle - Spinal 22G (disposable) (TZ)</v>
      </c>
      <c r="E942" s="786"/>
      <c r="F942" s="786"/>
      <c r="G942" s="786"/>
      <c r="J942" s="668" t="str">
        <f>Price_List_BA!J309</f>
        <v>one piece</v>
      </c>
      <c r="L942" s="127">
        <f>Price_List_BA!L309</f>
        <v>0.91249999999999998</v>
      </c>
    </row>
    <row r="943" spans="4:12" s="348" customFormat="1" ht="12.75" hidden="1" customHeight="1" outlineLevel="2" x14ac:dyDescent="0.2">
      <c r="D943" s="785" t="str">
        <f>Price_List_BA!D310</f>
        <v>Needles - Dental 27G Long (ZM)</v>
      </c>
      <c r="E943" s="786"/>
      <c r="F943" s="786"/>
      <c r="G943" s="786"/>
      <c r="J943" s="668" t="str">
        <f>Price_List_BA!J310</f>
        <v>needle</v>
      </c>
      <c r="L943" s="127">
        <f>Price_List_BA!L310</f>
        <v>0.30909999999999999</v>
      </c>
    </row>
    <row r="944" spans="4:12" s="348" customFormat="1" ht="12.75" hidden="1" customHeight="1" outlineLevel="2" x14ac:dyDescent="0.2">
      <c r="D944" s="785" t="str">
        <f>Price_List_BA!D311</f>
        <v>Neostymine (ZM)</v>
      </c>
      <c r="E944" s="786"/>
      <c r="F944" s="786"/>
      <c r="G944" s="786"/>
      <c r="J944" s="668" t="str">
        <f>Price_List_BA!J311</f>
        <v>SU</v>
      </c>
      <c r="L944" s="127">
        <f>Price_List_BA!L311</f>
        <v>0</v>
      </c>
    </row>
    <row r="945" spans="4:12" s="348" customFormat="1" ht="12.75" hidden="1" customHeight="1" outlineLevel="2" x14ac:dyDescent="0.2">
      <c r="D945" s="785" t="str">
        <f>Price_List_BA!D312</f>
        <v>Normal saline (UG)</v>
      </c>
      <c r="E945" s="786"/>
      <c r="F945" s="786"/>
      <c r="G945" s="786"/>
      <c r="J945" s="668" t="str">
        <f>Price_List_BA!J312</f>
        <v>mililiter</v>
      </c>
      <c r="L945" s="127">
        <f>Price_List_BA!L312</f>
        <v>8.4106217899683098E-4</v>
      </c>
    </row>
    <row r="946" spans="4:12" s="348" customFormat="1" ht="12.75" hidden="1" customHeight="1" outlineLevel="2" x14ac:dyDescent="0.2">
      <c r="D946" s="785" t="str">
        <f>Price_List_BA!D313</f>
        <v>Normal saline (ZM)</v>
      </c>
      <c r="E946" s="786"/>
      <c r="F946" s="786"/>
      <c r="G946" s="786"/>
      <c r="J946" s="668" t="str">
        <f>Price_List_BA!J313</f>
        <v>1 litre</v>
      </c>
      <c r="L946" s="127">
        <f>Price_List_BA!L313</f>
        <v>0</v>
      </c>
    </row>
    <row r="947" spans="4:12" s="348" customFormat="1" ht="12.75" hidden="1" customHeight="1" outlineLevel="2" x14ac:dyDescent="0.2">
      <c r="D947" s="785" t="str">
        <f>Price_List_BA!D314</f>
        <v>Nystain (200mg) (UG)</v>
      </c>
      <c r="E947" s="786"/>
      <c r="F947" s="786"/>
      <c r="G947" s="786"/>
      <c r="J947" s="668" t="str">
        <f>Price_List_BA!J314</f>
        <v>tablet</v>
      </c>
      <c r="L947" s="127">
        <f>Price_List_BA!L314</f>
        <v>2.9588372855425638E-2</v>
      </c>
    </row>
    <row r="948" spans="4:12" s="348" customFormat="1" ht="12.75" hidden="1" customHeight="1" outlineLevel="2" x14ac:dyDescent="0.2">
      <c r="D948" s="785" t="str">
        <f>Price_List_BA!D315</f>
        <v>Ondansetron (IV) 4mg vials</v>
      </c>
      <c r="E948" s="786"/>
      <c r="F948" s="786"/>
      <c r="G948" s="786"/>
      <c r="J948" s="668" t="str">
        <f>Price_List_BA!J315</f>
        <v>SU</v>
      </c>
      <c r="L948" s="127">
        <f>Price_List_BA!L315</f>
        <v>0</v>
      </c>
    </row>
    <row r="949" spans="4:12" s="348" customFormat="1" hidden="1" outlineLevel="2" x14ac:dyDescent="0.2">
      <c r="D949" s="785" t="str">
        <f>Price_List_BA!D316</f>
        <v>Ondasetron (oral) (4mg tablets)</v>
      </c>
      <c r="E949" s="786"/>
      <c r="F949" s="786"/>
      <c r="G949" s="786"/>
      <c r="J949" s="668" t="str">
        <f>Price_List_BA!J316</f>
        <v>tablet</v>
      </c>
      <c r="L949" s="127">
        <f>Price_List_BA!L316</f>
        <v>9</v>
      </c>
    </row>
    <row r="950" spans="4:12" s="348" customFormat="1" ht="12.95" hidden="1" customHeight="1" outlineLevel="2" x14ac:dyDescent="0.2">
      <c r="D950" s="785" t="str">
        <f>Price_List_BA!D317</f>
        <v>Opiods - Pethidine (ZM)</v>
      </c>
      <c r="E950" s="786"/>
      <c r="F950" s="786"/>
      <c r="G950" s="786"/>
      <c r="J950" s="668" t="str">
        <f>Price_List_BA!J317</f>
        <v>SU</v>
      </c>
      <c r="L950" s="127">
        <f>Price_List_BA!L317</f>
        <v>0</v>
      </c>
    </row>
    <row r="951" spans="4:12" s="348" customFormat="1" ht="12.75" hidden="1" customHeight="1" outlineLevel="2" x14ac:dyDescent="0.2">
      <c r="D951" s="785" t="str">
        <f>Price_List_BA!D318</f>
        <v>Supplies Category 109</v>
      </c>
      <c r="E951" s="786"/>
      <c r="F951" s="786"/>
      <c r="G951" s="786"/>
      <c r="J951" s="668" t="str">
        <f>Price_List_BA!J318</f>
        <v>SU</v>
      </c>
      <c r="L951" s="127">
        <f>Price_List_BA!L318</f>
        <v>0</v>
      </c>
    </row>
    <row r="952" spans="4:12" s="348" customFormat="1" ht="12.95" hidden="1" customHeight="1" outlineLevel="2" x14ac:dyDescent="0.2">
      <c r="D952" s="785" t="str">
        <f>Price_List_BA!D319</f>
        <v>Oralpharyngeal airway (ZM)</v>
      </c>
      <c r="E952" s="786"/>
      <c r="F952" s="786"/>
      <c r="G952" s="786"/>
      <c r="J952" s="668" t="str">
        <f>Price_List_BA!J319</f>
        <v>SU</v>
      </c>
      <c r="L952" s="127">
        <f>Price_List_BA!L319</f>
        <v>0</v>
      </c>
    </row>
    <row r="953" spans="4:12" s="348" customFormat="1" ht="12.95" hidden="1" customHeight="1" outlineLevel="2" x14ac:dyDescent="0.2">
      <c r="D953" s="785" t="str">
        <f>Price_List_BA!D320</f>
        <v>Oxygen Mask (ZM)</v>
      </c>
      <c r="E953" s="786"/>
      <c r="F953" s="786"/>
      <c r="G953" s="786"/>
      <c r="J953" s="668" t="str">
        <f>Price_List_BA!J320</f>
        <v>SU</v>
      </c>
      <c r="L953" s="127">
        <f>Price_List_BA!L320</f>
        <v>0</v>
      </c>
    </row>
    <row r="954" spans="4:12" s="348" customFormat="1" ht="12.95" hidden="1" customHeight="1" outlineLevel="2" x14ac:dyDescent="0.2">
      <c r="D954" s="785" t="str">
        <f>Price_List_BA!D321</f>
        <v>Pancuronuien (ZM)</v>
      </c>
      <c r="E954" s="786"/>
      <c r="F954" s="786"/>
      <c r="G954" s="786"/>
      <c r="J954" s="668" t="str">
        <f>Price_List_BA!J321</f>
        <v>SU</v>
      </c>
      <c r="L954" s="127">
        <f>Price_List_BA!L321</f>
        <v>0</v>
      </c>
    </row>
    <row r="955" spans="4:12" s="348" customFormat="1" ht="12.95" hidden="1" customHeight="1" outlineLevel="2" x14ac:dyDescent="0.2">
      <c r="D955" s="785" t="str">
        <f>Price_List_BA!D322</f>
        <v>Paracetamol (1g) (UG)</v>
      </c>
      <c r="E955" s="786"/>
      <c r="F955" s="786"/>
      <c r="G955" s="786"/>
      <c r="J955" s="668" t="str">
        <f>Price_List_BA!J322</f>
        <v>tablet</v>
      </c>
      <c r="L955" s="127">
        <f>Price_List_BA!L322</f>
        <v>1.1203409463446619E-2</v>
      </c>
    </row>
    <row r="956" spans="4:12" s="348" customFormat="1" ht="12.95" hidden="1" customHeight="1" outlineLevel="2" x14ac:dyDescent="0.2">
      <c r="D956" s="785" t="str">
        <f>Price_List_BA!D323</f>
        <v>Paracetamol (500mg) (ZM)</v>
      </c>
      <c r="E956" s="786"/>
      <c r="F956" s="786"/>
      <c r="G956" s="786"/>
      <c r="J956" s="668" t="str">
        <f>Price_List_BA!J323</f>
        <v>tablet</v>
      </c>
      <c r="L956" s="127">
        <f>Price_List_BA!L323</f>
        <v>2.0888E-3</v>
      </c>
    </row>
    <row r="957" spans="4:12" s="348" customFormat="1" ht="12.95" hidden="1" customHeight="1" outlineLevel="2" x14ac:dyDescent="0.2">
      <c r="D957" s="785" t="str">
        <f>Price_List_BA!D324</f>
        <v>Paracetamol (500mg) (TZ)</v>
      </c>
      <c r="E957" s="786"/>
      <c r="F957" s="786"/>
      <c r="G957" s="786"/>
      <c r="J957" s="668" t="str">
        <f>Price_List_BA!J324</f>
        <v>one tablet</v>
      </c>
      <c r="L957" s="127">
        <f>Price_List_BA!L324</f>
        <v>4.5624999999999997E-3</v>
      </c>
    </row>
    <row r="958" spans="4:12" s="348" customFormat="1" ht="12.95" hidden="1" customHeight="1" outlineLevel="2" x14ac:dyDescent="0.2">
      <c r="D958" s="785" t="str">
        <f>Price_List_BA!D325</f>
        <v>Paracetamol (500mg) (UG)</v>
      </c>
      <c r="E958" s="786"/>
      <c r="F958" s="786"/>
      <c r="G958" s="786"/>
      <c r="J958" s="668" t="str">
        <f>Price_List_BA!J325</f>
        <v>tablet</v>
      </c>
      <c r="L958" s="127">
        <f>Price_List_BA!L325</f>
        <v>5.6017047317233094E-3</v>
      </c>
    </row>
    <row r="959" spans="4:12" s="348" customFormat="1" ht="12.95" hidden="1" customHeight="1" outlineLevel="2" x14ac:dyDescent="0.2">
      <c r="D959" s="785" t="str">
        <f>Price_List_BA!D326</f>
        <v>Pathology form (TZ)</v>
      </c>
      <c r="E959" s="786"/>
      <c r="F959" s="786"/>
      <c r="G959" s="786"/>
      <c r="J959" s="668">
        <f>Price_List_BA!J326</f>
        <v>1</v>
      </c>
      <c r="L959" s="127">
        <f>Price_List_BA!L326</f>
        <v>0.31</v>
      </c>
    </row>
    <row r="960" spans="4:12" s="348" customFormat="1" ht="12.95" hidden="1" customHeight="1" outlineLevel="2" x14ac:dyDescent="0.2">
      <c r="D960" s="785" t="str">
        <f>Price_List_BA!D327</f>
        <v>Patient card (TZ)</v>
      </c>
      <c r="E960" s="786"/>
      <c r="F960" s="786"/>
      <c r="G960" s="786"/>
      <c r="J960" s="668" t="str">
        <f>Price_List_BA!J327</f>
        <v>card</v>
      </c>
      <c r="L960" s="127">
        <f>Price_List_BA!L327</f>
        <v>0.625</v>
      </c>
    </row>
    <row r="961" spans="4:12" s="348" customFormat="1" ht="12.95" hidden="1" customHeight="1" outlineLevel="2" x14ac:dyDescent="0.2">
      <c r="D961" s="785" t="str">
        <f>Price_List_BA!D328</f>
        <v>Pencil (TZ)</v>
      </c>
      <c r="E961" s="786"/>
      <c r="F961" s="786"/>
      <c r="G961" s="786"/>
      <c r="J961" s="668" t="str">
        <f>Price_List_BA!J328</f>
        <v>each</v>
      </c>
      <c r="L961" s="127">
        <f>Price_List_BA!L328</f>
        <v>0.1875</v>
      </c>
    </row>
    <row r="962" spans="4:12" s="348" customFormat="1" ht="12.95" hidden="1" customHeight="1" outlineLevel="2" x14ac:dyDescent="0.2">
      <c r="D962" s="785" t="str">
        <f>Price_List_BA!D329</f>
        <v>Perthodine (TZ)</v>
      </c>
      <c r="E962" s="786"/>
      <c r="F962" s="786"/>
      <c r="G962" s="786"/>
      <c r="J962" s="668" t="str">
        <f>Price_List_BA!J329</f>
        <v>100ml vial</v>
      </c>
      <c r="L962" s="127">
        <f>Price_List_BA!L329</f>
        <v>0.5625</v>
      </c>
    </row>
    <row r="963" spans="4:12" s="348" customFormat="1" ht="12.95" hidden="1" customHeight="1" outlineLevel="2" x14ac:dyDescent="0.2">
      <c r="D963" s="785" t="str">
        <f>Price_List_BA!D330</f>
        <v>Pipette Tips (TZ)</v>
      </c>
      <c r="E963" s="786"/>
      <c r="F963" s="786"/>
      <c r="G963" s="786"/>
      <c r="J963" s="668">
        <f>Price_List_BA!J330</f>
        <v>1</v>
      </c>
      <c r="L963" s="127">
        <f>Price_List_BA!L330</f>
        <v>9.3749999999999997E-3</v>
      </c>
    </row>
    <row r="964" spans="4:12" s="348" customFormat="1" ht="12.75" hidden="1" customHeight="1" outlineLevel="2" x14ac:dyDescent="0.2">
      <c r="D964" s="785" t="str">
        <f>Price_List_BA!D331</f>
        <v>Pipette, Fixed, 50 microlitre (TZ)</v>
      </c>
      <c r="E964" s="786"/>
      <c r="F964" s="786"/>
      <c r="G964" s="786"/>
      <c r="J964" s="668" t="str">
        <f>Price_List_BA!J331</f>
        <v>1 use</v>
      </c>
      <c r="L964" s="127">
        <f>Price_List_BA!L331</f>
        <v>7.4999999999999997E-2</v>
      </c>
    </row>
    <row r="965" spans="4:12" s="348" customFormat="1" ht="12.75" hidden="1" customHeight="1" outlineLevel="2" x14ac:dyDescent="0.2">
      <c r="D965" s="785" t="str">
        <f>Price_List_BA!D332</f>
        <v>Pipette, Repeater (TZ)</v>
      </c>
      <c r="E965" s="786"/>
      <c r="F965" s="786"/>
      <c r="G965" s="786"/>
      <c r="J965" s="668" t="str">
        <f>Price_List_BA!J332</f>
        <v>1 use</v>
      </c>
      <c r="L965" s="127">
        <f>Price_List_BA!L332</f>
        <v>6.2500000000000003E-3</v>
      </c>
    </row>
    <row r="966" spans="4:12" s="348" customFormat="1" ht="12.75" hidden="1" customHeight="1" outlineLevel="2" x14ac:dyDescent="0.2">
      <c r="D966" s="785" t="str">
        <f>Price_List_BA!D333</f>
        <v>Pregnancy test– urine test strip (ZM)</v>
      </c>
      <c r="E966" s="786"/>
      <c r="F966" s="786"/>
      <c r="G966" s="786"/>
      <c r="J966" s="668" t="str">
        <f>Price_List_BA!J333</f>
        <v>test</v>
      </c>
      <c r="L966" s="127">
        <f>Price_List_BA!L333</f>
        <v>0.14374900000000002</v>
      </c>
    </row>
    <row r="967" spans="4:12" s="348" customFormat="1" ht="12.75" hidden="1" customHeight="1" outlineLevel="2" x14ac:dyDescent="0.2">
      <c r="D967" s="785" t="str">
        <f>Price_List_BA!D334</f>
        <v>Pregnancy tests – urine test strips (TZ)</v>
      </c>
      <c r="E967" s="786"/>
      <c r="F967" s="786"/>
      <c r="G967" s="786"/>
      <c r="J967" s="668" t="str">
        <f>Price_List_BA!J334</f>
        <v>one strip</v>
      </c>
      <c r="L967" s="127">
        <f>Price_List_BA!L334</f>
        <v>0.15</v>
      </c>
    </row>
    <row r="968" spans="4:12" s="348" customFormat="1" ht="12.75" hidden="1" customHeight="1" outlineLevel="2" x14ac:dyDescent="0.2">
      <c r="D968" s="785" t="str">
        <f>Price_List_BA!D335</f>
        <v>Profol, 2%, 20 mg/l, 50ml (ZM)</v>
      </c>
      <c r="E968" s="786"/>
      <c r="F968" s="786"/>
      <c r="G968" s="786"/>
      <c r="J968" s="668" t="str">
        <f>Price_List_BA!J335</f>
        <v>SU</v>
      </c>
      <c r="L968" s="127">
        <f>Price_List_BA!L335</f>
        <v>0</v>
      </c>
    </row>
    <row r="969" spans="4:12" s="348" customFormat="1" ht="12.75" hidden="1" customHeight="1" outlineLevel="2" x14ac:dyDescent="0.2">
      <c r="D969" s="785" t="str">
        <f>Price_List_BA!D336</f>
        <v>Repeater Tips (TZ)</v>
      </c>
      <c r="E969" s="786"/>
      <c r="F969" s="786"/>
      <c r="G969" s="786"/>
      <c r="J969" s="668">
        <f>Price_List_BA!J336</f>
        <v>1</v>
      </c>
      <c r="L969" s="127">
        <f>Price_List_BA!L336</f>
        <v>9.3749999999999997E-3</v>
      </c>
    </row>
    <row r="970" spans="4:12" s="348" customFormat="1" ht="12.75" hidden="1" customHeight="1" outlineLevel="2" x14ac:dyDescent="0.2">
      <c r="D970" s="785" t="str">
        <f>Price_List_BA!D337</f>
        <v>Return electrode (UG)</v>
      </c>
      <c r="E970" s="786"/>
      <c r="F970" s="786"/>
      <c r="G970" s="786"/>
      <c r="J970" s="668" t="str">
        <f>Price_List_BA!J337</f>
        <v>piece</v>
      </c>
      <c r="L970" s="127">
        <f>Price_List_BA!L337</f>
        <v>9</v>
      </c>
    </row>
    <row r="971" spans="4:12" s="348" customFormat="1" ht="12.75" hidden="1" customHeight="1" outlineLevel="2" x14ac:dyDescent="0.2">
      <c r="D971" s="785" t="str">
        <f>Price_List_BA!D338</f>
        <v>Saline solution, normal (ZM)</v>
      </c>
      <c r="E971" s="786"/>
      <c r="F971" s="786"/>
      <c r="G971" s="786"/>
      <c r="J971" s="668" t="str">
        <f>Price_List_BA!J338</f>
        <v>bag</v>
      </c>
      <c r="L971" s="127">
        <f>Price_List_BA!L338</f>
        <v>0.8224583333333334</v>
      </c>
    </row>
    <row r="972" spans="4:12" s="348" customFormat="1" ht="12.75" hidden="1" customHeight="1" outlineLevel="2" x14ac:dyDescent="0.2">
      <c r="D972" s="785" t="str">
        <f>Price_List_BA!D339</f>
        <v>Saline solution, normal (TZ)</v>
      </c>
      <c r="E972" s="786"/>
      <c r="F972" s="786"/>
      <c r="G972" s="786"/>
      <c r="J972" s="668" t="str">
        <f>Price_List_BA!J339</f>
        <v>mililiter</v>
      </c>
      <c r="L972" s="127">
        <f>Price_List_BA!L339</f>
        <v>1.8749999999999999E-3</v>
      </c>
    </row>
    <row r="973" spans="4:12" s="348" customFormat="1" ht="12.75" hidden="1" customHeight="1" outlineLevel="2" x14ac:dyDescent="0.2">
      <c r="D973" s="785" t="str">
        <f>Price_List_BA!D340</f>
        <v>Sanitary pad (ZM)</v>
      </c>
      <c r="E973" s="786"/>
      <c r="F973" s="786"/>
      <c r="G973" s="786"/>
      <c r="J973" s="668" t="str">
        <f>Price_List_BA!J340</f>
        <v>pad</v>
      </c>
      <c r="L973" s="127">
        <f>Price_List_BA!L340</f>
        <v>0.191</v>
      </c>
    </row>
    <row r="974" spans="4:12" s="348" customFormat="1" ht="12.75" hidden="1" customHeight="1" outlineLevel="2" x14ac:dyDescent="0.2">
      <c r="D974" s="785" t="str">
        <f>Price_List_BA!D341</f>
        <v>Sanitary pad (UG)</v>
      </c>
      <c r="E974" s="786"/>
      <c r="F974" s="786"/>
      <c r="G974" s="786"/>
      <c r="J974" s="668" t="str">
        <f>Price_List_BA!J341</f>
        <v>piece</v>
      </c>
      <c r="L974" s="127">
        <f>Price_List_BA!L341</f>
        <v>1.3890406634369043E-2</v>
      </c>
    </row>
    <row r="975" spans="4:12" s="348" customFormat="1" ht="12.75" hidden="1" customHeight="1" outlineLevel="2" x14ac:dyDescent="0.2">
      <c r="D975" s="785" t="str">
        <f>Price_List_BA!D342</f>
        <v>Scouring Powder (Ajax)</v>
      </c>
      <c r="E975" s="786"/>
      <c r="F975" s="786"/>
      <c r="G975" s="786"/>
      <c r="J975" s="668" t="str">
        <f>Price_List_BA!J342</f>
        <v>1 gram</v>
      </c>
      <c r="L975" s="127">
        <f>Price_List_BA!L342</f>
        <v>2.6199999999999999E-3</v>
      </c>
    </row>
    <row r="976" spans="4:12" s="348" customFormat="1" ht="12.75" hidden="1" customHeight="1" outlineLevel="2" x14ac:dyDescent="0.2">
      <c r="D976" s="785" t="str">
        <f>Price_List_BA!D343</f>
        <v>Soap (or hand sanitizer) (ZM)</v>
      </c>
      <c r="E976" s="786"/>
      <c r="F976" s="786"/>
      <c r="G976" s="786"/>
      <c r="J976" s="668" t="str">
        <f>Price_List_BA!J343</f>
        <v>uses</v>
      </c>
      <c r="L976" s="127">
        <f>Price_List_BA!L343</f>
        <v>5.5999999999999999E-3</v>
      </c>
    </row>
    <row r="977" spans="4:12" s="348" customFormat="1" ht="12.75" hidden="1" customHeight="1" outlineLevel="2" x14ac:dyDescent="0.2">
      <c r="D977" s="785" t="str">
        <f>Price_List_BA!D344</f>
        <v>Soap (or hand sanitizer) (TZ)</v>
      </c>
      <c r="E977" s="786"/>
      <c r="F977" s="786"/>
      <c r="G977" s="786"/>
      <c r="J977" s="668" t="str">
        <f>Price_List_BA!J344</f>
        <v>1/25th</v>
      </c>
      <c r="L977" s="127">
        <f>Price_List_BA!L344</f>
        <v>2.75E-2</v>
      </c>
    </row>
    <row r="978" spans="4:12" s="348" customFormat="1" ht="12.75" hidden="1" customHeight="1" outlineLevel="2" x14ac:dyDescent="0.2">
      <c r="D978" s="785" t="str">
        <f>Price_List_BA!D345</f>
        <v>Specimen bottle / recyled syringe bottles (UG)</v>
      </c>
      <c r="E978" s="786"/>
      <c r="F978" s="786"/>
      <c r="G978" s="786"/>
      <c r="J978" s="668" t="str">
        <f>Price_List_BA!J345</f>
        <v>piece</v>
      </c>
      <c r="L978" s="127">
        <f>Price_List_BA!L345</f>
        <v>0.32350000000000001</v>
      </c>
    </row>
    <row r="979" spans="4:12" s="348" customFormat="1" ht="12.75" hidden="1" customHeight="1" outlineLevel="2" x14ac:dyDescent="0.2">
      <c r="D979" s="785" t="str">
        <f>Price_List_BA!D346</f>
        <v>Specimen cup with lid and label - 100 cc (TZ)</v>
      </c>
      <c r="E979" s="786"/>
      <c r="F979" s="786"/>
      <c r="G979" s="786"/>
      <c r="J979" s="668" t="str">
        <f>Price_List_BA!J346</f>
        <v>cup with lid</v>
      </c>
      <c r="L979" s="127">
        <f>Price_List_BA!L346</f>
        <v>6.25E-2</v>
      </c>
    </row>
    <row r="980" spans="4:12" s="348" customFormat="1" ht="12.75" hidden="1" customHeight="1" outlineLevel="2" x14ac:dyDescent="0.2">
      <c r="D980" s="785" t="str">
        <f>Price_List_BA!D347</f>
        <v>Surgical Apron (ZM)</v>
      </c>
      <c r="E980" s="786"/>
      <c r="F980" s="786"/>
      <c r="G980" s="786"/>
      <c r="J980" s="668" t="str">
        <f>Price_List_BA!J347</f>
        <v>apron</v>
      </c>
      <c r="L980" s="127">
        <f>Price_List_BA!L347</f>
        <v>0.10705000000000001</v>
      </c>
    </row>
    <row r="981" spans="4:12" s="348" customFormat="1" ht="12.75" hidden="1" customHeight="1" outlineLevel="2" x14ac:dyDescent="0.2">
      <c r="D981" s="785" t="str">
        <f>Price_List_BA!D348</f>
        <v>Suxamethonium (ZM)</v>
      </c>
      <c r="E981" s="786"/>
      <c r="F981" s="786"/>
      <c r="G981" s="786"/>
      <c r="J981" s="668" t="str">
        <f>Price_List_BA!J348</f>
        <v>SU</v>
      </c>
      <c r="L981" s="127">
        <f>Price_List_BA!L348</f>
        <v>0</v>
      </c>
    </row>
    <row r="982" spans="4:12" s="348" customFormat="1" ht="12.75" hidden="1" customHeight="1" outlineLevel="2" x14ac:dyDescent="0.2">
      <c r="D982" s="785" t="str">
        <f>Price_List_BA!D349</f>
        <v>Syringe - 2cc (ZM)</v>
      </c>
      <c r="E982" s="786"/>
      <c r="F982" s="786"/>
      <c r="G982" s="786"/>
      <c r="J982" s="668" t="str">
        <f>Price_List_BA!J349</f>
        <v>syringe</v>
      </c>
      <c r="L982" s="127">
        <f>Price_List_BA!L349</f>
        <v>1.9598999999999998E-2</v>
      </c>
    </row>
    <row r="983" spans="4:12" s="348" customFormat="1" ht="12.75" hidden="1" customHeight="1" outlineLevel="2" x14ac:dyDescent="0.2">
      <c r="D983" s="785" t="str">
        <f>Price_List_BA!D350</f>
        <v>Syringe - 2ml (UG)</v>
      </c>
      <c r="E983" s="786"/>
      <c r="F983" s="786"/>
      <c r="G983" s="786"/>
      <c r="J983" s="668" t="str">
        <f>Price_List_BA!J350</f>
        <v>syringe</v>
      </c>
      <c r="L983" s="127">
        <f>Price_List_BA!L350</f>
        <v>6.4910938695224574E-2</v>
      </c>
    </row>
    <row r="984" spans="4:12" s="348" customFormat="1" ht="12.75" hidden="1" customHeight="1" outlineLevel="2" x14ac:dyDescent="0.2">
      <c r="D984" s="785" t="str">
        <f>Price_List_BA!D351</f>
        <v>Syringe, 10 cc with needle (ZM)</v>
      </c>
      <c r="E984" s="786"/>
      <c r="F984" s="786"/>
      <c r="G984" s="786"/>
      <c r="J984" s="668" t="str">
        <f>Price_List_BA!J351</f>
        <v>syringe w/needle</v>
      </c>
      <c r="L984" s="127">
        <f>Price_List_BA!L351</f>
        <v>2.4021000000000001E-2</v>
      </c>
    </row>
    <row r="985" spans="4:12" s="348" customFormat="1" ht="12.75" hidden="1" customHeight="1" outlineLevel="2" x14ac:dyDescent="0.2">
      <c r="D985" s="785" t="str">
        <f>Price_List_BA!D352</f>
        <v>Syringe, 5 cc with needle (ZM)</v>
      </c>
      <c r="E985" s="786"/>
      <c r="F985" s="786"/>
      <c r="G985" s="786"/>
      <c r="J985" s="668" t="str">
        <f>Price_List_BA!J352</f>
        <v>syringe w/needle</v>
      </c>
      <c r="L985" s="127">
        <f>Price_List_BA!L352</f>
        <v>1.4752000000000001E-2</v>
      </c>
    </row>
    <row r="986" spans="4:12" s="348" customFormat="1" ht="12.75" hidden="1" customHeight="1" outlineLevel="2" x14ac:dyDescent="0.2">
      <c r="D986" s="785" t="str">
        <f>Price_List_BA!D353</f>
        <v>Syringes, 10 cc with needle (TZ)</v>
      </c>
      <c r="E986" s="786"/>
      <c r="F986" s="786"/>
      <c r="G986" s="786"/>
      <c r="J986" s="668" t="str">
        <f>Price_List_BA!J353</f>
        <v>one piece</v>
      </c>
      <c r="L986" s="127">
        <f>Price_List_BA!L353</f>
        <v>6.25E-2</v>
      </c>
    </row>
    <row r="987" spans="4:12" s="348" customFormat="1" ht="12.75" hidden="1" customHeight="1" outlineLevel="2" x14ac:dyDescent="0.2">
      <c r="D987" s="785" t="str">
        <f>Price_List_BA!D354</f>
        <v>Syringes, 5 cc with needle (TZ)</v>
      </c>
      <c r="E987" s="786"/>
      <c r="F987" s="786"/>
      <c r="G987" s="786"/>
      <c r="J987" s="668" t="str">
        <f>Price_List_BA!J354</f>
        <v>1 syringe with needle</v>
      </c>
      <c r="L987" s="127">
        <f>Price_List_BA!L354</f>
        <v>4.3749999999999997E-2</v>
      </c>
    </row>
    <row r="988" spans="4:12" s="348" customFormat="1" ht="12.75" hidden="1" customHeight="1" outlineLevel="2" x14ac:dyDescent="0.2">
      <c r="D988" s="785" t="str">
        <f>Price_List_BA!D355</f>
        <v>Syringes, Dental, 25 gauge (ZM)</v>
      </c>
      <c r="E988" s="786"/>
      <c r="F988" s="786"/>
      <c r="G988" s="786"/>
      <c r="J988" s="668" t="str">
        <f>Price_List_BA!J355</f>
        <v>one syringe</v>
      </c>
      <c r="L988" s="127">
        <f>Price_List_BA!L355</f>
        <v>0.48200000000000004</v>
      </c>
    </row>
    <row r="989" spans="4:12" s="348" customFormat="1" ht="12.75" hidden="1" customHeight="1" outlineLevel="2" x14ac:dyDescent="0.2">
      <c r="D989" s="785" t="str">
        <f>Price_List_BA!D356</f>
        <v>Thiopentone,500mg vial (ZM)</v>
      </c>
      <c r="E989" s="786"/>
      <c r="F989" s="786"/>
      <c r="G989" s="786"/>
      <c r="J989" s="668" t="str">
        <f>Price_List_BA!J356</f>
        <v>SU</v>
      </c>
      <c r="L989" s="127">
        <f>Price_List_BA!L356</f>
        <v>0</v>
      </c>
    </row>
    <row r="990" spans="4:12" s="348" customFormat="1" ht="12.75" hidden="1" customHeight="1" outlineLevel="2" x14ac:dyDescent="0.2">
      <c r="D990" s="785" t="str">
        <f>Price_List_BA!D357</f>
        <v>Toilet Tissues (roll) – 500 sheets (ZM)</v>
      </c>
      <c r="E990" s="786"/>
      <c r="F990" s="786"/>
      <c r="G990" s="786"/>
      <c r="J990" s="668" t="str">
        <f>Price_List_BA!J357</f>
        <v>10 sheets</v>
      </c>
      <c r="L990" s="127">
        <f>Price_List_BA!L357</f>
        <v>8.4000000000000012E-3</v>
      </c>
    </row>
    <row r="991" spans="4:12" s="348" customFormat="1" ht="12.75" hidden="1" customHeight="1" outlineLevel="2" x14ac:dyDescent="0.2">
      <c r="D991" s="785" t="str">
        <f>Price_List_BA!D358</f>
        <v>Tramadol (50mg)  (ZM)</v>
      </c>
      <c r="E991" s="786"/>
      <c r="F991" s="786"/>
      <c r="G991" s="786"/>
      <c r="J991" s="668" t="str">
        <f>Price_List_BA!J358</f>
        <v>tablet</v>
      </c>
      <c r="L991" s="127">
        <f>Price_List_BA!L358</f>
        <v>1.0829E-2</v>
      </c>
    </row>
    <row r="992" spans="4:12" s="348" customFormat="1" ht="12.75" hidden="1" customHeight="1" outlineLevel="2" x14ac:dyDescent="0.2">
      <c r="D992" s="785" t="str">
        <f>Price_List_BA!D359</f>
        <v>Tramadol (50mg) (TZ)</v>
      </c>
      <c r="E992" s="786"/>
      <c r="F992" s="786"/>
      <c r="G992" s="786"/>
      <c r="J992" s="668" t="str">
        <f>Price_List_BA!J359</f>
        <v>one tablet</v>
      </c>
      <c r="L992" s="127">
        <f>Price_List_BA!L359</f>
        <v>5.7750000000000003E-2</v>
      </c>
    </row>
    <row r="993" spans="4:12" s="348" customFormat="1" ht="12.75" hidden="1" customHeight="1" outlineLevel="2" x14ac:dyDescent="0.2">
      <c r="D993" s="785" t="str">
        <f>Price_List_BA!D360</f>
        <v>Tubes - Endotrach (ZM)</v>
      </c>
      <c r="E993" s="786"/>
      <c r="F993" s="786"/>
      <c r="G993" s="786"/>
      <c r="J993" s="668" t="str">
        <f>Price_List_BA!J360</f>
        <v>SU</v>
      </c>
      <c r="L993" s="127">
        <f>Price_List_BA!L360</f>
        <v>0</v>
      </c>
    </row>
    <row r="994" spans="4:12" s="348" customFormat="1" ht="12.75" hidden="1" customHeight="1" outlineLevel="2" x14ac:dyDescent="0.2">
      <c r="D994" s="785" t="str">
        <f>Price_List_BA!D361</f>
        <v>Urine Bag (ZM)</v>
      </c>
      <c r="E994" s="786"/>
      <c r="F994" s="786"/>
      <c r="G994" s="786"/>
      <c r="J994" s="668" t="str">
        <f>Price_List_BA!J361</f>
        <v>bag</v>
      </c>
      <c r="L994" s="127">
        <f>Price_List_BA!L361</f>
        <v>0.25979099999999999</v>
      </c>
    </row>
    <row r="995" spans="4:12" s="348" customFormat="1" ht="12.75" hidden="1" customHeight="1" outlineLevel="2" x14ac:dyDescent="0.2">
      <c r="D995" s="785" t="str">
        <f>Price_List_BA!D362</f>
        <v>Urine Bag (TZ)</v>
      </c>
      <c r="E995" s="786"/>
      <c r="F995" s="786"/>
      <c r="G995" s="786"/>
      <c r="J995" s="668" t="str">
        <f>Price_List_BA!J362</f>
        <v>one bag</v>
      </c>
      <c r="L995" s="127">
        <f>Price_List_BA!L362</f>
        <v>0.21249999999999999</v>
      </c>
    </row>
    <row r="996" spans="4:12" s="348" customFormat="1" ht="12.75" hidden="1" customHeight="1" outlineLevel="2" x14ac:dyDescent="0.2">
      <c r="D996" s="785" t="str">
        <f>Price_List_BA!D363</f>
        <v>Washing powder (ZM)</v>
      </c>
      <c r="E996" s="786"/>
      <c r="F996" s="786"/>
      <c r="G996" s="786"/>
      <c r="J996" s="668" t="str">
        <f>Price_List_BA!J363</f>
        <v>gram</v>
      </c>
      <c r="L996" s="127">
        <f>Price_List_BA!L363</f>
        <v>3.0000000000000001E-3</v>
      </c>
    </row>
    <row r="997" spans="4:12" s="348" customFormat="1" ht="12.75" hidden="1" customHeight="1" outlineLevel="2" x14ac:dyDescent="0.2">
      <c r="D997" s="785" t="str">
        <f>Price_List_BA!D364</f>
        <v>Wire electrode (UG)</v>
      </c>
      <c r="E997" s="786"/>
      <c r="F997" s="786"/>
      <c r="G997" s="786"/>
      <c r="J997" s="668" t="str">
        <f>Price_List_BA!J364</f>
        <v>electrode</v>
      </c>
      <c r="L997" s="127">
        <f>Price_List_BA!L364</f>
        <v>9</v>
      </c>
    </row>
    <row r="998" spans="4:12" s="348" customFormat="1" ht="12.75" hidden="1" customHeight="1" outlineLevel="2" x14ac:dyDescent="0.2">
      <c r="D998" s="785" t="str">
        <f>Price_List_BA!D365</f>
        <v>Wood stick (ZM)</v>
      </c>
      <c r="E998" s="786"/>
      <c r="F998" s="786"/>
      <c r="G998" s="786"/>
      <c r="J998" s="668" t="str">
        <f>Price_List_BA!J365</f>
        <v>stick</v>
      </c>
      <c r="L998" s="127">
        <f>Price_List_BA!L365</f>
        <v>2.0052E-3</v>
      </c>
    </row>
    <row r="999" spans="4:12" s="348" customFormat="1" ht="12.75" hidden="1" customHeight="1" outlineLevel="2" x14ac:dyDescent="0.2">
      <c r="D999" s="785" t="str">
        <f>Price_List_BA!D366</f>
        <v>Wood stick (TZ)</v>
      </c>
      <c r="E999" s="786"/>
      <c r="F999" s="786"/>
      <c r="G999" s="786"/>
      <c r="J999" s="668" t="str">
        <f>Price_List_BA!J366</f>
        <v>one stick</v>
      </c>
      <c r="L999" s="127">
        <f>Price_List_BA!L366</f>
        <v>1.2500000000000001E-2</v>
      </c>
    </row>
    <row r="1000" spans="4:12" s="348" customFormat="1" ht="12.75" hidden="1" customHeight="1" outlineLevel="2" x14ac:dyDescent="0.2">
      <c r="D1000" s="785" t="str">
        <f>Price_List_BA!D367</f>
        <v>Supplies Category 158</v>
      </c>
      <c r="E1000" s="786"/>
      <c r="F1000" s="786"/>
      <c r="G1000" s="786"/>
      <c r="J1000" s="668" t="str">
        <f>Price_List_BA!J367</f>
        <v>SU</v>
      </c>
      <c r="L1000" s="127">
        <f>Price_List_BA!L367</f>
        <v>0</v>
      </c>
    </row>
    <row r="1001" spans="4:12" s="348" customFormat="1" ht="12.75" hidden="1" customHeight="1" outlineLevel="2" x14ac:dyDescent="0.2">
      <c r="D1001" s="785" t="str">
        <f>Price_List_BA!D368</f>
        <v>Supplies Category 159</v>
      </c>
      <c r="E1001" s="786"/>
      <c r="F1001" s="786"/>
      <c r="G1001" s="786"/>
      <c r="J1001" s="668" t="str">
        <f>Price_List_BA!J368</f>
        <v>SU</v>
      </c>
      <c r="L1001" s="127">
        <f>Price_List_BA!L368</f>
        <v>0</v>
      </c>
    </row>
    <row r="1002" spans="4:12" s="348" customFormat="1" ht="12.75" hidden="1" customHeight="1" outlineLevel="2" x14ac:dyDescent="0.2">
      <c r="D1002" s="785" t="str">
        <f>Price_List_BA!D369</f>
        <v>Supplies Category 160</v>
      </c>
      <c r="E1002" s="786"/>
      <c r="F1002" s="786"/>
      <c r="G1002" s="786"/>
      <c r="J1002" s="668" t="str">
        <f>Price_List_BA!J369</f>
        <v>SU</v>
      </c>
      <c r="L1002" s="127">
        <f>Price_List_BA!L369</f>
        <v>0</v>
      </c>
    </row>
    <row r="1003" spans="4:12" s="348" customFormat="1" ht="12.75" hidden="1" customHeight="1" outlineLevel="2" x14ac:dyDescent="0.2">
      <c r="D1003" s="785" t="str">
        <f>Price_List_BA!D370</f>
        <v>Supplies Category 161</v>
      </c>
      <c r="E1003" s="786"/>
      <c r="F1003" s="786"/>
      <c r="G1003" s="786"/>
      <c r="J1003" s="668" t="str">
        <f>Price_List_BA!J370</f>
        <v>SU</v>
      </c>
      <c r="L1003" s="127">
        <f>Price_List_BA!L370</f>
        <v>0</v>
      </c>
    </row>
    <row r="1004" spans="4:12" s="348" customFormat="1" ht="12.75" hidden="1" customHeight="1" outlineLevel="2" x14ac:dyDescent="0.2">
      <c r="D1004" s="785" t="str">
        <f>Price_List_BA!D371</f>
        <v>Supplies Category 162</v>
      </c>
      <c r="E1004" s="786"/>
      <c r="F1004" s="786"/>
      <c r="G1004" s="786"/>
      <c r="J1004" s="668" t="str">
        <f>Price_List_BA!J371</f>
        <v>SU</v>
      </c>
      <c r="L1004" s="127">
        <f>Price_List_BA!L371</f>
        <v>0</v>
      </c>
    </row>
    <row r="1005" spans="4:12" s="348" customFormat="1" ht="12.75" hidden="1" customHeight="1" outlineLevel="2" x14ac:dyDescent="0.2">
      <c r="D1005" s="785" t="str">
        <f>Price_List_BA!D372</f>
        <v>Supplies Category 163</v>
      </c>
      <c r="E1005" s="786"/>
      <c r="F1005" s="786"/>
      <c r="G1005" s="786"/>
      <c r="J1005" s="668" t="str">
        <f>Price_List_BA!J372</f>
        <v>SU</v>
      </c>
      <c r="L1005" s="127">
        <f>Price_List_BA!L372</f>
        <v>0</v>
      </c>
    </row>
    <row r="1006" spans="4:12" s="348" customFormat="1" ht="12.75" hidden="1" customHeight="1" outlineLevel="2" x14ac:dyDescent="0.2">
      <c r="D1006" s="785" t="str">
        <f>Price_List_BA!D373</f>
        <v>Other Supply (Specify)</v>
      </c>
      <c r="E1006" s="786"/>
      <c r="F1006" s="786"/>
      <c r="G1006" s="786"/>
      <c r="J1006" s="668" t="str">
        <f>Price_List_BA!J373</f>
        <v>SU</v>
      </c>
      <c r="L1006" s="127">
        <f>Price_List_BA!L373</f>
        <v>0</v>
      </c>
    </row>
    <row r="1007" spans="4:12" s="348" customFormat="1" ht="12.75" hidden="1" customHeight="1" outlineLevel="2" x14ac:dyDescent="0.2">
      <c r="D1007" s="785" t="str">
        <f>Price_List_BA!D374</f>
        <v>Other Supply (Specify)</v>
      </c>
      <c r="E1007" s="786"/>
      <c r="F1007" s="786"/>
      <c r="G1007" s="786"/>
      <c r="J1007" s="668" t="str">
        <f>Price_List_BA!J374</f>
        <v>SU</v>
      </c>
      <c r="L1007" s="127">
        <f>Price_List_BA!L374</f>
        <v>0</v>
      </c>
    </row>
    <row r="1008" spans="4:12" s="348" customFormat="1" ht="12.75" hidden="1" customHeight="1" outlineLevel="2" x14ac:dyDescent="0.2">
      <c r="D1008" s="785" t="str">
        <f>Price_List_BA!D375</f>
        <v>Other Supply (Specify)</v>
      </c>
      <c r="E1008" s="786"/>
      <c r="F1008" s="786"/>
      <c r="G1008" s="786"/>
      <c r="J1008" s="668" t="str">
        <f>Price_List_BA!J375</f>
        <v>SU</v>
      </c>
      <c r="L1008" s="127">
        <f>Price_List_BA!L375</f>
        <v>0</v>
      </c>
    </row>
    <row r="1009" spans="4:12" s="348" customFormat="1" ht="12.95" hidden="1" customHeight="1" outlineLevel="2" x14ac:dyDescent="0.2">
      <c r="D1009" s="785" t="str">
        <f>Price_List_BA!D376</f>
        <v>Other Supply (Specify)</v>
      </c>
      <c r="E1009" s="786"/>
      <c r="F1009" s="786"/>
      <c r="G1009" s="786"/>
      <c r="J1009" s="668" t="str">
        <f>Price_List_BA!J376</f>
        <v>SU</v>
      </c>
      <c r="L1009" s="127">
        <f>Price_List_BA!L376</f>
        <v>0</v>
      </c>
    </row>
    <row r="1010" spans="4:12" s="348" customFormat="1" hidden="1" outlineLevel="2" x14ac:dyDescent="0.2"/>
    <row r="1011" spans="4:12" s="348" customFormat="1" ht="25.5" hidden="1" outlineLevel="2" x14ac:dyDescent="0.2">
      <c r="D1011" s="667" t="s">
        <v>313</v>
      </c>
      <c r="J1011" s="365" t="str">
        <f>"Cost per Unit ("&amp;$I$774&amp;"/Unit)"</f>
        <v>Cost per Unit (USD/Unit)</v>
      </c>
      <c r="K1011" s="365" t="str">
        <f>"Annual Financial Cost ("&amp;$I$774&amp;"/Unit)"</f>
        <v>Annual Financial Cost (USD/Unit)</v>
      </c>
      <c r="L1011" s="312" t="str">
        <f>"Annual Economic Cost ("&amp;$I$774&amp;"/Unit)"</f>
        <v>Annual Economic Cost (USD/Unit)</v>
      </c>
    </row>
    <row r="1012" spans="4:12" s="348" customFormat="1" ht="12.75" hidden="1" customHeight="1" outlineLevel="2" x14ac:dyDescent="0.2">
      <c r="D1012" s="785" t="str">
        <f>Price_List_BA!D84</f>
        <v>_Not Applicable</v>
      </c>
      <c r="E1012" s="786"/>
      <c r="F1012" s="786"/>
      <c r="G1012" s="786"/>
      <c r="J1012" s="127">
        <f>Price_List_BA!L84</f>
        <v>0</v>
      </c>
      <c r="K1012" s="127">
        <f>Price_List_BA!O84</f>
        <v>0</v>
      </c>
      <c r="L1012" s="127">
        <f>Price_List_BA!P84</f>
        <v>0</v>
      </c>
    </row>
    <row r="1013" spans="4:12" s="348" customFormat="1" ht="12.75" hidden="1" customHeight="1" outlineLevel="2" x14ac:dyDescent="0.2">
      <c r="D1013" s="785" t="str">
        <f>Price_List_BA!D85</f>
        <v>Aluminum pail with lid (TZ)</v>
      </c>
      <c r="E1013" s="786"/>
      <c r="F1013" s="786"/>
      <c r="G1013" s="786"/>
      <c r="J1013" s="127">
        <f>Price_List_BA!L85</f>
        <v>11.25</v>
      </c>
      <c r="K1013" s="127">
        <f>Price_List_BA!O85</f>
        <v>1.125</v>
      </c>
      <c r="L1013" s="127">
        <f>Price_List_BA!P85</f>
        <v>1.3188431993080456</v>
      </c>
    </row>
    <row r="1014" spans="4:12" s="348" customFormat="1" ht="12.75" hidden="1" customHeight="1" outlineLevel="2" x14ac:dyDescent="0.2">
      <c r="D1014" s="785" t="str">
        <f>Price_List_BA!D86</f>
        <v>Autoclaving Machine (ZM)</v>
      </c>
      <c r="E1014" s="786"/>
      <c r="F1014" s="786"/>
      <c r="G1014" s="786"/>
      <c r="J1014" s="127">
        <f>Price_List_BA!L86</f>
        <v>5610</v>
      </c>
      <c r="K1014" s="127">
        <f>Price_List_BA!O86</f>
        <v>2805</v>
      </c>
      <c r="L1014" s="127">
        <f>Price_List_BA!P86</f>
        <v>2931.8467980295582</v>
      </c>
    </row>
    <row r="1015" spans="4:12" s="348" customFormat="1" hidden="1" outlineLevel="2" x14ac:dyDescent="0.2">
      <c r="D1015" s="785" t="str">
        <f>Price_List_BA!D87</f>
        <v>Ball electrode  5mm/Ellman (ZM)</v>
      </c>
      <c r="E1015" s="786"/>
      <c r="F1015" s="786"/>
      <c r="G1015" s="786"/>
      <c r="J1015" s="127">
        <f>Price_List_BA!L87</f>
        <v>37.200000000000003</v>
      </c>
      <c r="K1015" s="127">
        <f>Price_List_BA!O87</f>
        <v>37.200000000000003</v>
      </c>
      <c r="L1015" s="127">
        <f>Price_List_BA!P87</f>
        <v>38.315999999999967</v>
      </c>
    </row>
    <row r="1016" spans="4:12" s="348" customFormat="1" ht="12.75" hidden="1" customHeight="1" outlineLevel="2" x14ac:dyDescent="0.2">
      <c r="D1016" s="785" t="str">
        <f>Price_List_BA!D88</f>
        <v>Basin (for examination couch) (ZM)</v>
      </c>
      <c r="E1016" s="786"/>
      <c r="F1016" s="786"/>
      <c r="G1016" s="786"/>
      <c r="J1016" s="127">
        <f>Price_List_BA!L88</f>
        <v>2</v>
      </c>
      <c r="K1016" s="127">
        <f>Price_List_BA!O88</f>
        <v>1</v>
      </c>
      <c r="L1016" s="127">
        <f>Price_List_BA!P88</f>
        <v>1.0452216748768479</v>
      </c>
    </row>
    <row r="1017" spans="4:12" s="348" customFormat="1" ht="12.75" hidden="1" customHeight="1" outlineLevel="2" x14ac:dyDescent="0.2">
      <c r="D1017" s="785" t="str">
        <f>Price_List_BA!D89</f>
        <v>Battery Charger (ZM)</v>
      </c>
      <c r="E1017" s="786"/>
      <c r="F1017" s="786"/>
      <c r="G1017" s="786"/>
      <c r="J1017" s="127">
        <f>Price_List_BA!L89</f>
        <v>50</v>
      </c>
      <c r="K1017" s="127">
        <f>Price_List_BA!O89</f>
        <v>16.666666666666668</v>
      </c>
      <c r="L1017" s="127">
        <f>Price_List_BA!P89</f>
        <v>17.676518166229901</v>
      </c>
    </row>
    <row r="1018" spans="4:12" s="348" customFormat="1" ht="12.75" hidden="1" customHeight="1" outlineLevel="2" x14ac:dyDescent="0.2">
      <c r="D1018" s="785" t="str">
        <f>Price_List_BA!D90</f>
        <v>Bucket (UG)</v>
      </c>
      <c r="E1018" s="786"/>
      <c r="F1018" s="786"/>
      <c r="G1018" s="786"/>
      <c r="J1018" s="127">
        <f>Price_List_BA!L90</f>
        <v>42.303199999999997</v>
      </c>
      <c r="K1018" s="127">
        <f>Price_List_BA!O90</f>
        <v>4.2303199999999999</v>
      </c>
      <c r="L1018" s="127">
        <f>Price_List_BA!P90</f>
        <v>4.9592255670193879</v>
      </c>
    </row>
    <row r="1019" spans="4:12" s="348" customFormat="1" ht="12.75" hidden="1" customHeight="1" outlineLevel="2" x14ac:dyDescent="0.2">
      <c r="D1019" s="785" t="str">
        <f>Price_List_BA!D91</f>
        <v>Bucket 20Lt plastic with lid (ZM)</v>
      </c>
      <c r="E1019" s="786"/>
      <c r="F1019" s="786"/>
      <c r="G1019" s="786"/>
      <c r="J1019" s="127">
        <f>Price_List_BA!L91</f>
        <v>4</v>
      </c>
      <c r="K1019" s="127">
        <f>Price_List_BA!O91</f>
        <v>0.8</v>
      </c>
      <c r="L1019" s="127">
        <f>Price_List_BA!P91</f>
        <v>0.87341828560230483</v>
      </c>
    </row>
    <row r="1020" spans="4:12" s="348" customFormat="1" ht="12.95" hidden="1" customHeight="1" outlineLevel="2" x14ac:dyDescent="0.2">
      <c r="D1020" s="785" t="str">
        <f>Price_List_BA!D92</f>
        <v>Camera Rechargeable batteries ( set of 6) (ZM)</v>
      </c>
      <c r="E1020" s="786"/>
      <c r="F1020" s="786"/>
      <c r="G1020" s="786"/>
      <c r="J1020" s="127">
        <f>Price_List_BA!L92</f>
        <v>20</v>
      </c>
      <c r="K1020" s="127">
        <f>Price_List_BA!O92</f>
        <v>2</v>
      </c>
      <c r="L1020" s="127">
        <f>Price_List_BA!P92</f>
        <v>2.3446101321031922</v>
      </c>
    </row>
    <row r="1021" spans="4:12" s="348" customFormat="1" ht="12.75" hidden="1" customHeight="1" outlineLevel="2" x14ac:dyDescent="0.2">
      <c r="D1021" s="785" t="str">
        <f>Price_List_BA!D93</f>
        <v>Card Reader (ZM)</v>
      </c>
      <c r="E1021" s="786"/>
      <c r="F1021" s="786"/>
      <c r="G1021" s="786"/>
      <c r="J1021" s="127">
        <f>Price_List_BA!L93</f>
        <v>40</v>
      </c>
      <c r="K1021" s="127">
        <f>Price_List_BA!O93</f>
        <v>20</v>
      </c>
      <c r="L1021" s="127">
        <f>Price_List_BA!P93</f>
        <v>20.904433497536957</v>
      </c>
    </row>
    <row r="1022" spans="4:12" s="348" customFormat="1" ht="12.75" hidden="1" customHeight="1" outlineLevel="2" x14ac:dyDescent="0.2">
      <c r="D1022" s="785" t="str">
        <f>Price_List_BA!D94</f>
        <v>CareHPV Machine (kit set) (ZM)</v>
      </c>
      <c r="E1022" s="786"/>
      <c r="F1022" s="786"/>
      <c r="G1022" s="786"/>
      <c r="J1022" s="127">
        <f>Price_List_BA!L94</f>
        <v>150</v>
      </c>
      <c r="K1022" s="127">
        <f>Price_List_BA!O94</f>
        <v>16.666666666666668</v>
      </c>
      <c r="L1022" s="127">
        <f>Price_List_BA!P94</f>
        <v>19.265078552715515</v>
      </c>
    </row>
    <row r="1023" spans="4:12" s="348" customFormat="1" ht="12.75" hidden="1" customHeight="1" outlineLevel="2" x14ac:dyDescent="0.2">
      <c r="D1023" s="785" t="str">
        <f>Price_List_BA!D95</f>
        <v>CareHPV Machine (kit)  (TZ)</v>
      </c>
      <c r="E1023" s="786"/>
      <c r="F1023" s="786"/>
      <c r="G1023" s="786"/>
      <c r="J1023" s="127">
        <f>Price_List_BA!L95</f>
        <v>1000</v>
      </c>
      <c r="K1023" s="127">
        <f>Price_List_BA!O95</f>
        <v>500</v>
      </c>
      <c r="L1023" s="127">
        <f>Price_List_BA!P95</f>
        <v>522.61083743842391</v>
      </c>
    </row>
    <row r="1024" spans="4:12" s="348" customFormat="1" ht="12.75" hidden="1" customHeight="1" outlineLevel="2" x14ac:dyDescent="0.2">
      <c r="D1024" s="785" t="str">
        <f>Price_List_BA!D96</f>
        <v>Cauterizer (ZM)</v>
      </c>
      <c r="E1024" s="786"/>
      <c r="F1024" s="786"/>
      <c r="G1024" s="786"/>
      <c r="J1024" s="127">
        <f>Price_List_BA!L96</f>
        <v>100</v>
      </c>
      <c r="K1024" s="127">
        <f>Price_List_BA!O96</f>
        <v>10</v>
      </c>
      <c r="L1024" s="127">
        <f>Price_List_BA!P96</f>
        <v>11.723050660515961</v>
      </c>
    </row>
    <row r="1025" spans="4:12" s="348" customFormat="1" ht="12.75" hidden="1" customHeight="1" outlineLevel="2" x14ac:dyDescent="0.2">
      <c r="D1025" s="785" t="str">
        <f>Price_List_BA!D97</f>
        <v>Cauterizer  (TZ)</v>
      </c>
      <c r="E1025" s="786"/>
      <c r="F1025" s="786"/>
      <c r="G1025" s="786"/>
      <c r="J1025" s="127">
        <f>Price_List_BA!L97</f>
        <v>18.75</v>
      </c>
      <c r="K1025" s="127">
        <f>Price_List_BA!O97</f>
        <v>3.75</v>
      </c>
      <c r="L1025" s="127">
        <f>Price_List_BA!P97</f>
        <v>4.0941482137608034</v>
      </c>
    </row>
    <row r="1026" spans="4:12" s="348" customFormat="1" hidden="1" outlineLevel="2" x14ac:dyDescent="0.2">
      <c r="D1026" s="785" t="str">
        <f>Price_List_BA!D98</f>
        <v>Cervical Cold Coagulator with Instrument Cable and Therapy Probe (ZM)</v>
      </c>
      <c r="E1026" s="786"/>
      <c r="F1026" s="786"/>
      <c r="G1026" s="786"/>
      <c r="J1026" s="127">
        <f>Price_List_BA!L98</f>
        <v>2367</v>
      </c>
      <c r="K1026" s="127">
        <f>Price_List_BA!O98</f>
        <v>473.4</v>
      </c>
      <c r="L1026" s="127">
        <f>Price_List_BA!P98</f>
        <v>516.84527050516385</v>
      </c>
    </row>
    <row r="1027" spans="4:12" s="348" customFormat="1" ht="12.75" hidden="1" customHeight="1" outlineLevel="2" x14ac:dyDescent="0.2">
      <c r="D1027" s="785" t="str">
        <f>Price_List_BA!D99</f>
        <v>Chair (ZM)</v>
      </c>
      <c r="E1027" s="786"/>
      <c r="F1027" s="786"/>
      <c r="G1027" s="786"/>
      <c r="J1027" s="127">
        <f>Price_List_BA!L99</f>
        <v>80</v>
      </c>
      <c r="K1027" s="127">
        <f>Price_List_BA!O99</f>
        <v>20</v>
      </c>
      <c r="L1027" s="127">
        <f>Price_List_BA!P99</f>
        <v>21.522163615446605</v>
      </c>
    </row>
    <row r="1028" spans="4:12" s="348" customFormat="1" ht="12.75" hidden="1" customHeight="1" outlineLevel="2" x14ac:dyDescent="0.2">
      <c r="D1028" s="785" t="str">
        <f>Price_List_BA!D100</f>
        <v>Cheetal forceps (UG)</v>
      </c>
      <c r="E1028" s="786"/>
      <c r="F1028" s="786"/>
      <c r="G1028" s="786"/>
      <c r="J1028" s="127">
        <f>Price_List_BA!L100</f>
        <v>8.1560000000000006</v>
      </c>
      <c r="K1028" s="127">
        <f>Price_List_BA!O100</f>
        <v>4.0780000000000003</v>
      </c>
      <c r="L1028" s="127">
        <f>Price_List_BA!P100</f>
        <v>4.2624139901477864</v>
      </c>
    </row>
    <row r="1029" spans="4:12" s="348" customFormat="1" ht="12.75" hidden="1" customHeight="1" outlineLevel="2" x14ac:dyDescent="0.2">
      <c r="D1029" s="785" t="str">
        <f>Price_List_BA!D101</f>
        <v>Colposcope (set) (ZM)</v>
      </c>
      <c r="E1029" s="786"/>
      <c r="F1029" s="786"/>
      <c r="G1029" s="786"/>
      <c r="J1029" s="127">
        <f>Price_List_BA!L101</f>
        <v>10000</v>
      </c>
      <c r="K1029" s="127">
        <f>Price_List_BA!O101</f>
        <v>1428.5714285714287</v>
      </c>
      <c r="L1029" s="127">
        <f>Price_List_BA!P101</f>
        <v>1605.0635375427203</v>
      </c>
    </row>
    <row r="1030" spans="4:12" s="348" customFormat="1" ht="12.75" hidden="1" customHeight="1" outlineLevel="2" x14ac:dyDescent="0.2">
      <c r="D1030" s="785" t="str">
        <f>Price_List_BA!D102</f>
        <v>Colposcope (UG)</v>
      </c>
      <c r="E1030" s="786"/>
      <c r="F1030" s="786"/>
      <c r="G1030" s="786"/>
      <c r="J1030" s="127">
        <f>Price_List_BA!L102</f>
        <v>3100</v>
      </c>
      <c r="K1030" s="127">
        <f>Price_List_BA!O102</f>
        <v>620</v>
      </c>
      <c r="L1030" s="127">
        <f>Price_List_BA!P102</f>
        <v>676.8991713417862</v>
      </c>
    </row>
    <row r="1031" spans="4:12" s="348" customFormat="1" ht="12.95" hidden="1" customHeight="1" outlineLevel="2" x14ac:dyDescent="0.2">
      <c r="D1031" s="785" t="str">
        <f>Price_List_BA!D103</f>
        <v>Colposcopy equipment (TZ)</v>
      </c>
      <c r="E1031" s="786"/>
      <c r="F1031" s="786"/>
      <c r="G1031" s="786"/>
      <c r="J1031" s="127">
        <f>Price_List_BA!L103</f>
        <v>6250</v>
      </c>
      <c r="K1031" s="127">
        <f>Price_List_BA!O103</f>
        <v>625</v>
      </c>
      <c r="L1031" s="127">
        <f>Price_List_BA!P103</f>
        <v>732.69066628224755</v>
      </c>
    </row>
    <row r="1032" spans="4:12" s="348" customFormat="1" ht="12.95" hidden="1" customHeight="1" outlineLevel="2" x14ac:dyDescent="0.2">
      <c r="D1032" s="785" t="str">
        <f>Price_List_BA!D104</f>
        <v>Cryotherapy unit (UG)</v>
      </c>
      <c r="E1032" s="786"/>
      <c r="F1032" s="786"/>
      <c r="G1032" s="786"/>
      <c r="J1032" s="127">
        <f>Price_List_BA!L104</f>
        <v>1091</v>
      </c>
      <c r="K1032" s="127">
        <f>Price_List_BA!O104</f>
        <v>218.2</v>
      </c>
      <c r="L1032" s="127">
        <f>Price_List_BA!P104</f>
        <v>238.22483739802863</v>
      </c>
    </row>
    <row r="1033" spans="4:12" s="348" customFormat="1" ht="12.95" hidden="1" customHeight="1" outlineLevel="2" x14ac:dyDescent="0.2">
      <c r="D1033" s="785" t="str">
        <f>Price_List_BA!D105</f>
        <v>Cryotherapy Unit with cryotips (set) (ZM)</v>
      </c>
      <c r="E1033" s="786"/>
      <c r="F1033" s="786"/>
      <c r="G1033" s="786"/>
      <c r="J1033" s="127">
        <f>Price_List_BA!L105</f>
        <v>500</v>
      </c>
      <c r="K1033" s="127">
        <f>Price_List_BA!O105</f>
        <v>125</v>
      </c>
      <c r="L1033" s="127">
        <f>Price_List_BA!P105</f>
        <v>134.51352259654129</v>
      </c>
    </row>
    <row r="1034" spans="4:12" s="348" customFormat="1" ht="12.95" hidden="1" customHeight="1" outlineLevel="2" x14ac:dyDescent="0.2">
      <c r="D1034" s="785" t="str">
        <f>Price_List_BA!D106</f>
        <v>Cryotherapy Unit with cryotips (TZ)</v>
      </c>
      <c r="E1034" s="786"/>
      <c r="F1034" s="786"/>
      <c r="G1034" s="786"/>
      <c r="J1034" s="127">
        <f>Price_List_BA!L106</f>
        <v>1875</v>
      </c>
      <c r="K1034" s="127">
        <f>Price_List_BA!O106</f>
        <v>187.5</v>
      </c>
      <c r="L1034" s="127">
        <f>Price_List_BA!P106</f>
        <v>219.80719988467428</v>
      </c>
    </row>
    <row r="1035" spans="4:12" s="348" customFormat="1" ht="12.95" hidden="1" customHeight="1" outlineLevel="2" x14ac:dyDescent="0.2">
      <c r="D1035" s="785" t="str">
        <f>Price_List_BA!D107</f>
        <v>Digital Camera (ZM)</v>
      </c>
      <c r="E1035" s="786"/>
      <c r="F1035" s="786"/>
      <c r="G1035" s="786"/>
      <c r="J1035" s="127">
        <f>Price_List_BA!L107</f>
        <v>700</v>
      </c>
      <c r="K1035" s="127">
        <f>Price_List_BA!O107</f>
        <v>77.777777777777771</v>
      </c>
      <c r="L1035" s="127">
        <f>Price_List_BA!P107</f>
        <v>89.903699912672408</v>
      </c>
    </row>
    <row r="1036" spans="4:12" s="348" customFormat="1" ht="12.95" hidden="1" customHeight="1" outlineLevel="2" x14ac:dyDescent="0.2">
      <c r="D1036" s="785" t="str">
        <f>Price_List_BA!D108</f>
        <v>Dissecting forceps – 12.5 cm  (TZ)</v>
      </c>
      <c r="E1036" s="786"/>
      <c r="F1036" s="786"/>
      <c r="G1036" s="786"/>
      <c r="J1036" s="127">
        <f>Price_List_BA!L108</f>
        <v>5.8125</v>
      </c>
      <c r="K1036" s="127">
        <f>Price_List_BA!O108</f>
        <v>0.64583333333333337</v>
      </c>
      <c r="L1036" s="127">
        <f>Price_List_BA!P108</f>
        <v>0.74652179391772622</v>
      </c>
    </row>
    <row r="1037" spans="4:12" s="348" customFormat="1" ht="12.95" hidden="1" customHeight="1" outlineLevel="2" x14ac:dyDescent="0.2">
      <c r="D1037" s="785" t="str">
        <f>Price_List_BA!D109</f>
        <v>Doctor's Stool (ZM)</v>
      </c>
      <c r="E1037" s="786"/>
      <c r="F1037" s="786"/>
      <c r="G1037" s="786"/>
      <c r="J1037" s="127">
        <f>Price_List_BA!L109</f>
        <v>100</v>
      </c>
      <c r="K1037" s="127">
        <f>Price_List_BA!O109</f>
        <v>16.666666666666668</v>
      </c>
      <c r="L1037" s="127">
        <f>Price_List_BA!P109</f>
        <v>18.459750045017728</v>
      </c>
    </row>
    <row r="1038" spans="4:12" s="348" customFormat="1" ht="12.95" hidden="1" customHeight="1" outlineLevel="2" x14ac:dyDescent="0.2">
      <c r="D1038" s="785" t="str">
        <f>Price_List_BA!D110</f>
        <v>Endocervical speculum  (UG)</v>
      </c>
      <c r="E1038" s="786"/>
      <c r="F1038" s="786"/>
      <c r="G1038" s="786"/>
      <c r="J1038" s="127">
        <f>Price_List_BA!L110</f>
        <v>100</v>
      </c>
      <c r="K1038" s="127">
        <f>Price_List_BA!O110</f>
        <v>50</v>
      </c>
      <c r="L1038" s="127">
        <f>Price_List_BA!P110</f>
        <v>52.261083743842391</v>
      </c>
    </row>
    <row r="1039" spans="4:12" s="348" customFormat="1" ht="12.95" hidden="1" customHeight="1" outlineLevel="2" x14ac:dyDescent="0.2">
      <c r="D1039" s="785" t="str">
        <f>Price_List_BA!D111</f>
        <v>Examination bed (UG)</v>
      </c>
      <c r="E1039" s="786"/>
      <c r="F1039" s="786"/>
      <c r="G1039" s="786"/>
      <c r="J1039" s="127">
        <f>Price_List_BA!L111</f>
        <v>197.1369</v>
      </c>
      <c r="K1039" s="127">
        <f>Price_List_BA!O111</f>
        <v>39.427379999999999</v>
      </c>
      <c r="L1039" s="127">
        <f>Price_List_BA!P111</f>
        <v>43.045743306738252</v>
      </c>
    </row>
    <row r="1040" spans="4:12" s="348" customFormat="1" ht="12.95" hidden="1" customHeight="1" outlineLevel="2" x14ac:dyDescent="0.2">
      <c r="D1040" s="785" t="str">
        <f>Price_List_BA!D112</f>
        <v>Examination couch (with Stirrups) (ZM)</v>
      </c>
      <c r="E1040" s="786"/>
      <c r="F1040" s="786"/>
      <c r="G1040" s="786"/>
      <c r="J1040" s="127">
        <f>Price_List_BA!L112</f>
        <v>446.5</v>
      </c>
      <c r="K1040" s="127">
        <f>Price_List_BA!O112</f>
        <v>89.3</v>
      </c>
      <c r="L1040" s="127">
        <f>Price_List_BA!P112</f>
        <v>97.495316130357267</v>
      </c>
    </row>
    <row r="1041" spans="4:12" s="348" customFormat="1" ht="12.95" hidden="1" customHeight="1" outlineLevel="2" x14ac:dyDescent="0.2">
      <c r="D1041" s="785" t="str">
        <f>Price_List_BA!D113</f>
        <v>Examination light (Halogen, no bulb) (ZM)</v>
      </c>
      <c r="E1041" s="786"/>
      <c r="F1041" s="786"/>
      <c r="G1041" s="786"/>
      <c r="J1041" s="127">
        <f>Price_List_BA!L113</f>
        <v>370</v>
      </c>
      <c r="K1041" s="127">
        <f>Price_List_BA!O113</f>
        <v>61.666666666666664</v>
      </c>
      <c r="L1041" s="127">
        <f>Price_List_BA!P113</f>
        <v>68.301075166565596</v>
      </c>
    </row>
    <row r="1042" spans="4:12" s="348" customFormat="1" ht="12.75" hidden="1" customHeight="1" outlineLevel="2" x14ac:dyDescent="0.2">
      <c r="D1042" s="785" t="str">
        <f>Price_List_BA!D114</f>
        <v>Examination light source  (TZ)</v>
      </c>
      <c r="E1042" s="786"/>
      <c r="F1042" s="786"/>
      <c r="G1042" s="786"/>
      <c r="J1042" s="127">
        <f>Price_List_BA!L114</f>
        <v>40.625</v>
      </c>
      <c r="K1042" s="127">
        <f>Price_List_BA!O114</f>
        <v>8.125</v>
      </c>
      <c r="L1042" s="127">
        <f>Price_List_BA!P114</f>
        <v>8.8706544631484086</v>
      </c>
    </row>
    <row r="1043" spans="4:12" s="348" customFormat="1" ht="12.75" hidden="1" customHeight="1" outlineLevel="2" x14ac:dyDescent="0.2">
      <c r="D1043" s="785" t="str">
        <f>Price_List_BA!D115</f>
        <v>Examination light source (Halogen) with bulb (set) (ZM)</v>
      </c>
      <c r="E1043" s="786"/>
      <c r="F1043" s="786"/>
      <c r="G1043" s="786"/>
      <c r="J1043" s="127">
        <f>Price_List_BA!L115</f>
        <v>430</v>
      </c>
      <c r="K1043" s="127">
        <f>Price_List_BA!O115</f>
        <v>86</v>
      </c>
      <c r="L1043" s="127">
        <f>Price_List_BA!P115</f>
        <v>93.892465702247762</v>
      </c>
    </row>
    <row r="1044" spans="4:12" s="348" customFormat="1" ht="12.75" hidden="1" customHeight="1" outlineLevel="2" x14ac:dyDescent="0.2">
      <c r="D1044" s="785" t="str">
        <f>Price_List_BA!D116</f>
        <v>Examination table (UG)</v>
      </c>
      <c r="E1044" s="786"/>
      <c r="F1044" s="786"/>
      <c r="G1044" s="786"/>
      <c r="J1044" s="127">
        <f>Price_List_BA!L116</f>
        <v>197.1369</v>
      </c>
      <c r="K1044" s="127">
        <f>Price_List_BA!O116</f>
        <v>39.427379999999999</v>
      </c>
      <c r="L1044" s="127">
        <f>Price_List_BA!P116</f>
        <v>43.045743306738252</v>
      </c>
    </row>
    <row r="1045" spans="4:12" s="348" customFormat="1" ht="12.75" hidden="1" customHeight="1" outlineLevel="2" x14ac:dyDescent="0.2">
      <c r="D1045" s="785" t="str">
        <f>Price_List_BA!D117</f>
        <v>Filing Cabinet (ZM)</v>
      </c>
      <c r="E1045" s="786"/>
      <c r="F1045" s="786"/>
      <c r="G1045" s="786"/>
      <c r="J1045" s="127">
        <f>Price_List_BA!L117</f>
        <v>354</v>
      </c>
      <c r="K1045" s="127">
        <f>Price_List_BA!O117</f>
        <v>35.4</v>
      </c>
      <c r="L1045" s="127">
        <f>Price_List_BA!P117</f>
        <v>41.499599338226503</v>
      </c>
    </row>
    <row r="1046" spans="4:12" s="348" customFormat="1" ht="12.75" hidden="1" customHeight="1" outlineLevel="2" x14ac:dyDescent="0.2">
      <c r="D1046" s="785" t="str">
        <f>Price_List_BA!D118</f>
        <v>Forceps (UG)</v>
      </c>
      <c r="E1046" s="786"/>
      <c r="F1046" s="786"/>
      <c r="G1046" s="786"/>
      <c r="J1046" s="127">
        <f>Price_List_BA!L118</f>
        <v>8.1560000000000006</v>
      </c>
      <c r="K1046" s="127">
        <f>Price_List_BA!O118</f>
        <v>1.6312000000000002</v>
      </c>
      <c r="L1046" s="127">
        <f>Price_List_BA!P118</f>
        <v>1.7808998843430996</v>
      </c>
    </row>
    <row r="1047" spans="4:12" s="348" customFormat="1" ht="12.75" hidden="1" customHeight="1" outlineLevel="2" x14ac:dyDescent="0.2">
      <c r="D1047" s="785" t="str">
        <f>Price_List_BA!D119</f>
        <v>Forceps Babcocks  (ZM)</v>
      </c>
      <c r="E1047" s="786"/>
      <c r="F1047" s="786"/>
      <c r="G1047" s="786"/>
      <c r="J1047" s="127">
        <f>Price_List_BA!L119</f>
        <v>13</v>
      </c>
      <c r="K1047" s="127">
        <f>Price_List_BA!O119</f>
        <v>1.4444444444444444</v>
      </c>
      <c r="L1047" s="127">
        <f>Price_List_BA!P119</f>
        <v>1.6696401412353445</v>
      </c>
    </row>
    <row r="1048" spans="4:12" s="348" customFormat="1" ht="12.75" hidden="1" customHeight="1" outlineLevel="2" x14ac:dyDescent="0.2">
      <c r="D1048" s="785" t="str">
        <f>Price_List_BA!D120</f>
        <v>Forceps tissue - babcocks  (TZ)</v>
      </c>
      <c r="E1048" s="786"/>
      <c r="F1048" s="786"/>
      <c r="G1048" s="786"/>
      <c r="J1048" s="127">
        <f>Price_List_BA!L120</f>
        <v>3.75</v>
      </c>
      <c r="K1048" s="127">
        <f>Price_List_BA!O120</f>
        <v>0.75</v>
      </c>
      <c r="L1048" s="127">
        <f>Price_List_BA!P120</f>
        <v>0.81882964275216075</v>
      </c>
    </row>
    <row r="1049" spans="4:12" s="348" customFormat="1" ht="12.75" hidden="1" customHeight="1" outlineLevel="2" x14ac:dyDescent="0.2">
      <c r="D1049" s="785" t="str">
        <f>Price_List_BA!D121</f>
        <v>Forceps tissue - long  (TZ)</v>
      </c>
      <c r="E1049" s="786"/>
      <c r="F1049" s="786"/>
      <c r="G1049" s="786"/>
      <c r="J1049" s="127">
        <f>Price_List_BA!L121</f>
        <v>8.75</v>
      </c>
      <c r="K1049" s="127">
        <f>Price_List_BA!O121</f>
        <v>1.75</v>
      </c>
      <c r="L1049" s="127">
        <f>Price_List_BA!P121</f>
        <v>1.9106024997550417</v>
      </c>
    </row>
    <row r="1050" spans="4:12" s="348" customFormat="1" ht="12.75" hidden="1" customHeight="1" outlineLevel="2" x14ac:dyDescent="0.2">
      <c r="D1050" s="785" t="str">
        <f>Price_List_BA!D122</f>
        <v>Forceps tissue- litlewoods 19 cm  (TZ)</v>
      </c>
      <c r="E1050" s="786"/>
      <c r="F1050" s="786"/>
      <c r="G1050" s="786"/>
      <c r="J1050" s="127">
        <f>Price_List_BA!L122</f>
        <v>10.625</v>
      </c>
      <c r="K1050" s="127">
        <f>Price_List_BA!O122</f>
        <v>2.125</v>
      </c>
      <c r="L1050" s="127">
        <f>Price_List_BA!P122</f>
        <v>2.3200173211311221</v>
      </c>
    </row>
    <row r="1051" spans="4:12" s="348" customFormat="1" ht="12.75" hidden="1" customHeight="1" outlineLevel="2" x14ac:dyDescent="0.2">
      <c r="D1051" s="785" t="str">
        <f>Price_List_BA!D123</f>
        <v>Forceps, Cheetal (ZM)</v>
      </c>
      <c r="E1051" s="786"/>
      <c r="F1051" s="786"/>
      <c r="G1051" s="786"/>
      <c r="J1051" s="127">
        <f>Price_List_BA!L123</f>
        <v>15</v>
      </c>
      <c r="K1051" s="127">
        <f>Price_List_BA!O123</f>
        <v>3.75</v>
      </c>
      <c r="L1051" s="127">
        <f>Price_List_BA!P123</f>
        <v>4.0354056778962386</v>
      </c>
    </row>
    <row r="1052" spans="4:12" s="348" customFormat="1" ht="12.75" hidden="1" customHeight="1" outlineLevel="2" x14ac:dyDescent="0.2">
      <c r="D1052" s="785" t="str">
        <f>Price_List_BA!D124</f>
        <v>Forceps, Dissecting - 12.5 cm (ZM)</v>
      </c>
      <c r="E1052" s="786"/>
      <c r="F1052" s="786"/>
      <c r="G1052" s="786"/>
      <c r="J1052" s="127">
        <f>Price_List_BA!L124</f>
        <v>16.899999999999999</v>
      </c>
      <c r="K1052" s="127">
        <f>Price_List_BA!O124</f>
        <v>1.8777777777777775</v>
      </c>
      <c r="L1052" s="127">
        <f>Price_List_BA!P124</f>
        <v>2.1705321836059479</v>
      </c>
    </row>
    <row r="1053" spans="4:12" s="348" customFormat="1" ht="12.75" hidden="1" customHeight="1" outlineLevel="2" x14ac:dyDescent="0.2">
      <c r="D1053" s="785" t="str">
        <f>Price_List_BA!D125</f>
        <v>Forceps, Littlewoods 19 cm (ZM)</v>
      </c>
      <c r="E1053" s="786"/>
      <c r="F1053" s="786"/>
      <c r="G1053" s="786"/>
      <c r="J1053" s="127">
        <f>Price_List_BA!L125</f>
        <v>17</v>
      </c>
      <c r="K1053" s="127">
        <f>Price_List_BA!O125</f>
        <v>8.5</v>
      </c>
      <c r="L1053" s="127">
        <f>Price_List_BA!P125</f>
        <v>8.884384236453208</v>
      </c>
    </row>
    <row r="1054" spans="4:12" s="348" customFormat="1" ht="12.75" hidden="1" customHeight="1" outlineLevel="2" x14ac:dyDescent="0.2">
      <c r="D1054" s="785" t="str">
        <f>Price_List_BA!D126</f>
        <v>Forceps, Long  (ZM)</v>
      </c>
      <c r="E1054" s="786"/>
      <c r="F1054" s="786"/>
      <c r="G1054" s="786"/>
      <c r="J1054" s="127">
        <f>Price_List_BA!L126</f>
        <v>15</v>
      </c>
      <c r="K1054" s="127">
        <f>Price_List_BA!O126</f>
        <v>2.5</v>
      </c>
      <c r="L1054" s="127">
        <f>Price_List_BA!P126</f>
        <v>2.7689625067526591</v>
      </c>
    </row>
    <row r="1055" spans="4:12" s="348" customFormat="1" ht="12.75" hidden="1" customHeight="1" outlineLevel="2" x14ac:dyDescent="0.2">
      <c r="D1055" s="785" t="str">
        <f>Price_List_BA!D127</f>
        <v>Forceps, ovum (ZM)</v>
      </c>
      <c r="E1055" s="786"/>
      <c r="F1055" s="786"/>
      <c r="G1055" s="786"/>
      <c r="J1055" s="127">
        <f>Price_List_BA!L127</f>
        <v>15</v>
      </c>
      <c r="K1055" s="127">
        <f>Price_List_BA!O127</f>
        <v>2.5</v>
      </c>
      <c r="L1055" s="127">
        <f>Price_List_BA!P127</f>
        <v>2.7689625067526591</v>
      </c>
    </row>
    <row r="1056" spans="4:12" s="348" customFormat="1" ht="12.75" hidden="1" customHeight="1" outlineLevel="2" x14ac:dyDescent="0.2">
      <c r="D1056" s="785" t="str">
        <f>Price_List_BA!D128</f>
        <v>Forceps, ovum  (TZ)</v>
      </c>
      <c r="E1056" s="786"/>
      <c r="F1056" s="786"/>
      <c r="G1056" s="786"/>
      <c r="J1056" s="127">
        <f>Price_List_BA!L128</f>
        <v>3.4375</v>
      </c>
      <c r="K1056" s="127">
        <f>Price_List_BA!O128</f>
        <v>0.6875</v>
      </c>
      <c r="L1056" s="127">
        <f>Price_List_BA!P128</f>
        <v>0.75059383918948064</v>
      </c>
    </row>
    <row r="1057" spans="4:12" s="348" customFormat="1" ht="12.75" hidden="1" customHeight="1" outlineLevel="2" x14ac:dyDescent="0.2">
      <c r="D1057" s="785" t="str">
        <f>Price_List_BA!D129</f>
        <v>Forceps, Punch biopsy (ZM)</v>
      </c>
      <c r="E1057" s="786"/>
      <c r="F1057" s="786"/>
      <c r="G1057" s="786"/>
      <c r="J1057" s="127">
        <f>Price_List_BA!L129</f>
        <v>15</v>
      </c>
      <c r="K1057" s="127">
        <f>Price_List_BA!O129</f>
        <v>3.75</v>
      </c>
      <c r="L1057" s="127">
        <f>Price_List_BA!P129</f>
        <v>4.0354056778962386</v>
      </c>
    </row>
    <row r="1058" spans="4:12" s="348" customFormat="1" ht="12.75" hidden="1" customHeight="1" outlineLevel="2" x14ac:dyDescent="0.2">
      <c r="D1058" s="785" t="str">
        <f>Price_List_BA!D130</f>
        <v>Forceps, punch biopsy (TZ)</v>
      </c>
      <c r="E1058" s="786"/>
      <c r="F1058" s="786"/>
      <c r="G1058" s="786"/>
      <c r="J1058" s="127">
        <f>Price_List_BA!L130</f>
        <v>37.5</v>
      </c>
      <c r="K1058" s="127">
        <f>Price_List_BA!O130</f>
        <v>7.5</v>
      </c>
      <c r="L1058" s="127">
        <f>Price_List_BA!P130</f>
        <v>8.1882964275216068</v>
      </c>
    </row>
    <row r="1059" spans="4:12" s="348" customFormat="1" ht="12.75" hidden="1" customHeight="1" outlineLevel="2" x14ac:dyDescent="0.2">
      <c r="D1059" s="785" t="str">
        <f>Price_List_BA!D131</f>
        <v>Forceps, Sponge holder (ZM)</v>
      </c>
      <c r="E1059" s="786"/>
      <c r="F1059" s="786"/>
      <c r="G1059" s="786"/>
      <c r="J1059" s="127">
        <f>Price_List_BA!L131</f>
        <v>12</v>
      </c>
      <c r="K1059" s="127">
        <f>Price_List_BA!O131</f>
        <v>1.5</v>
      </c>
      <c r="L1059" s="127">
        <f>Price_List_BA!P131</f>
        <v>1.709476665926871</v>
      </c>
    </row>
    <row r="1060" spans="4:12" s="348" customFormat="1" ht="12.75" hidden="1" customHeight="1" outlineLevel="2" x14ac:dyDescent="0.2">
      <c r="D1060" s="785" t="str">
        <f>Price_List_BA!D132</f>
        <v>Forceps, sponge holder  (TZ)</v>
      </c>
      <c r="E1060" s="786"/>
      <c r="F1060" s="786"/>
      <c r="G1060" s="786"/>
      <c r="J1060" s="127">
        <f>Price_List_BA!L132</f>
        <v>3.4375</v>
      </c>
      <c r="K1060" s="127">
        <f>Price_List_BA!O132</f>
        <v>0.6875</v>
      </c>
      <c r="L1060" s="127">
        <f>Price_List_BA!P132</f>
        <v>0.75059383918948064</v>
      </c>
    </row>
    <row r="1061" spans="4:12" s="348" customFormat="1" ht="12.75" hidden="1" customHeight="1" outlineLevel="2" x14ac:dyDescent="0.2">
      <c r="D1061" s="785" t="str">
        <f>Price_List_BA!D133</f>
        <v>Gallipot (ZM)</v>
      </c>
      <c r="E1061" s="786"/>
      <c r="F1061" s="786"/>
      <c r="G1061" s="786"/>
      <c r="J1061" s="127">
        <f>Price_List_BA!L133</f>
        <v>10</v>
      </c>
      <c r="K1061" s="127">
        <f>Price_List_BA!O133</f>
        <v>1.1111111111111112</v>
      </c>
      <c r="L1061" s="127">
        <f>Price_List_BA!P133</f>
        <v>1.2843385701810344</v>
      </c>
    </row>
    <row r="1062" spans="4:12" s="348" customFormat="1" ht="12.75" hidden="1" customHeight="1" outlineLevel="2" x14ac:dyDescent="0.2">
      <c r="D1062" s="785" t="str">
        <f>Price_List_BA!D134</f>
        <v>Gallipot (UG)</v>
      </c>
      <c r="E1062" s="786"/>
      <c r="F1062" s="786"/>
      <c r="G1062" s="786"/>
      <c r="J1062" s="127">
        <f>Price_List_BA!L134</f>
        <v>3.9441999999999999</v>
      </c>
      <c r="K1062" s="127">
        <f>Price_List_BA!O134</f>
        <v>0.78883999999999999</v>
      </c>
      <c r="L1062" s="127">
        <f>Price_List_BA!P134</f>
        <v>0.86123410051815263</v>
      </c>
    </row>
    <row r="1063" spans="4:12" s="348" customFormat="1" ht="12.75" hidden="1" customHeight="1" outlineLevel="2" x14ac:dyDescent="0.2">
      <c r="D1063" s="785" t="str">
        <f>Price_List_BA!D135</f>
        <v>Gas cylinder adaptor (ZM)</v>
      </c>
      <c r="E1063" s="786"/>
      <c r="F1063" s="786"/>
      <c r="G1063" s="786"/>
      <c r="J1063" s="127">
        <f>Price_List_BA!L135</f>
        <v>15</v>
      </c>
      <c r="K1063" s="127">
        <f>Price_List_BA!O135</f>
        <v>1.875</v>
      </c>
      <c r="L1063" s="127">
        <f>Price_List_BA!P135</f>
        <v>2.1368458324085888</v>
      </c>
    </row>
    <row r="1064" spans="4:12" s="348" customFormat="1" ht="12.75" hidden="1" customHeight="1" outlineLevel="2" x14ac:dyDescent="0.2">
      <c r="D1064" s="785" t="str">
        <f>Price_List_BA!D136</f>
        <v>Gas cylinder adaptor  (TZ)</v>
      </c>
      <c r="E1064" s="786"/>
      <c r="F1064" s="786"/>
      <c r="G1064" s="786"/>
      <c r="J1064" s="127">
        <f>Price_List_BA!L136</f>
        <v>82.5</v>
      </c>
      <c r="K1064" s="127">
        <f>Price_List_BA!O136</f>
        <v>8.25</v>
      </c>
      <c r="L1064" s="127">
        <f>Price_List_BA!P136</f>
        <v>9.6715167949256688</v>
      </c>
    </row>
    <row r="1065" spans="4:12" s="348" customFormat="1" ht="12.75" hidden="1" customHeight="1" outlineLevel="2" x14ac:dyDescent="0.2">
      <c r="D1065" s="785" t="str">
        <f>Price_List_BA!D137</f>
        <v>Gynecological examination bed  (TZ)</v>
      </c>
      <c r="E1065" s="786"/>
      <c r="F1065" s="786"/>
      <c r="G1065" s="786"/>
      <c r="J1065" s="127">
        <f>Price_List_BA!L137</f>
        <v>346.875</v>
      </c>
      <c r="K1065" s="127">
        <f>Price_List_BA!O137</f>
        <v>173.4375</v>
      </c>
      <c r="L1065" s="127">
        <f>Price_List_BA!P137</f>
        <v>181.2806342364533</v>
      </c>
    </row>
    <row r="1066" spans="4:12" s="348" customFormat="1" ht="12.75" hidden="1" customHeight="1" outlineLevel="2" x14ac:dyDescent="0.2">
      <c r="D1066" s="785" t="str">
        <f>Price_List_BA!D138</f>
        <v>Halogen Bulbs (ZM)</v>
      </c>
      <c r="E1066" s="786"/>
      <c r="F1066" s="786"/>
      <c r="G1066" s="786"/>
      <c r="J1066" s="127">
        <f>Price_List_BA!L138</f>
        <v>50</v>
      </c>
      <c r="K1066" s="127">
        <f>Price_List_BA!O138</f>
        <v>5</v>
      </c>
      <c r="L1066" s="127">
        <f>Price_List_BA!P138</f>
        <v>5.8615253302579804</v>
      </c>
    </row>
    <row r="1067" spans="4:12" s="348" customFormat="1" ht="12.75" hidden="1" customHeight="1" outlineLevel="2" x14ac:dyDescent="0.2">
      <c r="D1067" s="785" t="str">
        <f>Price_List_BA!D139</f>
        <v>Hysterectomy Set (ZM)</v>
      </c>
      <c r="E1067" s="786"/>
      <c r="F1067" s="786"/>
      <c r="G1067" s="786"/>
      <c r="J1067" s="127">
        <f>Price_List_BA!L139</f>
        <v>120</v>
      </c>
      <c r="K1067" s="127">
        <f>Price_List_BA!O139</f>
        <v>24</v>
      </c>
      <c r="L1067" s="127">
        <f>Price_List_BA!P139</f>
        <v>26.202548568069144</v>
      </c>
    </row>
    <row r="1068" spans="4:12" s="348" customFormat="1" ht="12.75" hidden="1" customHeight="1" outlineLevel="2" x14ac:dyDescent="0.2">
      <c r="D1068" s="785" t="str">
        <f>Price_List_BA!D140</f>
        <v>Instrument tray (ZM)</v>
      </c>
      <c r="E1068" s="786"/>
      <c r="F1068" s="786"/>
      <c r="G1068" s="786"/>
      <c r="J1068" s="127">
        <f>Price_List_BA!L140</f>
        <v>20</v>
      </c>
      <c r="K1068" s="127">
        <f>Price_List_BA!O140</f>
        <v>5</v>
      </c>
      <c r="L1068" s="127">
        <f>Price_List_BA!P140</f>
        <v>5.3805409038616512</v>
      </c>
    </row>
    <row r="1069" spans="4:12" s="348" customFormat="1" ht="12.75" hidden="1" customHeight="1" outlineLevel="2" x14ac:dyDescent="0.2">
      <c r="D1069" s="785" t="str">
        <f>Price_List_BA!D141</f>
        <v>Instrument tray  (TZ)</v>
      </c>
      <c r="E1069" s="786"/>
      <c r="F1069" s="786"/>
      <c r="G1069" s="786"/>
      <c r="J1069" s="127">
        <f>Price_List_BA!L141</f>
        <v>7.5</v>
      </c>
      <c r="K1069" s="127">
        <f>Price_List_BA!O141</f>
        <v>3.75</v>
      </c>
      <c r="L1069" s="127">
        <f>Price_List_BA!P141</f>
        <v>3.9195812807881798</v>
      </c>
    </row>
    <row r="1070" spans="4:12" s="348" customFormat="1" ht="12.75" hidden="1" customHeight="1" outlineLevel="2" x14ac:dyDescent="0.2">
      <c r="D1070" s="785" t="str">
        <f>Price_List_BA!D142</f>
        <v>Kidney Dish (ZM)</v>
      </c>
      <c r="E1070" s="786"/>
      <c r="F1070" s="786"/>
      <c r="G1070" s="786"/>
      <c r="J1070" s="127">
        <f>Price_List_BA!L142</f>
        <v>20</v>
      </c>
      <c r="K1070" s="127">
        <f>Price_List_BA!O142</f>
        <v>2.5</v>
      </c>
      <c r="L1070" s="127">
        <f>Price_List_BA!P142</f>
        <v>2.8491277765447851</v>
      </c>
    </row>
    <row r="1071" spans="4:12" s="348" customFormat="1" ht="12.75" hidden="1" customHeight="1" outlineLevel="2" x14ac:dyDescent="0.2">
      <c r="D1071" s="785" t="str">
        <f>Price_List_BA!D143</f>
        <v>Kidney Dish (UG)</v>
      </c>
      <c r="E1071" s="786"/>
      <c r="F1071" s="786"/>
      <c r="G1071" s="786"/>
      <c r="J1071" s="127">
        <f>Price_List_BA!L143</f>
        <v>4.1161000000000003</v>
      </c>
      <c r="K1071" s="127">
        <f>Price_List_BA!O143</f>
        <v>0.41161000000000003</v>
      </c>
      <c r="L1071" s="127">
        <f>Price_List_BA!P143</f>
        <v>0.4825324882374975</v>
      </c>
    </row>
    <row r="1072" spans="4:12" s="348" customFormat="1" ht="12.75" hidden="1" customHeight="1" outlineLevel="2" x14ac:dyDescent="0.2">
      <c r="D1072" s="785" t="str">
        <f>Price_List_BA!D144</f>
        <v>Lamp (UG)</v>
      </c>
      <c r="E1072" s="786"/>
      <c r="F1072" s="786"/>
      <c r="G1072" s="786"/>
      <c r="J1072" s="127">
        <f>Price_List_BA!L144</f>
        <v>49.744300000000003</v>
      </c>
      <c r="K1072" s="127">
        <f>Price_List_BA!O144</f>
        <v>4.9744299999999999</v>
      </c>
      <c r="L1072" s="127">
        <f>Price_List_BA!P144</f>
        <v>5.8315494897190421</v>
      </c>
    </row>
    <row r="1073" spans="4:12" s="348" customFormat="1" ht="12.95" hidden="1" customHeight="1" outlineLevel="2" x14ac:dyDescent="0.2">
      <c r="D1073" s="785" t="str">
        <f>Price_List_BA!D145</f>
        <v>Laptop / Desktop Computer (ZM)</v>
      </c>
      <c r="E1073" s="786"/>
      <c r="F1073" s="786"/>
      <c r="G1073" s="786"/>
      <c r="J1073" s="127">
        <f>Price_List_BA!L145</f>
        <v>1100</v>
      </c>
      <c r="K1073" s="127">
        <f>Price_List_BA!O145</f>
        <v>220</v>
      </c>
      <c r="L1073" s="127">
        <f>Price_List_BA!P145</f>
        <v>240.19002854063382</v>
      </c>
    </row>
    <row r="1074" spans="4:12" s="348" customFormat="1" ht="12.75" hidden="1" customHeight="1" outlineLevel="2" x14ac:dyDescent="0.2">
      <c r="D1074" s="785" t="str">
        <f>Price_List_BA!D146</f>
        <v>LEEP Equipment  (TZ)</v>
      </c>
      <c r="E1074" s="786"/>
      <c r="F1074" s="786"/>
      <c r="G1074" s="786"/>
      <c r="J1074" s="127">
        <f>Price_List_BA!L146</f>
        <v>11838.75</v>
      </c>
      <c r="K1074" s="127">
        <f>Price_List_BA!O146</f>
        <v>1479.84375</v>
      </c>
      <c r="L1074" s="127">
        <f>Price_List_BA!P146</f>
        <v>1686.5055732284786</v>
      </c>
    </row>
    <row r="1075" spans="4:12" s="348" customFormat="1" ht="12.75" hidden="1" customHeight="1" outlineLevel="2" x14ac:dyDescent="0.2">
      <c r="D1075" s="785" t="str">
        <f>Price_List_BA!D147</f>
        <v>LEEP machine plus smoke evacuator system plus accessories (ZM)</v>
      </c>
      <c r="E1075" s="786"/>
      <c r="F1075" s="786"/>
      <c r="G1075" s="786"/>
      <c r="J1075" s="127">
        <f>Price_List_BA!L147</f>
        <v>6000</v>
      </c>
      <c r="K1075" s="127">
        <f>Price_List_BA!O147</f>
        <v>666.66666666666663</v>
      </c>
      <c r="L1075" s="127">
        <f>Price_List_BA!P147</f>
        <v>770.60314210862055</v>
      </c>
    </row>
    <row r="1076" spans="4:12" s="348" customFormat="1" ht="12.75" hidden="1" customHeight="1" outlineLevel="2" x14ac:dyDescent="0.2">
      <c r="D1076" s="785" t="str">
        <f>Price_List_BA!D148</f>
        <v>LEEP machine  with coated speculums (UG)</v>
      </c>
      <c r="E1076" s="786"/>
      <c r="F1076" s="786"/>
      <c r="G1076" s="786"/>
      <c r="J1076" s="127">
        <f>Price_List_BA!L148</f>
        <v>5055</v>
      </c>
      <c r="K1076" s="127">
        <f>Price_List_BA!O148</f>
        <v>842.5</v>
      </c>
      <c r="L1076" s="127">
        <f>Price_List_BA!P148</f>
        <v>933.14036477564616</v>
      </c>
    </row>
    <row r="1077" spans="4:12" s="348" customFormat="1" ht="12.75" hidden="1" customHeight="1" outlineLevel="2" x14ac:dyDescent="0.2">
      <c r="D1077" s="785" t="str">
        <f>Price_List_BA!D149</f>
        <v>Lensmate SX 40 Filter Adapter 58mm (ZM)</v>
      </c>
      <c r="E1077" s="786"/>
      <c r="F1077" s="786"/>
      <c r="G1077" s="786"/>
      <c r="J1077" s="127">
        <f>Price_List_BA!L149</f>
        <v>100</v>
      </c>
      <c r="K1077" s="127">
        <f>Price_List_BA!O149</f>
        <v>25</v>
      </c>
      <c r="L1077" s="127">
        <f>Price_List_BA!P149</f>
        <v>26.902704519308259</v>
      </c>
    </row>
    <row r="1078" spans="4:12" s="348" customFormat="1" hidden="1" outlineLevel="2" x14ac:dyDescent="0.2">
      <c r="D1078" s="785" t="str">
        <f>Price_List_BA!D150</f>
        <v>Loop Electrodes - 5 mm x 5mm (Ellman) (ZM)</v>
      </c>
      <c r="E1078" s="786"/>
      <c r="F1078" s="786"/>
      <c r="G1078" s="786"/>
      <c r="J1078" s="127">
        <f>Price_List_BA!L150</f>
        <v>37.200000000000003</v>
      </c>
      <c r="K1078" s="127">
        <f>Price_List_BA!O150</f>
        <v>37.200000000000003</v>
      </c>
      <c r="L1078" s="127">
        <f>Price_List_BA!P150</f>
        <v>38.315999999999967</v>
      </c>
    </row>
    <row r="1079" spans="4:12" s="348" customFormat="1" hidden="1" outlineLevel="2" x14ac:dyDescent="0.2">
      <c r="D1079" s="785" t="str">
        <f>Price_List_BA!D151</f>
        <v>Loop Electrodes - 10 mm x 10mm (Ellman) (ZM)</v>
      </c>
      <c r="E1079" s="786"/>
      <c r="F1079" s="786"/>
      <c r="G1079" s="786"/>
      <c r="J1079" s="127">
        <f>Price_List_BA!L151</f>
        <v>37.200000000000003</v>
      </c>
      <c r="K1079" s="127">
        <f>Price_List_BA!O151</f>
        <v>37.200000000000003</v>
      </c>
      <c r="L1079" s="127">
        <f>Price_List_BA!P151</f>
        <v>38.315999999999967</v>
      </c>
    </row>
    <row r="1080" spans="4:12" s="348" customFormat="1" hidden="1" outlineLevel="2" x14ac:dyDescent="0.2">
      <c r="D1080" s="785" t="str">
        <f>Price_List_BA!D152</f>
        <v>Loop Electrodes - 20 mm x 8mm (Ellman) (ZM)</v>
      </c>
      <c r="E1080" s="786"/>
      <c r="F1080" s="786"/>
      <c r="G1080" s="786"/>
      <c r="J1080" s="127">
        <f>Price_List_BA!L152</f>
        <v>37.200000000000003</v>
      </c>
      <c r="K1080" s="127">
        <f>Price_List_BA!O152</f>
        <v>37.200000000000003</v>
      </c>
      <c r="L1080" s="127">
        <f>Price_List_BA!P152</f>
        <v>38.315999999999967</v>
      </c>
    </row>
    <row r="1081" spans="4:12" s="348" customFormat="1" hidden="1" outlineLevel="2" x14ac:dyDescent="0.2">
      <c r="D1081" s="785" t="str">
        <f>Price_List_BA!D153</f>
        <v>Loop Electrodes - 20 mm x 15mm (Ellman) (ZM)</v>
      </c>
      <c r="E1081" s="786"/>
      <c r="F1081" s="786"/>
      <c r="G1081" s="786"/>
      <c r="J1081" s="127">
        <f>Price_List_BA!L153</f>
        <v>37.200000000000003</v>
      </c>
      <c r="K1081" s="127">
        <f>Price_List_BA!O153</f>
        <v>37.200000000000003</v>
      </c>
      <c r="L1081" s="127">
        <f>Price_List_BA!P153</f>
        <v>38.315999999999967</v>
      </c>
    </row>
    <row r="1082" spans="4:12" s="348" customFormat="1" ht="12.75" hidden="1" customHeight="1" outlineLevel="2" x14ac:dyDescent="0.2">
      <c r="D1082" s="785" t="str">
        <f>Price_List_BA!D154</f>
        <v>Mackintosh (Plastic sheet for exam couch) (ZM)</v>
      </c>
      <c r="E1082" s="786"/>
      <c r="F1082" s="786"/>
      <c r="G1082" s="786"/>
      <c r="J1082" s="127">
        <f>Price_List_BA!L154</f>
        <v>20</v>
      </c>
      <c r="K1082" s="127">
        <f>Price_List_BA!O154</f>
        <v>10</v>
      </c>
      <c r="L1082" s="127">
        <f>Price_List_BA!P154</f>
        <v>10.452216748768478</v>
      </c>
    </row>
    <row r="1083" spans="4:12" s="348" customFormat="1" ht="12.75" hidden="1" customHeight="1" outlineLevel="2" x14ac:dyDescent="0.2">
      <c r="D1083" s="785" t="str">
        <f>Price_List_BA!D155</f>
        <v>Magnification Lens (ZM)</v>
      </c>
      <c r="E1083" s="786"/>
      <c r="F1083" s="786"/>
      <c r="G1083" s="786"/>
      <c r="J1083" s="127">
        <f>Price_List_BA!L155</f>
        <v>150</v>
      </c>
      <c r="K1083" s="127">
        <f>Price_List_BA!O155</f>
        <v>15</v>
      </c>
      <c r="L1083" s="127">
        <f>Price_List_BA!P155</f>
        <v>17.584575990773942</v>
      </c>
    </row>
    <row r="1084" spans="4:12" s="348" customFormat="1" ht="12.75" hidden="1" customHeight="1" outlineLevel="2" x14ac:dyDescent="0.2">
      <c r="D1084" s="785" t="str">
        <f>Price_List_BA!D156</f>
        <v>Medical Rubber Mackintosh Sheet (ZM)</v>
      </c>
      <c r="E1084" s="786"/>
      <c r="F1084" s="786"/>
      <c r="G1084" s="786"/>
      <c r="J1084" s="127">
        <f>Price_List_BA!L156</f>
        <v>30</v>
      </c>
      <c r="K1084" s="127">
        <f>Price_List_BA!O156</f>
        <v>3.3333333333333335</v>
      </c>
      <c r="L1084" s="127">
        <f>Price_List_BA!P156</f>
        <v>3.8530157105431031</v>
      </c>
    </row>
    <row r="1085" spans="4:12" s="348" customFormat="1" ht="12.75" hidden="1" customHeight="1" outlineLevel="2" x14ac:dyDescent="0.2">
      <c r="D1085" s="785" t="str">
        <f>Price_List_BA!D157</f>
        <v>Medical Rubber Mackintosh Sheet   (TZ)</v>
      </c>
      <c r="E1085" s="786"/>
      <c r="F1085" s="786"/>
      <c r="G1085" s="786"/>
      <c r="J1085" s="127">
        <f>Price_List_BA!L157</f>
        <v>46.875</v>
      </c>
      <c r="K1085" s="127">
        <f>Price_List_BA!O157</f>
        <v>9.375</v>
      </c>
      <c r="L1085" s="127">
        <f>Price_List_BA!P157</f>
        <v>10.235370534402009</v>
      </c>
    </row>
    <row r="1086" spans="4:12" s="348" customFormat="1" ht="12.75" hidden="1" customHeight="1" outlineLevel="2" x14ac:dyDescent="0.2">
      <c r="D1086" s="785" t="str">
        <f>Price_List_BA!D158</f>
        <v>Memory Card (ZM)</v>
      </c>
      <c r="E1086" s="786"/>
      <c r="F1086" s="786"/>
      <c r="G1086" s="786"/>
      <c r="J1086" s="127">
        <f>Price_List_BA!L158</f>
        <v>36</v>
      </c>
      <c r="K1086" s="127">
        <f>Price_List_BA!O158</f>
        <v>4.5</v>
      </c>
      <c r="L1086" s="127">
        <f>Price_List_BA!P158</f>
        <v>5.1284299977806134</v>
      </c>
    </row>
    <row r="1087" spans="4:12" s="348" customFormat="1" ht="12.75" hidden="1" customHeight="1" outlineLevel="2" x14ac:dyDescent="0.2">
      <c r="D1087" s="785" t="str">
        <f>Price_List_BA!D159</f>
        <v>Multi-Tip Cryo-Probe System with British adapter for NO2 includes gun, regulator, hose(2/3Tips included) (set) (ZM)</v>
      </c>
      <c r="E1087" s="786"/>
      <c r="F1087" s="786"/>
      <c r="G1087" s="786"/>
      <c r="J1087" s="127">
        <f>Price_List_BA!L159</f>
        <v>1800</v>
      </c>
      <c r="K1087" s="127">
        <f>Price_List_BA!O159</f>
        <v>360</v>
      </c>
      <c r="L1087" s="127">
        <f>Price_List_BA!P159</f>
        <v>393.03822852103718</v>
      </c>
    </row>
    <row r="1088" spans="4:12" s="348" customFormat="1" ht="12.75" hidden="1" customHeight="1" outlineLevel="2" x14ac:dyDescent="0.2">
      <c r="D1088" s="785" t="str">
        <f>Price_List_BA!D160</f>
        <v>Non-conducting speculum  Pederson  (ZM)</v>
      </c>
      <c r="E1088" s="786"/>
      <c r="F1088" s="786"/>
      <c r="G1088" s="786"/>
      <c r="J1088" s="127">
        <f>Price_List_BA!L160</f>
        <v>40</v>
      </c>
      <c r="K1088" s="127">
        <f>Price_List_BA!O160</f>
        <v>4.4444444444444446</v>
      </c>
      <c r="L1088" s="127">
        <f>Price_List_BA!P160</f>
        <v>5.1373542807241375</v>
      </c>
    </row>
    <row r="1089" spans="4:12" s="348" customFormat="1" ht="12.75" hidden="1" customHeight="1" outlineLevel="2" x14ac:dyDescent="0.2">
      <c r="D1089" s="785" t="str">
        <f>Price_List_BA!D161</f>
        <v>Non-conducting speculum (UG)</v>
      </c>
      <c r="E1089" s="786"/>
      <c r="F1089" s="786"/>
      <c r="G1089" s="786"/>
      <c r="J1089" s="127">
        <f>Price_List_BA!L161</f>
        <v>90</v>
      </c>
      <c r="K1089" s="127">
        <f>Price_List_BA!O161</f>
        <v>18</v>
      </c>
      <c r="L1089" s="127">
        <f>Price_List_BA!P161</f>
        <v>19.651911426051857</v>
      </c>
    </row>
    <row r="1090" spans="4:12" s="348" customFormat="1" ht="12.75" hidden="1" customHeight="1" outlineLevel="2" x14ac:dyDescent="0.2">
      <c r="D1090" s="785" t="str">
        <f>Price_List_BA!D162</f>
        <v>Nurses Table (ZM)</v>
      </c>
      <c r="E1090" s="786"/>
      <c r="F1090" s="786"/>
      <c r="G1090" s="786"/>
      <c r="J1090" s="127">
        <f>Price_List_BA!L162</f>
        <v>160</v>
      </c>
      <c r="K1090" s="127">
        <f>Price_List_BA!O162</f>
        <v>16</v>
      </c>
      <c r="L1090" s="127">
        <f>Price_List_BA!P162</f>
        <v>18.756881056825538</v>
      </c>
    </row>
    <row r="1091" spans="4:12" s="348" customFormat="1" ht="12.75" hidden="1" customHeight="1" outlineLevel="2" x14ac:dyDescent="0.2">
      <c r="D1091" s="785" t="str">
        <f>Price_List_BA!D163</f>
        <v>Pillow (ZM)</v>
      </c>
      <c r="E1091" s="786"/>
      <c r="F1091" s="786"/>
      <c r="G1091" s="786"/>
      <c r="J1091" s="127">
        <f>Price_List_BA!L163</f>
        <v>16</v>
      </c>
      <c r="K1091" s="127">
        <f>Price_List_BA!O163</f>
        <v>8</v>
      </c>
      <c r="L1091" s="127">
        <f>Price_List_BA!P163</f>
        <v>8.3617733990147833</v>
      </c>
    </row>
    <row r="1092" spans="4:12" s="348" customFormat="1" ht="12.75" hidden="1" customHeight="1" outlineLevel="2" x14ac:dyDescent="0.2">
      <c r="D1092" s="785" t="str">
        <f>Price_List_BA!D164</f>
        <v>Plastic apron (ZM)</v>
      </c>
      <c r="E1092" s="786"/>
      <c r="F1092" s="786"/>
      <c r="G1092" s="786"/>
      <c r="J1092" s="127">
        <f>Price_List_BA!L164</f>
        <v>5</v>
      </c>
      <c r="K1092" s="127">
        <f>Price_List_BA!O164</f>
        <v>1.6666666666666667</v>
      </c>
      <c r="L1092" s="127">
        <f>Price_List_BA!P164</f>
        <v>1.7676518166229902</v>
      </c>
    </row>
    <row r="1093" spans="4:12" s="348" customFormat="1" ht="12.75" hidden="1" customHeight="1" outlineLevel="2" x14ac:dyDescent="0.2">
      <c r="D1093" s="785" t="str">
        <f>Price_List_BA!D165</f>
        <v>Plastic apron  (TZ)</v>
      </c>
      <c r="E1093" s="786"/>
      <c r="F1093" s="786"/>
      <c r="G1093" s="786"/>
      <c r="J1093" s="127">
        <f>Price_List_BA!L165</f>
        <v>10.625</v>
      </c>
      <c r="K1093" s="127">
        <f>Price_List_BA!O165</f>
        <v>1.1805555555555556</v>
      </c>
      <c r="L1093" s="127">
        <f>Price_List_BA!P165</f>
        <v>1.364609730817349</v>
      </c>
    </row>
    <row r="1094" spans="4:12" s="348" customFormat="1" ht="12.75" hidden="1" customHeight="1" outlineLevel="2" x14ac:dyDescent="0.2">
      <c r="D1094" s="785" t="str">
        <f>Price_List_BA!D166</f>
        <v>Privacy screen (portable) (ZM)</v>
      </c>
      <c r="E1094" s="786"/>
      <c r="F1094" s="786"/>
      <c r="G1094" s="786"/>
      <c r="J1094" s="127">
        <f>Price_List_BA!L166</f>
        <v>18</v>
      </c>
      <c r="K1094" s="127">
        <f>Price_List_BA!O166</f>
        <v>2.5714285714285716</v>
      </c>
      <c r="L1094" s="127">
        <f>Price_List_BA!P166</f>
        <v>2.8891143675768967</v>
      </c>
    </row>
    <row r="1095" spans="4:12" s="348" customFormat="1" ht="12.75" hidden="1" customHeight="1" outlineLevel="2" x14ac:dyDescent="0.2">
      <c r="D1095" s="785" t="str">
        <f>Price_List_BA!D167</f>
        <v>Privacy screen (portable) (TZ)</v>
      </c>
      <c r="E1095" s="786"/>
      <c r="F1095" s="786"/>
      <c r="G1095" s="786"/>
      <c r="J1095" s="127">
        <f>Price_List_BA!L167</f>
        <v>106.25</v>
      </c>
      <c r="K1095" s="127">
        <f>Price_List_BA!O167</f>
        <v>53.125</v>
      </c>
      <c r="L1095" s="127">
        <f>Price_List_BA!P167</f>
        <v>55.527401477832541</v>
      </c>
    </row>
    <row r="1096" spans="4:12" s="348" customFormat="1" ht="12.75" hidden="1" customHeight="1" outlineLevel="2" x14ac:dyDescent="0.2">
      <c r="D1096" s="785" t="str">
        <f>Price_List_BA!D168</f>
        <v>Punch Biopsy Forceps  Titanium 10" (ZM)</v>
      </c>
      <c r="E1096" s="786"/>
      <c r="F1096" s="786"/>
      <c r="G1096" s="786"/>
      <c r="J1096" s="127">
        <f>Price_List_BA!L168</f>
        <v>215</v>
      </c>
      <c r="K1096" s="127">
        <f>Price_List_BA!O168</f>
        <v>53.75</v>
      </c>
      <c r="L1096" s="127">
        <f>Price_List_BA!P168</f>
        <v>57.840814716512753</v>
      </c>
    </row>
    <row r="1097" spans="4:12" s="348" customFormat="1" ht="12.75" hidden="1" customHeight="1" outlineLevel="2" x14ac:dyDescent="0.2">
      <c r="D1097" s="785" t="str">
        <f>Price_List_BA!D169</f>
        <v>Punch Biopsy Forceps (UG)</v>
      </c>
      <c r="E1097" s="786"/>
      <c r="F1097" s="786"/>
      <c r="G1097" s="786"/>
      <c r="J1097" s="127">
        <f>Price_List_BA!L169</f>
        <v>195</v>
      </c>
      <c r="K1097" s="127">
        <f>Price_List_BA!O169</f>
        <v>48.75</v>
      </c>
      <c r="L1097" s="127">
        <f>Price_List_BA!P169</f>
        <v>52.460273812651103</v>
      </c>
    </row>
    <row r="1098" spans="4:12" s="348" customFormat="1" ht="12.75" hidden="1" customHeight="1" outlineLevel="2" x14ac:dyDescent="0.2">
      <c r="D1098" s="785" t="str">
        <f>Price_List_BA!D170</f>
        <v>Radiotherapy Machine - intra-cavity ( internal)  (TZ)</v>
      </c>
      <c r="E1098" s="786"/>
      <c r="F1098" s="786"/>
      <c r="G1098" s="786"/>
      <c r="J1098" s="127">
        <f>Price_List_BA!L170</f>
        <v>125000</v>
      </c>
      <c r="K1098" s="127">
        <f>Price_List_BA!O170</f>
        <v>31250</v>
      </c>
      <c r="L1098" s="127">
        <f>Price_List_BA!P170</f>
        <v>33628.380649135324</v>
      </c>
    </row>
    <row r="1099" spans="4:12" s="348" customFormat="1" ht="12.75" hidden="1" customHeight="1" outlineLevel="2" x14ac:dyDescent="0.2">
      <c r="D1099" s="785" t="str">
        <f>Price_List_BA!D171</f>
        <v>Radiotherapy Machine - teletherapy (external) Cobalt-60  (TZ)</v>
      </c>
      <c r="E1099" s="786"/>
      <c r="F1099" s="786"/>
      <c r="G1099" s="786"/>
      <c r="J1099" s="127">
        <f>Price_List_BA!L171</f>
        <v>625000</v>
      </c>
      <c r="K1099" s="127">
        <f>Price_List_BA!O171</f>
        <v>78125</v>
      </c>
      <c r="L1099" s="127">
        <f>Price_List_BA!P171</f>
        <v>89035.243017024535</v>
      </c>
    </row>
    <row r="1100" spans="4:12" s="348" customFormat="1" ht="12.75" hidden="1" customHeight="1" outlineLevel="2" x14ac:dyDescent="0.2">
      <c r="D1100" s="785" t="str">
        <f>Price_List_BA!D172</f>
        <v>Radiotherapy Treatment Couch  (TZ)</v>
      </c>
      <c r="E1100" s="786"/>
      <c r="F1100" s="786"/>
      <c r="G1100" s="786"/>
      <c r="J1100" s="127">
        <f>Price_List_BA!L172</f>
        <v>93750</v>
      </c>
      <c r="K1100" s="127">
        <f>Price_List_BA!O172</f>
        <v>18750</v>
      </c>
      <c r="L1100" s="127">
        <f>Price_List_BA!P172</f>
        <v>20470.741068804018</v>
      </c>
    </row>
    <row r="1101" spans="4:12" s="348" customFormat="1" ht="12.75" hidden="1" customHeight="1" outlineLevel="2" x14ac:dyDescent="0.2">
      <c r="D1101" s="785" t="str">
        <f>Price_List_BA!D173</f>
        <v>Registration book, patient  (TZ)</v>
      </c>
      <c r="E1101" s="786"/>
      <c r="F1101" s="786"/>
      <c r="G1101" s="786"/>
      <c r="J1101" s="127">
        <f>Price_List_BA!L173</f>
        <v>2.1875</v>
      </c>
      <c r="K1101" s="127">
        <f>Price_List_BA!O173</f>
        <v>0.24305555555555555</v>
      </c>
      <c r="L1101" s="127">
        <f>Price_List_BA!P173</f>
        <v>0.28094906222710125</v>
      </c>
    </row>
    <row r="1102" spans="4:12" s="348" customFormat="1" hidden="1" outlineLevel="2" x14ac:dyDescent="0.2">
      <c r="D1102" s="785" t="str">
        <f>Price_List_BA!D174</f>
        <v>Retractor 3.5" Coated Lateral Wall (ZM)</v>
      </c>
      <c r="E1102" s="786"/>
      <c r="F1102" s="786"/>
      <c r="G1102" s="786"/>
      <c r="J1102" s="127">
        <f>Price_List_BA!L174</f>
        <v>165</v>
      </c>
      <c r="K1102" s="127">
        <f>Price_List_BA!O174</f>
        <v>33</v>
      </c>
      <c r="L1102" s="127">
        <f>Price_List_BA!P174</f>
        <v>36.028504281095074</v>
      </c>
    </row>
    <row r="1103" spans="4:12" s="348" customFormat="1" hidden="1" outlineLevel="2" x14ac:dyDescent="0.2">
      <c r="D1103" s="785" t="str">
        <f>Price_List_BA!D175</f>
        <v>Smoke evacuator (UG)</v>
      </c>
      <c r="E1103" s="786"/>
      <c r="F1103" s="786"/>
      <c r="G1103" s="786"/>
      <c r="J1103" s="127">
        <f>Price_List_BA!L175</f>
        <v>1990</v>
      </c>
      <c r="K1103" s="127">
        <f>Price_List_BA!O175</f>
        <v>497.5</v>
      </c>
      <c r="L1103" s="127">
        <f>Price_List_BA!P175</f>
        <v>535.36381993423436</v>
      </c>
    </row>
    <row r="1104" spans="4:12" s="348" customFormat="1" hidden="1" outlineLevel="2" x14ac:dyDescent="0.2">
      <c r="D1104" s="785" t="str">
        <f>Price_List_BA!D176</f>
        <v>Specimen Tube rack  (TZ)</v>
      </c>
      <c r="E1104" s="786"/>
      <c r="F1104" s="786"/>
      <c r="G1104" s="786"/>
      <c r="J1104" s="127">
        <f>Price_List_BA!L176</f>
        <v>10</v>
      </c>
      <c r="K1104" s="127">
        <f>Price_List_BA!O176</f>
        <v>5</v>
      </c>
      <c r="L1104" s="127">
        <f>Price_List_BA!P176</f>
        <v>5.2261083743842391</v>
      </c>
    </row>
    <row r="1105" spans="4:12" s="348" customFormat="1" hidden="1" outlineLevel="2" x14ac:dyDescent="0.2">
      <c r="D1105" s="785" t="str">
        <f>Price_List_BA!D177</f>
        <v>Speculum  (TZ)</v>
      </c>
      <c r="E1105" s="786"/>
      <c r="F1105" s="786"/>
      <c r="G1105" s="786"/>
      <c r="J1105" s="127">
        <f>Price_List_BA!L177</f>
        <v>18.75</v>
      </c>
      <c r="K1105" s="127">
        <f>Price_List_BA!O177</f>
        <v>1.875</v>
      </c>
      <c r="L1105" s="127">
        <f>Price_List_BA!P177</f>
        <v>2.1980719988467428</v>
      </c>
    </row>
    <row r="1106" spans="4:12" s="348" customFormat="1" hidden="1" outlineLevel="2" x14ac:dyDescent="0.2">
      <c r="D1106" s="785" t="str">
        <f>Price_List_BA!D178</f>
        <v>Speculum (reusable) (UG)</v>
      </c>
      <c r="E1106" s="786"/>
      <c r="F1106" s="786"/>
      <c r="G1106" s="786"/>
      <c r="J1106" s="127">
        <f>Price_List_BA!L178</f>
        <v>8.4809000000000001</v>
      </c>
      <c r="K1106" s="127">
        <f>Price_List_BA!O178</f>
        <v>0.94232222222222228</v>
      </c>
      <c r="L1106" s="127">
        <f>Price_List_BA!P178</f>
        <v>1.0892346979848335</v>
      </c>
    </row>
    <row r="1107" spans="4:12" s="348" customFormat="1" hidden="1" outlineLevel="2" x14ac:dyDescent="0.2">
      <c r="D1107" s="785" t="str">
        <f>Price_List_BA!D179</f>
        <v>Speculum (UG)</v>
      </c>
      <c r="E1107" s="786"/>
      <c r="F1107" s="786"/>
      <c r="G1107" s="786"/>
      <c r="J1107" s="127">
        <f>Price_List_BA!L179</f>
        <v>8.4809000000000001</v>
      </c>
      <c r="K1107" s="127">
        <f>Price_List_BA!O179</f>
        <v>1.0601125</v>
      </c>
      <c r="L1107" s="127">
        <f>Price_List_BA!P179</f>
        <v>1.2081583880049334</v>
      </c>
    </row>
    <row r="1108" spans="4:12" s="348" customFormat="1" hidden="1" outlineLevel="2" x14ac:dyDescent="0.2">
      <c r="D1108" s="785" t="str">
        <f>Price_List_BA!D180</f>
        <v>Speculum Graves' large  (ZM)</v>
      </c>
      <c r="E1108" s="786"/>
      <c r="F1108" s="786"/>
      <c r="G1108" s="786"/>
      <c r="J1108" s="127">
        <f>Price_List_BA!L180</f>
        <v>14</v>
      </c>
      <c r="K1108" s="127">
        <f>Price_List_BA!O180</f>
        <v>2.3333333333333335</v>
      </c>
      <c r="L1108" s="127">
        <f>Price_List_BA!P180</f>
        <v>2.5843650063024817</v>
      </c>
    </row>
    <row r="1109" spans="4:12" s="348" customFormat="1" hidden="1" outlineLevel="2" x14ac:dyDescent="0.2">
      <c r="D1109" s="785" t="str">
        <f>Price_List_BA!D181</f>
        <v>Speculum Graves' Medium (ZM)</v>
      </c>
      <c r="E1109" s="786"/>
      <c r="F1109" s="786"/>
      <c r="G1109" s="786"/>
      <c r="J1109" s="127">
        <f>Price_List_BA!L181</f>
        <v>14</v>
      </c>
      <c r="K1109" s="127">
        <f>Price_List_BA!O181</f>
        <v>2.3333333333333335</v>
      </c>
      <c r="L1109" s="127">
        <f>Price_List_BA!P181</f>
        <v>2.5843650063024817</v>
      </c>
    </row>
    <row r="1110" spans="4:12" s="348" customFormat="1" hidden="1" outlineLevel="2" x14ac:dyDescent="0.2">
      <c r="D1110" s="785" t="str">
        <f>Price_List_BA!D182</f>
        <v>Speculum  Graves'  Small (ZM)</v>
      </c>
      <c r="E1110" s="786"/>
      <c r="F1110" s="786"/>
      <c r="G1110" s="786"/>
      <c r="J1110" s="127">
        <f>Price_List_BA!L182</f>
        <v>14</v>
      </c>
      <c r="K1110" s="127">
        <f>Price_List_BA!O182</f>
        <v>4.666666666666667</v>
      </c>
      <c r="L1110" s="127">
        <f>Price_List_BA!P182</f>
        <v>4.9494250865443723</v>
      </c>
    </row>
    <row r="1111" spans="4:12" s="348" customFormat="1" ht="12.75" hidden="1" customHeight="1" outlineLevel="2" x14ac:dyDescent="0.2">
      <c r="D1111" s="785" t="str">
        <f>Price_List_BA!D183</f>
        <v>Speculum, endocervical (ZM)</v>
      </c>
      <c r="E1111" s="786"/>
      <c r="F1111" s="786"/>
      <c r="G1111" s="786"/>
      <c r="J1111" s="127">
        <f>Price_List_BA!L183</f>
        <v>50</v>
      </c>
      <c r="K1111" s="127">
        <f>Price_List_BA!O183</f>
        <v>16.666666666666668</v>
      </c>
      <c r="L1111" s="127">
        <f>Price_List_BA!P183</f>
        <v>17.676518166229901</v>
      </c>
    </row>
    <row r="1112" spans="4:12" s="348" customFormat="1" ht="12.75" hidden="1" customHeight="1" outlineLevel="2" x14ac:dyDescent="0.2">
      <c r="D1112" s="785" t="str">
        <f>Price_List_BA!D184</f>
        <v>Sponge holding forceps (UG)</v>
      </c>
      <c r="E1112" s="786"/>
      <c r="F1112" s="786"/>
      <c r="G1112" s="786"/>
      <c r="J1112" s="127">
        <f>Price_List_BA!L184</f>
        <v>8.1560000000000006</v>
      </c>
      <c r="K1112" s="127">
        <f>Price_List_BA!O184</f>
        <v>2.718666666666667</v>
      </c>
      <c r="L1112" s="127">
        <f>Price_List_BA!P184</f>
        <v>2.8833936432754217</v>
      </c>
    </row>
    <row r="1113" spans="4:12" s="348" customFormat="1" ht="12.75" hidden="1" customHeight="1" outlineLevel="2" x14ac:dyDescent="0.2">
      <c r="D1113" s="785" t="str">
        <f>Price_List_BA!D185</f>
        <v>Steel trolley (Two/three shelves) (ZM)</v>
      </c>
      <c r="E1113" s="786"/>
      <c r="F1113" s="786"/>
      <c r="G1113" s="786"/>
      <c r="J1113" s="127">
        <f>Price_List_BA!L185</f>
        <v>220</v>
      </c>
      <c r="K1113" s="127">
        <f>Price_List_BA!O185</f>
        <v>55</v>
      </c>
      <c r="L1113" s="127">
        <f>Price_List_BA!P185</f>
        <v>59.185949942478167</v>
      </c>
    </row>
    <row r="1114" spans="4:12" s="348" customFormat="1" ht="12.75" hidden="1" customHeight="1" outlineLevel="2" x14ac:dyDescent="0.2">
      <c r="D1114" s="785" t="str">
        <f>Price_List_BA!D186</f>
        <v>Step-on stool (ZM)</v>
      </c>
      <c r="E1114" s="786"/>
      <c r="F1114" s="786"/>
      <c r="G1114" s="786"/>
      <c r="J1114" s="127">
        <f>Price_List_BA!L186</f>
        <v>120</v>
      </c>
      <c r="K1114" s="127">
        <f>Price_List_BA!O186</f>
        <v>13.333333333333334</v>
      </c>
      <c r="L1114" s="127">
        <f>Price_List_BA!P186</f>
        <v>15.412062842172412</v>
      </c>
    </row>
    <row r="1115" spans="4:12" s="348" customFormat="1" ht="12.75" hidden="1" customHeight="1" outlineLevel="2" x14ac:dyDescent="0.2">
      <c r="D1115" s="785" t="str">
        <f>Price_List_BA!D187</f>
        <v>Sterilising Drum (ZM)</v>
      </c>
      <c r="E1115" s="786"/>
      <c r="F1115" s="786"/>
      <c r="G1115" s="786"/>
      <c r="J1115" s="127">
        <f>Price_List_BA!L187</f>
        <v>40</v>
      </c>
      <c r="K1115" s="127">
        <f>Price_List_BA!O187</f>
        <v>10</v>
      </c>
      <c r="L1115" s="127">
        <f>Price_List_BA!P187</f>
        <v>10.761081807723302</v>
      </c>
    </row>
    <row r="1116" spans="4:12" s="348" customFormat="1" ht="12.75" hidden="1" customHeight="1" outlineLevel="2" x14ac:dyDescent="0.2">
      <c r="D1116" s="785" t="str">
        <f>Price_List_BA!D188</f>
        <v>Sterilizer (UG)</v>
      </c>
      <c r="E1116" s="786"/>
      <c r="F1116" s="786"/>
      <c r="G1116" s="786"/>
      <c r="J1116" s="127">
        <f>Price_List_BA!L188</f>
        <v>1189.78</v>
      </c>
      <c r="K1116" s="127">
        <f>Price_List_BA!O188</f>
        <v>198.29666666666665</v>
      </c>
      <c r="L1116" s="127">
        <f>Price_List_BA!P188</f>
        <v>219.6304140856119</v>
      </c>
    </row>
    <row r="1117" spans="4:12" s="348" customFormat="1" ht="12.75" hidden="1" customHeight="1" outlineLevel="2" x14ac:dyDescent="0.2">
      <c r="D1117" s="785" t="str">
        <f>Price_List_BA!D189</f>
        <v>Television set (ZM)</v>
      </c>
      <c r="E1117" s="786"/>
      <c r="F1117" s="786"/>
      <c r="G1117" s="786"/>
      <c r="J1117" s="127">
        <f>Price_List_BA!L189</f>
        <v>200</v>
      </c>
      <c r="K1117" s="127">
        <f>Price_List_BA!O189</f>
        <v>66.666666666666671</v>
      </c>
      <c r="L1117" s="127">
        <f>Price_List_BA!P189</f>
        <v>70.706072664919603</v>
      </c>
    </row>
    <row r="1118" spans="4:12" s="348" customFormat="1" ht="12.75" hidden="1" customHeight="1" outlineLevel="2" x14ac:dyDescent="0.2">
      <c r="D1118" s="785" t="str">
        <f>Price_List_BA!D190</f>
        <v>Timer / wall clock (UG)</v>
      </c>
      <c r="E1118" s="786"/>
      <c r="F1118" s="786"/>
      <c r="G1118" s="786"/>
      <c r="J1118" s="127">
        <f>Price_List_BA!L190</f>
        <v>4.9939999999999998</v>
      </c>
      <c r="K1118" s="127">
        <f>Price_List_BA!O190</f>
        <v>1.2484999999999999</v>
      </c>
      <c r="L1118" s="127">
        <f>Price_List_BA!P190</f>
        <v>1.3435210636942543</v>
      </c>
    </row>
    <row r="1119" spans="4:12" s="348" customFormat="1" ht="12.75" hidden="1" customHeight="1" outlineLevel="2" x14ac:dyDescent="0.2">
      <c r="D1119" s="785" t="str">
        <f>Price_List_BA!D191</f>
        <v>Torch (UG)</v>
      </c>
      <c r="E1119" s="786"/>
      <c r="F1119" s="786"/>
      <c r="G1119" s="786"/>
      <c r="J1119" s="127">
        <f>Price_List_BA!L191</f>
        <v>39.595100000000002</v>
      </c>
      <c r="K1119" s="127">
        <f>Price_List_BA!O191</f>
        <v>4.3994555555555559</v>
      </c>
      <c r="L1119" s="127">
        <f>Price_List_BA!P191</f>
        <v>5.0853514120175074</v>
      </c>
    </row>
    <row r="1120" spans="4:12" s="348" customFormat="1" ht="12.75" hidden="1" customHeight="1" outlineLevel="2" x14ac:dyDescent="0.2">
      <c r="D1120" s="785" t="str">
        <f>Price_List_BA!D192</f>
        <v>Uterine Cervical Dilator (ZM)</v>
      </c>
      <c r="E1120" s="786"/>
      <c r="F1120" s="786"/>
      <c r="G1120" s="786"/>
      <c r="J1120" s="127">
        <f>Price_List_BA!L192</f>
        <v>30</v>
      </c>
      <c r="K1120" s="127">
        <f>Price_List_BA!O192</f>
        <v>4.2857142857142856</v>
      </c>
      <c r="L1120" s="127">
        <f>Price_List_BA!P192</f>
        <v>4.8151906126281609</v>
      </c>
    </row>
    <row r="1121" spans="4:12" s="348" customFormat="1" ht="12.75" hidden="1" customHeight="1" outlineLevel="2" x14ac:dyDescent="0.2">
      <c r="D1121" s="785" t="str">
        <f>Price_List_BA!D193</f>
        <v>Uterine Cervical Dilator  (TZ)</v>
      </c>
      <c r="E1121" s="786"/>
      <c r="F1121" s="786"/>
      <c r="G1121" s="786"/>
      <c r="J1121" s="127">
        <f>Price_List_BA!L193</f>
        <v>875</v>
      </c>
      <c r="K1121" s="127">
        <f>Price_List_BA!O193</f>
        <v>291.66666666666669</v>
      </c>
      <c r="L1121" s="127">
        <f>Price_List_BA!P193</f>
        <v>309.3390679090233</v>
      </c>
    </row>
    <row r="1122" spans="4:12" s="348" customFormat="1" ht="12.75" hidden="1" customHeight="1" outlineLevel="2" x14ac:dyDescent="0.2">
      <c r="D1122" s="785" t="str">
        <f>Price_List_BA!D194</f>
        <v>Uterine Probe (ZM)</v>
      </c>
      <c r="E1122" s="786"/>
      <c r="F1122" s="786"/>
      <c r="G1122" s="786"/>
      <c r="J1122" s="127">
        <f>Price_List_BA!L194</f>
        <v>46</v>
      </c>
      <c r="K1122" s="127">
        <f>Price_List_BA!O194</f>
        <v>5.1111111111111107</v>
      </c>
      <c r="L1122" s="127">
        <f>Price_List_BA!P194</f>
        <v>5.9079574228327578</v>
      </c>
    </row>
    <row r="1123" spans="4:12" s="348" customFormat="1" ht="12.75" hidden="1" customHeight="1" outlineLevel="2" x14ac:dyDescent="0.2">
      <c r="D1123" s="785" t="str">
        <f>Price_List_BA!D195</f>
        <v>Uterine Probe  (TZ)</v>
      </c>
      <c r="E1123" s="786"/>
      <c r="F1123" s="786"/>
      <c r="G1123" s="786"/>
      <c r="J1123" s="127">
        <f>Price_List_BA!L195</f>
        <v>43.75</v>
      </c>
      <c r="K1123" s="127">
        <f>Price_List_BA!O195</f>
        <v>4.8611111111111107</v>
      </c>
      <c r="L1123" s="127">
        <f>Price_List_BA!P195</f>
        <v>5.6189812445420255</v>
      </c>
    </row>
    <row r="1124" spans="4:12" s="348" customFormat="1" ht="12.75" hidden="1" customHeight="1" outlineLevel="2" x14ac:dyDescent="0.2">
      <c r="D1124" s="785" t="str">
        <f>Price_List_BA!D196</f>
        <v>Equipment Category 113</v>
      </c>
      <c r="E1124" s="786"/>
      <c r="F1124" s="786"/>
      <c r="G1124" s="786"/>
      <c r="J1124" s="127">
        <f>Price_List_BA!L196</f>
        <v>0</v>
      </c>
      <c r="K1124" s="127">
        <f>Price_List_BA!O196</f>
        <v>0</v>
      </c>
      <c r="L1124" s="127">
        <f>Price_List_BA!P196</f>
        <v>0</v>
      </c>
    </row>
    <row r="1125" spans="4:12" s="348" customFormat="1" ht="12.75" hidden="1" customHeight="1" outlineLevel="2" x14ac:dyDescent="0.2">
      <c r="D1125" s="785" t="str">
        <f>Price_List_BA!D197</f>
        <v>Equipment Category 114</v>
      </c>
      <c r="E1125" s="786"/>
      <c r="F1125" s="786"/>
      <c r="G1125" s="786"/>
      <c r="J1125" s="127">
        <f>Price_List_BA!L197</f>
        <v>0</v>
      </c>
      <c r="K1125" s="127">
        <f>Price_List_BA!O197</f>
        <v>0</v>
      </c>
      <c r="L1125" s="127">
        <f>Price_List_BA!P197</f>
        <v>0</v>
      </c>
    </row>
    <row r="1126" spans="4:12" s="348" customFormat="1" ht="12.75" hidden="1" customHeight="1" outlineLevel="2" x14ac:dyDescent="0.2">
      <c r="D1126" s="785" t="str">
        <f>Price_List_BA!D198</f>
        <v>Equipment Category 115</v>
      </c>
      <c r="E1126" s="786"/>
      <c r="F1126" s="786"/>
      <c r="G1126" s="786"/>
      <c r="J1126" s="127">
        <f>Price_List_BA!L198</f>
        <v>0</v>
      </c>
      <c r="K1126" s="127">
        <f>Price_List_BA!O198</f>
        <v>0</v>
      </c>
      <c r="L1126" s="127">
        <f>Price_List_BA!P198</f>
        <v>0</v>
      </c>
    </row>
    <row r="1127" spans="4:12" s="348" customFormat="1" ht="12.75" hidden="1" customHeight="1" outlineLevel="2" x14ac:dyDescent="0.2">
      <c r="D1127" s="785" t="str">
        <f>Price_List_BA!D199</f>
        <v>Equipment Category 116</v>
      </c>
      <c r="E1127" s="786"/>
      <c r="F1127" s="786"/>
      <c r="G1127" s="786"/>
      <c r="J1127" s="127">
        <f>Price_List_BA!L199</f>
        <v>0</v>
      </c>
      <c r="K1127" s="127">
        <f>Price_List_BA!O199</f>
        <v>0</v>
      </c>
      <c r="L1127" s="127">
        <f>Price_List_BA!P199</f>
        <v>0</v>
      </c>
    </row>
    <row r="1128" spans="4:12" s="348" customFormat="1" ht="12.75" hidden="1" customHeight="1" outlineLevel="2" x14ac:dyDescent="0.2">
      <c r="D1128" s="785" t="str">
        <f>Price_List_BA!D200</f>
        <v>Equipment Category 117</v>
      </c>
      <c r="E1128" s="786"/>
      <c r="F1128" s="786"/>
      <c r="G1128" s="786"/>
      <c r="J1128" s="127">
        <f>Price_List_BA!L200</f>
        <v>0</v>
      </c>
      <c r="K1128" s="127">
        <f>Price_List_BA!O200</f>
        <v>0</v>
      </c>
      <c r="L1128" s="127">
        <f>Price_List_BA!P200</f>
        <v>0</v>
      </c>
    </row>
    <row r="1129" spans="4:12" s="348" customFormat="1" ht="12.75" hidden="1" customHeight="1" outlineLevel="2" x14ac:dyDescent="0.2">
      <c r="D1129" s="785" t="str">
        <f>Price_List_BA!D201</f>
        <v>Equipment Category 118</v>
      </c>
      <c r="E1129" s="786"/>
      <c r="F1129" s="786"/>
      <c r="G1129" s="786"/>
      <c r="J1129" s="127">
        <f>Price_List_BA!L201</f>
        <v>0</v>
      </c>
      <c r="K1129" s="127">
        <f>Price_List_BA!O201</f>
        <v>0</v>
      </c>
      <c r="L1129" s="127">
        <f>Price_List_BA!P201</f>
        <v>0</v>
      </c>
    </row>
    <row r="1130" spans="4:12" s="348" customFormat="1" ht="12.75" hidden="1" customHeight="1" outlineLevel="2" x14ac:dyDescent="0.2">
      <c r="D1130" s="785" t="str">
        <f>Price_List_BA!D202</f>
        <v>Equipment Category 119</v>
      </c>
      <c r="E1130" s="786"/>
      <c r="F1130" s="786"/>
      <c r="G1130" s="786"/>
      <c r="J1130" s="127">
        <f>Price_List_BA!L202</f>
        <v>0</v>
      </c>
      <c r="K1130" s="127">
        <f>Price_List_BA!O202</f>
        <v>0</v>
      </c>
      <c r="L1130" s="127">
        <f>Price_List_BA!P202</f>
        <v>0</v>
      </c>
    </row>
    <row r="1131" spans="4:12" s="348" customFormat="1" ht="12.75" hidden="1" customHeight="1" outlineLevel="2" x14ac:dyDescent="0.2">
      <c r="D1131" s="785" t="str">
        <f>Price_List_BA!D203</f>
        <v>Equipment Category 120</v>
      </c>
      <c r="E1131" s="786"/>
      <c r="F1131" s="786"/>
      <c r="G1131" s="786"/>
      <c r="J1131" s="127">
        <f>Price_List_BA!L203</f>
        <v>0</v>
      </c>
      <c r="K1131" s="127">
        <f>Price_List_BA!O203</f>
        <v>0</v>
      </c>
      <c r="L1131" s="127">
        <f>Price_List_BA!P203</f>
        <v>0</v>
      </c>
    </row>
    <row r="1132" spans="4:12" s="348" customFormat="1" ht="12.75" hidden="1" customHeight="1" outlineLevel="2" x14ac:dyDescent="0.2">
      <c r="D1132" s="785" t="str">
        <f>Price_List_BA!D204</f>
        <v>Equipment Category 121</v>
      </c>
      <c r="E1132" s="786"/>
      <c r="F1132" s="786"/>
      <c r="G1132" s="786"/>
      <c r="J1132" s="127">
        <f>Price_List_BA!L204</f>
        <v>0</v>
      </c>
      <c r="K1132" s="127">
        <f>Price_List_BA!O204</f>
        <v>0</v>
      </c>
      <c r="L1132" s="127">
        <f>Price_List_BA!P204</f>
        <v>0</v>
      </c>
    </row>
    <row r="1133" spans="4:12" s="348" customFormat="1" ht="12.75" hidden="1" customHeight="1" outlineLevel="2" x14ac:dyDescent="0.2">
      <c r="D1133" s="785" t="str">
        <f>Price_List_BA!D205</f>
        <v>Equipment Category 122</v>
      </c>
      <c r="E1133" s="786"/>
      <c r="F1133" s="786"/>
      <c r="G1133" s="786"/>
      <c r="J1133" s="127">
        <f>Price_List_BA!L205</f>
        <v>0</v>
      </c>
      <c r="K1133" s="127">
        <f>Price_List_BA!O205</f>
        <v>0</v>
      </c>
      <c r="L1133" s="127">
        <f>Price_List_BA!P205</f>
        <v>0</v>
      </c>
    </row>
    <row r="1134" spans="4:12" s="348" customFormat="1" ht="12.75" hidden="1" customHeight="1" outlineLevel="2" x14ac:dyDescent="0.2">
      <c r="D1134" s="785" t="str">
        <f>Price_List_BA!D206</f>
        <v>Equipment Category 123</v>
      </c>
      <c r="E1134" s="786"/>
      <c r="F1134" s="786"/>
      <c r="G1134" s="786"/>
      <c r="J1134" s="127">
        <f>Price_List_BA!L206</f>
        <v>0</v>
      </c>
      <c r="K1134" s="127">
        <f>Price_List_BA!O206</f>
        <v>0</v>
      </c>
      <c r="L1134" s="127">
        <f>Price_List_BA!P206</f>
        <v>0</v>
      </c>
    </row>
    <row r="1135" spans="4:12" s="348" customFormat="1" hidden="1" outlineLevel="2" x14ac:dyDescent="0.2"/>
    <row r="1136" spans="4:12" s="348" customFormat="1" ht="25.5" hidden="1" outlineLevel="2" x14ac:dyDescent="0.2">
      <c r="D1136" s="667" t="s">
        <v>186</v>
      </c>
      <c r="L1136" s="312" t="str">
        <f>"Cost per Unit ("&amp;$I$774&amp;"/Unit)"</f>
        <v>Cost per Unit (USD/Unit)</v>
      </c>
    </row>
    <row r="1137" spans="4:12" s="348" customFormat="1" ht="12.95" hidden="1" customHeight="1" outlineLevel="2" x14ac:dyDescent="0.2">
      <c r="D1137" s="785" t="str">
        <f>Price_List_BA!D381</f>
        <v>_Not Applicable</v>
      </c>
      <c r="E1137" s="786"/>
      <c r="F1137" s="786"/>
      <c r="G1137" s="786"/>
      <c r="L1137" s="127">
        <f>Price_List_BA!L381</f>
        <v>0</v>
      </c>
    </row>
    <row r="1138" spans="4:12" s="348" customFormat="1" ht="12.95" hidden="1" customHeight="1" outlineLevel="2" x14ac:dyDescent="0.2">
      <c r="D1138" s="785" t="str">
        <f>Price_List_BA!D382</f>
        <v>Biopsy Pathology (ZM)</v>
      </c>
      <c r="E1138" s="786"/>
      <c r="F1138" s="786"/>
      <c r="G1138" s="786"/>
      <c r="L1138" s="127">
        <f>Price_List_BA!L382</f>
        <v>10.45</v>
      </c>
    </row>
    <row r="1139" spans="4:12" s="348" customFormat="1" ht="12.95" hidden="1" customHeight="1" outlineLevel="2" x14ac:dyDescent="0.2">
      <c r="D1139" s="785" t="str">
        <f>Price_List_BA!D383</f>
        <v>Blood chemistry (TZ)</v>
      </c>
      <c r="E1139" s="786"/>
      <c r="F1139" s="786"/>
      <c r="G1139" s="786"/>
      <c r="L1139" s="127">
        <f>Price_List_BA!L383</f>
        <v>21.875</v>
      </c>
    </row>
    <row r="1140" spans="4:12" s="348" customFormat="1" ht="12.95" hidden="1" customHeight="1" outlineLevel="2" x14ac:dyDescent="0.2">
      <c r="D1140" s="785" t="str">
        <f>Price_List_BA!D384</f>
        <v>Blood slide for malaria (TZ)</v>
      </c>
      <c r="E1140" s="786"/>
      <c r="F1140" s="786"/>
      <c r="G1140" s="786"/>
      <c r="L1140" s="127">
        <f>Price_List_BA!L384</f>
        <v>1.25</v>
      </c>
    </row>
    <row r="1141" spans="4:12" s="348" customFormat="1" ht="12.95" hidden="1" customHeight="1" outlineLevel="2" x14ac:dyDescent="0.2">
      <c r="D1141" s="785" t="str">
        <f>Price_List_BA!D385</f>
        <v>CareHPV test (TZ)</v>
      </c>
      <c r="E1141" s="786"/>
      <c r="F1141" s="786"/>
      <c r="G1141" s="786"/>
      <c r="L1141" s="127">
        <f>Price_List_BA!L385</f>
        <v>5</v>
      </c>
    </row>
    <row r="1142" spans="4:12" s="348" customFormat="1" ht="12.95" hidden="1" customHeight="1" outlineLevel="2" x14ac:dyDescent="0.2">
      <c r="D1142" s="785" t="str">
        <f>Price_List_BA!D386</f>
        <v>Chest X-ray (ZM)</v>
      </c>
      <c r="E1142" s="786"/>
      <c r="F1142" s="786"/>
      <c r="G1142" s="786"/>
      <c r="L1142" s="127">
        <f>Price_List_BA!L386</f>
        <v>1.67</v>
      </c>
    </row>
    <row r="1143" spans="4:12" s="348" customFormat="1" ht="12.95" hidden="1" customHeight="1" outlineLevel="2" x14ac:dyDescent="0.2">
      <c r="D1143" s="785" t="str">
        <f>Price_List_BA!D387</f>
        <v>Chest x-ray (TZ)</v>
      </c>
      <c r="E1143" s="786"/>
      <c r="F1143" s="786"/>
      <c r="G1143" s="786"/>
      <c r="L1143" s="127">
        <f>Price_List_BA!L387</f>
        <v>3.75</v>
      </c>
    </row>
    <row r="1144" spans="4:12" s="348" customFormat="1" ht="12.95" hidden="1" customHeight="1" outlineLevel="2" x14ac:dyDescent="0.2">
      <c r="D1144" s="785" t="str">
        <f>Price_List_BA!D388</f>
        <v>Full Blood Count (ZM)</v>
      </c>
      <c r="E1144" s="786"/>
      <c r="F1144" s="786"/>
      <c r="G1144" s="786"/>
      <c r="L1144" s="127">
        <f>Price_List_BA!L388</f>
        <v>2.5</v>
      </c>
    </row>
    <row r="1145" spans="4:12" s="348" customFormat="1" ht="12.95" hidden="1" customHeight="1" outlineLevel="2" x14ac:dyDescent="0.2">
      <c r="D1145" s="785" t="str">
        <f>Price_List_BA!D389</f>
        <v>Full blood picture (TZ)</v>
      </c>
      <c r="E1145" s="786"/>
      <c r="F1145" s="786"/>
      <c r="G1145" s="786"/>
      <c r="L1145" s="127">
        <f>Price_List_BA!L389</f>
        <v>6.25</v>
      </c>
    </row>
    <row r="1146" spans="4:12" s="348" customFormat="1" ht="12.75" hidden="1" customHeight="1" outlineLevel="2" x14ac:dyDescent="0.2">
      <c r="D1146" s="785" t="str">
        <f>Price_List_BA!D390</f>
        <v>Grouping, X matching (TZ)</v>
      </c>
      <c r="E1146" s="786"/>
      <c r="F1146" s="786"/>
      <c r="G1146" s="786"/>
      <c r="L1146" s="127">
        <f>Price_List_BA!L390</f>
        <v>1.875</v>
      </c>
    </row>
    <row r="1147" spans="4:12" s="348" customFormat="1" ht="12.75" hidden="1" customHeight="1" outlineLevel="2" x14ac:dyDescent="0.2">
      <c r="D1147" s="785" t="str">
        <f>Price_List_BA!D391</f>
        <v>Haemoglobin (TZ)</v>
      </c>
      <c r="E1147" s="786"/>
      <c r="F1147" s="786"/>
      <c r="G1147" s="786"/>
      <c r="L1147" s="127">
        <f>Price_List_BA!L391</f>
        <v>0.625</v>
      </c>
    </row>
    <row r="1148" spans="4:12" s="348" customFormat="1" ht="12.75" hidden="1" customHeight="1" outlineLevel="2" x14ac:dyDescent="0.2">
      <c r="D1148" s="785" t="str">
        <f>Price_List_BA!D392</f>
        <v>Histopathology (TZ)</v>
      </c>
      <c r="E1148" s="786"/>
      <c r="F1148" s="786"/>
      <c r="G1148" s="786"/>
      <c r="L1148" s="127">
        <f>Price_List_BA!L392</f>
        <v>31.25</v>
      </c>
    </row>
    <row r="1149" spans="4:12" s="348" customFormat="1" ht="12.75" hidden="1" customHeight="1" outlineLevel="2" x14ac:dyDescent="0.2">
      <c r="D1149" s="785" t="str">
        <f>Price_List_BA!D393</f>
        <v>Home Care (Day) (TZ)</v>
      </c>
      <c r="E1149" s="786"/>
      <c r="F1149" s="786"/>
      <c r="G1149" s="786"/>
      <c r="L1149" s="127">
        <f>Price_List_BA!L393</f>
        <v>12.5</v>
      </c>
    </row>
    <row r="1150" spans="4:12" s="348" customFormat="1" ht="12.75" hidden="1" customHeight="1" outlineLevel="2" x14ac:dyDescent="0.2">
      <c r="D1150" s="785" t="str">
        <f>Price_List_BA!D394</f>
        <v>Hospital Stay (Bed Day) (TZ)</v>
      </c>
      <c r="E1150" s="786"/>
      <c r="F1150" s="786"/>
      <c r="G1150" s="786"/>
      <c r="L1150" s="127">
        <f>Price_List_BA!L394</f>
        <v>18.75</v>
      </c>
    </row>
    <row r="1151" spans="4:12" s="348" customFormat="1" ht="12.75" hidden="1" customHeight="1" outlineLevel="2" x14ac:dyDescent="0.2">
      <c r="D1151" s="785" t="str">
        <f>Price_List_BA!D395</f>
        <v>Hysterectomy Pathology (ZM)</v>
      </c>
      <c r="E1151" s="786"/>
      <c r="F1151" s="786"/>
      <c r="G1151" s="786"/>
      <c r="L1151" s="127">
        <f>Price_List_BA!L395</f>
        <v>135.77000000000001</v>
      </c>
    </row>
    <row r="1152" spans="4:12" s="348" customFormat="1" ht="12.75" hidden="1" customHeight="1" outlineLevel="2" x14ac:dyDescent="0.2">
      <c r="D1152" s="785" t="str">
        <f>Price_List_BA!D396</f>
        <v>LEEP Pathology (ZM)</v>
      </c>
      <c r="E1152" s="786"/>
      <c r="F1152" s="786"/>
      <c r="G1152" s="786"/>
      <c r="L1152" s="127">
        <f>Price_List_BA!L396</f>
        <v>62.66</v>
      </c>
    </row>
    <row r="1153" spans="4:12" s="348" customFormat="1" ht="12.75" hidden="1" customHeight="1" outlineLevel="2" x14ac:dyDescent="0.2">
      <c r="D1153" s="785" t="str">
        <f>Price_List_BA!D397</f>
        <v>Liver Function (ZM)</v>
      </c>
      <c r="E1153" s="786"/>
      <c r="F1153" s="786"/>
      <c r="G1153" s="786"/>
      <c r="L1153" s="127">
        <f>Price_List_BA!L397</f>
        <v>6.67</v>
      </c>
    </row>
    <row r="1154" spans="4:12" s="348" customFormat="1" ht="12.75" hidden="1" customHeight="1" outlineLevel="2" x14ac:dyDescent="0.2">
      <c r="D1154" s="785" t="str">
        <f>Price_List_BA!D398</f>
        <v>Planning x-ray (TZ)</v>
      </c>
      <c r="E1154" s="786"/>
      <c r="F1154" s="786"/>
      <c r="G1154" s="786"/>
      <c r="L1154" s="127">
        <f>Price_List_BA!L398</f>
        <v>3.75</v>
      </c>
    </row>
    <row r="1155" spans="4:12" s="348" customFormat="1" ht="12.75" hidden="1" customHeight="1" outlineLevel="2" x14ac:dyDescent="0.2">
      <c r="D1155" s="785" t="str">
        <f>Price_List_BA!D399</f>
        <v>Renal Function (ZM)</v>
      </c>
      <c r="E1155" s="786"/>
      <c r="F1155" s="786"/>
      <c r="G1155" s="786"/>
      <c r="L1155" s="127">
        <f>Price_List_BA!L399</f>
        <v>3.33</v>
      </c>
    </row>
    <row r="1156" spans="4:12" s="348" customFormat="1" ht="12.75" hidden="1" customHeight="1" outlineLevel="2" x14ac:dyDescent="0.2">
      <c r="D1156" s="785" t="str">
        <f>Price_List_BA!D400</f>
        <v>Ultrasound (ZM)</v>
      </c>
      <c r="E1156" s="786"/>
      <c r="F1156" s="786"/>
      <c r="G1156" s="786"/>
      <c r="L1156" s="127">
        <f>Price_List_BA!L400</f>
        <v>4.17</v>
      </c>
    </row>
    <row r="1157" spans="4:12" s="348" customFormat="1" ht="12.75" hidden="1" customHeight="1" outlineLevel="2" x14ac:dyDescent="0.2">
      <c r="D1157" s="785" t="str">
        <f>Price_List_BA!D401</f>
        <v>ultrasound (abdominal &amp; pelvic) (TZ)</v>
      </c>
      <c r="E1157" s="786"/>
      <c r="F1157" s="786"/>
      <c r="G1157" s="786"/>
      <c r="L1157" s="127">
        <f>Price_List_BA!L401</f>
        <v>15.625</v>
      </c>
    </row>
    <row r="1158" spans="4:12" s="348" customFormat="1" ht="12.75" hidden="1" customHeight="1" outlineLevel="2" x14ac:dyDescent="0.2">
      <c r="D1158" s="785" t="str">
        <f>Price_List_BA!D402</f>
        <v>Urine/stool test (TZ)</v>
      </c>
      <c r="E1158" s="786"/>
      <c r="F1158" s="786"/>
      <c r="G1158" s="786"/>
      <c r="L1158" s="127">
        <f>Price_List_BA!L402</f>
        <v>2.5</v>
      </c>
    </row>
    <row r="1159" spans="4:12" s="348" customFormat="1" ht="12.75" hidden="1" customHeight="1" outlineLevel="2" x14ac:dyDescent="0.2">
      <c r="D1159" s="785" t="str">
        <f>Price_List_BA!D403</f>
        <v>Lab Tests &amp; Other Direct Costs Category 23</v>
      </c>
      <c r="E1159" s="786"/>
      <c r="F1159" s="786"/>
      <c r="G1159" s="786"/>
      <c r="L1159" s="127">
        <f>Price_List_BA!L403</f>
        <v>0</v>
      </c>
    </row>
    <row r="1160" spans="4:12" s="348" customFormat="1" ht="12.95" hidden="1" customHeight="1" outlineLevel="2" x14ac:dyDescent="0.2">
      <c r="D1160" s="785" t="str">
        <f>Price_List_BA!D404</f>
        <v>Lab Tests &amp; Other Direct Costs Category 24</v>
      </c>
      <c r="E1160" s="786"/>
      <c r="F1160" s="786"/>
      <c r="G1160" s="786"/>
      <c r="L1160" s="127">
        <f>Price_List_BA!L404</f>
        <v>0</v>
      </c>
    </row>
    <row r="1161" spans="4:12" s="348" customFormat="1" ht="12.95" hidden="1" customHeight="1" outlineLevel="2" x14ac:dyDescent="0.2">
      <c r="D1161" s="785" t="str">
        <f>Price_List_BA!D405</f>
        <v>Lab Tests &amp; Other Direct Costs Category 25</v>
      </c>
      <c r="E1161" s="786"/>
      <c r="F1161" s="786"/>
      <c r="G1161" s="786"/>
      <c r="L1161" s="127">
        <f>Price_List_BA!L405</f>
        <v>0</v>
      </c>
    </row>
    <row r="1162" spans="4:12" s="348" customFormat="1" ht="12.95" hidden="1" customHeight="1" outlineLevel="2" x14ac:dyDescent="0.2">
      <c r="D1162" s="785" t="str">
        <f>Price_List_BA!D406</f>
        <v>Lab Tests &amp; Other Direct Costs Category 26</v>
      </c>
      <c r="E1162" s="786"/>
      <c r="F1162" s="786"/>
      <c r="G1162" s="786"/>
      <c r="L1162" s="127">
        <f>Price_List_BA!L406</f>
        <v>0</v>
      </c>
    </row>
    <row r="1163" spans="4:12" s="348" customFormat="1" ht="12.95" hidden="1" customHeight="1" outlineLevel="2" x14ac:dyDescent="0.2">
      <c r="D1163" s="785" t="str">
        <f>Price_List_BA!D407</f>
        <v>Lab Tests &amp; Other Direct Costs Category 27</v>
      </c>
      <c r="E1163" s="786"/>
      <c r="F1163" s="786"/>
      <c r="G1163" s="786"/>
      <c r="L1163" s="127">
        <f>Price_List_BA!L407</f>
        <v>0</v>
      </c>
    </row>
    <row r="1164" spans="4:12" s="348" customFormat="1" ht="12.95" hidden="1" customHeight="1" outlineLevel="2" x14ac:dyDescent="0.2">
      <c r="D1164" s="785" t="str">
        <f>Price_List_BA!D408</f>
        <v>Lab Tests &amp; Other Direct Costs Category 28</v>
      </c>
      <c r="E1164" s="786"/>
      <c r="F1164" s="786"/>
      <c r="G1164" s="786"/>
      <c r="L1164" s="127">
        <f>Price_List_BA!L408</f>
        <v>0</v>
      </c>
    </row>
    <row r="1165" spans="4:12" s="348" customFormat="1" ht="12.95" hidden="1" customHeight="1" outlineLevel="2" x14ac:dyDescent="0.2">
      <c r="D1165" s="785" t="str">
        <f>Price_List_BA!D409</f>
        <v>Lab Tests &amp; Other Direct Costs Category 29</v>
      </c>
      <c r="E1165" s="786"/>
      <c r="F1165" s="786"/>
      <c r="G1165" s="786"/>
      <c r="L1165" s="127">
        <f>Price_List_BA!L409</f>
        <v>0</v>
      </c>
    </row>
    <row r="1166" spans="4:12" s="348" customFormat="1" ht="12.95" hidden="1" customHeight="1" outlineLevel="2" x14ac:dyDescent="0.2">
      <c r="D1166" s="785" t="str">
        <f>Price_List_BA!D410</f>
        <v>Lab Tests &amp; Other Direct Costs Category 30</v>
      </c>
      <c r="E1166" s="786"/>
      <c r="F1166" s="786"/>
      <c r="G1166" s="786"/>
      <c r="L1166" s="127">
        <f>Price_List_BA!L410</f>
        <v>0</v>
      </c>
    </row>
    <row r="1167" spans="4:12" s="348" customFormat="1" ht="12.95" hidden="1" customHeight="1" outlineLevel="2" x14ac:dyDescent="0.2">
      <c r="D1167" s="785" t="str">
        <f>Price_List_BA!D411</f>
        <v>Lab Tests &amp; Other Direct Costs Category 31</v>
      </c>
      <c r="E1167" s="786"/>
      <c r="F1167" s="786"/>
      <c r="G1167" s="786"/>
      <c r="L1167" s="127">
        <f>Price_List_BA!L411</f>
        <v>0</v>
      </c>
    </row>
    <row r="1168" spans="4:12" s="348" customFormat="1" ht="12.75" hidden="1" customHeight="1" outlineLevel="2" x14ac:dyDescent="0.2">
      <c r="D1168" s="785" t="str">
        <f>Price_List_BA!D412</f>
        <v>Lab Tests &amp; Other Direct Costs Category 32</v>
      </c>
      <c r="E1168" s="786"/>
      <c r="F1168" s="786"/>
      <c r="G1168" s="786"/>
      <c r="L1168" s="127">
        <f>Price_List_BA!L412</f>
        <v>0</v>
      </c>
    </row>
    <row r="1169" spans="2:14" s="348" customFormat="1" ht="12.75" hidden="1" customHeight="1" outlineLevel="2" x14ac:dyDescent="0.2">
      <c r="D1169" s="785" t="str">
        <f>Price_List_BA!D413</f>
        <v>Last ODC Row</v>
      </c>
      <c r="E1169" s="786"/>
      <c r="F1169" s="786"/>
      <c r="G1169" s="786"/>
      <c r="L1169" s="127">
        <f>Price_List_BA!L413</f>
        <v>0</v>
      </c>
    </row>
    <row r="1170" spans="2:14" s="348" customFormat="1" hidden="1" outlineLevel="2" collapsed="1" x14ac:dyDescent="0.2"/>
    <row r="1171" spans="2:14" s="348" customFormat="1" hidden="1" outlineLevel="2" x14ac:dyDescent="0.2">
      <c r="D1171" s="671" t="s">
        <v>312</v>
      </c>
      <c r="I1171" s="130">
        <f>IF(ISERROR(SUM(U$665:U$667,U$679:U$681,U$694:U$711,U$724:U$734,U$747:U$747,U774)),1,MIN(SUM(U$665:U$667,U$679:U$681,U$694:U$711,U$724:U$734,U$747:U$747,U774),1))</f>
        <v>0</v>
      </c>
    </row>
    <row r="1172" spans="2:14" s="348" customFormat="1" collapsed="1" x14ac:dyDescent="0.2">
      <c r="C1172" s="671" t="s">
        <v>23</v>
      </c>
      <c r="I1172" s="131">
        <f>IF(ISERROR(SUM(I1171)),1,MIN(SUM(I1171),1))</f>
        <v>0</v>
      </c>
    </row>
    <row r="1173" spans="2:14" s="348" customFormat="1" x14ac:dyDescent="0.2"/>
    <row r="1174" spans="2:14" s="348" customFormat="1" x14ac:dyDescent="0.2">
      <c r="C1174" s="722" t="str">
        <f>"Go to "&amp;HL_Intv_2_Ann_Ass</f>
        <v>Go to Intervention Services - Annual Assumptions</v>
      </c>
      <c r="D1174" s="777"/>
      <c r="E1174" s="777"/>
      <c r="F1174" s="777"/>
      <c r="G1174" s="777"/>
      <c r="H1174" s="777"/>
      <c r="I1174" s="777"/>
    </row>
    <row r="1175" spans="2:14" s="348" customFormat="1" x14ac:dyDescent="0.2">
      <c r="C1175" s="722" t="str">
        <f>"Go to "&amp;HL_Intv_2_Out</f>
        <v>Go to Loop Electrosurgical Excision Procedure  with BIOP-H</v>
      </c>
      <c r="D1175" s="777"/>
      <c r="E1175" s="777"/>
      <c r="F1175" s="777"/>
      <c r="G1175" s="777"/>
      <c r="H1175" s="777"/>
      <c r="I1175" s="777"/>
    </row>
    <row r="1176" spans="2:14" s="348" customFormat="1" x14ac:dyDescent="0.2"/>
    <row r="1177" spans="2:14" s="348" customFormat="1" x14ac:dyDescent="0.2"/>
    <row r="1178" spans="2:14" s="348" customFormat="1" ht="18.75" x14ac:dyDescent="0.2">
      <c r="B1178" s="424" t="str">
        <f>G1180</f>
        <v>Chemotherapy</v>
      </c>
    </row>
    <row r="1179" spans="2:14" s="348" customFormat="1" x14ac:dyDescent="0.2"/>
    <row r="1180" spans="2:14" s="348" customFormat="1" x14ac:dyDescent="0.2">
      <c r="C1180" s="671" t="s">
        <v>77</v>
      </c>
      <c r="G1180" s="721" t="s">
        <v>181</v>
      </c>
      <c r="H1180" s="721"/>
      <c r="I1180" s="721"/>
      <c r="J1180" s="721"/>
    </row>
    <row r="1181" spans="2:14" s="348" customFormat="1" x14ac:dyDescent="0.2">
      <c r="C1181" s="671" t="s">
        <v>79</v>
      </c>
      <c r="G1181" s="721" t="s">
        <v>182</v>
      </c>
      <c r="H1181" s="721"/>
      <c r="I1181" s="721"/>
      <c r="J1181" s="721"/>
    </row>
    <row r="1182" spans="2:14" s="348" customFormat="1" x14ac:dyDescent="0.2">
      <c r="L1182" s="671" t="s">
        <v>1712</v>
      </c>
    </row>
    <row r="1183" spans="2:14" s="348" customFormat="1" x14ac:dyDescent="0.2">
      <c r="C1183" s="802" t="s">
        <v>815</v>
      </c>
      <c r="D1183" s="803"/>
      <c r="E1183" s="803"/>
      <c r="F1183" s="803"/>
      <c r="G1183" s="803"/>
      <c r="H1183" s="803"/>
      <c r="I1183" s="803"/>
      <c r="J1183" s="313">
        <f>IFERROR(INDEX($J$1187:$J$1193,MATCH($G$1181,$C$1187:$C$1193,0))+INDEX($J$1197:$J$1202,MATCH($G$1181,$C$1197:$C$1202,0)),0)</f>
        <v>8.9499999999999996E-3</v>
      </c>
    </row>
    <row r="1184" spans="2:14" s="348" customFormat="1" x14ac:dyDescent="0.2">
      <c r="C1184" s="671" t="s">
        <v>142</v>
      </c>
      <c r="J1184" s="239">
        <v>0.5</v>
      </c>
      <c r="L1184" s="721"/>
      <c r="M1184" s="721"/>
      <c r="N1184" s="721"/>
    </row>
    <row r="1185" spans="3:10" s="348" customFormat="1" hidden="1" outlineLevel="1" x14ac:dyDescent="0.2"/>
    <row r="1186" spans="3:10" s="348" customFormat="1" ht="15" hidden="1" outlineLevel="1" x14ac:dyDescent="0.2">
      <c r="C1186" s="667" t="s">
        <v>270</v>
      </c>
      <c r="J1186" s="671" t="s">
        <v>779</v>
      </c>
    </row>
    <row r="1187" spans="3:10" s="348" customFormat="1" hidden="1" outlineLevel="1" x14ac:dyDescent="0.2">
      <c r="C1187" s="668" t="str">
        <f>Reg_Pop_Ann_TA!D57</f>
        <v>BIOP-H</v>
      </c>
      <c r="J1187" s="303">
        <f>Reg_Pop_Ann_TA!H57</f>
        <v>0.01</v>
      </c>
    </row>
    <row r="1188" spans="3:10" s="348" customFormat="1" hidden="1" outlineLevel="1" x14ac:dyDescent="0.2">
      <c r="C1188" s="668" t="str">
        <f>Reg_Pop_Ann_TA!D58</f>
        <v>Cryo -SV</v>
      </c>
      <c r="J1188" s="303">
        <f>Reg_Pop_Ann_TA!H58</f>
        <v>0.106</v>
      </c>
    </row>
    <row r="1189" spans="3:10" s="348" customFormat="1" hidden="1" outlineLevel="1" x14ac:dyDescent="0.2">
      <c r="C1189" s="668" t="str">
        <f>Reg_Pop_Ann_TA!D59</f>
        <v>LEEP with BIOP-H</v>
      </c>
      <c r="J1189" s="303">
        <f>Reg_Pop_Ann_TA!H59</f>
        <v>6.3E-2</v>
      </c>
    </row>
    <row r="1190" spans="3:10" s="348" customFormat="1" hidden="1" outlineLevel="1" x14ac:dyDescent="0.2">
      <c r="C1190" s="668" t="str">
        <f>Reg_Pop_Ann_TA!D60</f>
        <v>SURG</v>
      </c>
      <c r="J1190" s="303">
        <f>Reg_Pop_Ann_TA!H60</f>
        <v>0</v>
      </c>
    </row>
    <row r="1191" spans="3:10" s="348" customFormat="1" hidden="1" outlineLevel="1" x14ac:dyDescent="0.2">
      <c r="C1191" s="668" t="str">
        <f>Reg_Pop_Ann_TA!D61</f>
        <v>Chemo</v>
      </c>
      <c r="J1191" s="303">
        <f>Reg_Pop_Ann_TA!H61</f>
        <v>0</v>
      </c>
    </row>
    <row r="1192" spans="3:10" s="348" customFormat="1" hidden="1" outlineLevel="1" x14ac:dyDescent="0.2">
      <c r="C1192" s="668" t="str">
        <f>Reg_Pop_Ann_TA!D62</f>
        <v>RADIO</v>
      </c>
      <c r="J1192" s="303">
        <f>Reg_Pop_Ann_TA!H62</f>
        <v>0</v>
      </c>
    </row>
    <row r="1193" spans="3:10" s="348" customFormat="1" hidden="1" outlineLevel="1" x14ac:dyDescent="0.2">
      <c r="C1193" s="668" t="str">
        <f>Reg_Pop_Ann_TA!D63</f>
        <v>PALL</v>
      </c>
      <c r="J1193" s="303">
        <f>Reg_Pop_Ann_TA!H63</f>
        <v>0</v>
      </c>
    </row>
    <row r="1194" spans="3:10" s="348" customFormat="1" ht="15" hidden="1" outlineLevel="1" collapsed="1" x14ac:dyDescent="0.2">
      <c r="C1194" s="667" t="s">
        <v>781</v>
      </c>
      <c r="J1194" s="303">
        <f>SUM(J1187:J1193)</f>
        <v>0.17899999999999999</v>
      </c>
    </row>
    <row r="1195" spans="3:10" s="348" customFormat="1" hidden="1" outlineLevel="1" x14ac:dyDescent="0.2"/>
    <row r="1196" spans="3:10" s="348" customFormat="1" ht="15" hidden="1" outlineLevel="1" x14ac:dyDescent="0.2">
      <c r="C1196" s="667" t="s">
        <v>270</v>
      </c>
      <c r="J1196" s="671" t="s">
        <v>780</v>
      </c>
    </row>
    <row r="1197" spans="3:10" s="348" customFormat="1" hidden="1" outlineLevel="1" x14ac:dyDescent="0.2">
      <c r="C1197" s="668" t="str">
        <f>Reg_Pop_Ann_TA!D80</f>
        <v>Cryo -SV</v>
      </c>
      <c r="J1197" s="313">
        <f>Reg_Pop_Ann_TA!I80</f>
        <v>0</v>
      </c>
    </row>
    <row r="1198" spans="3:10" s="348" customFormat="1" hidden="1" outlineLevel="1" x14ac:dyDescent="0.2">
      <c r="C1198" s="668" t="str">
        <f>Reg_Pop_Ann_TA!D81</f>
        <v>LEEP with BIOP-H</v>
      </c>
      <c r="J1198" s="313">
        <f>Reg_Pop_Ann_TA!I81</f>
        <v>0</v>
      </c>
    </row>
    <row r="1199" spans="3:10" s="348" customFormat="1" hidden="1" outlineLevel="1" x14ac:dyDescent="0.2">
      <c r="C1199" s="668" t="str">
        <f>Reg_Pop_Ann_TA!D82</f>
        <v>SURG</v>
      </c>
      <c r="J1199" s="313">
        <f>Reg_Pop_Ann_TA!I82</f>
        <v>7.1599999999999997E-3</v>
      </c>
    </row>
    <row r="1200" spans="3:10" s="348" customFormat="1" hidden="1" outlineLevel="1" x14ac:dyDescent="0.2">
      <c r="C1200" s="668" t="str">
        <f>Reg_Pop_Ann_TA!D83</f>
        <v>Chemo</v>
      </c>
      <c r="J1200" s="313">
        <f>Reg_Pop_Ann_TA!I83</f>
        <v>8.9499999999999996E-3</v>
      </c>
    </row>
    <row r="1201" spans="2:16" s="348" customFormat="1" hidden="1" outlineLevel="1" x14ac:dyDescent="0.2">
      <c r="C1201" s="668" t="str">
        <f>Reg_Pop_Ann_TA!D84</f>
        <v>RADIO</v>
      </c>
      <c r="J1201" s="313">
        <f>Reg_Pop_Ann_TA!I84</f>
        <v>8.9499999999999996E-3</v>
      </c>
    </row>
    <row r="1202" spans="2:16" s="348" customFormat="1" hidden="1" outlineLevel="1" x14ac:dyDescent="0.2">
      <c r="C1202" s="668" t="str">
        <f>Reg_Pop_Ann_TA!D85</f>
        <v>PALL</v>
      </c>
      <c r="J1202" s="313">
        <f>Reg_Pop_Ann_TA!I85</f>
        <v>5.3699999999999998E-3</v>
      </c>
    </row>
    <row r="1203" spans="2:16" s="348" customFormat="1" ht="15" hidden="1" outlineLevel="1" x14ac:dyDescent="0.2">
      <c r="C1203" s="667" t="s">
        <v>782</v>
      </c>
      <c r="J1203" s="304">
        <f>SUM(J1197:J1202)</f>
        <v>3.0429999999999999E-2</v>
      </c>
    </row>
    <row r="1204" spans="2:16" s="348" customFormat="1" hidden="1" outlineLevel="1" x14ac:dyDescent="0.2"/>
    <row r="1205" spans="2:16" s="348" customFormat="1" collapsed="1" x14ac:dyDescent="0.2"/>
    <row r="1206" spans="2:16" s="348" customFormat="1" ht="15.75" x14ac:dyDescent="0.2">
      <c r="B1206" s="124" t="str">
        <f>"Annual Capacity per Service Unit - "&amp;Intv_3_Short_Code</f>
        <v>Annual Capacity per Service Unit - Chemo</v>
      </c>
    </row>
    <row r="1207" spans="2:16" s="348" customFormat="1" x14ac:dyDescent="0.2"/>
    <row r="1208" spans="2:16" s="348" customFormat="1" ht="38.25" x14ac:dyDescent="0.2">
      <c r="C1208" s="671" t="s">
        <v>1752</v>
      </c>
      <c r="H1208" s="676" t="s">
        <v>1746</v>
      </c>
      <c r="I1208" s="676" t="s">
        <v>1747</v>
      </c>
      <c r="J1208" s="676" t="s">
        <v>1749</v>
      </c>
      <c r="K1208" s="676" t="s">
        <v>1748</v>
      </c>
      <c r="L1208" s="676" t="s">
        <v>1750</v>
      </c>
      <c r="N1208" s="800" t="s">
        <v>1759</v>
      </c>
      <c r="O1208" s="801"/>
      <c r="P1208" s="801"/>
    </row>
    <row r="1209" spans="2:16" s="348" customFormat="1" x14ac:dyDescent="0.2">
      <c r="D1209" s="668" t="str">
        <f>Labels_BA!D16</f>
        <v>Central Referral Hospital</v>
      </c>
      <c r="H1209" s="494">
        <v>240</v>
      </c>
      <c r="I1209" s="494">
        <v>11</v>
      </c>
      <c r="J1209" s="494">
        <v>60</v>
      </c>
      <c r="K1209" s="494">
        <v>60</v>
      </c>
      <c r="L1209" s="487">
        <f>IFERROR((H1209*I1209*J1209)/K1209,0)</f>
        <v>2640</v>
      </c>
      <c r="N1209" s="721" t="s">
        <v>1807</v>
      </c>
      <c r="O1209" s="721"/>
      <c r="P1209" s="721"/>
    </row>
    <row r="1210" spans="2:16" s="348" customFormat="1" x14ac:dyDescent="0.2">
      <c r="D1210" s="668" t="str">
        <f>Labels_BA!E16</f>
        <v>Provincial Hospital</v>
      </c>
      <c r="H1210" s="494">
        <v>0</v>
      </c>
      <c r="I1210" s="494">
        <v>0</v>
      </c>
      <c r="J1210" s="494">
        <v>0</v>
      </c>
      <c r="K1210" s="494">
        <v>0</v>
      </c>
      <c r="L1210" s="487">
        <f>IFERROR((H1210*I1210*J1210)/K1210,0)</f>
        <v>0</v>
      </c>
      <c r="N1210" s="721" t="s">
        <v>1808</v>
      </c>
      <c r="O1210" s="721"/>
      <c r="P1210" s="721"/>
    </row>
    <row r="1211" spans="2:16" s="348" customFormat="1" x14ac:dyDescent="0.2">
      <c r="D1211" s="668" t="str">
        <f>Labels_BA!F16</f>
        <v>District Hospital</v>
      </c>
      <c r="H1211" s="494">
        <v>0</v>
      </c>
      <c r="I1211" s="494">
        <v>0</v>
      </c>
      <c r="J1211" s="494">
        <v>0</v>
      </c>
      <c r="K1211" s="494">
        <v>0</v>
      </c>
      <c r="L1211" s="487">
        <f>IFERROR((H1211*I1211*J1211)/K1211,0)</f>
        <v>0</v>
      </c>
      <c r="N1211" s="721" t="s">
        <v>1873</v>
      </c>
      <c r="O1211" s="831"/>
      <c r="P1211" s="831"/>
    </row>
    <row r="1212" spans="2:16" s="348" customFormat="1" x14ac:dyDescent="0.2"/>
    <row r="1213" spans="2:16" s="348" customFormat="1" x14ac:dyDescent="0.2">
      <c r="C1213" s="671" t="s">
        <v>1751</v>
      </c>
    </row>
    <row r="1214" spans="2:16" s="348" customFormat="1" x14ac:dyDescent="0.2">
      <c r="D1214" s="668" t="str">
        <f>Labels_BA!G16</f>
        <v>Fixed Health Clinic</v>
      </c>
      <c r="H1214" s="494">
        <v>0</v>
      </c>
      <c r="I1214" s="494">
        <v>0</v>
      </c>
      <c r="J1214" s="494">
        <v>0</v>
      </c>
      <c r="K1214" s="494">
        <v>0</v>
      </c>
      <c r="L1214" s="487">
        <f t="shared" ref="L1214:L1220" si="18">IFERROR((H1214*I1214*J1214)/K1214,0)</f>
        <v>0</v>
      </c>
      <c r="N1214" s="721"/>
      <c r="O1214" s="721"/>
      <c r="P1214" s="721"/>
    </row>
    <row r="1215" spans="2:16" s="348" customFormat="1" x14ac:dyDescent="0.2">
      <c r="D1215" s="668" t="str">
        <f>Labels_BA!H16</f>
        <v>PCI Mobile Health Team</v>
      </c>
      <c r="H1215" s="494">
        <v>0</v>
      </c>
      <c r="I1215" s="494">
        <v>0</v>
      </c>
      <c r="J1215" s="494">
        <v>0</v>
      </c>
      <c r="K1215" s="494">
        <v>0</v>
      </c>
      <c r="L1215" s="487">
        <f t="shared" si="18"/>
        <v>0</v>
      </c>
      <c r="N1215" s="721"/>
      <c r="O1215" s="721"/>
      <c r="P1215" s="721"/>
    </row>
    <row r="1216" spans="2:16" s="348" customFormat="1" x14ac:dyDescent="0.2">
      <c r="D1216" s="668" t="str">
        <f>Labels_BA!I16</f>
        <v>Gov't Mobile Health Team (Hospital)</v>
      </c>
      <c r="H1216" s="494">
        <v>0</v>
      </c>
      <c r="I1216" s="494">
        <v>0</v>
      </c>
      <c r="J1216" s="494">
        <v>0</v>
      </c>
      <c r="K1216" s="494">
        <v>0</v>
      </c>
      <c r="L1216" s="487">
        <f t="shared" si="18"/>
        <v>0</v>
      </c>
      <c r="N1216" s="721"/>
      <c r="O1216" s="721"/>
      <c r="P1216" s="721"/>
    </row>
    <row r="1217" spans="2:16" s="348" customFormat="1" x14ac:dyDescent="0.2">
      <c r="D1217" s="668" t="str">
        <f>Labels_BA!J16</f>
        <v>CIDRZ Mobile Health Team</v>
      </c>
      <c r="H1217" s="494">
        <v>0</v>
      </c>
      <c r="I1217" s="494">
        <v>0</v>
      </c>
      <c r="J1217" s="494">
        <v>0</v>
      </c>
      <c r="K1217" s="494">
        <v>0</v>
      </c>
      <c r="L1217" s="487">
        <f t="shared" si="18"/>
        <v>0</v>
      </c>
      <c r="N1217" s="721"/>
      <c r="O1217" s="721"/>
      <c r="P1217" s="721"/>
    </row>
    <row r="1218" spans="2:16" s="348" customFormat="1" x14ac:dyDescent="0.2">
      <c r="D1218" s="668" t="str">
        <f>Labels_BA!K16</f>
        <v>Facility Type 8</v>
      </c>
      <c r="H1218" s="494">
        <v>0</v>
      </c>
      <c r="I1218" s="494">
        <v>0</v>
      </c>
      <c r="J1218" s="494">
        <v>0</v>
      </c>
      <c r="K1218" s="494">
        <v>0</v>
      </c>
      <c r="L1218" s="487">
        <f t="shared" si="18"/>
        <v>0</v>
      </c>
      <c r="N1218" s="721"/>
      <c r="O1218" s="721"/>
      <c r="P1218" s="721"/>
    </row>
    <row r="1219" spans="2:16" s="348" customFormat="1" x14ac:dyDescent="0.2">
      <c r="D1219" s="668" t="str">
        <f>Labels_BA!L16</f>
        <v>Facility Type 9</v>
      </c>
      <c r="H1219" s="494">
        <v>0</v>
      </c>
      <c r="I1219" s="494">
        <v>0</v>
      </c>
      <c r="J1219" s="494">
        <v>0</v>
      </c>
      <c r="K1219" s="494">
        <v>0</v>
      </c>
      <c r="L1219" s="487">
        <f t="shared" si="18"/>
        <v>0</v>
      </c>
      <c r="N1219" s="721"/>
      <c r="O1219" s="721"/>
      <c r="P1219" s="721"/>
    </row>
    <row r="1220" spans="2:16" s="348" customFormat="1" x14ac:dyDescent="0.2">
      <c r="D1220" s="668" t="str">
        <f>Labels_BA!M16</f>
        <v>Facility Type 10</v>
      </c>
      <c r="H1220" s="494">
        <v>0</v>
      </c>
      <c r="I1220" s="494">
        <v>0</v>
      </c>
      <c r="J1220" s="494">
        <v>0</v>
      </c>
      <c r="K1220" s="494">
        <v>0</v>
      </c>
      <c r="L1220" s="487">
        <f t="shared" si="18"/>
        <v>0</v>
      </c>
      <c r="N1220" s="721"/>
      <c r="O1220" s="721"/>
      <c r="P1220" s="721"/>
    </row>
    <row r="1221" spans="2:16" s="348" customFormat="1" x14ac:dyDescent="0.2"/>
    <row r="1222" spans="2:16" s="348" customFormat="1" x14ac:dyDescent="0.2">
      <c r="D1222" s="671" t="s">
        <v>1754</v>
      </c>
    </row>
    <row r="1223" spans="2:16" s="348" customFormat="1" x14ac:dyDescent="0.2">
      <c r="E1223" s="721"/>
      <c r="F1223" s="721"/>
      <c r="G1223" s="721"/>
      <c r="H1223" s="721"/>
      <c r="I1223" s="721"/>
      <c r="J1223" s="721"/>
      <c r="K1223" s="721"/>
      <c r="L1223" s="721"/>
    </row>
    <row r="1224" spans="2:16" s="348" customFormat="1" x14ac:dyDescent="0.2">
      <c r="E1224" s="721"/>
      <c r="F1224" s="721"/>
      <c r="G1224" s="721"/>
      <c r="H1224" s="721"/>
      <c r="I1224" s="721"/>
      <c r="J1224" s="721"/>
      <c r="K1224" s="721"/>
      <c r="L1224" s="721"/>
    </row>
    <row r="1225" spans="2:16" s="348" customFormat="1" x14ac:dyDescent="0.2">
      <c r="E1225" s="721"/>
      <c r="F1225" s="721"/>
      <c r="G1225" s="721"/>
      <c r="H1225" s="721"/>
      <c r="I1225" s="721"/>
      <c r="J1225" s="721"/>
      <c r="K1225" s="721"/>
      <c r="L1225" s="721"/>
    </row>
    <row r="1226" spans="2:16" s="348" customFormat="1" x14ac:dyDescent="0.2">
      <c r="E1226" s="721"/>
      <c r="F1226" s="721"/>
      <c r="G1226" s="721"/>
      <c r="H1226" s="721"/>
      <c r="I1226" s="721"/>
      <c r="J1226" s="721"/>
      <c r="K1226" s="721"/>
      <c r="L1226" s="721"/>
    </row>
    <row r="1227" spans="2:16" s="348" customFormat="1" x14ac:dyDescent="0.2">
      <c r="E1227" s="721"/>
      <c r="F1227" s="721"/>
      <c r="G1227" s="721"/>
      <c r="H1227" s="721"/>
      <c r="I1227" s="721"/>
      <c r="J1227" s="721"/>
      <c r="K1227" s="721"/>
      <c r="L1227" s="721"/>
    </row>
    <row r="1228" spans="2:16" s="348" customFormat="1" x14ac:dyDescent="0.2">
      <c r="E1228" s="721"/>
      <c r="F1228" s="721"/>
      <c r="G1228" s="721"/>
      <c r="H1228" s="721"/>
      <c r="I1228" s="721"/>
      <c r="J1228" s="721"/>
      <c r="K1228" s="721"/>
      <c r="L1228" s="721"/>
    </row>
    <row r="1229" spans="2:16" s="348" customFormat="1" x14ac:dyDescent="0.2"/>
    <row r="1230" spans="2:16" s="348" customFormat="1" ht="15.75" x14ac:dyDescent="0.2">
      <c r="B1230" s="124" t="str">
        <f>"Pre-existing Equipment and Supplies per Service Unit - "&amp;Intv_3_Short_Code</f>
        <v>Pre-existing Equipment and Supplies per Service Unit - Chemo</v>
      </c>
    </row>
    <row r="1231" spans="2:16" s="348" customFormat="1" x14ac:dyDescent="0.2"/>
    <row r="1232" spans="2:16" s="348" customFormat="1" x14ac:dyDescent="0.2">
      <c r="D1232" s="671" t="s">
        <v>846</v>
      </c>
      <c r="K1232" s="671" t="s">
        <v>847</v>
      </c>
    </row>
    <row r="1233" spans="4:14" s="348" customFormat="1" x14ac:dyDescent="0.2">
      <c r="D1233" s="737" t="s">
        <v>969</v>
      </c>
      <c r="E1233" s="738"/>
      <c r="F1233" s="738"/>
      <c r="G1233" s="738"/>
      <c r="H1233" s="738"/>
      <c r="I1233" s="739"/>
      <c r="J1233" s="372">
        <v>0</v>
      </c>
      <c r="K1233" s="737"/>
      <c r="L1233" s="738"/>
      <c r="M1233" s="738"/>
      <c r="N1233" s="739"/>
    </row>
    <row r="1234" spans="4:14" s="348" customFormat="1" x14ac:dyDescent="0.2">
      <c r="D1234" s="737"/>
      <c r="E1234" s="738"/>
      <c r="F1234" s="738"/>
      <c r="G1234" s="738"/>
      <c r="H1234" s="738"/>
      <c r="I1234" s="739"/>
      <c r="J1234" s="372">
        <v>0</v>
      </c>
      <c r="K1234" s="737"/>
      <c r="L1234" s="738"/>
      <c r="M1234" s="738"/>
      <c r="N1234" s="739"/>
    </row>
    <row r="1235" spans="4:14" s="348" customFormat="1" x14ac:dyDescent="0.2">
      <c r="D1235" s="737"/>
      <c r="E1235" s="738"/>
      <c r="F1235" s="738"/>
      <c r="G1235" s="738"/>
      <c r="H1235" s="738"/>
      <c r="I1235" s="739"/>
      <c r="J1235" s="372">
        <v>0</v>
      </c>
      <c r="K1235" s="737"/>
      <c r="L1235" s="738"/>
      <c r="M1235" s="738"/>
      <c r="N1235" s="739"/>
    </row>
    <row r="1236" spans="4:14" s="348" customFormat="1" x14ac:dyDescent="0.2">
      <c r="D1236" s="737"/>
      <c r="E1236" s="738"/>
      <c r="F1236" s="738"/>
      <c r="G1236" s="738"/>
      <c r="H1236" s="738"/>
      <c r="I1236" s="739"/>
      <c r="J1236" s="372">
        <v>0</v>
      </c>
      <c r="K1236" s="737"/>
      <c r="L1236" s="738"/>
      <c r="M1236" s="738"/>
      <c r="N1236" s="739"/>
    </row>
    <row r="1237" spans="4:14" s="348" customFormat="1" x14ac:dyDescent="0.2">
      <c r="D1237" s="737"/>
      <c r="E1237" s="738"/>
      <c r="F1237" s="738"/>
      <c r="G1237" s="738"/>
      <c r="H1237" s="738"/>
      <c r="I1237" s="739"/>
      <c r="J1237" s="372">
        <v>0</v>
      </c>
      <c r="K1237" s="737"/>
      <c r="L1237" s="738"/>
      <c r="M1237" s="738"/>
      <c r="N1237" s="739"/>
    </row>
    <row r="1238" spans="4:14" s="348" customFormat="1" x14ac:dyDescent="0.2">
      <c r="D1238" s="737"/>
      <c r="E1238" s="738"/>
      <c r="F1238" s="738"/>
      <c r="G1238" s="738"/>
      <c r="H1238" s="738"/>
      <c r="I1238" s="739"/>
      <c r="J1238" s="372">
        <v>0</v>
      </c>
      <c r="K1238" s="737"/>
      <c r="L1238" s="738"/>
      <c r="M1238" s="738"/>
      <c r="N1238" s="739"/>
    </row>
    <row r="1239" spans="4:14" s="348" customFormat="1" x14ac:dyDescent="0.2">
      <c r="D1239" s="737"/>
      <c r="E1239" s="738"/>
      <c r="F1239" s="738"/>
      <c r="G1239" s="738"/>
      <c r="H1239" s="738"/>
      <c r="I1239" s="739"/>
      <c r="J1239" s="372">
        <v>0</v>
      </c>
      <c r="K1239" s="737"/>
      <c r="L1239" s="738"/>
      <c r="M1239" s="738"/>
      <c r="N1239" s="739"/>
    </row>
    <row r="1240" spans="4:14" s="348" customFormat="1" x14ac:dyDescent="0.2">
      <c r="D1240" s="737"/>
      <c r="E1240" s="738"/>
      <c r="F1240" s="738"/>
      <c r="G1240" s="738"/>
      <c r="H1240" s="738"/>
      <c r="I1240" s="739"/>
      <c r="J1240" s="372">
        <v>0</v>
      </c>
      <c r="K1240" s="737"/>
      <c r="L1240" s="738"/>
      <c r="M1240" s="738"/>
      <c r="N1240" s="739"/>
    </row>
    <row r="1241" spans="4:14" s="348" customFormat="1" x14ac:dyDescent="0.2">
      <c r="D1241" s="737"/>
      <c r="E1241" s="738"/>
      <c r="F1241" s="738"/>
      <c r="G1241" s="738"/>
      <c r="H1241" s="738"/>
      <c r="I1241" s="739"/>
      <c r="J1241" s="372">
        <v>0</v>
      </c>
      <c r="K1241" s="737"/>
      <c r="L1241" s="738"/>
      <c r="M1241" s="738"/>
      <c r="N1241" s="739"/>
    </row>
    <row r="1242" spans="4:14" s="348" customFormat="1" x14ac:dyDescent="0.2">
      <c r="D1242" s="737"/>
      <c r="E1242" s="738"/>
      <c r="F1242" s="738"/>
      <c r="G1242" s="738"/>
      <c r="H1242" s="738"/>
      <c r="I1242" s="739"/>
      <c r="J1242" s="372">
        <v>0</v>
      </c>
      <c r="K1242" s="737"/>
      <c r="L1242" s="738"/>
      <c r="M1242" s="738"/>
      <c r="N1242" s="739"/>
    </row>
    <row r="1243" spans="4:14" s="348" customFormat="1" x14ac:dyDescent="0.2">
      <c r="D1243" s="737"/>
      <c r="E1243" s="738"/>
      <c r="F1243" s="738"/>
      <c r="G1243" s="738"/>
      <c r="H1243" s="738"/>
      <c r="I1243" s="739"/>
      <c r="J1243" s="372">
        <v>0</v>
      </c>
      <c r="K1243" s="737"/>
      <c r="L1243" s="738"/>
      <c r="M1243" s="738"/>
      <c r="N1243" s="739"/>
    </row>
    <row r="1244" spans="4:14" s="348" customFormat="1" x14ac:dyDescent="0.2">
      <c r="D1244" s="737"/>
      <c r="E1244" s="738"/>
      <c r="F1244" s="738"/>
      <c r="G1244" s="738"/>
      <c r="H1244" s="738"/>
      <c r="I1244" s="739"/>
      <c r="J1244" s="372">
        <v>0</v>
      </c>
      <c r="K1244" s="737"/>
      <c r="L1244" s="738"/>
      <c r="M1244" s="738"/>
      <c r="N1244" s="739"/>
    </row>
    <row r="1245" spans="4:14" s="348" customFormat="1" x14ac:dyDescent="0.2">
      <c r="D1245" s="737"/>
      <c r="E1245" s="738"/>
      <c r="F1245" s="738"/>
      <c r="G1245" s="738"/>
      <c r="H1245" s="738"/>
      <c r="I1245" s="739"/>
      <c r="J1245" s="372">
        <v>0</v>
      </c>
      <c r="K1245" s="737"/>
      <c r="L1245" s="738"/>
      <c r="M1245" s="738"/>
      <c r="N1245" s="739"/>
    </row>
    <row r="1246" spans="4:14" s="348" customFormat="1" x14ac:dyDescent="0.2">
      <c r="D1246" s="737"/>
      <c r="E1246" s="738"/>
      <c r="F1246" s="738"/>
      <c r="G1246" s="738"/>
      <c r="H1246" s="738"/>
      <c r="I1246" s="739"/>
      <c r="J1246" s="372">
        <v>0</v>
      </c>
      <c r="K1246" s="737"/>
      <c r="L1246" s="738"/>
      <c r="M1246" s="738"/>
      <c r="N1246" s="739"/>
    </row>
    <row r="1247" spans="4:14" s="348" customFormat="1" x14ac:dyDescent="0.2">
      <c r="D1247" s="737"/>
      <c r="E1247" s="738"/>
      <c r="F1247" s="738"/>
      <c r="G1247" s="738"/>
      <c r="H1247" s="738"/>
      <c r="I1247" s="739"/>
      <c r="J1247" s="372">
        <v>0</v>
      </c>
      <c r="K1247" s="737"/>
      <c r="L1247" s="738"/>
      <c r="M1247" s="738"/>
      <c r="N1247" s="739"/>
    </row>
    <row r="1248" spans="4:14" s="348" customFormat="1" x14ac:dyDescent="0.2">
      <c r="D1248" s="737"/>
      <c r="E1248" s="738"/>
      <c r="F1248" s="738"/>
      <c r="G1248" s="738"/>
      <c r="H1248" s="738"/>
      <c r="I1248" s="739"/>
      <c r="J1248" s="372">
        <v>0</v>
      </c>
      <c r="K1248" s="737"/>
      <c r="L1248" s="738"/>
      <c r="M1248" s="738"/>
      <c r="N1248" s="739"/>
    </row>
    <row r="1249" spans="3:21" s="348" customFormat="1" x14ac:dyDescent="0.2">
      <c r="D1249" s="737"/>
      <c r="E1249" s="738"/>
      <c r="F1249" s="738"/>
      <c r="G1249" s="738"/>
      <c r="H1249" s="738"/>
      <c r="I1249" s="739"/>
      <c r="J1249" s="372">
        <v>0</v>
      </c>
      <c r="K1249" s="737"/>
      <c r="L1249" s="738"/>
      <c r="M1249" s="738"/>
      <c r="N1249" s="739"/>
    </row>
    <row r="1250" spans="3:21" s="348" customFormat="1" x14ac:dyDescent="0.2">
      <c r="D1250" s="737"/>
      <c r="E1250" s="738"/>
      <c r="F1250" s="738"/>
      <c r="G1250" s="738"/>
      <c r="H1250" s="738"/>
      <c r="I1250" s="739"/>
      <c r="J1250" s="372">
        <v>0</v>
      </c>
      <c r="K1250" s="737"/>
      <c r="L1250" s="738"/>
      <c r="M1250" s="738"/>
      <c r="N1250" s="739"/>
    </row>
    <row r="1251" spans="3:21" s="348" customFormat="1" x14ac:dyDescent="0.2">
      <c r="D1251" s="737"/>
      <c r="E1251" s="738"/>
      <c r="F1251" s="738"/>
      <c r="G1251" s="738"/>
      <c r="H1251" s="738"/>
      <c r="I1251" s="739"/>
      <c r="J1251" s="372">
        <v>0</v>
      </c>
      <c r="K1251" s="737"/>
      <c r="L1251" s="738"/>
      <c r="M1251" s="738"/>
      <c r="N1251" s="739"/>
    </row>
    <row r="1252" spans="3:21" s="348" customFormat="1" x14ac:dyDescent="0.2"/>
    <row r="1253" spans="3:21" s="348" customFormat="1" x14ac:dyDescent="0.2"/>
    <row r="1254" spans="3:21" s="348" customFormat="1" ht="15.75" x14ac:dyDescent="0.2">
      <c r="C1254" s="124" t="str">
        <f>"Personnel Required for "&amp;G1181</f>
        <v>Personnel Required for Chemo</v>
      </c>
    </row>
    <row r="1255" spans="3:21" s="348" customFormat="1" x14ac:dyDescent="0.2"/>
    <row r="1256" spans="3:21" s="348" customFormat="1" ht="15" x14ac:dyDescent="0.2">
      <c r="J1256" s="849" t="str">
        <f>"Cost Per Minute ("&amp;$I$1361&amp;")"</f>
        <v>Cost Per Minute (USD)</v>
      </c>
      <c r="K1256" s="873" t="s">
        <v>112</v>
      </c>
      <c r="L1256" s="874"/>
      <c r="M1256" s="874"/>
      <c r="N1256" s="875" t="s">
        <v>183</v>
      </c>
      <c r="O1256" s="898" t="str">
        <f>"Cost ("&amp;$I$1361&amp;")"</f>
        <v>Cost (USD)</v>
      </c>
    </row>
    <row r="1257" spans="3:21" s="348" customFormat="1" ht="30" x14ac:dyDescent="0.2">
      <c r="D1257" s="508" t="str">
        <f>C1208</f>
        <v>Fixed Hospital Sites</v>
      </c>
      <c r="H1257" s="880" t="s">
        <v>385</v>
      </c>
      <c r="I1257" s="890"/>
      <c r="J1257" s="895"/>
      <c r="K1257" s="675" t="s">
        <v>109</v>
      </c>
      <c r="L1257" s="319" t="s">
        <v>110</v>
      </c>
      <c r="M1257" s="133" t="s">
        <v>111</v>
      </c>
      <c r="N1257" s="876"/>
      <c r="O1257" s="899"/>
      <c r="U1257" s="671" t="s">
        <v>312</v>
      </c>
    </row>
    <row r="1258" spans="3:21" s="348" customFormat="1" x14ac:dyDescent="0.2">
      <c r="D1258" s="723" t="s">
        <v>1260</v>
      </c>
      <c r="E1258" s="723"/>
      <c r="F1258" s="723"/>
      <c r="G1258" s="723"/>
      <c r="H1258" s="723" t="s">
        <v>1857</v>
      </c>
      <c r="I1258" s="882"/>
      <c r="J1258" s="144">
        <f t="shared" ref="J1258:J1265" si="19">IFERROR(INDEX($L$1364:$L$1394,MATCH(D1258,LU_Intv_3_Pers_Hosp,0)),0)</f>
        <v>0.39408430337975103</v>
      </c>
      <c r="K1258" s="468">
        <v>30</v>
      </c>
      <c r="L1258" s="469"/>
      <c r="M1258" s="470"/>
      <c r="N1258" s="475">
        <v>1</v>
      </c>
      <c r="O1258" s="134">
        <f t="shared" ref="O1258:O1265" si="20">J1258*SUM(K1258:M1258)*N1258</f>
        <v>11.822529101392531</v>
      </c>
      <c r="U1258" s="119">
        <f t="shared" ref="U1258:U1265" si="21">IF(AND(ISERROR(MATCH(D1258,LU_Intv_3_Pers_Hosp,0)),SUM(K1258:M1258),N1258),1,0)</f>
        <v>0</v>
      </c>
    </row>
    <row r="1259" spans="3:21" s="348" customFormat="1" x14ac:dyDescent="0.2">
      <c r="D1259" s="723" t="s">
        <v>1260</v>
      </c>
      <c r="E1259" s="723"/>
      <c r="F1259" s="723"/>
      <c r="G1259" s="723"/>
      <c r="H1259" s="723" t="s">
        <v>1858</v>
      </c>
      <c r="I1259" s="882"/>
      <c r="J1259" s="147">
        <f t="shared" si="19"/>
        <v>0.39408430337975103</v>
      </c>
      <c r="K1259" s="471">
        <v>0</v>
      </c>
      <c r="L1259" s="472"/>
      <c r="M1259" s="473">
        <v>15</v>
      </c>
      <c r="N1259" s="476">
        <v>1</v>
      </c>
      <c r="O1259" s="135">
        <f t="shared" si="20"/>
        <v>5.9112645506962656</v>
      </c>
      <c r="U1259" s="119">
        <f t="shared" si="21"/>
        <v>0</v>
      </c>
    </row>
    <row r="1260" spans="3:21" s="348" customFormat="1" x14ac:dyDescent="0.2">
      <c r="D1260" s="813" t="s">
        <v>1649</v>
      </c>
      <c r="E1260" s="814"/>
      <c r="F1260" s="814"/>
      <c r="G1260" s="815"/>
      <c r="H1260" s="813" t="s">
        <v>1859</v>
      </c>
      <c r="I1260" s="814"/>
      <c r="J1260" s="147">
        <f t="shared" si="19"/>
        <v>0.33333333333333331</v>
      </c>
      <c r="K1260" s="578"/>
      <c r="L1260" s="579">
        <v>15</v>
      </c>
      <c r="M1260" s="580">
        <v>0</v>
      </c>
      <c r="N1260" s="581">
        <v>2</v>
      </c>
      <c r="O1260" s="135">
        <f t="shared" si="20"/>
        <v>10</v>
      </c>
      <c r="U1260" s="119">
        <f t="shared" si="21"/>
        <v>0</v>
      </c>
    </row>
    <row r="1261" spans="3:21" s="348" customFormat="1" x14ac:dyDescent="0.2">
      <c r="D1261" s="813" t="s">
        <v>1649</v>
      </c>
      <c r="E1261" s="814"/>
      <c r="F1261" s="814"/>
      <c r="G1261" s="815"/>
      <c r="H1261" s="813" t="s">
        <v>1860</v>
      </c>
      <c r="I1261" s="814"/>
      <c r="J1261" s="147">
        <f t="shared" si="19"/>
        <v>0.33333333333333331</v>
      </c>
      <c r="K1261" s="578">
        <v>0</v>
      </c>
      <c r="L1261" s="579">
        <v>30</v>
      </c>
      <c r="M1261" s="580">
        <v>0</v>
      </c>
      <c r="N1261" s="581">
        <v>1</v>
      </c>
      <c r="O1261" s="135">
        <f t="shared" si="20"/>
        <v>10</v>
      </c>
      <c r="U1261" s="119">
        <f t="shared" si="21"/>
        <v>0</v>
      </c>
    </row>
    <row r="1262" spans="3:21" s="348" customFormat="1" x14ac:dyDescent="0.2">
      <c r="D1262" s="788" t="s">
        <v>1276</v>
      </c>
      <c r="E1262" s="788"/>
      <c r="F1262" s="788"/>
      <c r="G1262" s="788"/>
      <c r="H1262" s="788" t="s">
        <v>1861</v>
      </c>
      <c r="I1262" s="893"/>
      <c r="J1262" s="147">
        <f t="shared" si="19"/>
        <v>5.7114882506527402E-2</v>
      </c>
      <c r="K1262" s="578">
        <v>0</v>
      </c>
      <c r="L1262" s="579">
        <v>1</v>
      </c>
      <c r="M1262" s="580">
        <v>0</v>
      </c>
      <c r="N1262" s="581">
        <v>1</v>
      </c>
      <c r="O1262" s="135">
        <f t="shared" si="20"/>
        <v>5.7114882506527402E-2</v>
      </c>
      <c r="U1262" s="119">
        <f t="shared" si="21"/>
        <v>0</v>
      </c>
    </row>
    <row r="1263" spans="3:21" s="348" customFormat="1" x14ac:dyDescent="0.2">
      <c r="D1263" s="813" t="s">
        <v>1276</v>
      </c>
      <c r="E1263" s="814"/>
      <c r="F1263" s="814"/>
      <c r="G1263" s="815"/>
      <c r="H1263" s="813" t="s">
        <v>1862</v>
      </c>
      <c r="I1263" s="814"/>
      <c r="J1263" s="147">
        <f t="shared" si="19"/>
        <v>5.7114882506527402E-2</v>
      </c>
      <c r="K1263" s="578">
        <v>0</v>
      </c>
      <c r="L1263" s="579">
        <v>36</v>
      </c>
      <c r="M1263" s="580">
        <v>0</v>
      </c>
      <c r="N1263" s="581">
        <v>2</v>
      </c>
      <c r="O1263" s="135">
        <f t="shared" si="20"/>
        <v>4.1122715404699726</v>
      </c>
      <c r="U1263" s="119">
        <f t="shared" si="21"/>
        <v>0</v>
      </c>
    </row>
    <row r="1264" spans="3:21" s="348" customFormat="1" x14ac:dyDescent="0.2">
      <c r="D1264" s="813" t="s">
        <v>1264</v>
      </c>
      <c r="E1264" s="814"/>
      <c r="F1264" s="814"/>
      <c r="G1264" s="815"/>
      <c r="H1264" s="813" t="s">
        <v>1863</v>
      </c>
      <c r="I1264" s="814"/>
      <c r="J1264" s="147">
        <f t="shared" si="19"/>
        <v>5.4308093994778019E-2</v>
      </c>
      <c r="K1264" s="578">
        <v>0</v>
      </c>
      <c r="L1264" s="579">
        <v>10</v>
      </c>
      <c r="M1264" s="580">
        <v>0</v>
      </c>
      <c r="N1264" s="581">
        <v>2</v>
      </c>
      <c r="O1264" s="135">
        <f t="shared" si="20"/>
        <v>1.0861618798955603</v>
      </c>
      <c r="U1264" s="119">
        <f t="shared" si="21"/>
        <v>0</v>
      </c>
    </row>
    <row r="1265" spans="4:21" s="348" customFormat="1" x14ac:dyDescent="0.2">
      <c r="D1265" s="813" t="s">
        <v>1270</v>
      </c>
      <c r="E1265" s="814"/>
      <c r="F1265" s="814"/>
      <c r="G1265" s="815"/>
      <c r="H1265" s="813" t="s">
        <v>1864</v>
      </c>
      <c r="I1265" s="814"/>
      <c r="J1265" s="149">
        <f t="shared" si="19"/>
        <v>0.15919560940673019</v>
      </c>
      <c r="K1265" s="465">
        <v>20</v>
      </c>
      <c r="L1265" s="466"/>
      <c r="M1265" s="467">
        <v>0</v>
      </c>
      <c r="N1265" s="474">
        <v>2</v>
      </c>
      <c r="O1265" s="135">
        <f t="shared" si="20"/>
        <v>6.3678243762692075</v>
      </c>
      <c r="U1265" s="119">
        <f t="shared" si="21"/>
        <v>0</v>
      </c>
    </row>
    <row r="1266" spans="4:21" s="348" customFormat="1" ht="15" x14ac:dyDescent="0.2">
      <c r="D1266" s="782" t="s">
        <v>113</v>
      </c>
      <c r="E1266" s="783"/>
      <c r="F1266" s="783"/>
      <c r="G1266" s="783"/>
      <c r="H1266" s="669"/>
      <c r="I1266" s="669"/>
      <c r="J1266" s="119"/>
      <c r="K1266" s="883"/>
      <c r="L1266" s="884"/>
      <c r="M1266" s="884"/>
      <c r="N1266" s="119"/>
      <c r="O1266" s="136">
        <f>SUM(O1258:O1265)</f>
        <v>49.357166331230061</v>
      </c>
      <c r="U1266" s="672"/>
    </row>
    <row r="1267" spans="4:21" s="348" customFormat="1" x14ac:dyDescent="0.2"/>
    <row r="1268" spans="4:21" s="348" customFormat="1" ht="15" x14ac:dyDescent="0.2">
      <c r="D1268" s="667" t="s">
        <v>949</v>
      </c>
      <c r="K1268" s="671" t="s">
        <v>950</v>
      </c>
    </row>
    <row r="1269" spans="4:21" s="348" customFormat="1" x14ac:dyDescent="0.2">
      <c r="D1269" s="721" t="s">
        <v>1591</v>
      </c>
      <c r="E1269" s="721"/>
      <c r="F1269" s="721"/>
      <c r="G1269" s="721"/>
      <c r="H1269" s="721"/>
      <c r="I1269" s="721"/>
      <c r="K1269" s="721" t="s">
        <v>1604</v>
      </c>
      <c r="L1269" s="721"/>
      <c r="M1269" s="721"/>
      <c r="N1269" s="721"/>
      <c r="O1269" s="721"/>
      <c r="P1269" s="721"/>
    </row>
    <row r="1270" spans="4:21" s="348" customFormat="1" x14ac:dyDescent="0.2">
      <c r="D1270" s="721" t="s">
        <v>1865</v>
      </c>
      <c r="E1270" s="721"/>
      <c r="F1270" s="721"/>
      <c r="G1270" s="721"/>
      <c r="H1270" s="721"/>
      <c r="I1270" s="721"/>
      <c r="K1270" s="721" t="s">
        <v>1873</v>
      </c>
      <c r="L1270" s="721"/>
      <c r="M1270" s="721"/>
      <c r="N1270" s="721"/>
      <c r="O1270" s="721"/>
      <c r="P1270" s="721"/>
    </row>
    <row r="1271" spans="4:21" s="348" customFormat="1" x14ac:dyDescent="0.2">
      <c r="D1271" s="721"/>
      <c r="E1271" s="721"/>
      <c r="F1271" s="721"/>
      <c r="G1271" s="721"/>
      <c r="H1271" s="721"/>
      <c r="I1271" s="721"/>
      <c r="K1271" s="721" t="s">
        <v>1866</v>
      </c>
      <c r="L1271" s="721"/>
      <c r="M1271" s="721"/>
      <c r="N1271" s="721"/>
      <c r="O1271" s="721"/>
      <c r="P1271" s="721"/>
    </row>
    <row r="1272" spans="4:21" s="348" customFormat="1" x14ac:dyDescent="0.2">
      <c r="D1272" s="721"/>
      <c r="E1272" s="721"/>
      <c r="F1272" s="721"/>
      <c r="G1272" s="721"/>
      <c r="H1272" s="721"/>
      <c r="I1272" s="721"/>
      <c r="K1272" s="721"/>
      <c r="L1272" s="721"/>
      <c r="M1272" s="721"/>
      <c r="N1272" s="721"/>
      <c r="O1272" s="721"/>
      <c r="P1272" s="721"/>
    </row>
    <row r="1273" spans="4:21" s="348" customFormat="1" x14ac:dyDescent="0.2">
      <c r="D1273" s="721"/>
      <c r="E1273" s="721"/>
      <c r="F1273" s="721"/>
      <c r="G1273" s="721"/>
      <c r="H1273" s="721"/>
      <c r="I1273" s="721"/>
      <c r="K1273" s="721"/>
      <c r="L1273" s="721"/>
      <c r="M1273" s="721"/>
      <c r="N1273" s="721"/>
      <c r="O1273" s="721"/>
      <c r="P1273" s="721"/>
    </row>
    <row r="1274" spans="4:21" s="348" customFormat="1" x14ac:dyDescent="0.2"/>
    <row r="1275" spans="4:21" s="348" customFormat="1" ht="15" x14ac:dyDescent="0.2">
      <c r="J1275" s="849" t="str">
        <f>"Cost Per Minute ("&amp;$I$1361&amp;")"</f>
        <v>Cost Per Minute (USD)</v>
      </c>
      <c r="K1275" s="891" t="s">
        <v>112</v>
      </c>
      <c r="L1275" s="892"/>
      <c r="M1275" s="892"/>
      <c r="N1275" s="896" t="s">
        <v>183</v>
      </c>
      <c r="O1275" s="888" t="str">
        <f>"Cost ("&amp;$I$1361&amp;")"</f>
        <v>Cost (USD)</v>
      </c>
    </row>
    <row r="1276" spans="4:21" s="348" customFormat="1" ht="30" x14ac:dyDescent="0.2">
      <c r="D1276" s="669" t="str">
        <f>C1213</f>
        <v>Other Facility Types</v>
      </c>
      <c r="H1276" s="880" t="s">
        <v>385</v>
      </c>
      <c r="I1276" s="881"/>
      <c r="J1276" s="850"/>
      <c r="K1276" s="159" t="s">
        <v>109</v>
      </c>
      <c r="L1276" s="305" t="s">
        <v>110</v>
      </c>
      <c r="M1276" s="159" t="s">
        <v>111</v>
      </c>
      <c r="N1276" s="897"/>
      <c r="O1276" s="889"/>
      <c r="U1276" s="671" t="s">
        <v>312</v>
      </c>
    </row>
    <row r="1277" spans="4:21" s="348" customFormat="1" x14ac:dyDescent="0.2">
      <c r="D1277" s="721"/>
      <c r="E1277" s="721"/>
      <c r="F1277" s="721"/>
      <c r="G1277" s="721"/>
      <c r="H1277" s="721"/>
      <c r="I1277" s="721"/>
      <c r="J1277" s="147">
        <f>IFERROR(INDEX($L$1397:$L$1427,MATCH(D1277,LU_Intv_3_Pers_Oth,0)),0)</f>
        <v>0</v>
      </c>
      <c r="K1277" s="187">
        <v>0</v>
      </c>
      <c r="L1277" s="188">
        <v>0</v>
      </c>
      <c r="M1277" s="217">
        <v>0</v>
      </c>
      <c r="N1277" s="218"/>
      <c r="O1277" s="134">
        <f>J1277*SUM(K1277:M1277)*N1277</f>
        <v>0</v>
      </c>
      <c r="U1277" s="119">
        <f>IF(AND(ISERROR(MATCH(D1277,LU_Intv_3_Pers_Oth,0)),SUM(K1277:M1277),N1277),1,0)</f>
        <v>0</v>
      </c>
    </row>
    <row r="1278" spans="4:21" s="348" customFormat="1" x14ac:dyDescent="0.2">
      <c r="D1278" s="721"/>
      <c r="E1278" s="721"/>
      <c r="F1278" s="721"/>
      <c r="G1278" s="721"/>
      <c r="H1278" s="721"/>
      <c r="I1278" s="721"/>
      <c r="J1278" s="147">
        <f>IFERROR(INDEX($L$1397:$L$1427,MATCH(D1278,LU_Intv_3_Pers_Oth,0)),0)</f>
        <v>0</v>
      </c>
      <c r="K1278" s="221">
        <v>0</v>
      </c>
      <c r="L1278" s="182">
        <v>0</v>
      </c>
      <c r="M1278" s="222">
        <v>0</v>
      </c>
      <c r="N1278" s="223"/>
      <c r="O1278" s="135">
        <f>J1278*SUM(K1278:M1278)*N1278</f>
        <v>0</v>
      </c>
      <c r="U1278" s="119">
        <f>IF(AND(ISERROR(MATCH(D1278,LU_Intv_3_Pers_Oth,0)),SUM(K1278:M1278),N1278),1,0)</f>
        <v>0</v>
      </c>
    </row>
    <row r="1279" spans="4:21" s="348" customFormat="1" x14ac:dyDescent="0.2">
      <c r="D1279" s="721"/>
      <c r="E1279" s="721"/>
      <c r="F1279" s="721"/>
      <c r="G1279" s="721"/>
      <c r="H1279" s="721"/>
      <c r="I1279" s="721"/>
      <c r="J1279" s="149">
        <f>IFERROR(INDEX($L$1397:$L$1427,MATCH(D1279,LU_Intv_3_Pers_Oth,0)),0)</f>
        <v>0</v>
      </c>
      <c r="K1279" s="224">
        <v>0</v>
      </c>
      <c r="L1279" s="225">
        <v>0</v>
      </c>
      <c r="M1279" s="226">
        <v>0</v>
      </c>
      <c r="N1279" s="219"/>
      <c r="O1279" s="135">
        <f>J1279*SUM(K1279:M1279)*N1279</f>
        <v>0</v>
      </c>
      <c r="U1279" s="119">
        <f>IF(AND(ISERROR(MATCH(D1279,LU_Intv_3_Pers_Oth,0)),SUM(K1279:M1279),N1279),1,0)</f>
        <v>0</v>
      </c>
    </row>
    <row r="1280" spans="4:21" s="348" customFormat="1" ht="15" x14ac:dyDescent="0.2">
      <c r="D1280" s="782" t="s">
        <v>287</v>
      </c>
      <c r="E1280" s="783"/>
      <c r="F1280" s="783"/>
      <c r="G1280" s="783"/>
      <c r="H1280" s="669"/>
      <c r="I1280" s="669"/>
      <c r="J1280" s="119"/>
      <c r="K1280" s="883"/>
      <c r="L1280" s="884"/>
      <c r="M1280" s="884"/>
      <c r="N1280" s="119"/>
      <c r="O1280" s="136">
        <f>SUM(O1277:O1279)</f>
        <v>0</v>
      </c>
      <c r="U1280" s="672"/>
    </row>
    <row r="1281" spans="3:21" s="348" customFormat="1" x14ac:dyDescent="0.2"/>
    <row r="1282" spans="3:21" s="348" customFormat="1" ht="15" x14ac:dyDescent="0.2">
      <c r="D1282" s="667" t="s">
        <v>949</v>
      </c>
      <c r="K1282" s="671" t="s">
        <v>950</v>
      </c>
    </row>
    <row r="1283" spans="3:21" s="348" customFormat="1" x14ac:dyDescent="0.2">
      <c r="D1283" s="721"/>
      <c r="E1283" s="721"/>
      <c r="F1283" s="721"/>
      <c r="G1283" s="721"/>
      <c r="H1283" s="721"/>
      <c r="I1283" s="721"/>
      <c r="K1283" s="721"/>
      <c r="L1283" s="721"/>
      <c r="M1283" s="721"/>
      <c r="N1283" s="721"/>
      <c r="O1283" s="721"/>
      <c r="P1283" s="721"/>
    </row>
    <row r="1284" spans="3:21" s="348" customFormat="1" x14ac:dyDescent="0.2">
      <c r="D1284" s="721"/>
      <c r="E1284" s="721"/>
      <c r="F1284" s="721"/>
      <c r="G1284" s="721"/>
      <c r="H1284" s="721"/>
      <c r="I1284" s="721"/>
      <c r="K1284" s="721"/>
      <c r="L1284" s="721"/>
      <c r="M1284" s="721"/>
      <c r="N1284" s="721"/>
      <c r="O1284" s="721"/>
      <c r="P1284" s="721"/>
    </row>
    <row r="1285" spans="3:21" s="348" customFormat="1" x14ac:dyDescent="0.2">
      <c r="D1285" s="721"/>
      <c r="E1285" s="721"/>
      <c r="F1285" s="721"/>
      <c r="G1285" s="721"/>
      <c r="H1285" s="721"/>
      <c r="I1285" s="721"/>
      <c r="K1285" s="721"/>
      <c r="L1285" s="721"/>
      <c r="M1285" s="721"/>
      <c r="N1285" s="721"/>
      <c r="O1285" s="721"/>
      <c r="P1285" s="721"/>
    </row>
    <row r="1286" spans="3:21" s="348" customFormat="1" x14ac:dyDescent="0.2">
      <c r="D1286" s="721"/>
      <c r="E1286" s="721"/>
      <c r="F1286" s="721"/>
      <c r="G1286" s="721"/>
      <c r="H1286" s="721"/>
      <c r="I1286" s="721"/>
      <c r="K1286" s="721"/>
      <c r="L1286" s="721"/>
      <c r="M1286" s="721"/>
      <c r="N1286" s="721"/>
      <c r="O1286" s="721"/>
      <c r="P1286" s="721"/>
    </row>
    <row r="1287" spans="3:21" s="348" customFormat="1" x14ac:dyDescent="0.2"/>
    <row r="1288" spans="3:21" s="348" customFormat="1" x14ac:dyDescent="0.2"/>
    <row r="1289" spans="3:21" s="348" customFormat="1" ht="15.75" x14ac:dyDescent="0.2">
      <c r="C1289" s="124" t="str">
        <f>"Supplies Required for "&amp;G1181</f>
        <v>Supplies Required for Chemo</v>
      </c>
    </row>
    <row r="1290" spans="3:21" s="348" customFormat="1" x14ac:dyDescent="0.2"/>
    <row r="1291" spans="3:21" s="348" customFormat="1" ht="30" x14ac:dyDescent="0.2">
      <c r="D1291" s="667" t="s">
        <v>106</v>
      </c>
      <c r="H1291" s="671" t="s">
        <v>951</v>
      </c>
      <c r="J1291" s="132" t="str">
        <f>"Cost per Unit ("&amp;$I$1361&amp;")"</f>
        <v>Cost per Unit (USD)</v>
      </c>
      <c r="K1291" s="366" t="s">
        <v>107</v>
      </c>
      <c r="L1291" s="307" t="s">
        <v>183</v>
      </c>
      <c r="M1291" s="132" t="str">
        <f>"Total Cost ("&amp;$I$1361&amp;")"</f>
        <v>Total Cost (USD)</v>
      </c>
      <c r="N1291" s="725" t="s">
        <v>74</v>
      </c>
      <c r="O1291" s="726"/>
      <c r="P1291" s="726"/>
      <c r="U1291" s="671" t="s">
        <v>312</v>
      </c>
    </row>
    <row r="1292" spans="3:21" s="348" customFormat="1" x14ac:dyDescent="0.2">
      <c r="D1292" s="723" t="s">
        <v>1392</v>
      </c>
      <c r="E1292" s="723"/>
      <c r="F1292" s="723"/>
      <c r="G1292" s="723"/>
      <c r="H1292" s="668" t="str">
        <f t="shared" ref="H1292:H1300" si="22">IFERROR(INDEX($J$1430:$J$1596,MATCH(D1292,LU_Intv_3_Supplies,0)),0)</f>
        <v>vial</v>
      </c>
      <c r="J1292" s="674">
        <f t="shared" ref="J1292:J1300" si="23">IFERROR(INDEX($L$1430:$L$1596,MATCH(D1292,LU_Intv_3_Supplies,0)),0)</f>
        <v>14</v>
      </c>
      <c r="K1292" s="462">
        <v>2.5</v>
      </c>
      <c r="L1292" s="458">
        <v>2</v>
      </c>
      <c r="M1292" s="137">
        <f t="shared" ref="M1292:M1300" si="24">J1292*K1292*L1292</f>
        <v>70</v>
      </c>
      <c r="N1292" s="723" t="s">
        <v>1867</v>
      </c>
      <c r="O1292" s="723"/>
      <c r="P1292" s="723"/>
      <c r="U1292" s="119">
        <f t="shared" ref="U1292:U1300" si="25">IF(AND(ISERROR(MATCH(D1292,LU_Intv_3_Supplies,0)),L1292),1,0)</f>
        <v>0</v>
      </c>
    </row>
    <row r="1293" spans="3:21" s="348" customFormat="1" x14ac:dyDescent="0.2">
      <c r="D1293" s="723" t="s">
        <v>1843</v>
      </c>
      <c r="E1293" s="723"/>
      <c r="F1293" s="723"/>
      <c r="G1293" s="723"/>
      <c r="H1293" s="668" t="str">
        <f t="shared" si="22"/>
        <v>SU</v>
      </c>
      <c r="J1293" s="674">
        <f t="shared" si="23"/>
        <v>0</v>
      </c>
      <c r="K1293" s="462">
        <v>2</v>
      </c>
      <c r="L1293" s="458">
        <v>2</v>
      </c>
      <c r="M1293" s="137">
        <f t="shared" si="24"/>
        <v>0</v>
      </c>
      <c r="N1293" s="723" t="s">
        <v>1592</v>
      </c>
      <c r="O1293" s="723"/>
      <c r="P1293" s="723"/>
      <c r="U1293" s="119">
        <f t="shared" si="25"/>
        <v>0</v>
      </c>
    </row>
    <row r="1294" spans="3:21" s="348" customFormat="1" x14ac:dyDescent="0.2">
      <c r="D1294" s="723" t="s">
        <v>1851</v>
      </c>
      <c r="E1294" s="723"/>
      <c r="F1294" s="723"/>
      <c r="G1294" s="723"/>
      <c r="H1294" s="668" t="str">
        <f t="shared" si="22"/>
        <v>1 litre</v>
      </c>
      <c r="J1294" s="674">
        <f t="shared" si="23"/>
        <v>0</v>
      </c>
      <c r="K1294" s="462">
        <v>2</v>
      </c>
      <c r="L1294" s="458">
        <v>2</v>
      </c>
      <c r="M1294" s="137">
        <f t="shared" si="24"/>
        <v>0</v>
      </c>
      <c r="N1294" s="723" t="s">
        <v>1593</v>
      </c>
      <c r="O1294" s="723"/>
      <c r="P1294" s="723"/>
      <c r="U1294" s="119">
        <f t="shared" si="25"/>
        <v>0</v>
      </c>
    </row>
    <row r="1295" spans="3:21" s="348" customFormat="1" x14ac:dyDescent="0.2">
      <c r="D1295" s="723" t="s">
        <v>1845</v>
      </c>
      <c r="E1295" s="723" t="s">
        <v>1257</v>
      </c>
      <c r="F1295" s="723" t="s">
        <v>1257</v>
      </c>
      <c r="G1295" s="723" t="s">
        <v>1257</v>
      </c>
      <c r="H1295" s="668" t="str">
        <f t="shared" si="22"/>
        <v>SU</v>
      </c>
      <c r="J1295" s="674">
        <f t="shared" si="23"/>
        <v>0</v>
      </c>
      <c r="K1295" s="462">
        <v>0</v>
      </c>
      <c r="L1295" s="458">
        <v>2</v>
      </c>
      <c r="M1295" s="137">
        <f t="shared" si="24"/>
        <v>0</v>
      </c>
      <c r="N1295" s="723" t="s">
        <v>1594</v>
      </c>
      <c r="O1295" s="723"/>
      <c r="P1295" s="723"/>
      <c r="U1295" s="119">
        <f t="shared" si="25"/>
        <v>0</v>
      </c>
    </row>
    <row r="1296" spans="3:21" s="348" customFormat="1" x14ac:dyDescent="0.2">
      <c r="D1296" s="723" t="s">
        <v>1839</v>
      </c>
      <c r="E1296" s="723" t="s">
        <v>1257</v>
      </c>
      <c r="F1296" s="723" t="s">
        <v>1257</v>
      </c>
      <c r="G1296" s="723" t="s">
        <v>1257</v>
      </c>
      <c r="H1296" s="668" t="str">
        <f t="shared" si="22"/>
        <v>SU</v>
      </c>
      <c r="J1296" s="674">
        <f t="shared" si="23"/>
        <v>0</v>
      </c>
      <c r="K1296" s="462">
        <v>0</v>
      </c>
      <c r="L1296" s="458">
        <v>2</v>
      </c>
      <c r="M1296" s="137">
        <f t="shared" si="24"/>
        <v>0</v>
      </c>
      <c r="N1296" s="723" t="s">
        <v>1595</v>
      </c>
      <c r="O1296" s="723"/>
      <c r="P1296" s="723"/>
      <c r="U1296" s="119">
        <f t="shared" si="25"/>
        <v>0</v>
      </c>
    </row>
    <row r="1297" spans="3:21" s="348" customFormat="1" x14ac:dyDescent="0.2">
      <c r="D1297" s="877" t="s">
        <v>1851</v>
      </c>
      <c r="E1297" s="878" t="s">
        <v>1257</v>
      </c>
      <c r="F1297" s="878" t="s">
        <v>1257</v>
      </c>
      <c r="G1297" s="879" t="s">
        <v>1257</v>
      </c>
      <c r="H1297" s="668" t="str">
        <f t="shared" si="22"/>
        <v>1 litre</v>
      </c>
      <c r="J1297" s="674">
        <f t="shared" si="23"/>
        <v>0</v>
      </c>
      <c r="K1297" s="462">
        <v>2</v>
      </c>
      <c r="L1297" s="458">
        <v>2</v>
      </c>
      <c r="M1297" s="137">
        <f t="shared" si="24"/>
        <v>0</v>
      </c>
      <c r="N1297" s="877" t="s">
        <v>1596</v>
      </c>
      <c r="O1297" s="878"/>
      <c r="P1297" s="879"/>
      <c r="U1297" s="119">
        <f t="shared" si="25"/>
        <v>0</v>
      </c>
    </row>
    <row r="1298" spans="3:21" s="348" customFormat="1" x14ac:dyDescent="0.2">
      <c r="D1298" s="877" t="s">
        <v>900</v>
      </c>
      <c r="E1298" s="878"/>
      <c r="F1298" s="878"/>
      <c r="G1298" s="879"/>
      <c r="H1298" s="668" t="str">
        <f t="shared" si="22"/>
        <v>each</v>
      </c>
      <c r="J1298" s="674">
        <f t="shared" si="23"/>
        <v>0.16250000000000001</v>
      </c>
      <c r="K1298" s="462">
        <v>1</v>
      </c>
      <c r="L1298" s="458">
        <v>1</v>
      </c>
      <c r="M1298" s="137">
        <f t="shared" si="24"/>
        <v>0.16250000000000001</v>
      </c>
      <c r="N1298" s="877" t="s">
        <v>1868</v>
      </c>
      <c r="O1298" s="878"/>
      <c r="P1298" s="879"/>
      <c r="U1298" s="119">
        <f t="shared" si="25"/>
        <v>0</v>
      </c>
    </row>
    <row r="1299" spans="3:21" s="348" customFormat="1" x14ac:dyDescent="0.2">
      <c r="D1299" s="877" t="s">
        <v>1257</v>
      </c>
      <c r="E1299" s="878"/>
      <c r="F1299" s="878"/>
      <c r="G1299" s="879"/>
      <c r="H1299" s="668" t="str">
        <f t="shared" si="22"/>
        <v>SU</v>
      </c>
      <c r="J1299" s="674">
        <f t="shared" si="23"/>
        <v>0</v>
      </c>
      <c r="K1299" s="462">
        <v>0</v>
      </c>
      <c r="L1299" s="458"/>
      <c r="M1299" s="137">
        <f t="shared" si="24"/>
        <v>0</v>
      </c>
      <c r="N1299" s="877"/>
      <c r="O1299" s="878"/>
      <c r="P1299" s="879"/>
      <c r="U1299" s="119">
        <f t="shared" si="25"/>
        <v>0</v>
      </c>
    </row>
    <row r="1300" spans="3:21" s="348" customFormat="1" x14ac:dyDescent="0.2">
      <c r="D1300" s="723" t="s">
        <v>1257</v>
      </c>
      <c r="E1300" s="723"/>
      <c r="F1300" s="723"/>
      <c r="G1300" s="723"/>
      <c r="H1300" s="668" t="str">
        <f t="shared" si="22"/>
        <v>SU</v>
      </c>
      <c r="J1300" s="674">
        <f t="shared" si="23"/>
        <v>0</v>
      </c>
      <c r="K1300" s="462">
        <v>0</v>
      </c>
      <c r="L1300" s="458"/>
      <c r="M1300" s="137">
        <f t="shared" si="24"/>
        <v>0</v>
      </c>
      <c r="N1300" s="723"/>
      <c r="O1300" s="723"/>
      <c r="P1300" s="723"/>
      <c r="U1300" s="119">
        <f t="shared" si="25"/>
        <v>0</v>
      </c>
    </row>
    <row r="1301" spans="3:21" s="348" customFormat="1" ht="15" x14ac:dyDescent="0.2">
      <c r="D1301" s="782" t="s">
        <v>108</v>
      </c>
      <c r="E1301" s="783"/>
      <c r="F1301" s="783"/>
      <c r="G1301" s="783"/>
      <c r="H1301" s="669"/>
      <c r="J1301" s="308"/>
      <c r="K1301" s="119"/>
      <c r="L1301" s="674"/>
      <c r="M1301" s="309">
        <f>SUM(M1292:M1300)</f>
        <v>70.162499999999994</v>
      </c>
      <c r="N1301" s="669"/>
      <c r="O1301" s="669"/>
      <c r="P1301" s="669"/>
      <c r="U1301" s="672"/>
    </row>
    <row r="1302" spans="3:21" s="348" customFormat="1" x14ac:dyDescent="0.2"/>
    <row r="1303" spans="3:21" s="348" customFormat="1" ht="15" x14ac:dyDescent="0.2">
      <c r="D1303" s="667" t="s">
        <v>962</v>
      </c>
      <c r="K1303" s="671" t="s">
        <v>963</v>
      </c>
    </row>
    <row r="1304" spans="3:21" s="348" customFormat="1" x14ac:dyDescent="0.2">
      <c r="D1304" s="721"/>
      <c r="E1304" s="721"/>
      <c r="F1304" s="721"/>
      <c r="G1304" s="721"/>
      <c r="H1304" s="721"/>
      <c r="I1304" s="721"/>
      <c r="K1304" s="721" t="s">
        <v>1604</v>
      </c>
      <c r="L1304" s="721"/>
      <c r="M1304" s="721"/>
      <c r="N1304" s="721"/>
      <c r="O1304" s="721"/>
      <c r="P1304" s="721"/>
    </row>
    <row r="1305" spans="3:21" s="348" customFormat="1" x14ac:dyDescent="0.2">
      <c r="D1305" s="721"/>
      <c r="E1305" s="721"/>
      <c r="F1305" s="721"/>
      <c r="G1305" s="721"/>
      <c r="H1305" s="721"/>
      <c r="I1305" s="721"/>
      <c r="K1305" s="721" t="s">
        <v>1803</v>
      </c>
      <c r="L1305" s="721"/>
      <c r="M1305" s="721"/>
      <c r="N1305" s="721"/>
      <c r="O1305" s="721"/>
      <c r="P1305" s="721"/>
    </row>
    <row r="1306" spans="3:21" s="348" customFormat="1" x14ac:dyDescent="0.2">
      <c r="D1306" s="721"/>
      <c r="E1306" s="721"/>
      <c r="F1306" s="721"/>
      <c r="G1306" s="721"/>
      <c r="H1306" s="721"/>
      <c r="I1306" s="721"/>
      <c r="K1306" s="737" t="s">
        <v>1873</v>
      </c>
      <c r="L1306" s="738"/>
      <c r="M1306" s="738"/>
      <c r="N1306" s="738"/>
      <c r="O1306" s="738"/>
      <c r="P1306" s="739"/>
    </row>
    <row r="1307" spans="3:21" s="348" customFormat="1" x14ac:dyDescent="0.2">
      <c r="D1307" s="721"/>
      <c r="E1307" s="721"/>
      <c r="F1307" s="721"/>
      <c r="G1307" s="721"/>
      <c r="H1307" s="721"/>
      <c r="I1307" s="721"/>
      <c r="K1307" s="721"/>
      <c r="L1307" s="721"/>
      <c r="M1307" s="721"/>
      <c r="N1307" s="721"/>
      <c r="O1307" s="721"/>
      <c r="P1307" s="721"/>
    </row>
    <row r="1308" spans="3:21" s="348" customFormat="1" x14ac:dyDescent="0.2"/>
    <row r="1309" spans="3:21" s="348" customFormat="1" ht="15.75" x14ac:dyDescent="0.2">
      <c r="C1309" s="124" t="str">
        <f>"Equipment Required to Outfit a Health Facility for "&amp;G1181&amp;""</f>
        <v>Equipment Required to Outfit a Health Facility for Chemo</v>
      </c>
    </row>
    <row r="1310" spans="3:21" s="348" customFormat="1" x14ac:dyDescent="0.2"/>
    <row r="1311" spans="3:21" s="348" customFormat="1" ht="30" x14ac:dyDescent="0.2">
      <c r="J1311" s="141" t="str">
        <f>"Cost per Unit ("&amp;$I$1361&amp;")"</f>
        <v>Cost per Unit (USD)</v>
      </c>
      <c r="L1311" s="885" t="str">
        <f>"Total Cost per Site ("&amp;$I$1361&amp;")"</f>
        <v>Total Cost per Site (USD)</v>
      </c>
      <c r="M1311" s="886"/>
      <c r="N1311" s="887"/>
    </row>
    <row r="1312" spans="3:21" s="348" customFormat="1" ht="30" x14ac:dyDescent="0.2">
      <c r="D1312" s="667" t="s">
        <v>106</v>
      </c>
      <c r="J1312" s="142" t="s">
        <v>117</v>
      </c>
      <c r="K1312" s="675" t="s">
        <v>116</v>
      </c>
      <c r="L1312" s="310" t="str">
        <f>J1312</f>
        <v>Facility</v>
      </c>
      <c r="M1312" s="159" t="s">
        <v>632</v>
      </c>
      <c r="N1312" s="288" t="s">
        <v>633</v>
      </c>
      <c r="O1312" s="870" t="s">
        <v>74</v>
      </c>
      <c r="P1312" s="871"/>
      <c r="Q1312" s="872"/>
      <c r="U1312" s="671" t="s">
        <v>312</v>
      </c>
    </row>
    <row r="1313" spans="3:21" s="348" customFormat="1" x14ac:dyDescent="0.2">
      <c r="D1313" s="721"/>
      <c r="E1313" s="721"/>
      <c r="F1313" s="721"/>
      <c r="G1313" s="721"/>
      <c r="J1313" s="311">
        <f>IFERROR(INDEX($J$1599:$J$1721,MATCH(D1313,LU_Intv_3_Equip,0)),0)</f>
        <v>0</v>
      </c>
      <c r="K1313" s="220">
        <v>0</v>
      </c>
      <c r="L1313" s="153">
        <f>J1313*K1313</f>
        <v>0</v>
      </c>
      <c r="M1313" s="163">
        <f>IFERROR(INDEX($K$1599:$K$1721,MATCH(D1313,LU_Intv_3_Equip,0)),0)*K1313</f>
        <v>0</v>
      </c>
      <c r="N1313" s="146">
        <f>IFERROR(INDEX($L$1599:$L$1721,MATCH(D1313,LU_Intv_3_Equip,0)),0)*K1313</f>
        <v>0</v>
      </c>
      <c r="O1313" s="838"/>
      <c r="P1313" s="838"/>
      <c r="Q1313" s="839"/>
      <c r="U1313" s="119">
        <f>IF(AND(ISERROR(MATCH(D1313,LU_Intv_3_Equip,0)),K1313),1,0)</f>
        <v>0</v>
      </c>
    </row>
    <row r="1314" spans="3:21" s="348" customFormat="1" x14ac:dyDescent="0.2">
      <c r="D1314" s="721"/>
      <c r="E1314" s="721"/>
      <c r="F1314" s="721"/>
      <c r="G1314" s="721"/>
      <c r="J1314" s="297">
        <f>IFERROR(INDEX($J$1599:$J$1721,MATCH(D1314,LU_Intv_3_Equip,0)),0)</f>
        <v>0</v>
      </c>
      <c r="K1314" s="191">
        <v>0</v>
      </c>
      <c r="L1314" s="153">
        <f>J1314*K1314</f>
        <v>0</v>
      </c>
      <c r="M1314" s="153">
        <f>IFERROR(INDEX($K$1599:$K$1721,MATCH(D1314,LU_Intv_3_Equip,0)),0)*K1314</f>
        <v>0</v>
      </c>
      <c r="N1314" s="146">
        <f>IFERROR(INDEX($L$1599:$L$1721,MATCH(D1314,LU_Intv_3_Equip,0)),0)*K1314</f>
        <v>0</v>
      </c>
      <c r="O1314" s="841"/>
      <c r="P1314" s="841"/>
      <c r="Q1314" s="842"/>
      <c r="U1314" s="119">
        <f>IF(AND(ISERROR(MATCH(D1314,LU_Intv_3_Equip,0)),K1314),1,0)</f>
        <v>0</v>
      </c>
    </row>
    <row r="1315" spans="3:21" s="348" customFormat="1" x14ac:dyDescent="0.2">
      <c r="D1315" s="721"/>
      <c r="E1315" s="721"/>
      <c r="F1315" s="721"/>
      <c r="G1315" s="721"/>
      <c r="J1315" s="306">
        <f>IFERROR(INDEX($J$1599:$J$1721,MATCH(D1315,LU_Intv_3_Equip,0)),0)</f>
        <v>0</v>
      </c>
      <c r="K1315" s="193">
        <v>0</v>
      </c>
      <c r="L1315" s="153">
        <f>J1315*K1315</f>
        <v>0</v>
      </c>
      <c r="M1315" s="153">
        <f>IFERROR(INDEX($K$1599:$K$1721,MATCH(D1315,LU_Intv_3_Equip,0)),0)*K1315</f>
        <v>0</v>
      </c>
      <c r="N1315" s="146">
        <f>IFERROR(INDEX($L$1599:$L$1721,MATCH(D1315,LU_Intv_3_Equip,0)),0)*K1315</f>
        <v>0</v>
      </c>
      <c r="O1315" s="844"/>
      <c r="P1315" s="844"/>
      <c r="Q1315" s="845"/>
      <c r="U1315" s="119">
        <f>IF(AND(ISERROR(MATCH(D1315,LU_Intv_3_Equip,0)),K1315),1,0)</f>
        <v>0</v>
      </c>
    </row>
    <row r="1316" spans="3:21" s="348" customFormat="1" x14ac:dyDescent="0.2">
      <c r="D1316" s="671" t="s">
        <v>191</v>
      </c>
      <c r="L1316" s="150">
        <f>SUM(L1313:L1315)</f>
        <v>0</v>
      </c>
      <c r="M1316" s="151">
        <f>SUM(M1313:M1315)</f>
        <v>0</v>
      </c>
      <c r="N1316" s="152">
        <f>SUM(N1313:N1315)</f>
        <v>0</v>
      </c>
    </row>
    <row r="1317" spans="3:21" s="348" customFormat="1" x14ac:dyDescent="0.2">
      <c r="D1317" s="671" t="s">
        <v>120</v>
      </c>
      <c r="I1317" s="239">
        <v>0</v>
      </c>
      <c r="M1317" s="153">
        <f>M1316*$I$1317</f>
        <v>0</v>
      </c>
      <c r="N1317" s="154">
        <f>N1316*$I$1317</f>
        <v>0</v>
      </c>
    </row>
    <row r="1318" spans="3:21" s="348" customFormat="1" ht="15" x14ac:dyDescent="0.2">
      <c r="D1318" s="667" t="s">
        <v>121</v>
      </c>
      <c r="M1318" s="155">
        <f>SUM(M1316:M1317)</f>
        <v>0</v>
      </c>
      <c r="N1318" s="156">
        <f>SUM(N1316:N1317)</f>
        <v>0</v>
      </c>
    </row>
    <row r="1319" spans="3:21" s="348" customFormat="1" x14ac:dyDescent="0.2"/>
    <row r="1320" spans="3:21" s="348" customFormat="1" ht="15" x14ac:dyDescent="0.2">
      <c r="D1320" s="667" t="s">
        <v>964</v>
      </c>
      <c r="K1320" s="671" t="s">
        <v>965</v>
      </c>
    </row>
    <row r="1321" spans="3:21" s="348" customFormat="1" x14ac:dyDescent="0.2">
      <c r="D1321" s="721"/>
      <c r="E1321" s="721"/>
      <c r="F1321" s="721"/>
      <c r="G1321" s="721"/>
      <c r="H1321" s="721"/>
      <c r="I1321" s="721"/>
      <c r="K1321" s="721"/>
      <c r="L1321" s="721"/>
      <c r="M1321" s="721"/>
      <c r="N1321" s="721"/>
      <c r="O1321" s="721"/>
      <c r="P1321" s="721"/>
    </row>
    <row r="1322" spans="3:21" s="348" customFormat="1" x14ac:dyDescent="0.2">
      <c r="D1322" s="721"/>
      <c r="E1322" s="721"/>
      <c r="F1322" s="721"/>
      <c r="G1322" s="721"/>
      <c r="H1322" s="721"/>
      <c r="I1322" s="721"/>
      <c r="K1322" s="721"/>
      <c r="L1322" s="721"/>
      <c r="M1322" s="721"/>
      <c r="N1322" s="721"/>
      <c r="O1322" s="721"/>
      <c r="P1322" s="721"/>
    </row>
    <row r="1323" spans="3:21" s="348" customFormat="1" x14ac:dyDescent="0.2">
      <c r="D1323" s="721"/>
      <c r="E1323" s="721"/>
      <c r="F1323" s="721"/>
      <c r="G1323" s="721"/>
      <c r="H1323" s="721"/>
      <c r="I1323" s="721"/>
      <c r="K1323" s="721"/>
      <c r="L1323" s="721"/>
      <c r="M1323" s="721"/>
      <c r="N1323" s="721"/>
      <c r="O1323" s="721"/>
      <c r="P1323" s="721"/>
    </row>
    <row r="1324" spans="3:21" s="348" customFormat="1" x14ac:dyDescent="0.2">
      <c r="D1324" s="721"/>
      <c r="E1324" s="721"/>
      <c r="F1324" s="721"/>
      <c r="G1324" s="721"/>
      <c r="H1324" s="721"/>
      <c r="I1324" s="721"/>
      <c r="K1324" s="721"/>
      <c r="L1324" s="721"/>
      <c r="M1324" s="721"/>
      <c r="N1324" s="721"/>
      <c r="O1324" s="721"/>
      <c r="P1324" s="721"/>
    </row>
    <row r="1325" spans="3:21" s="348" customFormat="1" ht="15.75" x14ac:dyDescent="0.2">
      <c r="C1325" s="124" t="str">
        <f>"Lab Tests &amp; Other Direct Costs for "&amp;G1181&amp;""</f>
        <v>Lab Tests &amp; Other Direct Costs for Chemo</v>
      </c>
    </row>
    <row r="1326" spans="3:21" s="348" customFormat="1" x14ac:dyDescent="0.2"/>
    <row r="1327" spans="3:21" s="348" customFormat="1" ht="30" x14ac:dyDescent="0.2">
      <c r="D1327" s="667" t="s">
        <v>106</v>
      </c>
      <c r="J1327" s="132" t="str">
        <f>"Cost per Unit ("&amp;$I$1361&amp;")"</f>
        <v>Cost per Unit (USD)</v>
      </c>
      <c r="K1327" s="366" t="s">
        <v>107</v>
      </c>
      <c r="L1327" s="307" t="s">
        <v>183</v>
      </c>
      <c r="M1327" s="132" t="str">
        <f>"Total Cost ("&amp;$I$1361&amp;")"</f>
        <v>Total Cost (USD)</v>
      </c>
      <c r="N1327" s="725" t="s">
        <v>74</v>
      </c>
      <c r="O1327" s="726"/>
      <c r="P1327" s="726"/>
      <c r="U1327" s="671" t="s">
        <v>312</v>
      </c>
    </row>
    <row r="1328" spans="3:21" s="348" customFormat="1" x14ac:dyDescent="0.2">
      <c r="D1328" s="723" t="s">
        <v>1566</v>
      </c>
      <c r="E1328" s="723"/>
      <c r="F1328" s="723"/>
      <c r="G1328" s="723"/>
      <c r="H1328" s="672"/>
      <c r="J1328" s="674">
        <f t="shared" ref="J1328:J1334" si="26">IFERROR(INDEX($L$1724:$L$1756,MATCH(D1328,LU_Intv_3_Lab_Oth,0)),0)</f>
        <v>2.5</v>
      </c>
      <c r="K1328" s="458">
        <v>1</v>
      </c>
      <c r="L1328" s="458">
        <v>2</v>
      </c>
      <c r="M1328" s="161">
        <f t="shared" ref="M1328:M1334" si="27">J1328*K1328*L1328</f>
        <v>5</v>
      </c>
      <c r="N1328" s="723"/>
      <c r="O1328" s="723"/>
      <c r="P1328" s="723"/>
      <c r="U1328" s="119">
        <f t="shared" ref="U1328:U1334" si="28">IF(AND(ISERROR(MATCH(D1328,LU_Intv_3_Lab_Oth,0)),L1328),1,0)</f>
        <v>0</v>
      </c>
    </row>
    <row r="1329" spans="3:21" s="348" customFormat="1" x14ac:dyDescent="0.2">
      <c r="D1329" s="723" t="s">
        <v>1570</v>
      </c>
      <c r="E1329" s="723"/>
      <c r="F1329" s="723"/>
      <c r="G1329" s="723"/>
      <c r="H1329" s="672"/>
      <c r="J1329" s="674">
        <f t="shared" si="26"/>
        <v>3.33</v>
      </c>
      <c r="K1329" s="458">
        <v>1</v>
      </c>
      <c r="L1329" s="458">
        <v>2</v>
      </c>
      <c r="M1329" s="161">
        <f t="shared" si="27"/>
        <v>6.66</v>
      </c>
      <c r="N1329" s="723" t="s">
        <v>1804</v>
      </c>
      <c r="O1329" s="723"/>
      <c r="P1329" s="723"/>
      <c r="U1329" s="119">
        <f t="shared" si="28"/>
        <v>0</v>
      </c>
    </row>
    <row r="1330" spans="3:21" s="348" customFormat="1" x14ac:dyDescent="0.2">
      <c r="D1330" s="723" t="s">
        <v>1257</v>
      </c>
      <c r="E1330" s="723"/>
      <c r="F1330" s="723"/>
      <c r="G1330" s="723"/>
      <c r="H1330" s="672"/>
      <c r="J1330" s="674">
        <f t="shared" si="26"/>
        <v>0</v>
      </c>
      <c r="K1330" s="458">
        <v>1</v>
      </c>
      <c r="L1330" s="458">
        <v>1</v>
      </c>
      <c r="M1330" s="161">
        <f t="shared" si="27"/>
        <v>0</v>
      </c>
      <c r="N1330" s="723"/>
      <c r="O1330" s="723"/>
      <c r="P1330" s="723"/>
      <c r="U1330" s="119">
        <f t="shared" si="28"/>
        <v>0</v>
      </c>
    </row>
    <row r="1331" spans="3:21" s="348" customFormat="1" x14ac:dyDescent="0.2">
      <c r="D1331" s="723" t="s">
        <v>1257</v>
      </c>
      <c r="E1331" s="723"/>
      <c r="F1331" s="723"/>
      <c r="G1331" s="723"/>
      <c r="H1331" s="672"/>
      <c r="J1331" s="674">
        <f t="shared" si="26"/>
        <v>0</v>
      </c>
      <c r="K1331" s="458">
        <v>1</v>
      </c>
      <c r="L1331" s="458">
        <v>1</v>
      </c>
      <c r="M1331" s="161">
        <f t="shared" si="27"/>
        <v>0</v>
      </c>
      <c r="N1331" s="723"/>
      <c r="O1331" s="723"/>
      <c r="P1331" s="723"/>
      <c r="U1331" s="119">
        <f t="shared" si="28"/>
        <v>0</v>
      </c>
    </row>
    <row r="1332" spans="3:21" s="348" customFormat="1" x14ac:dyDescent="0.2">
      <c r="D1332" s="723" t="s">
        <v>1257</v>
      </c>
      <c r="E1332" s="723"/>
      <c r="F1332" s="723"/>
      <c r="G1332" s="723"/>
      <c r="H1332" s="672"/>
      <c r="J1332" s="674">
        <f t="shared" si="26"/>
        <v>0</v>
      </c>
      <c r="K1332" s="458">
        <v>1</v>
      </c>
      <c r="L1332" s="458">
        <v>1</v>
      </c>
      <c r="M1332" s="161">
        <f t="shared" si="27"/>
        <v>0</v>
      </c>
      <c r="N1332" s="723"/>
      <c r="O1332" s="723"/>
      <c r="P1332" s="723"/>
      <c r="U1332" s="119">
        <f t="shared" si="28"/>
        <v>0</v>
      </c>
    </row>
    <row r="1333" spans="3:21" s="348" customFormat="1" x14ac:dyDescent="0.2">
      <c r="D1333" s="723" t="s">
        <v>1257</v>
      </c>
      <c r="E1333" s="723"/>
      <c r="F1333" s="723"/>
      <c r="G1333" s="723"/>
      <c r="H1333" s="672"/>
      <c r="J1333" s="674">
        <f t="shared" si="26"/>
        <v>0</v>
      </c>
      <c r="K1333" s="458">
        <v>1</v>
      </c>
      <c r="L1333" s="458">
        <v>1</v>
      </c>
      <c r="M1333" s="161">
        <f t="shared" si="27"/>
        <v>0</v>
      </c>
      <c r="N1333" s="723"/>
      <c r="O1333" s="723"/>
      <c r="P1333" s="723"/>
      <c r="U1333" s="119">
        <f t="shared" si="28"/>
        <v>0</v>
      </c>
    </row>
    <row r="1334" spans="3:21" s="348" customFormat="1" x14ac:dyDescent="0.2">
      <c r="D1334" s="723" t="s">
        <v>1257</v>
      </c>
      <c r="E1334" s="723"/>
      <c r="F1334" s="723"/>
      <c r="G1334" s="723"/>
      <c r="H1334" s="672"/>
      <c r="J1334" s="674">
        <f t="shared" si="26"/>
        <v>0</v>
      </c>
      <c r="K1334" s="458">
        <v>1</v>
      </c>
      <c r="L1334" s="458">
        <v>1</v>
      </c>
      <c r="M1334" s="161">
        <f t="shared" si="27"/>
        <v>0</v>
      </c>
      <c r="N1334" s="723"/>
      <c r="O1334" s="723"/>
      <c r="P1334" s="723"/>
      <c r="U1334" s="119">
        <f t="shared" si="28"/>
        <v>0</v>
      </c>
    </row>
    <row r="1335" spans="3:21" s="348" customFormat="1" ht="15" x14ac:dyDescent="0.2">
      <c r="D1335" s="782" t="s">
        <v>108</v>
      </c>
      <c r="E1335" s="783"/>
      <c r="F1335" s="783"/>
      <c r="G1335" s="783"/>
      <c r="H1335" s="672"/>
      <c r="J1335" s="308"/>
      <c r="K1335" s="119"/>
      <c r="L1335" s="674"/>
      <c r="M1335" s="162">
        <f>SUM(M1328:M1334)</f>
        <v>11.66</v>
      </c>
      <c r="N1335" s="669"/>
      <c r="O1335" s="669"/>
      <c r="P1335" s="669"/>
      <c r="U1335" s="672"/>
    </row>
    <row r="1336" spans="3:21" s="348" customFormat="1" x14ac:dyDescent="0.2"/>
    <row r="1337" spans="3:21" s="348" customFormat="1" ht="15" x14ac:dyDescent="0.2">
      <c r="D1337" s="667" t="s">
        <v>966</v>
      </c>
      <c r="K1337" s="671" t="s">
        <v>967</v>
      </c>
    </row>
    <row r="1338" spans="3:21" s="348" customFormat="1" x14ac:dyDescent="0.2">
      <c r="D1338" s="721" t="s">
        <v>1805</v>
      </c>
      <c r="E1338" s="721"/>
      <c r="F1338" s="721"/>
      <c r="G1338" s="721"/>
      <c r="H1338" s="721"/>
      <c r="I1338" s="721"/>
      <c r="K1338" s="721" t="s">
        <v>1873</v>
      </c>
      <c r="L1338" s="721"/>
      <c r="M1338" s="721"/>
      <c r="N1338" s="721"/>
      <c r="O1338" s="721"/>
      <c r="P1338" s="721"/>
    </row>
    <row r="1339" spans="3:21" s="348" customFormat="1" x14ac:dyDescent="0.2">
      <c r="D1339" s="721" t="s">
        <v>1806</v>
      </c>
      <c r="E1339" s="721"/>
      <c r="F1339" s="721"/>
      <c r="G1339" s="721"/>
      <c r="H1339" s="721"/>
      <c r="I1339" s="721"/>
      <c r="K1339" s="721" t="s">
        <v>1604</v>
      </c>
      <c r="L1339" s="721"/>
      <c r="M1339" s="721"/>
      <c r="N1339" s="721"/>
      <c r="O1339" s="721"/>
      <c r="P1339" s="721"/>
    </row>
    <row r="1340" spans="3:21" s="348" customFormat="1" x14ac:dyDescent="0.2">
      <c r="D1340" s="721"/>
      <c r="E1340" s="721"/>
      <c r="F1340" s="721"/>
      <c r="G1340" s="721"/>
      <c r="H1340" s="721"/>
      <c r="I1340" s="721"/>
      <c r="K1340" s="721"/>
      <c r="L1340" s="721"/>
      <c r="M1340" s="721"/>
      <c r="N1340" s="721"/>
      <c r="O1340" s="721"/>
      <c r="P1340" s="721"/>
    </row>
    <row r="1341" spans="3:21" s="348" customFormat="1" x14ac:dyDescent="0.2">
      <c r="D1341" s="721"/>
      <c r="E1341" s="721"/>
      <c r="F1341" s="721"/>
      <c r="G1341" s="721"/>
      <c r="H1341" s="721"/>
      <c r="I1341" s="721"/>
      <c r="K1341" s="721"/>
      <c r="L1341" s="721"/>
      <c r="M1341" s="721"/>
      <c r="N1341" s="721"/>
      <c r="O1341" s="721"/>
      <c r="P1341" s="721"/>
    </row>
    <row r="1342" spans="3:21" s="348" customFormat="1" hidden="1" outlineLevel="2" x14ac:dyDescent="0.2"/>
    <row r="1343" spans="3:21" s="348" customFormat="1" collapsed="1" x14ac:dyDescent="0.2"/>
    <row r="1344" spans="3:21" s="348" customFormat="1" ht="15.75" x14ac:dyDescent="0.2">
      <c r="C1344" s="664" t="s">
        <v>1870</v>
      </c>
    </row>
    <row r="1345" spans="3:21" s="348" customFormat="1" hidden="1" outlineLevel="1" x14ac:dyDescent="0.2">
      <c r="D1345" s="668" t="str">
        <f>Plac_Start_Facs_BA!C10</f>
        <v>Central</v>
      </c>
    </row>
    <row r="1346" spans="3:21" s="348" customFormat="1" hidden="1" outlineLevel="1" x14ac:dyDescent="0.2">
      <c r="D1346" s="668" t="str">
        <f>Plac_Start_Facs_BA!C11</f>
        <v>Copperbelt</v>
      </c>
    </row>
    <row r="1347" spans="3:21" s="348" customFormat="1" hidden="1" outlineLevel="1" x14ac:dyDescent="0.2">
      <c r="D1347" s="668" t="str">
        <f>Plac_Start_Facs_BA!C12</f>
        <v>Eastern</v>
      </c>
    </row>
    <row r="1348" spans="3:21" s="348" customFormat="1" hidden="1" outlineLevel="1" x14ac:dyDescent="0.2">
      <c r="D1348" s="668" t="str">
        <f>Plac_Start_Facs_BA!C13</f>
        <v>Luapula</v>
      </c>
    </row>
    <row r="1349" spans="3:21" s="348" customFormat="1" hidden="1" outlineLevel="1" x14ac:dyDescent="0.2">
      <c r="D1349" s="668" t="str">
        <f>Plac_Start_Facs_BA!C14</f>
        <v>Lusaka</v>
      </c>
    </row>
    <row r="1350" spans="3:21" s="348" customFormat="1" hidden="1" outlineLevel="1" x14ac:dyDescent="0.2">
      <c r="D1350" s="668" t="str">
        <f>Plac_Start_Facs_BA!C15</f>
        <v>Muchinga</v>
      </c>
    </row>
    <row r="1351" spans="3:21" s="348" customFormat="1" hidden="1" outlineLevel="1" x14ac:dyDescent="0.2">
      <c r="D1351" s="668" t="str">
        <f>Plac_Start_Facs_BA!C16</f>
        <v>Northern</v>
      </c>
    </row>
    <row r="1352" spans="3:21" s="348" customFormat="1" hidden="1" outlineLevel="1" x14ac:dyDescent="0.2">
      <c r="D1352" s="668" t="str">
        <f>Plac_Start_Facs_BA!C17</f>
        <v>North-Western</v>
      </c>
    </row>
    <row r="1353" spans="3:21" s="348" customFormat="1" hidden="1" outlineLevel="1" x14ac:dyDescent="0.2">
      <c r="D1353" s="668" t="str">
        <f>Plac_Start_Facs_BA!C18</f>
        <v>Southern</v>
      </c>
    </row>
    <row r="1354" spans="3:21" s="348" customFormat="1" hidden="1" outlineLevel="1" x14ac:dyDescent="0.2">
      <c r="D1354" s="668" t="str">
        <f>Plac_Start_Facs_BA!C19</f>
        <v>Western</v>
      </c>
    </row>
    <row r="1355" spans="3:21" s="348" customFormat="1" collapsed="1" x14ac:dyDescent="0.2"/>
    <row r="1356" spans="3:21" s="348" customFormat="1" x14ac:dyDescent="0.2"/>
    <row r="1357" spans="3:21" s="348" customFormat="1" x14ac:dyDescent="0.2"/>
    <row r="1358" spans="3:21" s="348" customFormat="1" x14ac:dyDescent="0.2"/>
    <row r="1359" spans="3:21" s="348" customFormat="1" ht="15.75" hidden="1" outlineLevel="2" x14ac:dyDescent="0.2">
      <c r="C1359" s="664" t="s">
        <v>303</v>
      </c>
    </row>
    <row r="1360" spans="3:21" s="348" customFormat="1" hidden="1" outlineLevel="2" x14ac:dyDescent="0.2">
      <c r="U1360" s="671" t="s">
        <v>312</v>
      </c>
    </row>
    <row r="1361" spans="4:21" s="348" customFormat="1" ht="15" hidden="1" customHeight="1" outlineLevel="2" x14ac:dyDescent="0.2">
      <c r="D1361" s="667" t="s">
        <v>302</v>
      </c>
      <c r="I1361" s="785" t="str">
        <f>Price_List_BA!G10</f>
        <v>USD</v>
      </c>
      <c r="J1361" s="786"/>
      <c r="U1361" s="119">
        <f>IF(ISERROR(MATCH(I1361,LU_Intv_3_Curr,0)),1,0)</f>
        <v>0</v>
      </c>
    </row>
    <row r="1362" spans="4:21" s="348" customFormat="1" hidden="1" outlineLevel="2" x14ac:dyDescent="0.2"/>
    <row r="1363" spans="4:21" s="348" customFormat="1" ht="25.5" hidden="1" outlineLevel="2" x14ac:dyDescent="0.2">
      <c r="D1363" s="359" t="str">
        <f>"Personnel - "&amp;D1257</f>
        <v>Personnel - Fixed Hospital Sites</v>
      </c>
      <c r="L1363" s="312" t="str">
        <f>"Cost per Unit ("&amp;$I$1361&amp;"/Unit)"</f>
        <v>Cost per Unit (USD/Unit)</v>
      </c>
    </row>
    <row r="1364" spans="4:21" s="348" customFormat="1" ht="12.75" hidden="1" customHeight="1" outlineLevel="2" x14ac:dyDescent="0.2">
      <c r="D1364" s="785" t="str">
        <f>Price_List_BA!D14</f>
        <v>_Not Applicable</v>
      </c>
      <c r="E1364" s="786"/>
      <c r="F1364" s="786"/>
      <c r="G1364" s="786"/>
      <c r="L1364" s="137">
        <f>Price_List_BA!L14</f>
        <v>0</v>
      </c>
    </row>
    <row r="1365" spans="4:21" s="348" customFormat="1" ht="12.95" hidden="1" customHeight="1" outlineLevel="2" x14ac:dyDescent="0.2">
      <c r="D1365" s="785" t="str">
        <f>Price_List_BA!D15</f>
        <v>Biomedical scientist (ZM)</v>
      </c>
      <c r="E1365" s="786"/>
      <c r="F1365" s="786"/>
      <c r="G1365" s="786"/>
      <c r="L1365" s="137">
        <f>Price_List_BA!L15</f>
        <v>9.6099869451697087E-2</v>
      </c>
    </row>
    <row r="1366" spans="4:21" s="348" customFormat="1" ht="12.95" hidden="1" customHeight="1" outlineLevel="2" x14ac:dyDescent="0.2">
      <c r="D1366" s="785" t="str">
        <f>Price_List_BA!D16</f>
        <v>Clinical officer  (ZM)</v>
      </c>
      <c r="E1366" s="786"/>
      <c r="F1366" s="786"/>
      <c r="G1366" s="786"/>
      <c r="L1366" s="137">
        <f>Price_List_BA!L16</f>
        <v>5.4314893385552607E-2</v>
      </c>
    </row>
    <row r="1367" spans="4:21" s="348" customFormat="1" ht="12.75" hidden="1" customHeight="1" outlineLevel="2" x14ac:dyDescent="0.2">
      <c r="D1367" s="785" t="str">
        <f>Price_List_BA!D17</f>
        <v>Consultant  (ZM)</v>
      </c>
      <c r="E1367" s="786"/>
      <c r="F1367" s="786"/>
      <c r="G1367" s="786"/>
      <c r="L1367" s="137">
        <f>Price_List_BA!L17</f>
        <v>0.39408430337975103</v>
      </c>
    </row>
    <row r="1368" spans="4:21" s="348" customFormat="1" hidden="1" outlineLevel="2" x14ac:dyDescent="0.2">
      <c r="D1368" s="785" t="str">
        <f>Price_List_BA!D18</f>
        <v>General Medical Doctor</v>
      </c>
      <c r="E1368" s="786"/>
      <c r="F1368" s="786"/>
      <c r="G1368" s="786"/>
      <c r="L1368" s="137">
        <f>Price_List_BA!L18</f>
        <v>0.33333333333333331</v>
      </c>
    </row>
    <row r="1369" spans="4:21" s="348" customFormat="1" ht="12.75" hidden="1" customHeight="1" outlineLevel="2" x14ac:dyDescent="0.2">
      <c r="D1369" s="785" t="str">
        <f>Price_List_BA!D19</f>
        <v>Junior Resident Medical officer  (ZM)</v>
      </c>
      <c r="E1369" s="786"/>
      <c r="F1369" s="786"/>
      <c r="G1369" s="786"/>
      <c r="L1369" s="137">
        <f>Price_List_BA!L19</f>
        <v>0.30300363087467391</v>
      </c>
    </row>
    <row r="1370" spans="4:21" s="348" customFormat="1" ht="12.95" hidden="1" customHeight="1" outlineLevel="2" x14ac:dyDescent="0.2">
      <c r="D1370" s="785" t="str">
        <f>Price_List_BA!D20</f>
        <v>Lab Scientist (ZM)</v>
      </c>
      <c r="E1370" s="786"/>
      <c r="F1370" s="786"/>
      <c r="G1370" s="786"/>
      <c r="L1370" s="137">
        <f>Price_List_BA!L20</f>
        <v>9.6099869451697087E-2</v>
      </c>
    </row>
    <row r="1371" spans="4:21" s="348" customFormat="1" ht="12.95" hidden="1" customHeight="1" outlineLevel="2" x14ac:dyDescent="0.2">
      <c r="D1371" s="785" t="str">
        <f>Price_List_BA!D21</f>
        <v>Lab Technician (ZM)</v>
      </c>
      <c r="E1371" s="786"/>
      <c r="F1371" s="786"/>
      <c r="G1371" s="786"/>
      <c r="L1371" s="137">
        <f>Price_List_BA!L21</f>
        <v>4.7519582245430833E-2</v>
      </c>
    </row>
    <row r="1372" spans="4:21" s="348" customFormat="1" ht="12.75" hidden="1" customHeight="1" outlineLevel="2" x14ac:dyDescent="0.2">
      <c r="D1372" s="785" t="str">
        <f>Price_List_BA!D22</f>
        <v>Lab Technologist (ZM)</v>
      </c>
      <c r="E1372" s="786"/>
      <c r="F1372" s="786"/>
      <c r="G1372" s="786"/>
      <c r="L1372" s="137">
        <f>Price_List_BA!L22</f>
        <v>5.4308093994778019E-2</v>
      </c>
    </row>
    <row r="1373" spans="4:21" s="348" customFormat="1" ht="12.75" hidden="1" customHeight="1" outlineLevel="2" x14ac:dyDescent="0.2">
      <c r="D1373" s="785" t="str">
        <f>Price_List_BA!D23</f>
        <v>Medical Physicist (ZM)</v>
      </c>
      <c r="E1373" s="786"/>
      <c r="F1373" s="786"/>
      <c r="G1373" s="786"/>
      <c r="L1373" s="137">
        <f>Price_List_BA!L23</f>
        <v>0.15991895126196667</v>
      </c>
    </row>
    <row r="1374" spans="4:21" s="348" customFormat="1" ht="12.95" hidden="1" customHeight="1" outlineLevel="2" x14ac:dyDescent="0.2">
      <c r="D1374" s="785" t="str">
        <f>Price_List_BA!D24</f>
        <v>Nursing Officer (ZM)</v>
      </c>
      <c r="E1374" s="786"/>
      <c r="F1374" s="786"/>
      <c r="G1374" s="786"/>
      <c r="L1374" s="137">
        <f>Price_List_BA!L24</f>
        <v>9.6099869451697087E-2</v>
      </c>
    </row>
    <row r="1375" spans="4:21" s="348" customFormat="1" ht="12.95" hidden="1" customHeight="1" outlineLevel="2" x14ac:dyDescent="0.2">
      <c r="D1375" s="785" t="str">
        <f>Price_List_BA!D25</f>
        <v>Pathologist (ZM)</v>
      </c>
      <c r="E1375" s="786"/>
      <c r="F1375" s="786"/>
      <c r="G1375" s="786"/>
      <c r="L1375" s="137">
        <f>Price_List_BA!L25</f>
        <v>0.39408430337975103</v>
      </c>
    </row>
    <row r="1376" spans="4:21" s="348" customFormat="1" ht="12.95" hidden="1" customHeight="1" outlineLevel="2" x14ac:dyDescent="0.2">
      <c r="D1376" s="785" t="str">
        <f>Price_List_BA!D26</f>
        <v>Pharmacy Technologist (ZM)</v>
      </c>
      <c r="E1376" s="786"/>
      <c r="F1376" s="786"/>
      <c r="G1376" s="786"/>
      <c r="L1376" s="137">
        <f>Price_List_BA!L26</f>
        <v>5.4312173629242816E-2</v>
      </c>
    </row>
    <row r="1377" spans="4:12" s="348" customFormat="1" ht="12.95" hidden="1" customHeight="1" outlineLevel="2" x14ac:dyDescent="0.2">
      <c r="D1377" s="785" t="str">
        <f>Price_List_BA!D27</f>
        <v>Principal Nursing Officer (ZM)</v>
      </c>
      <c r="E1377" s="786"/>
      <c r="F1377" s="786"/>
      <c r="G1377" s="786"/>
      <c r="L1377" s="137">
        <f>Price_List_BA!L27</f>
        <v>0.15919413620539585</v>
      </c>
    </row>
    <row r="1378" spans="4:12" s="348" customFormat="1" ht="12.95" hidden="1" customHeight="1" outlineLevel="2" x14ac:dyDescent="0.2">
      <c r="D1378" s="785" t="str">
        <f>Price_List_BA!D28</f>
        <v>Principal Pharmacist (ZM)</v>
      </c>
      <c r="E1378" s="786"/>
      <c r="F1378" s="786"/>
      <c r="G1378" s="786"/>
      <c r="L1378" s="137">
        <f>Price_List_BA!L28</f>
        <v>0.15919560940673019</v>
      </c>
    </row>
    <row r="1379" spans="4:12" s="348" customFormat="1" ht="12.75" hidden="1" customHeight="1" outlineLevel="2" x14ac:dyDescent="0.2">
      <c r="D1379" s="785" t="str">
        <f>Price_List_BA!D29</f>
        <v>Principal Radiographer (ZM)</v>
      </c>
      <c r="E1379" s="786"/>
      <c r="F1379" s="786"/>
      <c r="G1379" s="786"/>
      <c r="L1379" s="137">
        <f>Price_List_BA!L29</f>
        <v>0.15919855580939896</v>
      </c>
    </row>
    <row r="1380" spans="4:12" s="348" customFormat="1" ht="12.75" hidden="1" customHeight="1" outlineLevel="2" x14ac:dyDescent="0.2">
      <c r="D1380" s="785" t="str">
        <f>Price_List_BA!D30</f>
        <v>Principal Therapist - Radiation (ZM)</v>
      </c>
      <c r="E1380" s="786"/>
      <c r="F1380" s="786"/>
      <c r="G1380" s="786"/>
      <c r="L1380" s="137">
        <f>Price_List_BA!L30</f>
        <v>0.15919708260806459</v>
      </c>
    </row>
    <row r="1381" spans="4:12" s="348" customFormat="1" ht="12.75" hidden="1" customHeight="1" outlineLevel="2" x14ac:dyDescent="0.2">
      <c r="D1381" s="785" t="str">
        <f>Price_List_BA!D31</f>
        <v>Radiation Lab Scientist (ZM)</v>
      </c>
      <c r="E1381" s="786"/>
      <c r="F1381" s="786"/>
      <c r="G1381" s="786"/>
      <c r="L1381" s="137">
        <f>Price_List_BA!L31</f>
        <v>9.6099869451697087E-2</v>
      </c>
    </row>
    <row r="1382" spans="4:12" s="348" customFormat="1" ht="12.95" hidden="1" customHeight="1" outlineLevel="2" x14ac:dyDescent="0.2">
      <c r="D1382" s="785" t="str">
        <f>Price_List_BA!D32</f>
        <v>Radiation Protection Officer (ZM)</v>
      </c>
      <c r="E1382" s="786"/>
      <c r="F1382" s="786"/>
      <c r="G1382" s="786"/>
      <c r="L1382" s="137">
        <f>Price_List_BA!L32</f>
        <v>9.6099869451697087E-2</v>
      </c>
    </row>
    <row r="1383" spans="4:12" s="348" customFormat="1" ht="12.95" hidden="1" customHeight="1" outlineLevel="2" x14ac:dyDescent="0.2">
      <c r="D1383" s="785" t="str">
        <f>Price_List_BA!D33</f>
        <v>Radiographer (ZM)</v>
      </c>
      <c r="E1383" s="786"/>
      <c r="F1383" s="786"/>
      <c r="G1383" s="786"/>
      <c r="L1383" s="137">
        <f>Price_List_BA!L33</f>
        <v>9.6099869451697087E-2</v>
      </c>
    </row>
    <row r="1384" spans="4:12" s="348" customFormat="1" ht="12.95" hidden="1" customHeight="1" outlineLevel="2" x14ac:dyDescent="0.2">
      <c r="D1384" s="785" t="str">
        <f>Price_List_BA!D34</f>
        <v>Registered Nurse (ZM)</v>
      </c>
      <c r="E1384" s="786"/>
      <c r="F1384" s="786"/>
      <c r="G1384" s="786"/>
      <c r="L1384" s="137">
        <f>Price_List_BA!L34</f>
        <v>5.7114882506527402E-2</v>
      </c>
    </row>
    <row r="1385" spans="4:12" s="348" customFormat="1" ht="12.95" hidden="1" customHeight="1" outlineLevel="2" x14ac:dyDescent="0.2">
      <c r="D1385" s="785" t="str">
        <f>Price_List_BA!D35</f>
        <v>Senior Enrolled Nurse (ZM)</v>
      </c>
      <c r="E1385" s="786"/>
      <c r="F1385" s="786"/>
      <c r="G1385" s="786"/>
      <c r="L1385" s="137">
        <f>Price_List_BA!L35</f>
        <v>5.4313533507397704E-2</v>
      </c>
    </row>
    <row r="1386" spans="4:12" s="348" customFormat="1" ht="12.75" hidden="1" customHeight="1" outlineLevel="2" x14ac:dyDescent="0.2">
      <c r="D1386" s="785" t="str">
        <f>Price_List_BA!D36</f>
        <v>Senior Nursing Officer (ZM)</v>
      </c>
      <c r="E1386" s="786"/>
      <c r="F1386" s="786"/>
      <c r="G1386" s="786"/>
      <c r="L1386" s="137">
        <f>Price_List_BA!L36</f>
        <v>0.12206946257615311</v>
      </c>
    </row>
    <row r="1387" spans="4:12" s="348" customFormat="1" ht="12.75" hidden="1" customHeight="1" outlineLevel="2" x14ac:dyDescent="0.2">
      <c r="D1387" s="785" t="str">
        <f>Price_List_BA!D37</f>
        <v>Senior Radiation protection Officer (ZM)</v>
      </c>
      <c r="E1387" s="786"/>
      <c r="F1387" s="786"/>
      <c r="G1387" s="786"/>
      <c r="L1387" s="137">
        <f>Price_List_BA!L37</f>
        <v>0.12207093577748751</v>
      </c>
    </row>
    <row r="1388" spans="4:12" s="348" customFormat="1" ht="12.75" hidden="1" customHeight="1" outlineLevel="2" x14ac:dyDescent="0.2">
      <c r="D1388" s="785" t="str">
        <f>Price_List_BA!D38</f>
        <v>Senior Radiographer (ZM)</v>
      </c>
      <c r="E1388" s="786"/>
      <c r="F1388" s="786"/>
      <c r="G1388" s="786"/>
      <c r="L1388" s="137">
        <f>Price_List_BA!L38</f>
        <v>0.12207240897882186</v>
      </c>
    </row>
    <row r="1389" spans="4:12" s="348" customFormat="1" ht="12.75" hidden="1" customHeight="1" outlineLevel="2" x14ac:dyDescent="0.2">
      <c r="D1389" s="785" t="str">
        <f>Price_List_BA!D39</f>
        <v>Zambia Enrolled Nurse (ZEN) (ZM)</v>
      </c>
      <c r="E1389" s="786"/>
      <c r="F1389" s="786"/>
      <c r="G1389" s="786"/>
      <c r="L1389" s="137">
        <f>Price_List_BA!L39</f>
        <v>5.4309453872933025E-2</v>
      </c>
    </row>
    <row r="1390" spans="4:12" s="348" customFormat="1" hidden="1" outlineLevel="2" x14ac:dyDescent="0.2">
      <c r="D1390" s="785" t="str">
        <f>Price_List_BA!D40</f>
        <v>Personnel - Hospital Cadre - Other 27</v>
      </c>
      <c r="E1390" s="786"/>
      <c r="F1390" s="786"/>
      <c r="G1390" s="786"/>
      <c r="L1390" s="137">
        <f>Price_List_BA!L40</f>
        <v>0</v>
      </c>
    </row>
    <row r="1391" spans="4:12" s="348" customFormat="1" hidden="1" outlineLevel="2" x14ac:dyDescent="0.2">
      <c r="D1391" s="785" t="str">
        <f>Price_List_BA!D41</f>
        <v>Personnel - Hospital Cadre - Other 28</v>
      </c>
      <c r="E1391" s="786"/>
      <c r="F1391" s="786"/>
      <c r="G1391" s="786"/>
      <c r="L1391" s="137">
        <f>Price_List_BA!L41</f>
        <v>0</v>
      </c>
    </row>
    <row r="1392" spans="4:12" s="348" customFormat="1" hidden="1" outlineLevel="2" x14ac:dyDescent="0.2">
      <c r="D1392" s="785" t="str">
        <f>Price_List_BA!D42</f>
        <v>Personnel - Hospital Cadre - Other 29</v>
      </c>
      <c r="E1392" s="786"/>
      <c r="F1392" s="786"/>
      <c r="G1392" s="786"/>
      <c r="L1392" s="137">
        <f>Price_List_BA!L42</f>
        <v>0</v>
      </c>
    </row>
    <row r="1393" spans="4:12" s="348" customFormat="1" hidden="1" outlineLevel="2" x14ac:dyDescent="0.2">
      <c r="D1393" s="785" t="str">
        <f>Price_List_BA!D43</f>
        <v>Personnel - Hospital Cadre - Other 30</v>
      </c>
      <c r="E1393" s="786"/>
      <c r="F1393" s="786"/>
      <c r="G1393" s="786"/>
      <c r="L1393" s="137">
        <f>Price_List_BA!L43</f>
        <v>0</v>
      </c>
    </row>
    <row r="1394" spans="4:12" s="348" customFormat="1" hidden="1" outlineLevel="2" x14ac:dyDescent="0.2">
      <c r="D1394" s="785" t="str">
        <f>Price_List_BA!D44</f>
        <v>Personnel - Hospital Cadre - Other 31</v>
      </c>
      <c r="E1394" s="786"/>
      <c r="F1394" s="786"/>
      <c r="G1394" s="786"/>
      <c r="L1394" s="137">
        <f>Price_List_BA!L44</f>
        <v>0</v>
      </c>
    </row>
    <row r="1395" spans="4:12" s="348" customFormat="1" hidden="1" outlineLevel="2" x14ac:dyDescent="0.2"/>
    <row r="1396" spans="4:12" s="348" customFormat="1" ht="25.5" hidden="1" outlineLevel="2" x14ac:dyDescent="0.2">
      <c r="D1396" s="359" t="str">
        <f>"Personnel - "&amp;D1276</f>
        <v>Personnel - Other Facility Types</v>
      </c>
      <c r="L1396" s="312" t="str">
        <f>"Cost per Unit ("&amp;$I$1361&amp;"/Unit)"</f>
        <v>Cost per Unit (USD/Unit)</v>
      </c>
    </row>
    <row r="1397" spans="4:12" s="348" customFormat="1" ht="12.75" hidden="1" customHeight="1" outlineLevel="2" x14ac:dyDescent="0.2">
      <c r="D1397" s="785" t="str">
        <f>Price_List_BA!D47</f>
        <v>_Not Applicable</v>
      </c>
      <c r="E1397" s="786"/>
      <c r="F1397" s="786"/>
      <c r="G1397" s="786"/>
      <c r="L1397" s="127">
        <f>Price_List_BA!L47</f>
        <v>0</v>
      </c>
    </row>
    <row r="1398" spans="4:12" s="348" customFormat="1" ht="12.95" hidden="1" customHeight="1" outlineLevel="2" x14ac:dyDescent="0.2">
      <c r="D1398" s="785" t="str">
        <f>Price_List_BA!D48</f>
        <v>Biomedical scientist (ZM)</v>
      </c>
      <c r="E1398" s="786"/>
      <c r="F1398" s="786"/>
      <c r="G1398" s="786"/>
      <c r="L1398" s="127">
        <f>Price_List_BA!L48</f>
        <v>9.6099869451697087E-2</v>
      </c>
    </row>
    <row r="1399" spans="4:12" s="348" customFormat="1" ht="12.75" hidden="1" customHeight="1" outlineLevel="2" x14ac:dyDescent="0.2">
      <c r="D1399" s="785" t="str">
        <f>Price_List_BA!D49</f>
        <v>Clinical officer  (ZM)</v>
      </c>
      <c r="E1399" s="786"/>
      <c r="F1399" s="786"/>
      <c r="G1399" s="786"/>
      <c r="L1399" s="127">
        <f>Price_List_BA!L49</f>
        <v>5.4314893385552607E-2</v>
      </c>
    </row>
    <row r="1400" spans="4:12" s="348" customFormat="1" ht="12.75" hidden="1" customHeight="1" outlineLevel="2" x14ac:dyDescent="0.2">
      <c r="D1400" s="785" t="str">
        <f>Price_List_BA!D50</f>
        <v>Consultant  (ZM)</v>
      </c>
      <c r="E1400" s="786"/>
      <c r="F1400" s="786"/>
      <c r="G1400" s="786"/>
      <c r="L1400" s="127">
        <f>Price_List_BA!L50</f>
        <v>0.39408430337975103</v>
      </c>
    </row>
    <row r="1401" spans="4:12" s="348" customFormat="1" hidden="1" outlineLevel="2" x14ac:dyDescent="0.2">
      <c r="D1401" s="785" t="str">
        <f>Price_List_BA!D51</f>
        <v>General Medical Doctor</v>
      </c>
      <c r="E1401" s="786"/>
      <c r="F1401" s="786"/>
      <c r="G1401" s="786"/>
      <c r="L1401" s="127">
        <f>Price_List_BA!L51</f>
        <v>0.3125</v>
      </c>
    </row>
    <row r="1402" spans="4:12" s="348" customFormat="1" ht="12.75" hidden="1" customHeight="1" outlineLevel="2" x14ac:dyDescent="0.2">
      <c r="D1402" s="785" t="str">
        <f>Price_List_BA!D52</f>
        <v>Junior Resident Medical officer  (ZM)</v>
      </c>
      <c r="E1402" s="786"/>
      <c r="F1402" s="786"/>
      <c r="G1402" s="786"/>
      <c r="L1402" s="127">
        <f>Price_List_BA!L52</f>
        <v>0.30300363087467391</v>
      </c>
    </row>
    <row r="1403" spans="4:12" s="348" customFormat="1" ht="12.95" hidden="1" customHeight="1" outlineLevel="2" x14ac:dyDescent="0.2">
      <c r="D1403" s="785" t="str">
        <f>Price_List_BA!D53</f>
        <v>Lab Scientist (ZM)</v>
      </c>
      <c r="E1403" s="786"/>
      <c r="F1403" s="786"/>
      <c r="G1403" s="786"/>
      <c r="L1403" s="127">
        <f>Price_List_BA!L53</f>
        <v>9.6099869451697087E-2</v>
      </c>
    </row>
    <row r="1404" spans="4:12" s="348" customFormat="1" ht="12.75" hidden="1" customHeight="1" outlineLevel="2" x14ac:dyDescent="0.2">
      <c r="D1404" s="785" t="str">
        <f>Price_List_BA!D54</f>
        <v>Lab Technician (ZM)</v>
      </c>
      <c r="E1404" s="786"/>
      <c r="F1404" s="786"/>
      <c r="G1404" s="786"/>
      <c r="L1404" s="127">
        <f>Price_List_BA!L54</f>
        <v>4.7519582245430833E-2</v>
      </c>
    </row>
    <row r="1405" spans="4:12" s="348" customFormat="1" ht="12.75" hidden="1" customHeight="1" outlineLevel="2" x14ac:dyDescent="0.2">
      <c r="D1405" s="785" t="str">
        <f>Price_List_BA!D55</f>
        <v>Lab Technologist (ZM)</v>
      </c>
      <c r="E1405" s="786"/>
      <c r="F1405" s="786"/>
      <c r="G1405" s="786"/>
      <c r="L1405" s="127">
        <f>Price_List_BA!L55</f>
        <v>5.4308093994778019E-2</v>
      </c>
    </row>
    <row r="1406" spans="4:12" s="348" customFormat="1" ht="12.75" hidden="1" customHeight="1" outlineLevel="2" x14ac:dyDescent="0.2">
      <c r="D1406" s="785" t="str">
        <f>Price_List_BA!D56</f>
        <v>Medical Physicist (ZM)</v>
      </c>
      <c r="E1406" s="786"/>
      <c r="F1406" s="786"/>
      <c r="G1406" s="786"/>
      <c r="L1406" s="127">
        <f>Price_List_BA!L56</f>
        <v>0.15991895126196667</v>
      </c>
    </row>
    <row r="1407" spans="4:12" s="348" customFormat="1" ht="12.75" hidden="1" customHeight="1" outlineLevel="2" x14ac:dyDescent="0.2">
      <c r="D1407" s="785" t="str">
        <f>Price_List_BA!D57</f>
        <v>Nursing Officer (ZM)</v>
      </c>
      <c r="E1407" s="786"/>
      <c r="F1407" s="786"/>
      <c r="G1407" s="786"/>
      <c r="L1407" s="127">
        <f>Price_List_BA!L57</f>
        <v>9.6099869451697087E-2</v>
      </c>
    </row>
    <row r="1408" spans="4:12" s="348" customFormat="1" ht="12.75" hidden="1" customHeight="1" outlineLevel="2" x14ac:dyDescent="0.2">
      <c r="D1408" s="785" t="str">
        <f>Price_List_BA!D58</f>
        <v>Pathologist (ZM)</v>
      </c>
      <c r="E1408" s="786"/>
      <c r="F1408" s="786"/>
      <c r="G1408" s="786"/>
      <c r="L1408" s="127">
        <f>Price_List_BA!L58</f>
        <v>0.39408430337975103</v>
      </c>
    </row>
    <row r="1409" spans="4:12" s="348" customFormat="1" ht="12.75" hidden="1" customHeight="1" outlineLevel="2" x14ac:dyDescent="0.2">
      <c r="D1409" s="785" t="str">
        <f>Price_List_BA!D59</f>
        <v>Pharmacy Technologist (ZM)</v>
      </c>
      <c r="E1409" s="786"/>
      <c r="F1409" s="786"/>
      <c r="G1409" s="786"/>
      <c r="L1409" s="127">
        <f>Price_List_BA!L59</f>
        <v>5.4312173629242816E-2</v>
      </c>
    </row>
    <row r="1410" spans="4:12" s="348" customFormat="1" ht="12.75" hidden="1" customHeight="1" outlineLevel="2" x14ac:dyDescent="0.2">
      <c r="D1410" s="785" t="str">
        <f>Price_List_BA!D60</f>
        <v>Principal Nursing Officer (ZM)</v>
      </c>
      <c r="E1410" s="786"/>
      <c r="F1410" s="786"/>
      <c r="G1410" s="786"/>
      <c r="L1410" s="127">
        <f>Price_List_BA!L60</f>
        <v>0.15919413620539585</v>
      </c>
    </row>
    <row r="1411" spans="4:12" s="348" customFormat="1" ht="12.75" hidden="1" customHeight="1" outlineLevel="2" x14ac:dyDescent="0.2">
      <c r="D1411" s="785" t="str">
        <f>Price_List_BA!D61</f>
        <v>Principal Pharmacist (ZM)</v>
      </c>
      <c r="E1411" s="786"/>
      <c r="F1411" s="786"/>
      <c r="G1411" s="786"/>
      <c r="L1411" s="127">
        <f>Price_List_BA!L61</f>
        <v>0.15919560940673019</v>
      </c>
    </row>
    <row r="1412" spans="4:12" s="348" customFormat="1" ht="12.75" hidden="1" customHeight="1" outlineLevel="2" x14ac:dyDescent="0.2">
      <c r="D1412" s="785" t="str">
        <f>Price_List_BA!D62</f>
        <v>Principal Radiographer (ZM)</v>
      </c>
      <c r="E1412" s="786"/>
      <c r="F1412" s="786"/>
      <c r="G1412" s="786"/>
      <c r="L1412" s="127">
        <f>Price_List_BA!L62</f>
        <v>0.15919855580939896</v>
      </c>
    </row>
    <row r="1413" spans="4:12" s="348" customFormat="1" ht="12.95" hidden="1" customHeight="1" outlineLevel="2" x14ac:dyDescent="0.2">
      <c r="D1413" s="785" t="str">
        <f>Price_List_BA!D63</f>
        <v>Principal Therapist - Radiation (ZM)</v>
      </c>
      <c r="E1413" s="786"/>
      <c r="F1413" s="786"/>
      <c r="G1413" s="786"/>
      <c r="L1413" s="127">
        <f>Price_List_BA!L63</f>
        <v>0.15919708260806459</v>
      </c>
    </row>
    <row r="1414" spans="4:12" s="348" customFormat="1" ht="12.95" hidden="1" customHeight="1" outlineLevel="2" x14ac:dyDescent="0.2">
      <c r="D1414" s="785" t="str">
        <f>Price_List_BA!D64</f>
        <v>Radiation Lab Scientist (ZM)</v>
      </c>
      <c r="E1414" s="786"/>
      <c r="F1414" s="786"/>
      <c r="G1414" s="786"/>
      <c r="L1414" s="127">
        <f>Price_List_BA!L64</f>
        <v>9.6099869451697087E-2</v>
      </c>
    </row>
    <row r="1415" spans="4:12" s="348" customFormat="1" ht="12.95" hidden="1" customHeight="1" outlineLevel="2" x14ac:dyDescent="0.2">
      <c r="D1415" s="785" t="str">
        <f>Price_List_BA!D65</f>
        <v>Radiation Protection Officer (ZM)</v>
      </c>
      <c r="E1415" s="786"/>
      <c r="F1415" s="786"/>
      <c r="G1415" s="786"/>
      <c r="L1415" s="127">
        <f>Price_List_BA!L65</f>
        <v>9.6099869451697087E-2</v>
      </c>
    </row>
    <row r="1416" spans="4:12" s="348" customFormat="1" ht="12.95" hidden="1" customHeight="1" outlineLevel="2" x14ac:dyDescent="0.2">
      <c r="D1416" s="785" t="str">
        <f>Price_List_BA!D66</f>
        <v>Radiographer (ZM)</v>
      </c>
      <c r="E1416" s="786"/>
      <c r="F1416" s="786"/>
      <c r="G1416" s="786"/>
      <c r="L1416" s="127">
        <f>Price_List_BA!L66</f>
        <v>9.6099869451697087E-2</v>
      </c>
    </row>
    <row r="1417" spans="4:12" s="348" customFormat="1" ht="12.95" hidden="1" customHeight="1" outlineLevel="2" x14ac:dyDescent="0.2">
      <c r="D1417" s="785" t="str">
        <f>Price_List_BA!D67</f>
        <v>Registered Nurse (ZM)</v>
      </c>
      <c r="E1417" s="786"/>
      <c r="F1417" s="786"/>
      <c r="G1417" s="786"/>
      <c r="L1417" s="127">
        <f>Price_List_BA!L67</f>
        <v>5.7114882506527402E-2</v>
      </c>
    </row>
    <row r="1418" spans="4:12" s="348" customFormat="1" ht="12.75" hidden="1" customHeight="1" outlineLevel="2" x14ac:dyDescent="0.2">
      <c r="D1418" s="785" t="str">
        <f>Price_List_BA!D68</f>
        <v>Senior Enrolled Nurse (ZM)</v>
      </c>
      <c r="E1418" s="786"/>
      <c r="F1418" s="786"/>
      <c r="G1418" s="786"/>
      <c r="L1418" s="127">
        <f>Price_List_BA!L68</f>
        <v>5.4313533507397704E-2</v>
      </c>
    </row>
    <row r="1419" spans="4:12" s="348" customFormat="1" ht="12.75" hidden="1" customHeight="1" outlineLevel="2" x14ac:dyDescent="0.2">
      <c r="D1419" s="785" t="str">
        <f>Price_List_BA!D69</f>
        <v>Senior Nursing Officer (ZM)</v>
      </c>
      <c r="E1419" s="786"/>
      <c r="F1419" s="786"/>
      <c r="G1419" s="786"/>
      <c r="L1419" s="127">
        <f>Price_List_BA!L69</f>
        <v>0.12206946257615311</v>
      </c>
    </row>
    <row r="1420" spans="4:12" s="348" customFormat="1" ht="12.75" hidden="1" customHeight="1" outlineLevel="2" x14ac:dyDescent="0.2">
      <c r="D1420" s="785" t="str">
        <f>Price_List_BA!D70</f>
        <v>Senior Radiation protection Officer (ZM)</v>
      </c>
      <c r="E1420" s="786"/>
      <c r="F1420" s="786"/>
      <c r="G1420" s="786"/>
      <c r="L1420" s="127">
        <f>Price_List_BA!L70</f>
        <v>0.12207093577748751</v>
      </c>
    </row>
    <row r="1421" spans="4:12" s="348" customFormat="1" hidden="1" outlineLevel="2" x14ac:dyDescent="0.2">
      <c r="D1421" s="785" t="str">
        <f>Price_List_BA!D71</f>
        <v>Senior Radiographer (ZM)</v>
      </c>
      <c r="E1421" s="786"/>
      <c r="F1421" s="786"/>
      <c r="G1421" s="786"/>
      <c r="L1421" s="127">
        <f>Price_List_BA!L71</f>
        <v>0.12207240897882186</v>
      </c>
    </row>
    <row r="1422" spans="4:12" s="348" customFormat="1" hidden="1" outlineLevel="2" x14ac:dyDescent="0.2">
      <c r="D1422" s="785" t="str">
        <f>Price_List_BA!D72</f>
        <v>Zambia Enrolled Nurse (ZEN) (ZM)</v>
      </c>
      <c r="E1422" s="786"/>
      <c r="F1422" s="786"/>
      <c r="G1422" s="786"/>
      <c r="L1422" s="127">
        <f>Price_List_BA!L72</f>
        <v>5.4309453872933025E-2</v>
      </c>
    </row>
    <row r="1423" spans="4:12" s="348" customFormat="1" hidden="1" outlineLevel="2" x14ac:dyDescent="0.2">
      <c r="D1423" s="785" t="str">
        <f>Price_List_BA!D73</f>
        <v>Personnel - Other Category 27</v>
      </c>
      <c r="E1423" s="786"/>
      <c r="F1423" s="786"/>
      <c r="G1423" s="786"/>
      <c r="L1423" s="127">
        <f>Price_List_BA!L73</f>
        <v>0</v>
      </c>
    </row>
    <row r="1424" spans="4:12" s="348" customFormat="1" hidden="1" outlineLevel="2" x14ac:dyDescent="0.2">
      <c r="D1424" s="785" t="str">
        <f>Price_List_BA!D74</f>
        <v>Personnel - Other Category 28</v>
      </c>
      <c r="E1424" s="786"/>
      <c r="F1424" s="786"/>
      <c r="G1424" s="786"/>
      <c r="L1424" s="127">
        <f>Price_List_BA!L74</f>
        <v>0</v>
      </c>
    </row>
    <row r="1425" spans="4:12" s="348" customFormat="1" hidden="1" outlineLevel="2" x14ac:dyDescent="0.2">
      <c r="D1425" s="785" t="str">
        <f>Price_List_BA!D75</f>
        <v>Personnel - Other Category 29</v>
      </c>
      <c r="E1425" s="786"/>
      <c r="F1425" s="786"/>
      <c r="G1425" s="786"/>
      <c r="L1425" s="127">
        <f>Price_List_BA!L75</f>
        <v>0</v>
      </c>
    </row>
    <row r="1426" spans="4:12" s="348" customFormat="1" hidden="1" outlineLevel="2" x14ac:dyDescent="0.2">
      <c r="D1426" s="785" t="str">
        <f>Price_List_BA!D76</f>
        <v>Personnel - Other Category 30</v>
      </c>
      <c r="E1426" s="786"/>
      <c r="F1426" s="786"/>
      <c r="G1426" s="786"/>
      <c r="L1426" s="127">
        <f>Price_List_BA!L76</f>
        <v>0</v>
      </c>
    </row>
    <row r="1427" spans="4:12" s="348" customFormat="1" ht="12.95" hidden="1" customHeight="1" outlineLevel="2" x14ac:dyDescent="0.2">
      <c r="D1427" s="785">
        <f>Price_List_BA!D77</f>
        <v>0</v>
      </c>
      <c r="E1427" s="786"/>
      <c r="F1427" s="786"/>
      <c r="G1427" s="786"/>
      <c r="L1427" s="127">
        <f>Price_List_BA!L77</f>
        <v>0</v>
      </c>
    </row>
    <row r="1428" spans="4:12" s="348" customFormat="1" hidden="1" outlineLevel="2" x14ac:dyDescent="0.2"/>
    <row r="1429" spans="4:12" s="348" customFormat="1" ht="25.5" hidden="1" outlineLevel="2" x14ac:dyDescent="0.2">
      <c r="D1429" s="667" t="s">
        <v>316</v>
      </c>
      <c r="J1429" s="671" t="s">
        <v>951</v>
      </c>
      <c r="L1429" s="312" t="str">
        <f>"Cost per Unit ("&amp;$I$1361&amp;"/Unit)"</f>
        <v>Cost per Unit (USD/Unit)</v>
      </c>
    </row>
    <row r="1430" spans="4:12" s="348" customFormat="1" ht="12.75" hidden="1" customHeight="1" outlineLevel="2" x14ac:dyDescent="0.2">
      <c r="D1430" s="785" t="str">
        <f>Price_List_BA!D210</f>
        <v>_Not Applicable</v>
      </c>
      <c r="E1430" s="786"/>
      <c r="F1430" s="786"/>
      <c r="G1430" s="786"/>
      <c r="J1430" s="668" t="str">
        <f>Price_List_BA!J210</f>
        <v>SU</v>
      </c>
      <c r="L1430" s="127">
        <f>Price_List_BA!L210</f>
        <v>0</v>
      </c>
    </row>
    <row r="1431" spans="4:12" s="348" customFormat="1" ht="12.75" hidden="1" customHeight="1" outlineLevel="2" x14ac:dyDescent="0.2">
      <c r="D1431" s="785" t="str">
        <f>Price_List_BA!D211</f>
        <v>10 ml syringes with long 27-gauge needle (UG)</v>
      </c>
      <c r="E1431" s="786"/>
      <c r="F1431" s="786"/>
      <c r="G1431" s="786"/>
      <c r="J1431" s="668" t="str">
        <f>Price_List_BA!J211</f>
        <v>each</v>
      </c>
      <c r="L1431" s="127">
        <f>Price_List_BA!L211</f>
        <v>0.18578</v>
      </c>
    </row>
    <row r="1432" spans="4:12" s="348" customFormat="1" ht="12.75" hidden="1" customHeight="1" outlineLevel="2" x14ac:dyDescent="0.2">
      <c r="D1432" s="785" t="str">
        <f>Price_List_BA!D212</f>
        <v>100% alcohol (UG)</v>
      </c>
      <c r="E1432" s="786"/>
      <c r="F1432" s="786"/>
      <c r="G1432" s="786"/>
      <c r="J1432" s="668" t="str">
        <f>Price_List_BA!J212</f>
        <v>mililiter</v>
      </c>
      <c r="L1432" s="127">
        <f>Price_List_BA!L212</f>
        <v>1.9224106655010398E-2</v>
      </c>
    </row>
    <row r="1433" spans="4:12" s="348" customFormat="1" ht="12.75" hidden="1" customHeight="1" outlineLevel="2" x14ac:dyDescent="0.2">
      <c r="D1433" s="785" t="str">
        <f>Price_List_BA!D213</f>
        <v>100% Ethanol (UG)</v>
      </c>
      <c r="E1433" s="786"/>
      <c r="F1433" s="786"/>
      <c r="G1433" s="786"/>
      <c r="J1433" s="668" t="str">
        <f>Price_List_BA!J213</f>
        <v>mililiter</v>
      </c>
      <c r="L1433" s="127">
        <f>Price_List_BA!L213</f>
        <v>1.9224106655010398E-2</v>
      </c>
    </row>
    <row r="1434" spans="4:12" s="348" customFormat="1" ht="12.75" hidden="1" customHeight="1" outlineLevel="2" x14ac:dyDescent="0.2">
      <c r="D1434" s="785" t="str">
        <f>Price_List_BA!D214</f>
        <v>5% acetic acid (UG)</v>
      </c>
      <c r="E1434" s="786"/>
      <c r="F1434" s="786"/>
      <c r="G1434" s="786"/>
      <c r="J1434" s="668" t="str">
        <f>Price_List_BA!J214</f>
        <v>mililiter</v>
      </c>
      <c r="L1434" s="127">
        <f>Price_List_BA!L214</f>
        <v>1.52988744399519E-2</v>
      </c>
    </row>
    <row r="1435" spans="4:12" s="348" customFormat="1" ht="12.75" hidden="1" customHeight="1" outlineLevel="2" x14ac:dyDescent="0.2">
      <c r="D1435" s="785" t="str">
        <f>Price_List_BA!D215</f>
        <v>Acetic acid (UG)</v>
      </c>
      <c r="E1435" s="786"/>
      <c r="F1435" s="786"/>
      <c r="G1435" s="786"/>
      <c r="J1435" s="668" t="str">
        <f>Price_List_BA!J215</f>
        <v>mililiter</v>
      </c>
      <c r="L1435" s="127">
        <f>Price_List_BA!L215</f>
        <v>1.47739525734892E-2</v>
      </c>
    </row>
    <row r="1436" spans="4:12" s="348" customFormat="1" ht="12.75" hidden="1" customHeight="1" outlineLevel="2" x14ac:dyDescent="0.2">
      <c r="D1436" s="785" t="str">
        <f>Price_List_BA!D216</f>
        <v>Acetic acid, 3–5% dilution (ZM)</v>
      </c>
      <c r="E1436" s="786"/>
      <c r="F1436" s="786"/>
      <c r="G1436" s="786"/>
      <c r="J1436" s="668" t="str">
        <f>Price_List_BA!J216</f>
        <v>centilitre</v>
      </c>
      <c r="L1436" s="127">
        <f>Price_List_BA!L216</f>
        <v>3.4000000000000002E-2</v>
      </c>
    </row>
    <row r="1437" spans="4:12" s="348" customFormat="1" ht="12.75" hidden="1" customHeight="1" outlineLevel="2" x14ac:dyDescent="0.2">
      <c r="D1437" s="785" t="str">
        <f>Price_List_BA!D217</f>
        <v>Acetic acid, 3–5% dilution (TZ)</v>
      </c>
      <c r="E1437" s="786"/>
      <c r="F1437" s="786"/>
      <c r="G1437" s="786"/>
      <c r="J1437" s="668" t="str">
        <f>Price_List_BA!J217</f>
        <v>centilitre</v>
      </c>
      <c r="L1437" s="127">
        <f>Price_List_BA!L217</f>
        <v>3.5000000000000003E-2</v>
      </c>
    </row>
    <row r="1438" spans="4:12" s="348" customFormat="1" ht="12.75" hidden="1" customHeight="1" outlineLevel="2" x14ac:dyDescent="0.2">
      <c r="D1438" s="785" t="str">
        <f>Price_List_BA!D218</f>
        <v>Alcohol, 60-90% isopropyl or ethyl (TZ)</v>
      </c>
      <c r="E1438" s="786"/>
      <c r="F1438" s="786"/>
      <c r="G1438" s="786"/>
      <c r="J1438" s="668" t="str">
        <f>Price_List_BA!J218</f>
        <v>centilitre</v>
      </c>
      <c r="L1438" s="127">
        <f>Price_List_BA!L218</f>
        <v>8.2500000000000004E-2</v>
      </c>
    </row>
    <row r="1439" spans="4:12" s="348" customFormat="1" ht="12.75" hidden="1" customHeight="1" outlineLevel="2" x14ac:dyDescent="0.2">
      <c r="D1439" s="785" t="str">
        <f>Price_List_BA!D219</f>
        <v>Alcohol, 60-90% isopropyl or ethyl 95% (ZM)</v>
      </c>
      <c r="E1439" s="786"/>
      <c r="F1439" s="786"/>
      <c r="G1439" s="786"/>
      <c r="J1439" s="668" t="str">
        <f>Price_List_BA!J219</f>
        <v>centilitre</v>
      </c>
      <c r="L1439" s="127">
        <f>Price_List_BA!L219</f>
        <v>4.4125300000000006E-2</v>
      </c>
    </row>
    <row r="1440" spans="4:12" s="348" customFormat="1" ht="12.75" hidden="1" customHeight="1" outlineLevel="2" x14ac:dyDescent="0.2">
      <c r="D1440" s="785" t="str">
        <f>Price_List_BA!D220</f>
        <v>Amitriptyline hydrochloride( 25mg) (ZM)</v>
      </c>
      <c r="E1440" s="786"/>
      <c r="F1440" s="786"/>
      <c r="G1440" s="786"/>
      <c r="J1440" s="668" t="str">
        <f>Price_List_BA!J220</f>
        <v>25 mg</v>
      </c>
      <c r="L1440" s="127">
        <f>Price_List_BA!L220</f>
        <v>7.3106999999999998E-3</v>
      </c>
    </row>
    <row r="1441" spans="4:12" s="348" customFormat="1" ht="12.75" hidden="1" customHeight="1" outlineLevel="2" x14ac:dyDescent="0.2">
      <c r="D1441" s="785" t="str">
        <f>Price_List_BA!D221</f>
        <v>Amitriptyline hydrochloride( 25mg) (TZ)</v>
      </c>
      <c r="E1441" s="786"/>
      <c r="F1441" s="786"/>
      <c r="G1441" s="786"/>
      <c r="J1441" s="668" t="str">
        <f>Price_List_BA!J221</f>
        <v>each</v>
      </c>
      <c r="L1441" s="127">
        <f>Price_List_BA!L221</f>
        <v>1.8749999999999999E-3</v>
      </c>
    </row>
    <row r="1442" spans="4:12" s="348" customFormat="1" ht="12.75" hidden="1" customHeight="1" outlineLevel="2" x14ac:dyDescent="0.2">
      <c r="D1442" s="785" t="str">
        <f>Price_List_BA!D222</f>
        <v>Anticeptic solution (UG)</v>
      </c>
      <c r="E1442" s="786"/>
      <c r="F1442" s="786"/>
      <c r="G1442" s="786"/>
      <c r="J1442" s="668" t="str">
        <f>Price_List_BA!J222</f>
        <v>mililiter</v>
      </c>
      <c r="L1442" s="127">
        <f>Price_List_BA!L222</f>
        <v>1.9869626497533474E-2</v>
      </c>
    </row>
    <row r="1443" spans="4:12" s="348" customFormat="1" ht="12.95" hidden="1" customHeight="1" outlineLevel="2" x14ac:dyDescent="0.2">
      <c r="D1443" s="785" t="str">
        <f>Price_List_BA!D223</f>
        <v>Arithromycin (250g) (ZM)</v>
      </c>
      <c r="E1443" s="786"/>
      <c r="F1443" s="786"/>
      <c r="G1443" s="786"/>
      <c r="J1443" s="668" t="str">
        <f>Price_List_BA!J223</f>
        <v>tablet</v>
      </c>
      <c r="L1443" s="127">
        <f>Price_List_BA!L223</f>
        <v>1.0514359999999998</v>
      </c>
    </row>
    <row r="1444" spans="4:12" s="348" customFormat="1" ht="12.95" hidden="1" customHeight="1" outlineLevel="2" x14ac:dyDescent="0.2">
      <c r="D1444" s="785" t="str">
        <f>Price_List_BA!D224</f>
        <v>Arithromycin (250g) (UG)</v>
      </c>
      <c r="E1444" s="786"/>
      <c r="F1444" s="786"/>
      <c r="G1444" s="786"/>
      <c r="J1444" s="668" t="str">
        <f>Price_List_BA!J224</f>
        <v>tablet</v>
      </c>
      <c r="L1444" s="127">
        <f>Price_List_BA!L224</f>
        <v>3.8652518850398859E-2</v>
      </c>
    </row>
    <row r="1445" spans="4:12" s="348" customFormat="1" ht="12.95" hidden="1" customHeight="1" outlineLevel="2" x14ac:dyDescent="0.2">
      <c r="D1445" s="785" t="str">
        <f>Price_List_BA!D225</f>
        <v>Arithromycin (5g) (UG)</v>
      </c>
      <c r="E1445" s="786"/>
      <c r="F1445" s="786"/>
      <c r="G1445" s="786"/>
      <c r="J1445" s="668" t="str">
        <f>Price_List_BA!J225</f>
        <v>tablet</v>
      </c>
      <c r="L1445" s="127">
        <f>Price_List_BA!L225</f>
        <v>0.77305037700797719</v>
      </c>
    </row>
    <row r="1446" spans="4:12" s="348" customFormat="1" ht="12.95" hidden="1" customHeight="1" outlineLevel="2" x14ac:dyDescent="0.2">
      <c r="D1446" s="785" t="str">
        <f>Price_List_BA!D226</f>
        <v>Atropine (ZM)</v>
      </c>
      <c r="E1446" s="786"/>
      <c r="F1446" s="786"/>
      <c r="G1446" s="786"/>
      <c r="J1446" s="668" t="str">
        <f>Price_List_BA!J226</f>
        <v>SU</v>
      </c>
      <c r="L1446" s="127">
        <f>Price_List_BA!L226</f>
        <v>0</v>
      </c>
    </row>
    <row r="1447" spans="4:12" s="348" customFormat="1" ht="12.95" hidden="1" customHeight="1" outlineLevel="2" x14ac:dyDescent="0.2">
      <c r="D1447" s="785" t="str">
        <f>Price_List_BA!D227</f>
        <v>Ball electrode (UG)</v>
      </c>
      <c r="E1447" s="786"/>
      <c r="F1447" s="786"/>
      <c r="G1447" s="786"/>
      <c r="J1447" s="668" t="str">
        <f>Price_List_BA!J227</f>
        <v>each</v>
      </c>
      <c r="L1447" s="127">
        <f>Price_List_BA!L227</f>
        <v>9</v>
      </c>
    </row>
    <row r="1448" spans="4:12" s="348" customFormat="1" ht="12.95" hidden="1" customHeight="1" outlineLevel="2" x14ac:dyDescent="0.2">
      <c r="D1448" s="785" t="str">
        <f>Price_List_BA!D228</f>
        <v>Bed linen sheet (100 uses) (ZM)</v>
      </c>
      <c r="E1448" s="786"/>
      <c r="F1448" s="786"/>
      <c r="G1448" s="786"/>
      <c r="J1448" s="668" t="str">
        <f>Price_List_BA!J228</f>
        <v>sheet use</v>
      </c>
      <c r="L1448" s="127">
        <f>Price_List_BA!L228</f>
        <v>4.3299999999999998E-2</v>
      </c>
    </row>
    <row r="1449" spans="4:12" s="348" customFormat="1" ht="12.95" hidden="1" customHeight="1" outlineLevel="2" x14ac:dyDescent="0.2">
      <c r="D1449" s="785" t="str">
        <f>Price_List_BA!D229</f>
        <v>Bed linen sheet (TZ)</v>
      </c>
      <c r="E1449" s="786"/>
      <c r="F1449" s="786"/>
      <c r="G1449" s="786"/>
      <c r="J1449" s="668" t="str">
        <f>Price_List_BA!J229</f>
        <v>1 use</v>
      </c>
      <c r="L1449" s="127">
        <f>Price_List_BA!L229</f>
        <v>6.25E-2</v>
      </c>
    </row>
    <row r="1450" spans="4:12" s="348" customFormat="1" ht="12.95" hidden="1" customHeight="1" outlineLevel="2" x14ac:dyDescent="0.2">
      <c r="D1450" s="785" t="str">
        <f>Price_List_BA!D230</f>
        <v>Bin Liner (ZM)</v>
      </c>
      <c r="E1450" s="786"/>
      <c r="F1450" s="786"/>
      <c r="G1450" s="786"/>
      <c r="J1450" s="668" t="str">
        <f>Price_List_BA!J230</f>
        <v>liner</v>
      </c>
      <c r="L1450" s="127">
        <f>Price_List_BA!L230</f>
        <v>0.234987</v>
      </c>
    </row>
    <row r="1451" spans="4:12" s="348" customFormat="1" ht="12.95" hidden="1" customHeight="1" outlineLevel="2" x14ac:dyDescent="0.2">
      <c r="D1451" s="785" t="str">
        <f>Price_List_BA!D231</f>
        <v>Bleach (JIK)</v>
      </c>
      <c r="E1451" s="786"/>
      <c r="F1451" s="786"/>
      <c r="G1451" s="786"/>
      <c r="J1451" s="668" t="str">
        <f>Price_List_BA!J231</f>
        <v>mililiter</v>
      </c>
      <c r="L1451" s="127">
        <f>Price_List_BA!L231</f>
        <v>2.2666666666666664E-3</v>
      </c>
    </row>
    <row r="1452" spans="4:12" s="348" customFormat="1" ht="12.95" hidden="1" customHeight="1" outlineLevel="2" x14ac:dyDescent="0.2">
      <c r="D1452" s="785" t="str">
        <f>Price_List_BA!D232</f>
        <v>Bleach (UG)</v>
      </c>
      <c r="E1452" s="786"/>
      <c r="F1452" s="786"/>
      <c r="G1452" s="786"/>
      <c r="J1452" s="668" t="str">
        <f>Price_List_BA!J232</f>
        <v>mililiter</v>
      </c>
      <c r="L1452" s="127">
        <f>Price_List_BA!L232</f>
        <v>1.5735985138236267E-3</v>
      </c>
    </row>
    <row r="1453" spans="4:12" s="348" customFormat="1" ht="12.95" hidden="1" customHeight="1" outlineLevel="2" x14ac:dyDescent="0.2">
      <c r="D1453" s="785" t="str">
        <f>Price_List_BA!D233</f>
        <v>careHPV DCM tube (UG)</v>
      </c>
      <c r="E1453" s="786"/>
      <c r="F1453" s="786"/>
      <c r="G1453" s="786"/>
      <c r="J1453" s="668" t="str">
        <f>Price_List_BA!J233</f>
        <v>tube</v>
      </c>
      <c r="L1453" s="127">
        <f>Price_List_BA!L233</f>
        <v>0.22799999999999998</v>
      </c>
    </row>
    <row r="1454" spans="4:12" s="348" customFormat="1" ht="12.95" hidden="1" customHeight="1" outlineLevel="2" x14ac:dyDescent="0.2">
      <c r="D1454" s="785" t="str">
        <f>Price_List_BA!D234</f>
        <v>Catheter -Urine (TZ)</v>
      </c>
      <c r="E1454" s="786"/>
      <c r="F1454" s="786"/>
      <c r="G1454" s="786"/>
      <c r="J1454" s="668" t="str">
        <f>Price_List_BA!J234</f>
        <v>1 catheter set</v>
      </c>
      <c r="L1454" s="127">
        <f>Price_List_BA!L234</f>
        <v>0.875</v>
      </c>
    </row>
    <row r="1455" spans="4:12" s="348" customFormat="1" ht="12.95" hidden="1" customHeight="1" outlineLevel="2" x14ac:dyDescent="0.2">
      <c r="D1455" s="785" t="str">
        <f>Price_List_BA!D235</f>
        <v>Cervical brush (UG)</v>
      </c>
      <c r="E1455" s="786"/>
      <c r="F1455" s="786"/>
      <c r="G1455" s="786"/>
      <c r="J1455" s="668" t="str">
        <f>Price_List_BA!J235</f>
        <v>brush</v>
      </c>
      <c r="L1455" s="127">
        <f>Price_List_BA!L235</f>
        <v>1.1399999999999999E-2</v>
      </c>
    </row>
    <row r="1456" spans="4:12" s="348" customFormat="1" ht="12.95" hidden="1" customHeight="1" outlineLevel="2" x14ac:dyDescent="0.2">
      <c r="D1456" s="785" t="str">
        <f>Price_List_BA!D236</f>
        <v>Chlorine 0.5% (Jik-diluted) (ZM)</v>
      </c>
      <c r="E1456" s="786"/>
      <c r="F1456" s="786"/>
      <c r="G1456" s="786"/>
      <c r="J1456" s="668" t="str">
        <f>Price_List_BA!J236</f>
        <v>mililiter</v>
      </c>
      <c r="L1456" s="127">
        <f>Price_List_BA!L236</f>
        <v>4.5999999999999999E-3</v>
      </c>
    </row>
    <row r="1457" spans="4:12" s="348" customFormat="1" ht="12.75" hidden="1" customHeight="1" outlineLevel="2" x14ac:dyDescent="0.2">
      <c r="D1457" s="785" t="str">
        <f>Price_List_BA!D237</f>
        <v>Chlorine 0.5% (Jik-diluted)  (TZ)</v>
      </c>
      <c r="E1457" s="786"/>
      <c r="F1457" s="786"/>
      <c r="G1457" s="786"/>
      <c r="J1457" s="668" t="str">
        <f>Price_List_BA!J237</f>
        <v>centilitre</v>
      </c>
      <c r="L1457" s="127">
        <f>Price_List_BA!L237</f>
        <v>1.375E-2</v>
      </c>
    </row>
    <row r="1458" spans="4:12" s="348" customFormat="1" ht="12.75" hidden="1" customHeight="1" outlineLevel="2" x14ac:dyDescent="0.2">
      <c r="D1458" s="785" t="str">
        <f>Price_List_BA!D238</f>
        <v>Cidex (2-4% glutaraldehyde) (ZM)</v>
      </c>
      <c r="E1458" s="786"/>
      <c r="F1458" s="786"/>
      <c r="G1458" s="786"/>
      <c r="J1458" s="668" t="str">
        <f>Price_List_BA!J238</f>
        <v>mililiter</v>
      </c>
      <c r="L1458" s="127">
        <f>Price_List_BA!L238</f>
        <v>1.9321200000000001E-3</v>
      </c>
    </row>
    <row r="1459" spans="4:12" s="348" customFormat="1" ht="12.75" hidden="1" customHeight="1" outlineLevel="2" x14ac:dyDescent="0.2">
      <c r="D1459" s="785" t="str">
        <f>Price_List_BA!D239</f>
        <v>Cidex (2-4% glutaraldehyde) (TZ)</v>
      </c>
      <c r="E1459" s="786"/>
      <c r="F1459" s="786"/>
      <c r="G1459" s="786"/>
      <c r="J1459" s="668" t="str">
        <f>Price_List_BA!J239</f>
        <v>centilitre</v>
      </c>
      <c r="L1459" s="127">
        <f>Price_List_BA!L239</f>
        <v>0.140625</v>
      </c>
    </row>
    <row r="1460" spans="4:12" s="348" customFormat="1" ht="12.75" hidden="1" customHeight="1" outlineLevel="2" x14ac:dyDescent="0.2">
      <c r="D1460" s="785" t="str">
        <f>Price_List_BA!D240</f>
        <v>Ciprofloxacin (500mg) (UG)</v>
      </c>
      <c r="E1460" s="786"/>
      <c r="F1460" s="786"/>
      <c r="G1460" s="786"/>
      <c r="J1460" s="668" t="str">
        <f>Price_List_BA!J240</f>
        <v>tablet</v>
      </c>
      <c r="L1460" s="127">
        <f>Price_List_BA!L240</f>
        <v>3.4291683968965141E-2</v>
      </c>
    </row>
    <row r="1461" spans="4:12" s="348" customFormat="1" ht="12.75" hidden="1" customHeight="1" outlineLevel="2" x14ac:dyDescent="0.2">
      <c r="D1461" s="785" t="str">
        <f>Price_List_BA!D241</f>
        <v>Ciprofloxacin (500mg) 250MG (ZM)</v>
      </c>
      <c r="E1461" s="786"/>
      <c r="F1461" s="786"/>
      <c r="G1461" s="786"/>
      <c r="J1461" s="668" t="str">
        <f>Price_List_BA!J241</f>
        <v>tablet</v>
      </c>
      <c r="L1461" s="127">
        <f>Price_List_BA!L241</f>
        <v>4.9088000000000005E-3</v>
      </c>
    </row>
    <row r="1462" spans="4:12" s="348" customFormat="1" ht="12.75" hidden="1" customHeight="1" outlineLevel="2" x14ac:dyDescent="0.2">
      <c r="D1462" s="785" t="str">
        <f>Price_List_BA!D242</f>
        <v>Cisplatin (50 mg) (ZM)</v>
      </c>
      <c r="E1462" s="786"/>
      <c r="F1462" s="786"/>
      <c r="G1462" s="786"/>
      <c r="J1462" s="668" t="str">
        <f>Price_List_BA!J242</f>
        <v>vial</v>
      </c>
      <c r="L1462" s="127">
        <f>Price_List_BA!L242</f>
        <v>14</v>
      </c>
    </row>
    <row r="1463" spans="4:12" s="348" customFormat="1" ht="12.75" hidden="1" customHeight="1" outlineLevel="2" x14ac:dyDescent="0.2">
      <c r="D1463" s="785" t="str">
        <f>Price_List_BA!D243</f>
        <v>Cisplatin (50 mg) (TZ)</v>
      </c>
      <c r="E1463" s="786"/>
      <c r="F1463" s="786"/>
      <c r="G1463" s="786"/>
      <c r="J1463" s="668" t="str">
        <f>Price_List_BA!J243</f>
        <v>50 mg vial</v>
      </c>
      <c r="L1463" s="127">
        <f>Price_List_BA!L243</f>
        <v>15.63</v>
      </c>
    </row>
    <row r="1464" spans="4:12" s="348" customFormat="1" ht="12.75" hidden="1" customHeight="1" outlineLevel="2" x14ac:dyDescent="0.2">
      <c r="D1464" s="785" t="str">
        <f>Price_List_BA!D244</f>
        <v>Citokit (UG)</v>
      </c>
      <c r="E1464" s="786"/>
      <c r="F1464" s="786"/>
      <c r="G1464" s="786"/>
      <c r="J1464" s="668" t="str">
        <f>Price_List_BA!J244</f>
        <v>kit</v>
      </c>
      <c r="L1464" s="127">
        <f>Price_List_BA!L244</f>
        <v>2.0981313517648346</v>
      </c>
    </row>
    <row r="1465" spans="4:12" s="348" customFormat="1" ht="12.75" hidden="1" customHeight="1" outlineLevel="2" x14ac:dyDescent="0.2">
      <c r="D1465" s="785" t="str">
        <f>Price_List_BA!D245</f>
        <v>Colostomy Bag (TZ)</v>
      </c>
      <c r="E1465" s="786"/>
      <c r="F1465" s="786"/>
      <c r="G1465" s="786"/>
      <c r="J1465" s="668" t="str">
        <f>Price_List_BA!J245</f>
        <v>each</v>
      </c>
      <c r="L1465" s="127">
        <f>Price_List_BA!L245</f>
        <v>2.5</v>
      </c>
    </row>
    <row r="1466" spans="4:12" s="348" customFormat="1" ht="12.75" hidden="1" customHeight="1" outlineLevel="2" x14ac:dyDescent="0.2">
      <c r="D1466" s="785" t="str">
        <f>Price_List_BA!D246</f>
        <v>Condom  (TZ)</v>
      </c>
      <c r="E1466" s="786"/>
      <c r="F1466" s="786"/>
      <c r="G1466" s="786"/>
      <c r="J1466" s="668" t="str">
        <f>Price_List_BA!J246</f>
        <v>each</v>
      </c>
      <c r="L1466" s="127">
        <f>Price_List_BA!L246</f>
        <v>0.3125</v>
      </c>
    </row>
    <row r="1467" spans="4:12" s="348" customFormat="1" ht="12.75" hidden="1" customHeight="1" outlineLevel="2" x14ac:dyDescent="0.2">
      <c r="D1467" s="785" t="str">
        <f>Price_List_BA!D247</f>
        <v>Condom MALE (ZM)</v>
      </c>
      <c r="E1467" s="786"/>
      <c r="F1467" s="786"/>
      <c r="G1467" s="786"/>
      <c r="J1467" s="668" t="str">
        <f>Price_List_BA!J247</f>
        <v>each</v>
      </c>
      <c r="L1467" s="127">
        <f>Price_List_BA!L247</f>
        <v>1.2946041666666666E-2</v>
      </c>
    </row>
    <row r="1468" spans="4:12" s="348" customFormat="1" ht="12.75" hidden="1" customHeight="1" outlineLevel="2" x14ac:dyDescent="0.2">
      <c r="D1468" s="785" t="str">
        <f>Price_List_BA!D248</f>
        <v>Cotton swab (ZM)</v>
      </c>
      <c r="E1468" s="786"/>
      <c r="F1468" s="786"/>
      <c r="G1468" s="786"/>
      <c r="J1468" s="668" t="str">
        <f>Price_List_BA!J248</f>
        <v>swab</v>
      </c>
      <c r="L1468" s="127">
        <f>Price_List_BA!L248</f>
        <v>1.0200000000000001E-2</v>
      </c>
    </row>
    <row r="1469" spans="4:12" s="348" customFormat="1" ht="12.75" hidden="1" customHeight="1" outlineLevel="2" x14ac:dyDescent="0.2">
      <c r="D1469" s="785" t="str">
        <f>Price_List_BA!D249</f>
        <v>Cotton swab (TZ)</v>
      </c>
      <c r="E1469" s="786"/>
      <c r="F1469" s="786"/>
      <c r="G1469" s="786"/>
      <c r="J1469" s="668" t="str">
        <f>Price_List_BA!J249</f>
        <v>each</v>
      </c>
      <c r="L1469" s="127">
        <f>Price_List_BA!L249</f>
        <v>2.75E-2</v>
      </c>
    </row>
    <row r="1470" spans="4:12" s="348" customFormat="1" ht="12.75" hidden="1" customHeight="1" outlineLevel="2" x14ac:dyDescent="0.2">
      <c r="D1470" s="785" t="str">
        <f>Price_List_BA!D250</f>
        <v>Cotton swabs (UG)</v>
      </c>
      <c r="E1470" s="786"/>
      <c r="F1470" s="786"/>
      <c r="G1470" s="786"/>
      <c r="J1470" s="668" t="str">
        <f>Price_List_BA!J250</f>
        <v>swab</v>
      </c>
      <c r="L1470" s="127">
        <f>Price_List_BA!L250</f>
        <v>6.9238334608239596E-3</v>
      </c>
    </row>
    <row r="1471" spans="4:12" s="348" customFormat="1" ht="12.75" hidden="1" customHeight="1" outlineLevel="2" x14ac:dyDescent="0.2">
      <c r="D1471" s="785" t="str">
        <f>Price_List_BA!D251</f>
        <v>Cotton Wool, roll, non-sterile (ZM)</v>
      </c>
      <c r="E1471" s="786"/>
      <c r="F1471" s="786"/>
      <c r="G1471" s="786"/>
      <c r="J1471" s="668" t="str">
        <f>Price_List_BA!J251</f>
        <v>1/100 roll</v>
      </c>
      <c r="L1471" s="127">
        <f>Price_List_BA!L251</f>
        <v>7.1200000000000005E-3</v>
      </c>
    </row>
    <row r="1472" spans="4:12" s="348" customFormat="1" ht="12.75" hidden="1" customHeight="1" outlineLevel="2" x14ac:dyDescent="0.2">
      <c r="D1472" s="785" t="str">
        <f>Price_List_BA!D252</f>
        <v>Cotton Wool, roll, non-sterile (TZ)</v>
      </c>
      <c r="E1472" s="786"/>
      <c r="F1472" s="786"/>
      <c r="G1472" s="786"/>
      <c r="J1472" s="668" t="str">
        <f>Price_List_BA!J252</f>
        <v>1 gram</v>
      </c>
      <c r="L1472" s="127">
        <f>Price_List_BA!L252</f>
        <v>3.0000000000000001E-3</v>
      </c>
    </row>
    <row r="1473" spans="4:12" s="348" customFormat="1" ht="12.75" hidden="1" customHeight="1" outlineLevel="2" x14ac:dyDescent="0.2">
      <c r="D1473" s="785" t="str">
        <f>Price_List_BA!D253</f>
        <v xml:space="preserve">Dexamethasone (ZM) </v>
      </c>
      <c r="E1473" s="786"/>
      <c r="F1473" s="786"/>
      <c r="G1473" s="786"/>
      <c r="J1473" s="668" t="str">
        <f>Price_List_BA!J253</f>
        <v>4mg</v>
      </c>
      <c r="L1473" s="127">
        <f>Price_List_BA!L253</f>
        <v>0.25</v>
      </c>
    </row>
    <row r="1474" spans="4:12" s="348" customFormat="1" ht="12.75" hidden="1" customHeight="1" outlineLevel="2" x14ac:dyDescent="0.2">
      <c r="D1474" s="785" t="str">
        <f>Price_List_BA!D254</f>
        <v>Diclofenac (50mg) (ZM)</v>
      </c>
      <c r="E1474" s="786"/>
      <c r="F1474" s="786"/>
      <c r="G1474" s="786"/>
      <c r="J1474" s="668" t="str">
        <f>Price_List_BA!J254</f>
        <v>tablet</v>
      </c>
      <c r="L1474" s="127">
        <f>Price_List_BA!L254</f>
        <v>3.3939999999999999E-3</v>
      </c>
    </row>
    <row r="1475" spans="4:12" s="348" customFormat="1" ht="12.75" hidden="1" customHeight="1" outlineLevel="2" x14ac:dyDescent="0.2">
      <c r="D1475" s="785" t="str">
        <f>Price_List_BA!D255</f>
        <v>Diclofenac (50mg) (TZ)</v>
      </c>
      <c r="E1475" s="786"/>
      <c r="F1475" s="786"/>
      <c r="G1475" s="786"/>
      <c r="J1475" s="668" t="str">
        <f>Price_List_BA!J255</f>
        <v>tablet</v>
      </c>
      <c r="L1475" s="127">
        <f>Price_List_BA!L255</f>
        <v>1.5625</v>
      </c>
    </row>
    <row r="1476" spans="4:12" s="348" customFormat="1" ht="12.75" hidden="1" customHeight="1" outlineLevel="2" x14ac:dyDescent="0.2">
      <c r="D1476" s="785" t="str">
        <f>Price_List_BA!D256</f>
        <v>Distilled water (ZM)</v>
      </c>
      <c r="E1476" s="786"/>
      <c r="F1476" s="786"/>
      <c r="G1476" s="786"/>
      <c r="J1476" s="668" t="str">
        <f>Price_List_BA!J256</f>
        <v>mililiter</v>
      </c>
      <c r="L1476" s="127">
        <f>Price_List_BA!L256</f>
        <v>2.3199999999999997E-4</v>
      </c>
    </row>
    <row r="1477" spans="4:12" s="348" customFormat="1" ht="12.75" hidden="1" customHeight="1" outlineLevel="2" x14ac:dyDescent="0.2">
      <c r="D1477" s="785" t="str">
        <f>Price_List_BA!D257</f>
        <v>Distilled water (UG)</v>
      </c>
      <c r="E1477" s="786"/>
      <c r="F1477" s="786"/>
      <c r="G1477" s="786"/>
      <c r="J1477" s="668" t="str">
        <f>Price_List_BA!J257</f>
        <v>mililiter</v>
      </c>
      <c r="L1477" s="127">
        <f>Price_List_BA!L257</f>
        <v>2.3680472079554149E-4</v>
      </c>
    </row>
    <row r="1478" spans="4:12" s="348" customFormat="1" ht="12.75" hidden="1" customHeight="1" outlineLevel="2" x14ac:dyDescent="0.2">
      <c r="D1478" s="785" t="str">
        <f>Price_List_BA!D258</f>
        <v>Dulcolax (10mg) (ZM)</v>
      </c>
      <c r="E1478" s="786"/>
      <c r="F1478" s="786"/>
      <c r="G1478" s="786"/>
      <c r="J1478" s="668" t="str">
        <f>Price_List_BA!J258</f>
        <v>tablet</v>
      </c>
      <c r="L1478" s="127">
        <f>Price_List_BA!L258</f>
        <v>0.1</v>
      </c>
    </row>
    <row r="1479" spans="4:12" s="348" customFormat="1" ht="12.75" hidden="1" customHeight="1" outlineLevel="2" x14ac:dyDescent="0.2">
      <c r="D1479" s="785" t="str">
        <f>Price_List_BA!D259</f>
        <v>Dulcolax (10mg) (TZ)</v>
      </c>
      <c r="E1479" s="786"/>
      <c r="F1479" s="786"/>
      <c r="G1479" s="786"/>
      <c r="J1479" s="668" t="str">
        <f>Price_List_BA!J259</f>
        <v>tablet</v>
      </c>
      <c r="L1479" s="127">
        <f>Price_List_BA!L259</f>
        <v>0.625</v>
      </c>
    </row>
    <row r="1480" spans="4:12" s="348" customFormat="1" ht="12.75" hidden="1" customHeight="1" outlineLevel="2" x14ac:dyDescent="0.2">
      <c r="D1480" s="785" t="str">
        <f>Price_List_BA!D260</f>
        <v>Emend (ZM)</v>
      </c>
      <c r="E1480" s="786"/>
      <c r="F1480" s="786"/>
      <c r="G1480" s="786"/>
      <c r="J1480" s="668" t="str">
        <f>Price_List_BA!J260</f>
        <v>SU</v>
      </c>
      <c r="L1480" s="127">
        <f>Price_List_BA!L260</f>
        <v>0</v>
      </c>
    </row>
    <row r="1481" spans="4:12" s="348" customFormat="1" ht="12.75" hidden="1" customHeight="1" outlineLevel="2" x14ac:dyDescent="0.2">
      <c r="D1481" s="785" t="str">
        <f>Price_List_BA!D261</f>
        <v>Formalin (UG)</v>
      </c>
      <c r="E1481" s="786"/>
      <c r="F1481" s="786"/>
      <c r="G1481" s="786"/>
      <c r="J1481" s="668" t="str">
        <f>Price_List_BA!J261</f>
        <v>mililiter</v>
      </c>
      <c r="L1481" s="127">
        <f>Price_List_BA!L261</f>
        <v>6.5566604742651096E-3</v>
      </c>
    </row>
    <row r="1482" spans="4:12" s="348" customFormat="1" ht="12.75" hidden="1" customHeight="1" outlineLevel="2" x14ac:dyDescent="0.2">
      <c r="D1482" s="785" t="str">
        <f>Price_List_BA!D262</f>
        <v>Formalin AR 40% (ZM)</v>
      </c>
      <c r="E1482" s="786"/>
      <c r="F1482" s="786"/>
      <c r="G1482" s="786"/>
      <c r="J1482" s="668" t="str">
        <f>Price_List_BA!J262</f>
        <v>mililiter</v>
      </c>
      <c r="L1482" s="127">
        <f>Price_List_BA!L262</f>
        <v>0.34903395999999998</v>
      </c>
    </row>
    <row r="1483" spans="4:12" s="348" customFormat="1" ht="12.75" hidden="1" customHeight="1" outlineLevel="2" x14ac:dyDescent="0.2">
      <c r="D1483" s="785" t="str">
        <f>Price_List_BA!D263</f>
        <v>Formalin AR 40% (TZ)</v>
      </c>
      <c r="E1483" s="786"/>
      <c r="F1483" s="786"/>
      <c r="G1483" s="786"/>
      <c r="J1483" s="668" t="str">
        <f>Price_List_BA!J263</f>
        <v>centilitre</v>
      </c>
      <c r="L1483" s="127">
        <f>Price_List_BA!L263</f>
        <v>0.03</v>
      </c>
    </row>
    <row r="1484" spans="4:12" s="348" customFormat="1" ht="12.75" hidden="1" customHeight="1" outlineLevel="2" x14ac:dyDescent="0.2">
      <c r="D1484" s="785" t="str">
        <f>Price_List_BA!D264</f>
        <v>Frusamide (ZM)</v>
      </c>
      <c r="E1484" s="786"/>
      <c r="F1484" s="786"/>
      <c r="G1484" s="786"/>
      <c r="J1484" s="668" t="str">
        <f>Price_List_BA!J264</f>
        <v>20mg</v>
      </c>
      <c r="L1484" s="127">
        <f>Price_List_BA!L264</f>
        <v>0.5</v>
      </c>
    </row>
    <row r="1485" spans="4:12" s="348" customFormat="1" ht="12.75" hidden="1" customHeight="1" outlineLevel="2" x14ac:dyDescent="0.2">
      <c r="D1485" s="785" t="str">
        <f>Price_List_BA!D265</f>
        <v>Gas - N2O (UG)</v>
      </c>
      <c r="E1485" s="786"/>
      <c r="F1485" s="786"/>
      <c r="G1485" s="786"/>
      <c r="J1485" s="668" t="str">
        <f>Price_List_BA!J265</f>
        <v>litre</v>
      </c>
      <c r="L1485" s="127">
        <f>Price_List_BA!L265</f>
        <v>0.21116458854315942</v>
      </c>
    </row>
    <row r="1486" spans="4:12" s="348" customFormat="1" ht="12.75" hidden="1" customHeight="1" outlineLevel="2" x14ac:dyDescent="0.2">
      <c r="D1486" s="785" t="str">
        <f>Price_List_BA!D266</f>
        <v>Gas Cylinder (Nitrous Oxide) 72 kg. (ZM)</v>
      </c>
      <c r="E1486" s="786"/>
      <c r="F1486" s="786"/>
      <c r="G1486" s="786"/>
      <c r="J1486" s="668" t="str">
        <f>Price_List_BA!J266</f>
        <v>application</v>
      </c>
      <c r="L1486" s="127">
        <f>Price_List_BA!L266</f>
        <v>37.333333333333336</v>
      </c>
    </row>
    <row r="1487" spans="4:12" s="348" customFormat="1" ht="12.75" hidden="1" customHeight="1" outlineLevel="2" x14ac:dyDescent="0.2">
      <c r="D1487" s="785" t="str">
        <f>Price_List_BA!D267</f>
        <v>Gas Cylinder (TZ)</v>
      </c>
      <c r="E1487" s="786"/>
      <c r="F1487" s="786"/>
      <c r="G1487" s="786"/>
      <c r="J1487" s="668" t="str">
        <f>Price_List_BA!J267</f>
        <v>1/15th of a cylinder</v>
      </c>
      <c r="L1487" s="127">
        <f>Price_List_BA!L267</f>
        <v>1.6666666666666667</v>
      </c>
    </row>
    <row r="1488" spans="4:12" s="348" customFormat="1" ht="12.75" hidden="1" customHeight="1" outlineLevel="2" x14ac:dyDescent="0.2">
      <c r="D1488" s="785" t="str">
        <f>Price_List_BA!D268</f>
        <v>Gauze (UG)</v>
      </c>
      <c r="E1488" s="786"/>
      <c r="F1488" s="786"/>
      <c r="G1488" s="786"/>
      <c r="J1488" s="668" t="str">
        <f>Price_List_BA!J268</f>
        <v>piece</v>
      </c>
      <c r="L1488" s="127">
        <f>Price_List_BA!L268</f>
        <v>1.2239099551961501E-2</v>
      </c>
    </row>
    <row r="1489" spans="4:12" s="348" customFormat="1" ht="12.75" hidden="1" customHeight="1" outlineLevel="2" x14ac:dyDescent="0.2">
      <c r="D1489" s="785" t="str">
        <f>Price_List_BA!D269</f>
        <v>Gauze hospital quality 10x4 cm (TZ)</v>
      </c>
      <c r="E1489" s="786"/>
      <c r="F1489" s="786"/>
      <c r="G1489" s="786"/>
      <c r="J1489" s="668" t="str">
        <f>Price_List_BA!J269</f>
        <v>each</v>
      </c>
      <c r="L1489" s="127">
        <f>Price_List_BA!L269</f>
        <v>0.3125</v>
      </c>
    </row>
    <row r="1490" spans="4:12" s="348" customFormat="1" ht="12.75" hidden="1" customHeight="1" outlineLevel="2" x14ac:dyDescent="0.2">
      <c r="D1490" s="785" t="str">
        <f>Price_List_BA!D270</f>
        <v>Gauze, Non-Sterile (ZM)</v>
      </c>
      <c r="E1490" s="786"/>
      <c r="F1490" s="786"/>
      <c r="G1490" s="786"/>
      <c r="J1490" s="668" t="str">
        <f>Price_List_BA!J270</f>
        <v>1/2 roll</v>
      </c>
      <c r="L1490" s="127">
        <f>Price_List_BA!L270</f>
        <v>6.7035000000000003E-3</v>
      </c>
    </row>
    <row r="1491" spans="4:12" s="348" customFormat="1" ht="12.75" hidden="1" customHeight="1" outlineLevel="2" x14ac:dyDescent="0.2">
      <c r="D1491" s="785" t="str">
        <f>Price_List_BA!D271</f>
        <v>Gauze, Non-Sterile (TZ)</v>
      </c>
      <c r="E1491" s="786"/>
      <c r="F1491" s="786"/>
      <c r="G1491" s="786"/>
      <c r="J1491" s="668" t="str">
        <f>Price_List_BA!J271</f>
        <v>1/100 of roll</v>
      </c>
      <c r="L1491" s="127">
        <f>Price_List_BA!L271</f>
        <v>0.125</v>
      </c>
    </row>
    <row r="1492" spans="4:12" s="348" customFormat="1" ht="12.75" hidden="1" customHeight="1" outlineLevel="2" x14ac:dyDescent="0.2">
      <c r="D1492" s="785" t="str">
        <f>Price_List_BA!D272</f>
        <v>Gauze, Sterile (ZM)</v>
      </c>
      <c r="E1492" s="786"/>
      <c r="F1492" s="786"/>
      <c r="G1492" s="786"/>
      <c r="J1492" s="668" t="str">
        <f>Price_List_BA!J272</f>
        <v>roll</v>
      </c>
      <c r="L1492" s="127">
        <f>Price_List_BA!L272</f>
        <v>4.7962999999999999E-2</v>
      </c>
    </row>
    <row r="1493" spans="4:12" s="348" customFormat="1" ht="12.75" hidden="1" customHeight="1" outlineLevel="2" x14ac:dyDescent="0.2">
      <c r="D1493" s="785" t="str">
        <f>Price_List_BA!D273</f>
        <v>Gauze, Sterile (TZ)</v>
      </c>
      <c r="E1493" s="786"/>
      <c r="F1493" s="786"/>
      <c r="G1493" s="786"/>
      <c r="J1493" s="668" t="str">
        <f>Price_List_BA!J273</f>
        <v>1/100 of roll</v>
      </c>
      <c r="L1493" s="127">
        <f>Price_List_BA!L273</f>
        <v>0.125</v>
      </c>
    </row>
    <row r="1494" spans="4:12" s="348" customFormat="1" ht="12.75" hidden="1" customHeight="1" outlineLevel="2" x14ac:dyDescent="0.2">
      <c r="D1494" s="785" t="str">
        <f>Price_List_BA!D274</f>
        <v>Gloves (UG)</v>
      </c>
      <c r="E1494" s="786"/>
      <c r="F1494" s="786"/>
      <c r="G1494" s="786"/>
      <c r="J1494" s="668" t="str">
        <f>Price_List_BA!J274</f>
        <v>pair</v>
      </c>
      <c r="L1494" s="127">
        <f>Price_List_BA!L274</f>
        <v>0.10490656758824179</v>
      </c>
    </row>
    <row r="1495" spans="4:12" s="348" customFormat="1" ht="12.75" hidden="1" customHeight="1" outlineLevel="2" x14ac:dyDescent="0.2">
      <c r="D1495" s="785" t="str">
        <f>Price_List_BA!D275</f>
        <v>Gloves, Non-Sterile, Examination, latex, assorted sizes, disp. (ZM)</v>
      </c>
      <c r="E1495" s="786"/>
      <c r="F1495" s="786"/>
      <c r="G1495" s="786"/>
      <c r="J1495" s="668" t="str">
        <f>Price_List_BA!J275</f>
        <v>each</v>
      </c>
      <c r="L1495" s="127">
        <f>Price_List_BA!L275</f>
        <v>7.2000000000000008E-2</v>
      </c>
    </row>
    <row r="1496" spans="4:12" s="348" customFormat="1" ht="12.75" hidden="1" customHeight="1" outlineLevel="2" x14ac:dyDescent="0.2">
      <c r="D1496" s="785" t="str">
        <f>Price_List_BA!D276</f>
        <v>Gloves, Non-Sterile, Examination, latex, medium, disp. (TZ)</v>
      </c>
      <c r="E1496" s="786"/>
      <c r="F1496" s="786"/>
      <c r="G1496" s="786"/>
      <c r="J1496" s="668" t="str">
        <f>Price_List_BA!J276</f>
        <v>each</v>
      </c>
      <c r="L1496" s="127">
        <f>Price_List_BA!L276</f>
        <v>4.2699999999999995E-2</v>
      </c>
    </row>
    <row r="1497" spans="4:12" s="348" customFormat="1" ht="12.75" hidden="1" customHeight="1" outlineLevel="2" x14ac:dyDescent="0.2">
      <c r="D1497" s="785" t="str">
        <f>Price_List_BA!D277</f>
        <v>Gloves, Sterile (TZ)</v>
      </c>
      <c r="E1497" s="786"/>
      <c r="F1497" s="786"/>
      <c r="G1497" s="786"/>
      <c r="J1497" s="668" t="str">
        <f>Price_List_BA!J277</f>
        <v>each</v>
      </c>
      <c r="L1497" s="127">
        <f>Price_List_BA!L277</f>
        <v>0.92500000000000004</v>
      </c>
    </row>
    <row r="1498" spans="4:12" s="348" customFormat="1" ht="12.75" hidden="1" customHeight="1" outlineLevel="2" x14ac:dyDescent="0.2">
      <c r="D1498" s="785" t="str">
        <f>Price_List_BA!D278</f>
        <v>Gloves, Sterile 7.5 (ZM)</v>
      </c>
      <c r="E1498" s="786"/>
      <c r="F1498" s="786"/>
      <c r="G1498" s="786"/>
      <c r="J1498" s="668" t="str">
        <f>Price_List_BA!J278</f>
        <v>each</v>
      </c>
      <c r="L1498" s="127">
        <f>Price_List_BA!L278</f>
        <v>0.21932200000000002</v>
      </c>
    </row>
    <row r="1499" spans="4:12" s="348" customFormat="1" ht="12.75" hidden="1" customHeight="1" outlineLevel="2" x14ac:dyDescent="0.2">
      <c r="D1499" s="785" t="str">
        <f>Price_List_BA!D279</f>
        <v>Halothane (ZM)</v>
      </c>
      <c r="E1499" s="786"/>
      <c r="F1499" s="786"/>
      <c r="G1499" s="786"/>
      <c r="J1499" s="668" t="str">
        <f>Price_List_BA!J279</f>
        <v>millilitre</v>
      </c>
      <c r="L1499" s="127">
        <f>Price_List_BA!L279</f>
        <v>0</v>
      </c>
    </row>
    <row r="1500" spans="4:12" s="348" customFormat="1" ht="12.75" hidden="1" customHeight="1" outlineLevel="2" x14ac:dyDescent="0.2">
      <c r="D1500" s="785" t="str">
        <f>Price_List_BA!D280</f>
        <v>IV canula 22G  (ZM)</v>
      </c>
      <c r="E1500" s="786"/>
      <c r="F1500" s="786"/>
      <c r="G1500" s="786"/>
      <c r="J1500" s="668" t="str">
        <f>Price_List_BA!J280</f>
        <v>canula</v>
      </c>
      <c r="L1500" s="127">
        <f>Price_List_BA!L280</f>
        <v>0.130548</v>
      </c>
    </row>
    <row r="1501" spans="4:12" s="348" customFormat="1" ht="12.75" hidden="1" customHeight="1" outlineLevel="2" x14ac:dyDescent="0.2">
      <c r="D1501" s="785" t="str">
        <f>Price_List_BA!D281</f>
        <v>IV canula 22G (each) (TZ)</v>
      </c>
      <c r="E1501" s="786"/>
      <c r="F1501" s="786"/>
      <c r="G1501" s="786"/>
      <c r="J1501" s="668" t="str">
        <f>Price_List_BA!J281</f>
        <v>each</v>
      </c>
      <c r="L1501" s="127">
        <f>Price_List_BA!L281</f>
        <v>0.16250000000000001</v>
      </c>
    </row>
    <row r="1502" spans="4:12" s="348" customFormat="1" ht="12.75" hidden="1" customHeight="1" outlineLevel="2" x14ac:dyDescent="0.2">
      <c r="D1502" s="785" t="str">
        <f>Price_List_BA!D282</f>
        <v>IV giving set (each) (TZ)</v>
      </c>
      <c r="E1502" s="786"/>
      <c r="F1502" s="786"/>
      <c r="G1502" s="786"/>
      <c r="J1502" s="668" t="str">
        <f>Price_List_BA!J282</f>
        <v>set</v>
      </c>
      <c r="L1502" s="127">
        <f>Price_List_BA!L282</f>
        <v>0.15</v>
      </c>
    </row>
    <row r="1503" spans="4:12" s="348" customFormat="1" ht="12.75" hidden="1" customHeight="1" outlineLevel="2" x14ac:dyDescent="0.2">
      <c r="D1503" s="785" t="str">
        <f>Price_List_BA!D283</f>
        <v>IV giving set (closed system) (ZM)</v>
      </c>
      <c r="E1503" s="786"/>
      <c r="F1503" s="786"/>
      <c r="G1503" s="786"/>
      <c r="J1503" s="668" t="str">
        <f>Price_List_BA!J283</f>
        <v>SU</v>
      </c>
      <c r="L1503" s="127">
        <f>Price_List_BA!L283</f>
        <v>0</v>
      </c>
    </row>
    <row r="1504" spans="4:12" s="348" customFormat="1" ht="12.75" hidden="1" customHeight="1" outlineLevel="2" x14ac:dyDescent="0.2">
      <c r="D1504" s="785" t="str">
        <f>Price_List_BA!D284</f>
        <v>IV line (set) (ZM)</v>
      </c>
      <c r="E1504" s="786"/>
      <c r="F1504" s="786"/>
      <c r="G1504" s="786"/>
      <c r="J1504" s="668" t="str">
        <f>Price_List_BA!J284</f>
        <v>set</v>
      </c>
      <c r="L1504" s="127">
        <f>Price_List_BA!L284</f>
        <v>0.120104</v>
      </c>
    </row>
    <row r="1505" spans="4:12" s="348" customFormat="1" ht="12.75" hidden="1" customHeight="1" outlineLevel="2" x14ac:dyDescent="0.2">
      <c r="D1505" s="785" t="str">
        <f>Price_List_BA!D285</f>
        <v>IV line (set) (TZ)</v>
      </c>
      <c r="E1505" s="786"/>
      <c r="F1505" s="786"/>
      <c r="G1505" s="786"/>
      <c r="J1505" s="668" t="str">
        <f>Price_List_BA!J285</f>
        <v>set</v>
      </c>
      <c r="L1505" s="127">
        <f>Price_List_BA!L285</f>
        <v>0.9375</v>
      </c>
    </row>
    <row r="1506" spans="4:12" s="348" customFormat="1" ht="12.75" hidden="1" customHeight="1" outlineLevel="2" x14ac:dyDescent="0.2">
      <c r="D1506" s="785" t="str">
        <f>Price_List_BA!D286</f>
        <v>Ketamine (ZM)</v>
      </c>
      <c r="E1506" s="786"/>
      <c r="F1506" s="786"/>
      <c r="G1506" s="786"/>
      <c r="J1506" s="668" t="str">
        <f>Price_List_BA!J286</f>
        <v>SU</v>
      </c>
      <c r="L1506" s="127">
        <f>Price_List_BA!L286</f>
        <v>0</v>
      </c>
    </row>
    <row r="1507" spans="4:12" s="348" customFormat="1" ht="12.75" hidden="1" customHeight="1" outlineLevel="2" x14ac:dyDescent="0.2">
      <c r="D1507" s="785" t="str">
        <f>Price_List_BA!D287</f>
        <v>Kitchen Towel (ZM)</v>
      </c>
      <c r="E1507" s="786"/>
      <c r="F1507" s="786"/>
      <c r="G1507" s="786"/>
      <c r="J1507" s="668" t="str">
        <f>Price_List_BA!J287</f>
        <v>application</v>
      </c>
      <c r="L1507" s="127">
        <f>Price_List_BA!L287</f>
        <v>1.3999999999999999E-2</v>
      </c>
    </row>
    <row r="1508" spans="4:12" s="348" customFormat="1" ht="12.75" hidden="1" customHeight="1" outlineLevel="2" x14ac:dyDescent="0.2">
      <c r="D1508" s="785" t="str">
        <f>Price_List_BA!D288</f>
        <v>K-Y jelly  (TZ)</v>
      </c>
      <c r="E1508" s="786"/>
      <c r="F1508" s="786"/>
      <c r="G1508" s="786"/>
      <c r="J1508" s="668" t="str">
        <f>Price_List_BA!J288</f>
        <v>1/100 of tube</v>
      </c>
      <c r="L1508" s="127">
        <f>Price_List_BA!L288</f>
        <v>8.4375000000000006E-2</v>
      </c>
    </row>
    <row r="1509" spans="4:12" s="348" customFormat="1" ht="12.75" hidden="1" customHeight="1" outlineLevel="2" x14ac:dyDescent="0.2">
      <c r="D1509" s="785" t="str">
        <f>Price_List_BA!D289</f>
        <v>K-Y jelly Tube w/ 100 applcations ea) (ZM)</v>
      </c>
      <c r="E1509" s="786"/>
      <c r="F1509" s="786"/>
      <c r="G1509" s="786"/>
      <c r="J1509" s="668" t="str">
        <f>Price_List_BA!J289</f>
        <v>1 application</v>
      </c>
      <c r="L1509" s="127">
        <f>Price_List_BA!L289</f>
        <v>4.4999999999999998E-2</v>
      </c>
    </row>
    <row r="1510" spans="4:12" s="348" customFormat="1" ht="12.75" hidden="1" customHeight="1" outlineLevel="2" x14ac:dyDescent="0.2">
      <c r="D1510" s="785" t="str">
        <f>Price_List_BA!D290</f>
        <v>Label (TZ)</v>
      </c>
      <c r="E1510" s="786"/>
      <c r="F1510" s="786"/>
      <c r="G1510" s="786"/>
      <c r="J1510" s="668" t="str">
        <f>Price_List_BA!J290</f>
        <v>label</v>
      </c>
      <c r="L1510" s="127">
        <f>Price_List_BA!L290</f>
        <v>3.125E-2</v>
      </c>
    </row>
    <row r="1511" spans="4:12" s="348" customFormat="1" ht="12.75" hidden="1" customHeight="1" outlineLevel="2" x14ac:dyDescent="0.2">
      <c r="D1511" s="785" t="str">
        <f>Price_List_BA!D291</f>
        <v>Lidocaine 1% or 2% without epinephrine (UG)</v>
      </c>
      <c r="E1511" s="786"/>
      <c r="F1511" s="786"/>
      <c r="G1511" s="786"/>
      <c r="J1511" s="668" t="str">
        <f>Price_List_BA!J291</f>
        <v>mililitre</v>
      </c>
      <c r="L1511" s="127">
        <f>Price_List_BA!L291</f>
        <v>6.6747459294066225E-2</v>
      </c>
    </row>
    <row r="1512" spans="4:12" s="348" customFormat="1" ht="12.75" hidden="1" customHeight="1" outlineLevel="2" x14ac:dyDescent="0.2">
      <c r="D1512" s="785" t="str">
        <f>Price_List_BA!D292</f>
        <v>Lidocaine 2% with epinephrine 1:80000 (ZM)</v>
      </c>
      <c r="E1512" s="786"/>
      <c r="F1512" s="786"/>
      <c r="G1512" s="786"/>
      <c r="J1512" s="668" t="str">
        <f>Price_List_BA!J292</f>
        <v>unknown</v>
      </c>
      <c r="L1512" s="127">
        <f>Price_List_BA!L292</f>
        <v>0.9</v>
      </c>
    </row>
    <row r="1513" spans="4:12" s="348" customFormat="1" ht="12.75" hidden="1" customHeight="1" outlineLevel="2" x14ac:dyDescent="0.2">
      <c r="D1513" s="785" t="str">
        <f>Price_List_BA!D293</f>
        <v>Lidocaine: 2% with adrenalin 1:80000 (TZ)</v>
      </c>
      <c r="E1513" s="786"/>
      <c r="F1513" s="786"/>
      <c r="G1513" s="786"/>
      <c r="J1513" s="668" t="str">
        <f>Price_List_BA!J293</f>
        <v>centilitre</v>
      </c>
      <c r="L1513" s="127">
        <f>Price_List_BA!L293</f>
        <v>0.13750000000000001</v>
      </c>
    </row>
    <row r="1514" spans="4:12" s="348" customFormat="1" ht="12.75" hidden="1" customHeight="1" outlineLevel="2" x14ac:dyDescent="0.2">
      <c r="D1514" s="785" t="str">
        <f>Price_List_BA!D294</f>
        <v>Liquid soap (UG)</v>
      </c>
      <c r="E1514" s="786"/>
      <c r="F1514" s="786"/>
      <c r="G1514" s="786"/>
      <c r="J1514" s="668" t="str">
        <f>Price_List_BA!J294</f>
        <v>mililiter</v>
      </c>
      <c r="L1514" s="127">
        <f>Price_List_BA!L294</f>
        <v>5.4194295705387399E-4</v>
      </c>
    </row>
    <row r="1515" spans="4:12" s="348" customFormat="1" ht="12.75" hidden="1" customHeight="1" outlineLevel="2" x14ac:dyDescent="0.2">
      <c r="D1515" s="785" t="str">
        <f>Price_List_BA!D295</f>
        <v>Lugol's iodine (UG)</v>
      </c>
      <c r="E1515" s="786"/>
      <c r="F1515" s="786"/>
      <c r="G1515" s="786"/>
      <c r="J1515" s="668" t="str">
        <f>Price_List_BA!J295</f>
        <v>mililiter</v>
      </c>
      <c r="L1515" s="127">
        <f>Price_List_BA!L295</f>
        <v>1.2621571412960299E-2</v>
      </c>
    </row>
    <row r="1516" spans="4:12" s="348" customFormat="1" ht="12.75" hidden="1" customHeight="1" outlineLevel="2" x14ac:dyDescent="0.2">
      <c r="D1516" s="785" t="str">
        <f>Price_List_BA!D296</f>
        <v>Mannitol (ZM)</v>
      </c>
      <c r="E1516" s="786"/>
      <c r="F1516" s="786"/>
      <c r="G1516" s="786"/>
      <c r="J1516" s="668" t="str">
        <f>Price_List_BA!J296</f>
        <v>SU</v>
      </c>
      <c r="L1516" s="127">
        <f>Price_List_BA!L296</f>
        <v>0</v>
      </c>
    </row>
    <row r="1517" spans="4:12" s="348" customFormat="1" ht="12.75" hidden="1" customHeight="1" outlineLevel="2" x14ac:dyDescent="0.2">
      <c r="D1517" s="785" t="str">
        <f>Price_List_BA!D297</f>
        <v>Metronizadol (200mg) (ZM)</v>
      </c>
      <c r="E1517" s="786"/>
      <c r="F1517" s="786"/>
      <c r="G1517" s="786"/>
      <c r="J1517" s="668" t="str">
        <f>Price_List_BA!J297</f>
        <v>tablet</v>
      </c>
      <c r="L1517" s="127">
        <f>Price_List_BA!L297</f>
        <v>3.7859E-3</v>
      </c>
    </row>
    <row r="1518" spans="4:12" s="348" customFormat="1" ht="12.75" hidden="1" customHeight="1" outlineLevel="2" x14ac:dyDescent="0.2">
      <c r="D1518" s="785" t="str">
        <f>Price_List_BA!D298</f>
        <v>Metronizadol (200mg) (UG)</v>
      </c>
      <c r="E1518" s="786"/>
      <c r="F1518" s="786"/>
      <c r="G1518" s="786"/>
      <c r="J1518" s="668" t="str">
        <f>Price_List_BA!J298</f>
        <v>tablet</v>
      </c>
      <c r="L1518" s="127">
        <f>Price_List_BA!L298</f>
        <v>3.9235056278002405E-3</v>
      </c>
    </row>
    <row r="1519" spans="4:12" s="348" customFormat="1" ht="12.75" hidden="1" customHeight="1" outlineLevel="2" x14ac:dyDescent="0.2">
      <c r="D1519" s="785" t="str">
        <f>Price_List_BA!D299</f>
        <v>Metronizadol (400mg) (UG)</v>
      </c>
      <c r="E1519" s="786"/>
      <c r="F1519" s="786"/>
      <c r="G1519" s="786"/>
      <c r="J1519" s="668" t="str">
        <f>Price_List_BA!J299</f>
        <v>tablet</v>
      </c>
      <c r="L1519" s="127">
        <f>Price_List_BA!L299</f>
        <v>7.847011255600481E-3</v>
      </c>
    </row>
    <row r="1520" spans="4:12" s="348" customFormat="1" ht="12.75" hidden="1" customHeight="1" outlineLevel="2" x14ac:dyDescent="0.2">
      <c r="D1520" s="785" t="str">
        <f>Price_List_BA!D300</f>
        <v>Mictomycin  C (10mg) (TZ)</v>
      </c>
      <c r="E1520" s="786"/>
      <c r="F1520" s="786"/>
      <c r="G1520" s="786"/>
      <c r="J1520" s="668" t="str">
        <f>Price_List_BA!J300</f>
        <v>10mg</v>
      </c>
      <c r="L1520" s="127">
        <f>Price_List_BA!L300</f>
        <v>18.75</v>
      </c>
    </row>
    <row r="1521" spans="4:12" s="348" customFormat="1" ht="12.75" hidden="1" customHeight="1" outlineLevel="2" x14ac:dyDescent="0.2">
      <c r="D1521" s="785" t="str">
        <f>Price_List_BA!D301</f>
        <v>Mitomycin  C (10mg) (ZM)</v>
      </c>
      <c r="E1521" s="786"/>
      <c r="F1521" s="786"/>
      <c r="G1521" s="786"/>
      <c r="J1521" s="668" t="str">
        <f>Price_List_BA!J301</f>
        <v>vial</v>
      </c>
      <c r="L1521" s="127">
        <f>Price_List_BA!L301</f>
        <v>27.5</v>
      </c>
    </row>
    <row r="1522" spans="4:12" s="348" customFormat="1" ht="12.75" hidden="1" customHeight="1" outlineLevel="2" x14ac:dyDescent="0.2">
      <c r="D1522" s="785" t="str">
        <f>Price_List_BA!D302</f>
        <v>Monsel's solution (UG)</v>
      </c>
      <c r="E1522" s="786"/>
      <c r="F1522" s="786"/>
      <c r="G1522" s="786"/>
      <c r="J1522" s="668" t="str">
        <f>Price_List_BA!J302</f>
        <v>mililiter</v>
      </c>
      <c r="L1522" s="127">
        <f>Price_List_BA!L302</f>
        <v>0.41111111111111109</v>
      </c>
    </row>
    <row r="1523" spans="4:12" s="348" customFormat="1" ht="12.75" hidden="1" customHeight="1" outlineLevel="2" x14ac:dyDescent="0.2">
      <c r="D1523" s="785" t="str">
        <f>Price_List_BA!D303</f>
        <v>Monsel's solution (ZM)</v>
      </c>
      <c r="E1523" s="786"/>
      <c r="F1523" s="786"/>
      <c r="G1523" s="786"/>
      <c r="J1523" s="668" t="str">
        <f>Price_List_BA!J303</f>
        <v>application</v>
      </c>
      <c r="L1523" s="127">
        <f>Price_List_BA!L303</f>
        <v>10.126666666666667</v>
      </c>
    </row>
    <row r="1524" spans="4:12" s="348" customFormat="1" ht="12.75" hidden="1" customHeight="1" outlineLevel="2" x14ac:dyDescent="0.2">
      <c r="D1524" s="785" t="str">
        <f>Price_List_BA!D304</f>
        <v>Morphine (10mg) (ZM)</v>
      </c>
      <c r="E1524" s="786"/>
      <c r="F1524" s="786"/>
      <c r="G1524" s="786"/>
      <c r="J1524" s="668" t="str">
        <f>Price_List_BA!J304</f>
        <v>tablet</v>
      </c>
      <c r="L1524" s="127">
        <f>Price_List_BA!L304</f>
        <v>0.22666666666666666</v>
      </c>
    </row>
    <row r="1525" spans="4:12" s="348" customFormat="1" ht="12.75" hidden="1" customHeight="1" outlineLevel="2" x14ac:dyDescent="0.2">
      <c r="D1525" s="785" t="str">
        <f>Price_List_BA!D305</f>
        <v>Morphine (10mg) (TZ)</v>
      </c>
      <c r="E1525" s="786"/>
      <c r="F1525" s="786"/>
      <c r="G1525" s="786"/>
      <c r="J1525" s="668" t="str">
        <f>Price_List_BA!J305</f>
        <v>10mg</v>
      </c>
      <c r="L1525" s="127">
        <f>Price_List_BA!L305</f>
        <v>3.5625</v>
      </c>
    </row>
    <row r="1526" spans="4:12" s="348" customFormat="1" ht="12.75" hidden="1" customHeight="1" outlineLevel="2" x14ac:dyDescent="0.2">
      <c r="D1526" s="785" t="str">
        <f>Price_List_BA!D306</f>
        <v>Mutton Cloth (ZM)</v>
      </c>
      <c r="E1526" s="786"/>
      <c r="F1526" s="786"/>
      <c r="G1526" s="786"/>
      <c r="J1526" s="668" t="str">
        <f>Price_List_BA!J306</f>
        <v>metre</v>
      </c>
      <c r="L1526" s="127">
        <f>Price_List_BA!L306</f>
        <v>6.5000000000000002E-2</v>
      </c>
    </row>
    <row r="1527" spans="4:12" s="348" customFormat="1" ht="12.75" hidden="1" customHeight="1" outlineLevel="2" x14ac:dyDescent="0.2">
      <c r="D1527" s="785" t="str">
        <f>Price_List_BA!D307</f>
        <v>Needle – 18 or 20 gauge (TZ)</v>
      </c>
      <c r="E1527" s="786"/>
      <c r="F1527" s="786"/>
      <c r="G1527" s="786"/>
      <c r="J1527" s="668" t="str">
        <f>Price_List_BA!J307</f>
        <v>one piece</v>
      </c>
      <c r="L1527" s="127">
        <f>Price_List_BA!L307</f>
        <v>8.8541666666666671E-2</v>
      </c>
    </row>
    <row r="1528" spans="4:12" s="348" customFormat="1" ht="12.75" hidden="1" customHeight="1" outlineLevel="2" x14ac:dyDescent="0.2">
      <c r="D1528" s="785" t="str">
        <f>Price_List_BA!D308</f>
        <v>Needle - Spinal 22G (disposable) (ZM)</v>
      </c>
      <c r="E1528" s="786"/>
      <c r="F1528" s="786"/>
      <c r="G1528" s="786"/>
      <c r="J1528" s="668" t="str">
        <f>Price_List_BA!J308</f>
        <v>needle</v>
      </c>
      <c r="L1528" s="127">
        <f>Price_List_BA!L308</f>
        <v>1.240208</v>
      </c>
    </row>
    <row r="1529" spans="4:12" s="348" customFormat="1" ht="12.75" hidden="1" customHeight="1" outlineLevel="2" x14ac:dyDescent="0.2">
      <c r="D1529" s="785" t="str">
        <f>Price_List_BA!D309</f>
        <v>Needle - Spinal 22G (disposable) (TZ)</v>
      </c>
      <c r="E1529" s="786"/>
      <c r="F1529" s="786"/>
      <c r="G1529" s="786"/>
      <c r="J1529" s="668" t="str">
        <f>Price_List_BA!J309</f>
        <v>one piece</v>
      </c>
      <c r="L1529" s="127">
        <f>Price_List_BA!L309</f>
        <v>0.91249999999999998</v>
      </c>
    </row>
    <row r="1530" spans="4:12" s="348" customFormat="1" ht="12.75" hidden="1" customHeight="1" outlineLevel="2" x14ac:dyDescent="0.2">
      <c r="D1530" s="785" t="str">
        <f>Price_List_BA!D310</f>
        <v>Needles - Dental 27G Long (ZM)</v>
      </c>
      <c r="E1530" s="786"/>
      <c r="F1530" s="786"/>
      <c r="G1530" s="786"/>
      <c r="J1530" s="668" t="str">
        <f>Price_List_BA!J310</f>
        <v>needle</v>
      </c>
      <c r="L1530" s="127">
        <f>Price_List_BA!L310</f>
        <v>0.30909999999999999</v>
      </c>
    </row>
    <row r="1531" spans="4:12" s="348" customFormat="1" ht="12.75" hidden="1" customHeight="1" outlineLevel="2" x14ac:dyDescent="0.2">
      <c r="D1531" s="785" t="str">
        <f>Price_List_BA!D311</f>
        <v>Neostymine (ZM)</v>
      </c>
      <c r="E1531" s="786"/>
      <c r="F1531" s="786"/>
      <c r="G1531" s="786"/>
      <c r="J1531" s="668" t="str">
        <f>Price_List_BA!J311</f>
        <v>SU</v>
      </c>
      <c r="L1531" s="127">
        <f>Price_List_BA!L311</f>
        <v>0</v>
      </c>
    </row>
    <row r="1532" spans="4:12" s="348" customFormat="1" ht="12.75" hidden="1" customHeight="1" outlineLevel="2" x14ac:dyDescent="0.2">
      <c r="D1532" s="785" t="str">
        <f>Price_List_BA!D312</f>
        <v>Normal saline (UG)</v>
      </c>
      <c r="E1532" s="786"/>
      <c r="F1532" s="786"/>
      <c r="G1532" s="786"/>
      <c r="J1532" s="668" t="str">
        <f>Price_List_BA!J312</f>
        <v>mililiter</v>
      </c>
      <c r="L1532" s="127">
        <f>Price_List_BA!L312</f>
        <v>8.4106217899683098E-4</v>
      </c>
    </row>
    <row r="1533" spans="4:12" s="348" customFormat="1" ht="12.75" hidden="1" customHeight="1" outlineLevel="2" x14ac:dyDescent="0.2">
      <c r="D1533" s="785" t="str">
        <f>Price_List_BA!D313</f>
        <v>Normal saline (ZM)</v>
      </c>
      <c r="E1533" s="786"/>
      <c r="F1533" s="786"/>
      <c r="G1533" s="786"/>
      <c r="J1533" s="668" t="str">
        <f>Price_List_BA!J313</f>
        <v>1 litre</v>
      </c>
      <c r="L1533" s="127">
        <f>Price_List_BA!L313</f>
        <v>0</v>
      </c>
    </row>
    <row r="1534" spans="4:12" s="348" customFormat="1" ht="12.75" hidden="1" customHeight="1" outlineLevel="2" x14ac:dyDescent="0.2">
      <c r="D1534" s="785" t="str">
        <f>Price_List_BA!D314</f>
        <v>Nystain (200mg) (UG)</v>
      </c>
      <c r="E1534" s="786"/>
      <c r="F1534" s="786"/>
      <c r="G1534" s="786"/>
      <c r="J1534" s="668" t="str">
        <f>Price_List_BA!J314</f>
        <v>tablet</v>
      </c>
      <c r="L1534" s="127">
        <f>Price_List_BA!L314</f>
        <v>2.9588372855425638E-2</v>
      </c>
    </row>
    <row r="1535" spans="4:12" s="348" customFormat="1" ht="12.75" hidden="1" customHeight="1" outlineLevel="2" x14ac:dyDescent="0.2">
      <c r="D1535" s="785" t="str">
        <f>Price_List_BA!D315</f>
        <v>Ondansetron (IV) 4mg vials</v>
      </c>
      <c r="E1535" s="786"/>
      <c r="F1535" s="786"/>
      <c r="G1535" s="786"/>
      <c r="J1535" s="668" t="str">
        <f>Price_List_BA!J315</f>
        <v>SU</v>
      </c>
      <c r="L1535" s="127">
        <f>Price_List_BA!L315</f>
        <v>0</v>
      </c>
    </row>
    <row r="1536" spans="4:12" s="348" customFormat="1" hidden="1" outlineLevel="2" x14ac:dyDescent="0.2">
      <c r="D1536" s="785" t="str">
        <f>Price_List_BA!D316</f>
        <v>Ondasetron (oral) (4mg tablets)</v>
      </c>
      <c r="E1536" s="786"/>
      <c r="F1536" s="786"/>
      <c r="G1536" s="786"/>
      <c r="J1536" s="668" t="str">
        <f>Price_List_BA!J316</f>
        <v>tablet</v>
      </c>
      <c r="L1536" s="127">
        <f>Price_List_BA!L316</f>
        <v>9</v>
      </c>
    </row>
    <row r="1537" spans="4:12" s="348" customFormat="1" ht="12.75" hidden="1" customHeight="1" outlineLevel="2" x14ac:dyDescent="0.2">
      <c r="D1537" s="785" t="str">
        <f>Price_List_BA!D317</f>
        <v>Opiods - Pethidine (ZM)</v>
      </c>
      <c r="E1537" s="786"/>
      <c r="F1537" s="786"/>
      <c r="G1537" s="786"/>
      <c r="J1537" s="668" t="str">
        <f>Price_List_BA!J317</f>
        <v>SU</v>
      </c>
      <c r="L1537" s="127">
        <f>Price_List_BA!L317</f>
        <v>0</v>
      </c>
    </row>
    <row r="1538" spans="4:12" s="348" customFormat="1" ht="12.75" hidden="1" customHeight="1" outlineLevel="2" x14ac:dyDescent="0.2">
      <c r="D1538" s="785" t="str">
        <f>Price_List_BA!D318</f>
        <v>Supplies Category 109</v>
      </c>
      <c r="E1538" s="786"/>
      <c r="F1538" s="786"/>
      <c r="G1538" s="786"/>
      <c r="J1538" s="668" t="str">
        <f>Price_List_BA!J318</f>
        <v>SU</v>
      </c>
      <c r="L1538" s="127">
        <f>Price_List_BA!L318</f>
        <v>0</v>
      </c>
    </row>
    <row r="1539" spans="4:12" s="348" customFormat="1" ht="12.75" hidden="1" customHeight="1" outlineLevel="2" x14ac:dyDescent="0.2">
      <c r="D1539" s="785" t="str">
        <f>Price_List_BA!D319</f>
        <v>Oralpharyngeal airway (ZM)</v>
      </c>
      <c r="E1539" s="786"/>
      <c r="F1539" s="786"/>
      <c r="G1539" s="786"/>
      <c r="J1539" s="668" t="str">
        <f>Price_List_BA!J319</f>
        <v>SU</v>
      </c>
      <c r="L1539" s="127">
        <f>Price_List_BA!L319</f>
        <v>0</v>
      </c>
    </row>
    <row r="1540" spans="4:12" s="348" customFormat="1" ht="12.75" hidden="1" customHeight="1" outlineLevel="2" x14ac:dyDescent="0.2">
      <c r="D1540" s="785" t="str">
        <f>Price_List_BA!D320</f>
        <v>Oxygen Mask (ZM)</v>
      </c>
      <c r="E1540" s="786"/>
      <c r="F1540" s="786"/>
      <c r="G1540" s="786"/>
      <c r="J1540" s="668" t="str">
        <f>Price_List_BA!J320</f>
        <v>SU</v>
      </c>
      <c r="L1540" s="127">
        <f>Price_List_BA!L320</f>
        <v>0</v>
      </c>
    </row>
    <row r="1541" spans="4:12" s="348" customFormat="1" ht="12.75" hidden="1" customHeight="1" outlineLevel="2" x14ac:dyDescent="0.2">
      <c r="D1541" s="785" t="str">
        <f>Price_List_BA!D321</f>
        <v>Pancuronuien (ZM)</v>
      </c>
      <c r="E1541" s="786"/>
      <c r="F1541" s="786"/>
      <c r="G1541" s="786"/>
      <c r="J1541" s="668" t="str">
        <f>Price_List_BA!J321</f>
        <v>SU</v>
      </c>
      <c r="L1541" s="127">
        <f>Price_List_BA!L321</f>
        <v>0</v>
      </c>
    </row>
    <row r="1542" spans="4:12" s="348" customFormat="1" ht="12.75" hidden="1" customHeight="1" outlineLevel="2" x14ac:dyDescent="0.2">
      <c r="D1542" s="785" t="str">
        <f>Price_List_BA!D322</f>
        <v>Paracetamol (1g) (UG)</v>
      </c>
      <c r="E1542" s="786"/>
      <c r="F1542" s="786"/>
      <c r="G1542" s="786"/>
      <c r="J1542" s="668" t="str">
        <f>Price_List_BA!J322</f>
        <v>tablet</v>
      </c>
      <c r="L1542" s="127">
        <f>Price_List_BA!L322</f>
        <v>1.1203409463446619E-2</v>
      </c>
    </row>
    <row r="1543" spans="4:12" s="348" customFormat="1" ht="12.75" hidden="1" customHeight="1" outlineLevel="2" x14ac:dyDescent="0.2">
      <c r="D1543" s="785" t="str">
        <f>Price_List_BA!D323</f>
        <v>Paracetamol (500mg) (ZM)</v>
      </c>
      <c r="E1543" s="786"/>
      <c r="F1543" s="786"/>
      <c r="G1543" s="786"/>
      <c r="J1543" s="668" t="str">
        <f>Price_List_BA!J323</f>
        <v>tablet</v>
      </c>
      <c r="L1543" s="127">
        <f>Price_List_BA!L323</f>
        <v>2.0888E-3</v>
      </c>
    </row>
    <row r="1544" spans="4:12" s="348" customFormat="1" ht="12.95" hidden="1" customHeight="1" outlineLevel="2" x14ac:dyDescent="0.2">
      <c r="D1544" s="785" t="str">
        <f>Price_List_BA!D324</f>
        <v>Paracetamol (500mg) (TZ)</v>
      </c>
      <c r="E1544" s="786"/>
      <c r="F1544" s="786"/>
      <c r="G1544" s="786"/>
      <c r="J1544" s="668" t="str">
        <f>Price_List_BA!J324</f>
        <v>one tablet</v>
      </c>
      <c r="L1544" s="127">
        <f>Price_List_BA!L324</f>
        <v>4.5624999999999997E-3</v>
      </c>
    </row>
    <row r="1545" spans="4:12" s="348" customFormat="1" ht="12.95" hidden="1" customHeight="1" outlineLevel="2" x14ac:dyDescent="0.2">
      <c r="D1545" s="785" t="str">
        <f>Price_List_BA!D325</f>
        <v>Paracetamol (500mg) (UG)</v>
      </c>
      <c r="E1545" s="786"/>
      <c r="F1545" s="786"/>
      <c r="G1545" s="786"/>
      <c r="J1545" s="668" t="str">
        <f>Price_List_BA!J325</f>
        <v>tablet</v>
      </c>
      <c r="L1545" s="127">
        <f>Price_List_BA!L325</f>
        <v>5.6017047317233094E-3</v>
      </c>
    </row>
    <row r="1546" spans="4:12" s="348" customFormat="1" ht="12.95" hidden="1" customHeight="1" outlineLevel="2" x14ac:dyDescent="0.2">
      <c r="D1546" s="785" t="str">
        <f>Price_List_BA!D326</f>
        <v>Pathology form (TZ)</v>
      </c>
      <c r="E1546" s="786"/>
      <c r="F1546" s="786"/>
      <c r="G1546" s="786"/>
      <c r="J1546" s="668">
        <f>Price_List_BA!J326</f>
        <v>1</v>
      </c>
      <c r="L1546" s="127">
        <f>Price_List_BA!L326</f>
        <v>0.31</v>
      </c>
    </row>
    <row r="1547" spans="4:12" s="348" customFormat="1" ht="12.95" hidden="1" customHeight="1" outlineLevel="2" x14ac:dyDescent="0.2">
      <c r="D1547" s="785" t="str">
        <f>Price_List_BA!D327</f>
        <v>Patient card (TZ)</v>
      </c>
      <c r="E1547" s="786"/>
      <c r="F1547" s="786"/>
      <c r="G1547" s="786"/>
      <c r="J1547" s="668" t="str">
        <f>Price_List_BA!J327</f>
        <v>card</v>
      </c>
      <c r="L1547" s="127">
        <f>Price_List_BA!L327</f>
        <v>0.625</v>
      </c>
    </row>
    <row r="1548" spans="4:12" s="348" customFormat="1" ht="12.95" hidden="1" customHeight="1" outlineLevel="2" x14ac:dyDescent="0.2">
      <c r="D1548" s="785" t="str">
        <f>Price_List_BA!D328</f>
        <v>Pencil (TZ)</v>
      </c>
      <c r="E1548" s="786"/>
      <c r="F1548" s="786"/>
      <c r="G1548" s="786"/>
      <c r="J1548" s="668" t="str">
        <f>Price_List_BA!J328</f>
        <v>each</v>
      </c>
      <c r="L1548" s="127">
        <f>Price_List_BA!L328</f>
        <v>0.1875</v>
      </c>
    </row>
    <row r="1549" spans="4:12" s="348" customFormat="1" ht="12.95" hidden="1" customHeight="1" outlineLevel="2" x14ac:dyDescent="0.2">
      <c r="D1549" s="785" t="str">
        <f>Price_List_BA!D329</f>
        <v>Perthodine (TZ)</v>
      </c>
      <c r="E1549" s="786"/>
      <c r="F1549" s="786"/>
      <c r="G1549" s="786"/>
      <c r="J1549" s="668" t="str">
        <f>Price_List_BA!J329</f>
        <v>100ml vial</v>
      </c>
      <c r="L1549" s="127">
        <f>Price_List_BA!L329</f>
        <v>0.5625</v>
      </c>
    </row>
    <row r="1550" spans="4:12" s="348" customFormat="1" ht="12.95" hidden="1" customHeight="1" outlineLevel="2" x14ac:dyDescent="0.2">
      <c r="D1550" s="785" t="str">
        <f>Price_List_BA!D330</f>
        <v>Pipette Tips (TZ)</v>
      </c>
      <c r="E1550" s="786"/>
      <c r="F1550" s="786"/>
      <c r="G1550" s="786"/>
      <c r="J1550" s="668">
        <f>Price_List_BA!J330</f>
        <v>1</v>
      </c>
      <c r="L1550" s="127">
        <f>Price_List_BA!L330</f>
        <v>9.3749999999999997E-3</v>
      </c>
    </row>
    <row r="1551" spans="4:12" s="348" customFormat="1" ht="12.75" hidden="1" customHeight="1" outlineLevel="2" x14ac:dyDescent="0.2">
      <c r="D1551" s="785" t="str">
        <f>Price_List_BA!D331</f>
        <v>Pipette, Fixed, 50 microlitre (TZ)</v>
      </c>
      <c r="E1551" s="786"/>
      <c r="F1551" s="786"/>
      <c r="G1551" s="786"/>
      <c r="J1551" s="668" t="str">
        <f>Price_List_BA!J331</f>
        <v>1 use</v>
      </c>
      <c r="L1551" s="127">
        <f>Price_List_BA!L331</f>
        <v>7.4999999999999997E-2</v>
      </c>
    </row>
    <row r="1552" spans="4:12" s="348" customFormat="1" ht="12.75" hidden="1" customHeight="1" outlineLevel="2" x14ac:dyDescent="0.2">
      <c r="D1552" s="785" t="str">
        <f>Price_List_BA!D332</f>
        <v>Pipette, Repeater (TZ)</v>
      </c>
      <c r="E1552" s="786"/>
      <c r="F1552" s="786"/>
      <c r="G1552" s="786"/>
      <c r="J1552" s="668" t="str">
        <f>Price_List_BA!J332</f>
        <v>1 use</v>
      </c>
      <c r="L1552" s="127">
        <f>Price_List_BA!L332</f>
        <v>6.2500000000000003E-3</v>
      </c>
    </row>
    <row r="1553" spans="4:12" s="348" customFormat="1" ht="12.75" hidden="1" customHeight="1" outlineLevel="2" x14ac:dyDescent="0.2">
      <c r="D1553" s="785" t="str">
        <f>Price_List_BA!D333</f>
        <v>Pregnancy test– urine test strip (ZM)</v>
      </c>
      <c r="E1553" s="786"/>
      <c r="F1553" s="786"/>
      <c r="G1553" s="786"/>
      <c r="J1553" s="668" t="str">
        <f>Price_List_BA!J333</f>
        <v>test</v>
      </c>
      <c r="L1553" s="127">
        <f>Price_List_BA!L333</f>
        <v>0.14374900000000002</v>
      </c>
    </row>
    <row r="1554" spans="4:12" s="348" customFormat="1" ht="12.75" hidden="1" customHeight="1" outlineLevel="2" x14ac:dyDescent="0.2">
      <c r="D1554" s="785" t="str">
        <f>Price_List_BA!D334</f>
        <v>Pregnancy tests – urine test strips (TZ)</v>
      </c>
      <c r="E1554" s="786"/>
      <c r="F1554" s="786"/>
      <c r="G1554" s="786"/>
      <c r="J1554" s="668" t="str">
        <f>Price_List_BA!J334</f>
        <v>one strip</v>
      </c>
      <c r="L1554" s="127">
        <f>Price_List_BA!L334</f>
        <v>0.15</v>
      </c>
    </row>
    <row r="1555" spans="4:12" s="348" customFormat="1" ht="12.75" hidden="1" customHeight="1" outlineLevel="2" x14ac:dyDescent="0.2">
      <c r="D1555" s="785" t="str">
        <f>Price_List_BA!D335</f>
        <v>Profol, 2%, 20 mg/l, 50ml (ZM)</v>
      </c>
      <c r="E1555" s="786"/>
      <c r="F1555" s="786"/>
      <c r="G1555" s="786"/>
      <c r="J1555" s="668" t="str">
        <f>Price_List_BA!J335</f>
        <v>SU</v>
      </c>
      <c r="L1555" s="127">
        <f>Price_List_BA!L335</f>
        <v>0</v>
      </c>
    </row>
    <row r="1556" spans="4:12" s="348" customFormat="1" ht="12.75" hidden="1" customHeight="1" outlineLevel="2" x14ac:dyDescent="0.2">
      <c r="D1556" s="785" t="str">
        <f>Price_List_BA!D336</f>
        <v>Repeater Tips (TZ)</v>
      </c>
      <c r="E1556" s="786"/>
      <c r="F1556" s="786"/>
      <c r="G1556" s="786"/>
      <c r="J1556" s="668">
        <f>Price_List_BA!J336</f>
        <v>1</v>
      </c>
      <c r="L1556" s="127">
        <f>Price_List_BA!L336</f>
        <v>9.3749999999999997E-3</v>
      </c>
    </row>
    <row r="1557" spans="4:12" s="348" customFormat="1" ht="12.75" hidden="1" customHeight="1" outlineLevel="2" x14ac:dyDescent="0.2">
      <c r="D1557" s="785" t="str">
        <f>Price_List_BA!D337</f>
        <v>Return electrode (UG)</v>
      </c>
      <c r="E1557" s="786"/>
      <c r="F1557" s="786"/>
      <c r="G1557" s="786"/>
      <c r="J1557" s="668" t="str">
        <f>Price_List_BA!J337</f>
        <v>piece</v>
      </c>
      <c r="L1557" s="127">
        <f>Price_List_BA!L337</f>
        <v>9</v>
      </c>
    </row>
    <row r="1558" spans="4:12" s="348" customFormat="1" ht="12.75" hidden="1" customHeight="1" outlineLevel="2" x14ac:dyDescent="0.2">
      <c r="D1558" s="785" t="str">
        <f>Price_List_BA!D338</f>
        <v>Saline solution, normal (ZM)</v>
      </c>
      <c r="E1558" s="786"/>
      <c r="F1558" s="786"/>
      <c r="G1558" s="786"/>
      <c r="J1558" s="668" t="str">
        <f>Price_List_BA!J338</f>
        <v>bag</v>
      </c>
      <c r="L1558" s="127">
        <f>Price_List_BA!L338</f>
        <v>0.8224583333333334</v>
      </c>
    </row>
    <row r="1559" spans="4:12" s="348" customFormat="1" ht="12.75" hidden="1" customHeight="1" outlineLevel="2" x14ac:dyDescent="0.2">
      <c r="D1559" s="785" t="str">
        <f>Price_List_BA!D339</f>
        <v>Saline solution, normal (TZ)</v>
      </c>
      <c r="E1559" s="786"/>
      <c r="F1559" s="786"/>
      <c r="G1559" s="786"/>
      <c r="J1559" s="668" t="str">
        <f>Price_List_BA!J339</f>
        <v>mililiter</v>
      </c>
      <c r="L1559" s="127">
        <f>Price_List_BA!L339</f>
        <v>1.8749999999999999E-3</v>
      </c>
    </row>
    <row r="1560" spans="4:12" s="348" customFormat="1" ht="12.75" hidden="1" customHeight="1" outlineLevel="2" x14ac:dyDescent="0.2">
      <c r="D1560" s="785" t="str">
        <f>Price_List_BA!D340</f>
        <v>Sanitary pad (ZM)</v>
      </c>
      <c r="E1560" s="786"/>
      <c r="F1560" s="786"/>
      <c r="G1560" s="786"/>
      <c r="J1560" s="668" t="str">
        <f>Price_List_BA!J340</f>
        <v>pad</v>
      </c>
      <c r="L1560" s="127">
        <f>Price_List_BA!L340</f>
        <v>0.191</v>
      </c>
    </row>
    <row r="1561" spans="4:12" s="348" customFormat="1" ht="12.75" hidden="1" customHeight="1" outlineLevel="2" x14ac:dyDescent="0.2">
      <c r="D1561" s="785" t="str">
        <f>Price_List_BA!D341</f>
        <v>Sanitary pad (UG)</v>
      </c>
      <c r="E1561" s="786"/>
      <c r="F1561" s="786"/>
      <c r="G1561" s="786"/>
      <c r="J1561" s="668" t="str">
        <f>Price_List_BA!J341</f>
        <v>piece</v>
      </c>
      <c r="L1561" s="127">
        <f>Price_List_BA!L341</f>
        <v>1.3890406634369043E-2</v>
      </c>
    </row>
    <row r="1562" spans="4:12" s="348" customFormat="1" ht="12.75" hidden="1" customHeight="1" outlineLevel="2" x14ac:dyDescent="0.2">
      <c r="D1562" s="785" t="str">
        <f>Price_List_BA!D342</f>
        <v>Scouring Powder (Ajax)</v>
      </c>
      <c r="E1562" s="786"/>
      <c r="F1562" s="786"/>
      <c r="G1562" s="786"/>
      <c r="J1562" s="668" t="str">
        <f>Price_List_BA!J342</f>
        <v>1 gram</v>
      </c>
      <c r="L1562" s="127">
        <f>Price_List_BA!L342</f>
        <v>2.6199999999999999E-3</v>
      </c>
    </row>
    <row r="1563" spans="4:12" s="348" customFormat="1" ht="12.75" hidden="1" customHeight="1" outlineLevel="2" x14ac:dyDescent="0.2">
      <c r="D1563" s="785" t="str">
        <f>Price_List_BA!D343</f>
        <v>Soap (or hand sanitizer) (ZM)</v>
      </c>
      <c r="E1563" s="786"/>
      <c r="F1563" s="786"/>
      <c r="G1563" s="786"/>
      <c r="J1563" s="668" t="str">
        <f>Price_List_BA!J343</f>
        <v>uses</v>
      </c>
      <c r="L1563" s="127">
        <f>Price_List_BA!L343</f>
        <v>5.5999999999999999E-3</v>
      </c>
    </row>
    <row r="1564" spans="4:12" s="348" customFormat="1" ht="12.75" hidden="1" customHeight="1" outlineLevel="2" x14ac:dyDescent="0.2">
      <c r="D1564" s="785" t="str">
        <f>Price_List_BA!D344</f>
        <v>Soap (or hand sanitizer) (TZ)</v>
      </c>
      <c r="E1564" s="786"/>
      <c r="F1564" s="786"/>
      <c r="G1564" s="786"/>
      <c r="J1564" s="668" t="str">
        <f>Price_List_BA!J344</f>
        <v>1/25th</v>
      </c>
      <c r="L1564" s="127">
        <f>Price_List_BA!L344</f>
        <v>2.75E-2</v>
      </c>
    </row>
    <row r="1565" spans="4:12" s="348" customFormat="1" ht="12.75" hidden="1" customHeight="1" outlineLevel="2" x14ac:dyDescent="0.2">
      <c r="D1565" s="785" t="str">
        <f>Price_List_BA!D345</f>
        <v>Specimen bottle / recyled syringe bottles (UG)</v>
      </c>
      <c r="E1565" s="786"/>
      <c r="F1565" s="786"/>
      <c r="G1565" s="786"/>
      <c r="J1565" s="668" t="str">
        <f>Price_List_BA!J345</f>
        <v>piece</v>
      </c>
      <c r="L1565" s="127">
        <f>Price_List_BA!L345</f>
        <v>0.32350000000000001</v>
      </c>
    </row>
    <row r="1566" spans="4:12" s="348" customFormat="1" ht="12.75" hidden="1" customHeight="1" outlineLevel="2" x14ac:dyDescent="0.2">
      <c r="D1566" s="785" t="str">
        <f>Price_List_BA!D346</f>
        <v>Specimen cup with lid and label - 100 cc (TZ)</v>
      </c>
      <c r="E1566" s="786"/>
      <c r="F1566" s="786"/>
      <c r="G1566" s="786"/>
      <c r="J1566" s="668" t="str">
        <f>Price_List_BA!J346</f>
        <v>cup with lid</v>
      </c>
      <c r="L1566" s="127">
        <f>Price_List_BA!L346</f>
        <v>6.25E-2</v>
      </c>
    </row>
    <row r="1567" spans="4:12" s="348" customFormat="1" ht="12.75" hidden="1" customHeight="1" outlineLevel="2" x14ac:dyDescent="0.2">
      <c r="D1567" s="785" t="str">
        <f>Price_List_BA!D347</f>
        <v>Surgical Apron (ZM)</v>
      </c>
      <c r="E1567" s="786"/>
      <c r="F1567" s="786"/>
      <c r="G1567" s="786"/>
      <c r="J1567" s="668" t="str">
        <f>Price_List_BA!J347</f>
        <v>apron</v>
      </c>
      <c r="L1567" s="127">
        <f>Price_List_BA!L347</f>
        <v>0.10705000000000001</v>
      </c>
    </row>
    <row r="1568" spans="4:12" s="348" customFormat="1" ht="12.75" hidden="1" customHeight="1" outlineLevel="2" x14ac:dyDescent="0.2">
      <c r="D1568" s="785" t="str">
        <f>Price_List_BA!D348</f>
        <v>Suxamethonium (ZM)</v>
      </c>
      <c r="E1568" s="786"/>
      <c r="F1568" s="786"/>
      <c r="G1568" s="786"/>
      <c r="J1568" s="668" t="str">
        <f>Price_List_BA!J348</f>
        <v>SU</v>
      </c>
      <c r="L1568" s="127">
        <f>Price_List_BA!L348</f>
        <v>0</v>
      </c>
    </row>
    <row r="1569" spans="4:12" s="348" customFormat="1" ht="12.75" hidden="1" customHeight="1" outlineLevel="2" x14ac:dyDescent="0.2">
      <c r="D1569" s="785" t="str">
        <f>Price_List_BA!D349</f>
        <v>Syringe - 2cc (ZM)</v>
      </c>
      <c r="E1569" s="786"/>
      <c r="F1569" s="786"/>
      <c r="G1569" s="786"/>
      <c r="J1569" s="668" t="str">
        <f>Price_List_BA!J349</f>
        <v>syringe</v>
      </c>
      <c r="L1569" s="127">
        <f>Price_List_BA!L349</f>
        <v>1.9598999999999998E-2</v>
      </c>
    </row>
    <row r="1570" spans="4:12" s="348" customFormat="1" ht="12.75" hidden="1" customHeight="1" outlineLevel="2" x14ac:dyDescent="0.2">
      <c r="D1570" s="785" t="str">
        <f>Price_List_BA!D350</f>
        <v>Syringe - 2ml (UG)</v>
      </c>
      <c r="E1570" s="786"/>
      <c r="F1570" s="786"/>
      <c r="G1570" s="786"/>
      <c r="J1570" s="668" t="str">
        <f>Price_List_BA!J350</f>
        <v>syringe</v>
      </c>
      <c r="L1570" s="127">
        <f>Price_List_BA!L350</f>
        <v>6.4910938695224574E-2</v>
      </c>
    </row>
    <row r="1571" spans="4:12" s="348" customFormat="1" ht="12.75" hidden="1" customHeight="1" outlineLevel="2" x14ac:dyDescent="0.2">
      <c r="D1571" s="785" t="str">
        <f>Price_List_BA!D351</f>
        <v>Syringe, 10 cc with needle (ZM)</v>
      </c>
      <c r="E1571" s="786"/>
      <c r="F1571" s="786"/>
      <c r="G1571" s="786"/>
      <c r="J1571" s="668" t="str">
        <f>Price_List_BA!J351</f>
        <v>syringe w/needle</v>
      </c>
      <c r="L1571" s="127">
        <f>Price_List_BA!L351</f>
        <v>2.4021000000000001E-2</v>
      </c>
    </row>
    <row r="1572" spans="4:12" s="348" customFormat="1" ht="12.75" hidden="1" customHeight="1" outlineLevel="2" x14ac:dyDescent="0.2">
      <c r="D1572" s="785" t="str">
        <f>Price_List_BA!D352</f>
        <v>Syringe, 5 cc with needle (ZM)</v>
      </c>
      <c r="E1572" s="786"/>
      <c r="F1572" s="786"/>
      <c r="G1572" s="786"/>
      <c r="J1572" s="668" t="str">
        <f>Price_List_BA!J352</f>
        <v>syringe w/needle</v>
      </c>
      <c r="L1572" s="127">
        <f>Price_List_BA!L352</f>
        <v>1.4752000000000001E-2</v>
      </c>
    </row>
    <row r="1573" spans="4:12" s="348" customFormat="1" ht="12.75" hidden="1" customHeight="1" outlineLevel="2" x14ac:dyDescent="0.2">
      <c r="D1573" s="785" t="str">
        <f>Price_List_BA!D353</f>
        <v>Syringes, 10 cc with needle (TZ)</v>
      </c>
      <c r="E1573" s="786"/>
      <c r="F1573" s="786"/>
      <c r="G1573" s="786"/>
      <c r="J1573" s="668" t="str">
        <f>Price_List_BA!J353</f>
        <v>one piece</v>
      </c>
      <c r="L1573" s="127">
        <f>Price_List_BA!L353</f>
        <v>6.25E-2</v>
      </c>
    </row>
    <row r="1574" spans="4:12" s="348" customFormat="1" ht="12.75" hidden="1" customHeight="1" outlineLevel="2" x14ac:dyDescent="0.2">
      <c r="D1574" s="785" t="str">
        <f>Price_List_BA!D354</f>
        <v>Syringes, 5 cc with needle (TZ)</v>
      </c>
      <c r="E1574" s="786"/>
      <c r="F1574" s="786"/>
      <c r="G1574" s="786"/>
      <c r="J1574" s="668" t="str">
        <f>Price_List_BA!J354</f>
        <v>1 syringe with needle</v>
      </c>
      <c r="L1574" s="127">
        <f>Price_List_BA!L354</f>
        <v>4.3749999999999997E-2</v>
      </c>
    </row>
    <row r="1575" spans="4:12" s="348" customFormat="1" ht="12.75" hidden="1" customHeight="1" outlineLevel="2" x14ac:dyDescent="0.2">
      <c r="D1575" s="785" t="str">
        <f>Price_List_BA!D355</f>
        <v>Syringes, Dental, 25 gauge (ZM)</v>
      </c>
      <c r="E1575" s="786"/>
      <c r="F1575" s="786"/>
      <c r="G1575" s="786"/>
      <c r="J1575" s="668" t="str">
        <f>Price_List_BA!J355</f>
        <v>one syringe</v>
      </c>
      <c r="L1575" s="127">
        <f>Price_List_BA!L355</f>
        <v>0.48200000000000004</v>
      </c>
    </row>
    <row r="1576" spans="4:12" s="348" customFormat="1" ht="12.75" hidden="1" customHeight="1" outlineLevel="2" x14ac:dyDescent="0.2">
      <c r="D1576" s="785" t="str">
        <f>Price_List_BA!D356</f>
        <v>Thiopentone,500mg vial (ZM)</v>
      </c>
      <c r="E1576" s="786"/>
      <c r="F1576" s="786"/>
      <c r="G1576" s="786"/>
      <c r="J1576" s="668" t="str">
        <f>Price_List_BA!J356</f>
        <v>SU</v>
      </c>
      <c r="L1576" s="127">
        <f>Price_List_BA!L356</f>
        <v>0</v>
      </c>
    </row>
    <row r="1577" spans="4:12" s="348" customFormat="1" ht="12.75" hidden="1" customHeight="1" outlineLevel="2" x14ac:dyDescent="0.2">
      <c r="D1577" s="785" t="str">
        <f>Price_List_BA!D357</f>
        <v>Toilet Tissues (roll) – 500 sheets (ZM)</v>
      </c>
      <c r="E1577" s="786"/>
      <c r="F1577" s="786"/>
      <c r="G1577" s="786"/>
      <c r="J1577" s="668" t="str">
        <f>Price_List_BA!J357</f>
        <v>10 sheets</v>
      </c>
      <c r="L1577" s="127">
        <f>Price_List_BA!L357</f>
        <v>8.4000000000000012E-3</v>
      </c>
    </row>
    <row r="1578" spans="4:12" s="348" customFormat="1" ht="12.75" hidden="1" customHeight="1" outlineLevel="2" x14ac:dyDescent="0.2">
      <c r="D1578" s="785" t="str">
        <f>Price_List_BA!D358</f>
        <v>Tramadol (50mg)  (ZM)</v>
      </c>
      <c r="E1578" s="786"/>
      <c r="F1578" s="786"/>
      <c r="G1578" s="786"/>
      <c r="J1578" s="668" t="str">
        <f>Price_List_BA!J358</f>
        <v>tablet</v>
      </c>
      <c r="L1578" s="127">
        <f>Price_List_BA!L358</f>
        <v>1.0829E-2</v>
      </c>
    </row>
    <row r="1579" spans="4:12" s="348" customFormat="1" ht="12.75" hidden="1" customHeight="1" outlineLevel="2" x14ac:dyDescent="0.2">
      <c r="D1579" s="785" t="str">
        <f>Price_List_BA!D359</f>
        <v>Tramadol (50mg) (TZ)</v>
      </c>
      <c r="E1579" s="786"/>
      <c r="F1579" s="786"/>
      <c r="G1579" s="786"/>
      <c r="J1579" s="668" t="str">
        <f>Price_List_BA!J359</f>
        <v>one tablet</v>
      </c>
      <c r="L1579" s="127">
        <f>Price_List_BA!L359</f>
        <v>5.7750000000000003E-2</v>
      </c>
    </row>
    <row r="1580" spans="4:12" s="348" customFormat="1" ht="12.75" hidden="1" customHeight="1" outlineLevel="2" x14ac:dyDescent="0.2">
      <c r="D1580" s="785" t="str">
        <f>Price_List_BA!D360</f>
        <v>Tubes - Endotrach (ZM)</v>
      </c>
      <c r="E1580" s="786"/>
      <c r="F1580" s="786"/>
      <c r="G1580" s="786"/>
      <c r="J1580" s="668" t="str">
        <f>Price_List_BA!J360</f>
        <v>SU</v>
      </c>
      <c r="L1580" s="127">
        <f>Price_List_BA!L360</f>
        <v>0</v>
      </c>
    </row>
    <row r="1581" spans="4:12" s="348" customFormat="1" ht="12.75" hidden="1" customHeight="1" outlineLevel="2" x14ac:dyDescent="0.2">
      <c r="D1581" s="785" t="str">
        <f>Price_List_BA!D361</f>
        <v>Urine Bag (ZM)</v>
      </c>
      <c r="E1581" s="786"/>
      <c r="F1581" s="786"/>
      <c r="G1581" s="786"/>
      <c r="J1581" s="668" t="str">
        <f>Price_List_BA!J361</f>
        <v>bag</v>
      </c>
      <c r="L1581" s="127">
        <f>Price_List_BA!L361</f>
        <v>0.25979099999999999</v>
      </c>
    </row>
    <row r="1582" spans="4:12" s="348" customFormat="1" ht="12.75" hidden="1" customHeight="1" outlineLevel="2" x14ac:dyDescent="0.2">
      <c r="D1582" s="785" t="str">
        <f>Price_List_BA!D362</f>
        <v>Urine Bag (TZ)</v>
      </c>
      <c r="E1582" s="786"/>
      <c r="F1582" s="786"/>
      <c r="G1582" s="786"/>
      <c r="J1582" s="668" t="str">
        <f>Price_List_BA!J362</f>
        <v>one bag</v>
      </c>
      <c r="L1582" s="127">
        <f>Price_List_BA!L362</f>
        <v>0.21249999999999999</v>
      </c>
    </row>
    <row r="1583" spans="4:12" s="348" customFormat="1" ht="12.75" hidden="1" customHeight="1" outlineLevel="2" x14ac:dyDescent="0.2">
      <c r="D1583" s="785" t="str">
        <f>Price_List_BA!D363</f>
        <v>Washing powder (ZM)</v>
      </c>
      <c r="E1583" s="786"/>
      <c r="F1583" s="786"/>
      <c r="G1583" s="786"/>
      <c r="J1583" s="668" t="str">
        <f>Price_List_BA!J363</f>
        <v>gram</v>
      </c>
      <c r="L1583" s="127">
        <f>Price_List_BA!L363</f>
        <v>3.0000000000000001E-3</v>
      </c>
    </row>
    <row r="1584" spans="4:12" s="348" customFormat="1" ht="12.75" hidden="1" customHeight="1" outlineLevel="2" x14ac:dyDescent="0.2">
      <c r="D1584" s="785" t="str">
        <f>Price_List_BA!D364</f>
        <v>Wire electrode (UG)</v>
      </c>
      <c r="E1584" s="786"/>
      <c r="F1584" s="786"/>
      <c r="G1584" s="786"/>
      <c r="J1584" s="668" t="str">
        <f>Price_List_BA!J364</f>
        <v>electrode</v>
      </c>
      <c r="L1584" s="127">
        <f>Price_List_BA!L364</f>
        <v>9</v>
      </c>
    </row>
    <row r="1585" spans="4:12" s="348" customFormat="1" ht="12.75" hidden="1" customHeight="1" outlineLevel="2" x14ac:dyDescent="0.2">
      <c r="D1585" s="785" t="str">
        <f>Price_List_BA!D365</f>
        <v>Wood stick (ZM)</v>
      </c>
      <c r="E1585" s="786"/>
      <c r="F1585" s="786"/>
      <c r="G1585" s="786"/>
      <c r="J1585" s="668" t="str">
        <f>Price_List_BA!J365</f>
        <v>stick</v>
      </c>
      <c r="L1585" s="127">
        <f>Price_List_BA!L365</f>
        <v>2.0052E-3</v>
      </c>
    </row>
    <row r="1586" spans="4:12" s="348" customFormat="1" ht="12.75" hidden="1" customHeight="1" outlineLevel="2" x14ac:dyDescent="0.2">
      <c r="D1586" s="785" t="str">
        <f>Price_List_BA!D366</f>
        <v>Wood stick (TZ)</v>
      </c>
      <c r="E1586" s="786"/>
      <c r="F1586" s="786"/>
      <c r="G1586" s="786"/>
      <c r="J1586" s="668" t="str">
        <f>Price_List_BA!J366</f>
        <v>one stick</v>
      </c>
      <c r="L1586" s="127">
        <f>Price_List_BA!L366</f>
        <v>1.2500000000000001E-2</v>
      </c>
    </row>
    <row r="1587" spans="4:12" s="348" customFormat="1" ht="12.75" hidden="1" customHeight="1" outlineLevel="2" x14ac:dyDescent="0.2">
      <c r="D1587" s="785" t="str">
        <f>Price_List_BA!D367</f>
        <v>Supplies Category 158</v>
      </c>
      <c r="E1587" s="786"/>
      <c r="F1587" s="786"/>
      <c r="G1587" s="786"/>
      <c r="J1587" s="668" t="str">
        <f>Price_List_BA!J367</f>
        <v>SU</v>
      </c>
      <c r="L1587" s="127">
        <f>Price_List_BA!L367</f>
        <v>0</v>
      </c>
    </row>
    <row r="1588" spans="4:12" s="348" customFormat="1" ht="12.75" hidden="1" customHeight="1" outlineLevel="2" x14ac:dyDescent="0.2">
      <c r="D1588" s="785" t="str">
        <f>Price_List_BA!D368</f>
        <v>Supplies Category 159</v>
      </c>
      <c r="E1588" s="786"/>
      <c r="F1588" s="786"/>
      <c r="G1588" s="786"/>
      <c r="J1588" s="668" t="str">
        <f>Price_List_BA!J368</f>
        <v>SU</v>
      </c>
      <c r="L1588" s="127">
        <f>Price_List_BA!L368</f>
        <v>0</v>
      </c>
    </row>
    <row r="1589" spans="4:12" s="348" customFormat="1" ht="12.75" hidden="1" customHeight="1" outlineLevel="2" x14ac:dyDescent="0.2">
      <c r="D1589" s="785" t="str">
        <f>Price_List_BA!D369</f>
        <v>Supplies Category 160</v>
      </c>
      <c r="E1589" s="786"/>
      <c r="F1589" s="786"/>
      <c r="G1589" s="786"/>
      <c r="J1589" s="668" t="str">
        <f>Price_List_BA!J369</f>
        <v>SU</v>
      </c>
      <c r="L1589" s="127">
        <f>Price_List_BA!L369</f>
        <v>0</v>
      </c>
    </row>
    <row r="1590" spans="4:12" s="348" customFormat="1" ht="12.75" hidden="1" customHeight="1" outlineLevel="2" x14ac:dyDescent="0.2">
      <c r="D1590" s="785" t="str">
        <f>Price_List_BA!D370</f>
        <v>Supplies Category 161</v>
      </c>
      <c r="E1590" s="786"/>
      <c r="F1590" s="786"/>
      <c r="G1590" s="786"/>
      <c r="J1590" s="668" t="str">
        <f>Price_List_BA!J370</f>
        <v>SU</v>
      </c>
      <c r="L1590" s="127">
        <f>Price_List_BA!L370</f>
        <v>0</v>
      </c>
    </row>
    <row r="1591" spans="4:12" s="348" customFormat="1" ht="12.75" hidden="1" customHeight="1" outlineLevel="2" x14ac:dyDescent="0.2">
      <c r="D1591" s="785" t="str">
        <f>Price_List_BA!D371</f>
        <v>Supplies Category 162</v>
      </c>
      <c r="E1591" s="786"/>
      <c r="F1591" s="786"/>
      <c r="G1591" s="786"/>
      <c r="J1591" s="668" t="str">
        <f>Price_List_BA!J371</f>
        <v>SU</v>
      </c>
      <c r="L1591" s="127">
        <f>Price_List_BA!L371</f>
        <v>0</v>
      </c>
    </row>
    <row r="1592" spans="4:12" s="348" customFormat="1" ht="12.75" hidden="1" customHeight="1" outlineLevel="2" x14ac:dyDescent="0.2">
      <c r="D1592" s="785" t="str">
        <f>Price_List_BA!D372</f>
        <v>Supplies Category 163</v>
      </c>
      <c r="E1592" s="786"/>
      <c r="F1592" s="786"/>
      <c r="G1592" s="786"/>
      <c r="J1592" s="668" t="str">
        <f>Price_List_BA!J372</f>
        <v>SU</v>
      </c>
      <c r="L1592" s="127">
        <f>Price_List_BA!L372</f>
        <v>0</v>
      </c>
    </row>
    <row r="1593" spans="4:12" s="348" customFormat="1" ht="12.75" hidden="1" customHeight="1" outlineLevel="2" x14ac:dyDescent="0.2">
      <c r="D1593" s="785" t="str">
        <f>Price_List_BA!D373</f>
        <v>Other Supply (Specify)</v>
      </c>
      <c r="E1593" s="786"/>
      <c r="F1593" s="786"/>
      <c r="G1593" s="786"/>
      <c r="J1593" s="668" t="str">
        <f>Price_List_BA!J373</f>
        <v>SU</v>
      </c>
      <c r="L1593" s="127">
        <f>Price_List_BA!L373</f>
        <v>0</v>
      </c>
    </row>
    <row r="1594" spans="4:12" s="348" customFormat="1" ht="12.75" hidden="1" customHeight="1" outlineLevel="2" x14ac:dyDescent="0.2">
      <c r="D1594" s="785" t="str">
        <f>Price_List_BA!D374</f>
        <v>Other Supply (Specify)</v>
      </c>
      <c r="E1594" s="786"/>
      <c r="F1594" s="786"/>
      <c r="G1594" s="786"/>
      <c r="J1594" s="668" t="str">
        <f>Price_List_BA!J374</f>
        <v>SU</v>
      </c>
      <c r="L1594" s="127">
        <f>Price_List_BA!L374</f>
        <v>0</v>
      </c>
    </row>
    <row r="1595" spans="4:12" s="348" customFormat="1" ht="12.75" hidden="1" customHeight="1" outlineLevel="2" x14ac:dyDescent="0.2">
      <c r="D1595" s="785" t="str">
        <f>Price_List_BA!D375</f>
        <v>Other Supply (Specify)</v>
      </c>
      <c r="E1595" s="786"/>
      <c r="F1595" s="786"/>
      <c r="G1595" s="786"/>
      <c r="J1595" s="668" t="str">
        <f>Price_List_BA!J375</f>
        <v>SU</v>
      </c>
      <c r="L1595" s="127">
        <f>Price_List_BA!L375</f>
        <v>0</v>
      </c>
    </row>
    <row r="1596" spans="4:12" s="348" customFormat="1" ht="12.95" hidden="1" customHeight="1" outlineLevel="2" x14ac:dyDescent="0.2">
      <c r="D1596" s="785" t="str">
        <f>Price_List_BA!D376</f>
        <v>Other Supply (Specify)</v>
      </c>
      <c r="E1596" s="786"/>
      <c r="F1596" s="786"/>
      <c r="G1596" s="786"/>
      <c r="J1596" s="668" t="str">
        <f>Price_List_BA!J376</f>
        <v>SU</v>
      </c>
      <c r="L1596" s="127">
        <f>Price_List_BA!L376</f>
        <v>0</v>
      </c>
    </row>
    <row r="1597" spans="4:12" s="348" customFormat="1" hidden="1" outlineLevel="2" x14ac:dyDescent="0.2"/>
    <row r="1598" spans="4:12" s="348" customFormat="1" ht="25.5" hidden="1" outlineLevel="2" x14ac:dyDescent="0.2">
      <c r="D1598" s="667" t="s">
        <v>313</v>
      </c>
      <c r="J1598" s="365" t="str">
        <f>"Cost per Unit ("&amp;$I$1361&amp;"/Unit)"</f>
        <v>Cost per Unit (USD/Unit)</v>
      </c>
      <c r="K1598" s="365" t="str">
        <f>"Annual Financial Cost ("&amp;$I$1361&amp;"/Unit)"</f>
        <v>Annual Financial Cost (USD/Unit)</v>
      </c>
      <c r="L1598" s="312" t="str">
        <f>"Annual Economic Cost ("&amp;$I$1361&amp;"/Unit)"</f>
        <v>Annual Economic Cost (USD/Unit)</v>
      </c>
    </row>
    <row r="1599" spans="4:12" s="348" customFormat="1" ht="12.75" hidden="1" customHeight="1" outlineLevel="2" x14ac:dyDescent="0.2">
      <c r="D1599" s="785" t="str">
        <f>Price_List_BA!D84</f>
        <v>_Not Applicable</v>
      </c>
      <c r="E1599" s="786"/>
      <c r="F1599" s="786"/>
      <c r="G1599" s="786"/>
      <c r="J1599" s="127">
        <f>Price_List_BA!L84</f>
        <v>0</v>
      </c>
      <c r="K1599" s="127">
        <f>Price_List_BA!O84</f>
        <v>0</v>
      </c>
      <c r="L1599" s="127">
        <f>Price_List_BA!P84</f>
        <v>0</v>
      </c>
    </row>
    <row r="1600" spans="4:12" s="348" customFormat="1" ht="12.75" hidden="1" customHeight="1" outlineLevel="2" x14ac:dyDescent="0.2">
      <c r="D1600" s="785" t="str">
        <f>Price_List_BA!D85</f>
        <v>Aluminum pail with lid (TZ)</v>
      </c>
      <c r="E1600" s="786"/>
      <c r="F1600" s="786"/>
      <c r="G1600" s="786"/>
      <c r="J1600" s="127">
        <f>Price_List_BA!L85</f>
        <v>11.25</v>
      </c>
      <c r="K1600" s="127">
        <f>Price_List_BA!O85</f>
        <v>1.125</v>
      </c>
      <c r="L1600" s="127">
        <f>Price_List_BA!P85</f>
        <v>1.3188431993080456</v>
      </c>
    </row>
    <row r="1601" spans="4:12" s="348" customFormat="1" ht="12.75" hidden="1" customHeight="1" outlineLevel="2" x14ac:dyDescent="0.2">
      <c r="D1601" s="785" t="str">
        <f>Price_List_BA!D86</f>
        <v>Autoclaving Machine (ZM)</v>
      </c>
      <c r="E1601" s="786"/>
      <c r="F1601" s="786"/>
      <c r="G1601" s="786"/>
      <c r="J1601" s="127">
        <f>Price_List_BA!L86</f>
        <v>5610</v>
      </c>
      <c r="K1601" s="127">
        <f>Price_List_BA!O86</f>
        <v>2805</v>
      </c>
      <c r="L1601" s="127">
        <f>Price_List_BA!P86</f>
        <v>2931.8467980295582</v>
      </c>
    </row>
    <row r="1602" spans="4:12" s="348" customFormat="1" hidden="1" outlineLevel="2" x14ac:dyDescent="0.2">
      <c r="D1602" s="785" t="str">
        <f>Price_List_BA!D87</f>
        <v>Ball electrode  5mm/Ellman (ZM)</v>
      </c>
      <c r="E1602" s="786"/>
      <c r="F1602" s="786"/>
      <c r="G1602" s="786"/>
      <c r="J1602" s="127">
        <f>Price_List_BA!L87</f>
        <v>37.200000000000003</v>
      </c>
      <c r="K1602" s="127">
        <f>Price_List_BA!O87</f>
        <v>37.200000000000003</v>
      </c>
      <c r="L1602" s="127">
        <f>Price_List_BA!P87</f>
        <v>38.315999999999967</v>
      </c>
    </row>
    <row r="1603" spans="4:12" s="348" customFormat="1" ht="12.75" hidden="1" customHeight="1" outlineLevel="2" x14ac:dyDescent="0.2">
      <c r="D1603" s="785" t="str">
        <f>Price_List_BA!D88</f>
        <v>Basin (for examination couch) (ZM)</v>
      </c>
      <c r="E1603" s="786"/>
      <c r="F1603" s="786"/>
      <c r="G1603" s="786"/>
      <c r="J1603" s="127">
        <f>Price_List_BA!L88</f>
        <v>2</v>
      </c>
      <c r="K1603" s="127">
        <f>Price_List_BA!O88</f>
        <v>1</v>
      </c>
      <c r="L1603" s="127">
        <f>Price_List_BA!P88</f>
        <v>1.0452216748768479</v>
      </c>
    </row>
    <row r="1604" spans="4:12" s="348" customFormat="1" ht="12.75" hidden="1" customHeight="1" outlineLevel="2" x14ac:dyDescent="0.2">
      <c r="D1604" s="785" t="str">
        <f>Price_List_BA!D89</f>
        <v>Battery Charger (ZM)</v>
      </c>
      <c r="E1604" s="786"/>
      <c r="F1604" s="786"/>
      <c r="G1604" s="786"/>
      <c r="J1604" s="127">
        <f>Price_List_BA!L89</f>
        <v>50</v>
      </c>
      <c r="K1604" s="127">
        <f>Price_List_BA!O89</f>
        <v>16.666666666666668</v>
      </c>
      <c r="L1604" s="127">
        <f>Price_List_BA!P89</f>
        <v>17.676518166229901</v>
      </c>
    </row>
    <row r="1605" spans="4:12" s="348" customFormat="1" ht="12.75" hidden="1" customHeight="1" outlineLevel="2" x14ac:dyDescent="0.2">
      <c r="D1605" s="785" t="str">
        <f>Price_List_BA!D90</f>
        <v>Bucket (UG)</v>
      </c>
      <c r="E1605" s="786"/>
      <c r="F1605" s="786"/>
      <c r="G1605" s="786"/>
      <c r="J1605" s="127">
        <f>Price_List_BA!L90</f>
        <v>42.303199999999997</v>
      </c>
      <c r="K1605" s="127">
        <f>Price_List_BA!O90</f>
        <v>4.2303199999999999</v>
      </c>
      <c r="L1605" s="127">
        <f>Price_List_BA!P90</f>
        <v>4.9592255670193879</v>
      </c>
    </row>
    <row r="1606" spans="4:12" s="348" customFormat="1" ht="12.75" hidden="1" customHeight="1" outlineLevel="2" x14ac:dyDescent="0.2">
      <c r="D1606" s="785" t="str">
        <f>Price_List_BA!D91</f>
        <v>Bucket 20Lt plastic with lid (ZM)</v>
      </c>
      <c r="E1606" s="786"/>
      <c r="F1606" s="786"/>
      <c r="G1606" s="786"/>
      <c r="J1606" s="127">
        <f>Price_List_BA!L91</f>
        <v>4</v>
      </c>
      <c r="K1606" s="127">
        <f>Price_List_BA!O91</f>
        <v>0.8</v>
      </c>
      <c r="L1606" s="127">
        <f>Price_List_BA!P91</f>
        <v>0.87341828560230483</v>
      </c>
    </row>
    <row r="1607" spans="4:12" s="348" customFormat="1" ht="12.95" hidden="1" customHeight="1" outlineLevel="2" x14ac:dyDescent="0.2">
      <c r="D1607" s="785" t="str">
        <f>Price_List_BA!D92</f>
        <v>Camera Rechargeable batteries ( set of 6) (ZM)</v>
      </c>
      <c r="E1607" s="786"/>
      <c r="F1607" s="786"/>
      <c r="G1607" s="786"/>
      <c r="J1607" s="127">
        <f>Price_List_BA!L92</f>
        <v>20</v>
      </c>
      <c r="K1607" s="127">
        <f>Price_List_BA!O92</f>
        <v>2</v>
      </c>
      <c r="L1607" s="127">
        <f>Price_List_BA!P92</f>
        <v>2.3446101321031922</v>
      </c>
    </row>
    <row r="1608" spans="4:12" s="348" customFormat="1" ht="12.75" hidden="1" customHeight="1" outlineLevel="2" x14ac:dyDescent="0.2">
      <c r="D1608" s="785" t="str">
        <f>Price_List_BA!D93</f>
        <v>Card Reader (ZM)</v>
      </c>
      <c r="E1608" s="786"/>
      <c r="F1608" s="786"/>
      <c r="G1608" s="786"/>
      <c r="J1608" s="127">
        <f>Price_List_BA!L93</f>
        <v>40</v>
      </c>
      <c r="K1608" s="127">
        <f>Price_List_BA!O93</f>
        <v>20</v>
      </c>
      <c r="L1608" s="127">
        <f>Price_List_BA!P93</f>
        <v>20.904433497536957</v>
      </c>
    </row>
    <row r="1609" spans="4:12" s="348" customFormat="1" ht="12.75" hidden="1" customHeight="1" outlineLevel="2" x14ac:dyDescent="0.2">
      <c r="D1609" s="785" t="str">
        <f>Price_List_BA!D94</f>
        <v>CareHPV Machine (kit set) (ZM)</v>
      </c>
      <c r="E1609" s="786"/>
      <c r="F1609" s="786"/>
      <c r="G1609" s="786"/>
      <c r="J1609" s="127">
        <f>Price_List_BA!L94</f>
        <v>150</v>
      </c>
      <c r="K1609" s="127">
        <f>Price_List_BA!O94</f>
        <v>16.666666666666668</v>
      </c>
      <c r="L1609" s="127">
        <f>Price_List_BA!P94</f>
        <v>19.265078552715515</v>
      </c>
    </row>
    <row r="1610" spans="4:12" s="348" customFormat="1" ht="12.75" hidden="1" customHeight="1" outlineLevel="2" x14ac:dyDescent="0.2">
      <c r="D1610" s="785" t="str">
        <f>Price_List_BA!D95</f>
        <v>CareHPV Machine (kit)  (TZ)</v>
      </c>
      <c r="E1610" s="786"/>
      <c r="F1610" s="786"/>
      <c r="G1610" s="786"/>
      <c r="J1610" s="127">
        <f>Price_List_BA!L95</f>
        <v>1000</v>
      </c>
      <c r="K1610" s="127">
        <f>Price_List_BA!O95</f>
        <v>500</v>
      </c>
      <c r="L1610" s="127">
        <f>Price_List_BA!P95</f>
        <v>522.61083743842391</v>
      </c>
    </row>
    <row r="1611" spans="4:12" s="348" customFormat="1" ht="12.75" hidden="1" customHeight="1" outlineLevel="2" x14ac:dyDescent="0.2">
      <c r="D1611" s="785" t="str">
        <f>Price_List_BA!D96</f>
        <v>Cauterizer (ZM)</v>
      </c>
      <c r="E1611" s="786"/>
      <c r="F1611" s="786"/>
      <c r="G1611" s="786"/>
      <c r="J1611" s="127">
        <f>Price_List_BA!L96</f>
        <v>100</v>
      </c>
      <c r="K1611" s="127">
        <f>Price_List_BA!O96</f>
        <v>10</v>
      </c>
      <c r="L1611" s="127">
        <f>Price_List_BA!P96</f>
        <v>11.723050660515961</v>
      </c>
    </row>
    <row r="1612" spans="4:12" s="348" customFormat="1" ht="12.75" hidden="1" customHeight="1" outlineLevel="2" x14ac:dyDescent="0.2">
      <c r="D1612" s="785" t="str">
        <f>Price_List_BA!D97</f>
        <v>Cauterizer  (TZ)</v>
      </c>
      <c r="E1612" s="786"/>
      <c r="F1612" s="786"/>
      <c r="G1612" s="786"/>
      <c r="J1612" s="127">
        <f>Price_List_BA!L97</f>
        <v>18.75</v>
      </c>
      <c r="K1612" s="127">
        <f>Price_List_BA!O97</f>
        <v>3.75</v>
      </c>
      <c r="L1612" s="127">
        <f>Price_List_BA!P97</f>
        <v>4.0941482137608034</v>
      </c>
    </row>
    <row r="1613" spans="4:12" s="348" customFormat="1" hidden="1" outlineLevel="2" x14ac:dyDescent="0.2">
      <c r="D1613" s="785" t="str">
        <f>Price_List_BA!D98</f>
        <v>Cervical Cold Coagulator with Instrument Cable and Therapy Probe (ZM)</v>
      </c>
      <c r="E1613" s="786"/>
      <c r="F1613" s="786"/>
      <c r="G1613" s="786"/>
      <c r="J1613" s="127">
        <f>Price_List_BA!L98</f>
        <v>2367</v>
      </c>
      <c r="K1613" s="127">
        <f>Price_List_BA!O98</f>
        <v>473.4</v>
      </c>
      <c r="L1613" s="127">
        <f>Price_List_BA!P98</f>
        <v>516.84527050516385</v>
      </c>
    </row>
    <row r="1614" spans="4:12" s="348" customFormat="1" ht="12.75" hidden="1" customHeight="1" outlineLevel="2" x14ac:dyDescent="0.2">
      <c r="D1614" s="785" t="str">
        <f>Price_List_BA!D99</f>
        <v>Chair (ZM)</v>
      </c>
      <c r="E1614" s="786"/>
      <c r="F1614" s="786"/>
      <c r="G1614" s="786"/>
      <c r="J1614" s="127">
        <f>Price_List_BA!L99</f>
        <v>80</v>
      </c>
      <c r="K1614" s="127">
        <f>Price_List_BA!O99</f>
        <v>20</v>
      </c>
      <c r="L1614" s="127">
        <f>Price_List_BA!P99</f>
        <v>21.522163615446605</v>
      </c>
    </row>
    <row r="1615" spans="4:12" s="348" customFormat="1" ht="12.75" hidden="1" customHeight="1" outlineLevel="2" x14ac:dyDescent="0.2">
      <c r="D1615" s="785" t="str">
        <f>Price_List_BA!D100</f>
        <v>Cheetal forceps (UG)</v>
      </c>
      <c r="E1615" s="786"/>
      <c r="F1615" s="786"/>
      <c r="G1615" s="786"/>
      <c r="J1615" s="127">
        <f>Price_List_BA!L100</f>
        <v>8.1560000000000006</v>
      </c>
      <c r="K1615" s="127">
        <f>Price_List_BA!O100</f>
        <v>4.0780000000000003</v>
      </c>
      <c r="L1615" s="127">
        <f>Price_List_BA!P100</f>
        <v>4.2624139901477864</v>
      </c>
    </row>
    <row r="1616" spans="4:12" s="348" customFormat="1" ht="12.75" hidden="1" customHeight="1" outlineLevel="2" x14ac:dyDescent="0.2">
      <c r="D1616" s="785" t="str">
        <f>Price_List_BA!D101</f>
        <v>Colposcope (set) (ZM)</v>
      </c>
      <c r="E1616" s="786"/>
      <c r="F1616" s="786"/>
      <c r="G1616" s="786"/>
      <c r="J1616" s="127">
        <f>Price_List_BA!L101</f>
        <v>10000</v>
      </c>
      <c r="K1616" s="127">
        <f>Price_List_BA!O101</f>
        <v>1428.5714285714287</v>
      </c>
      <c r="L1616" s="127">
        <f>Price_List_BA!P101</f>
        <v>1605.0635375427203</v>
      </c>
    </row>
    <row r="1617" spans="4:12" s="348" customFormat="1" ht="12.75" hidden="1" customHeight="1" outlineLevel="2" x14ac:dyDescent="0.2">
      <c r="D1617" s="785" t="str">
        <f>Price_List_BA!D102</f>
        <v>Colposcope (UG)</v>
      </c>
      <c r="E1617" s="786"/>
      <c r="F1617" s="786"/>
      <c r="G1617" s="786"/>
      <c r="J1617" s="127">
        <f>Price_List_BA!L102</f>
        <v>3100</v>
      </c>
      <c r="K1617" s="127">
        <f>Price_List_BA!O102</f>
        <v>620</v>
      </c>
      <c r="L1617" s="127">
        <f>Price_List_BA!P102</f>
        <v>676.8991713417862</v>
      </c>
    </row>
    <row r="1618" spans="4:12" s="348" customFormat="1" ht="12.95" hidden="1" customHeight="1" outlineLevel="2" x14ac:dyDescent="0.2">
      <c r="D1618" s="785" t="str">
        <f>Price_List_BA!D103</f>
        <v>Colposcopy equipment (TZ)</v>
      </c>
      <c r="E1618" s="786"/>
      <c r="F1618" s="786"/>
      <c r="G1618" s="786"/>
      <c r="J1618" s="127">
        <f>Price_List_BA!L103</f>
        <v>6250</v>
      </c>
      <c r="K1618" s="127">
        <f>Price_List_BA!O103</f>
        <v>625</v>
      </c>
      <c r="L1618" s="127">
        <f>Price_List_BA!P103</f>
        <v>732.69066628224755</v>
      </c>
    </row>
    <row r="1619" spans="4:12" s="348" customFormat="1" ht="12.95" hidden="1" customHeight="1" outlineLevel="2" x14ac:dyDescent="0.2">
      <c r="D1619" s="785" t="str">
        <f>Price_List_BA!D104</f>
        <v>Cryotherapy unit (UG)</v>
      </c>
      <c r="E1619" s="786"/>
      <c r="F1619" s="786"/>
      <c r="G1619" s="786"/>
      <c r="J1619" s="127">
        <f>Price_List_BA!L104</f>
        <v>1091</v>
      </c>
      <c r="K1619" s="127">
        <f>Price_List_BA!O104</f>
        <v>218.2</v>
      </c>
      <c r="L1619" s="127">
        <f>Price_List_BA!P104</f>
        <v>238.22483739802863</v>
      </c>
    </row>
    <row r="1620" spans="4:12" s="348" customFormat="1" ht="12.95" hidden="1" customHeight="1" outlineLevel="2" x14ac:dyDescent="0.2">
      <c r="D1620" s="785" t="str">
        <f>Price_List_BA!D105</f>
        <v>Cryotherapy Unit with cryotips (set) (ZM)</v>
      </c>
      <c r="E1620" s="786"/>
      <c r="F1620" s="786"/>
      <c r="G1620" s="786"/>
      <c r="J1620" s="127">
        <f>Price_List_BA!L105</f>
        <v>500</v>
      </c>
      <c r="K1620" s="127">
        <f>Price_List_BA!O105</f>
        <v>125</v>
      </c>
      <c r="L1620" s="127">
        <f>Price_List_BA!P105</f>
        <v>134.51352259654129</v>
      </c>
    </row>
    <row r="1621" spans="4:12" s="348" customFormat="1" ht="12.95" hidden="1" customHeight="1" outlineLevel="2" x14ac:dyDescent="0.2">
      <c r="D1621" s="785" t="str">
        <f>Price_List_BA!D106</f>
        <v>Cryotherapy Unit with cryotips (TZ)</v>
      </c>
      <c r="E1621" s="786"/>
      <c r="F1621" s="786"/>
      <c r="G1621" s="786"/>
      <c r="J1621" s="127">
        <f>Price_List_BA!L106</f>
        <v>1875</v>
      </c>
      <c r="K1621" s="127">
        <f>Price_List_BA!O106</f>
        <v>187.5</v>
      </c>
      <c r="L1621" s="127">
        <f>Price_List_BA!P106</f>
        <v>219.80719988467428</v>
      </c>
    </row>
    <row r="1622" spans="4:12" s="348" customFormat="1" ht="12.95" hidden="1" customHeight="1" outlineLevel="2" x14ac:dyDescent="0.2">
      <c r="D1622" s="785" t="str">
        <f>Price_List_BA!D107</f>
        <v>Digital Camera (ZM)</v>
      </c>
      <c r="E1622" s="786"/>
      <c r="F1622" s="786"/>
      <c r="G1622" s="786"/>
      <c r="J1622" s="127">
        <f>Price_List_BA!L107</f>
        <v>700</v>
      </c>
      <c r="K1622" s="127">
        <f>Price_List_BA!O107</f>
        <v>77.777777777777771</v>
      </c>
      <c r="L1622" s="127">
        <f>Price_List_BA!P107</f>
        <v>89.903699912672408</v>
      </c>
    </row>
    <row r="1623" spans="4:12" s="348" customFormat="1" ht="12.95" hidden="1" customHeight="1" outlineLevel="2" x14ac:dyDescent="0.2">
      <c r="D1623" s="785" t="str">
        <f>Price_List_BA!D108</f>
        <v>Dissecting forceps – 12.5 cm  (TZ)</v>
      </c>
      <c r="E1623" s="786"/>
      <c r="F1623" s="786"/>
      <c r="G1623" s="786"/>
      <c r="J1623" s="127">
        <f>Price_List_BA!L108</f>
        <v>5.8125</v>
      </c>
      <c r="K1623" s="127">
        <f>Price_List_BA!O108</f>
        <v>0.64583333333333337</v>
      </c>
      <c r="L1623" s="127">
        <f>Price_List_BA!P108</f>
        <v>0.74652179391772622</v>
      </c>
    </row>
    <row r="1624" spans="4:12" s="348" customFormat="1" ht="12.95" hidden="1" customHeight="1" outlineLevel="2" x14ac:dyDescent="0.2">
      <c r="D1624" s="785" t="str">
        <f>Price_List_BA!D109</f>
        <v>Doctor's Stool (ZM)</v>
      </c>
      <c r="E1624" s="786"/>
      <c r="F1624" s="786"/>
      <c r="G1624" s="786"/>
      <c r="J1624" s="127">
        <f>Price_List_BA!L109</f>
        <v>100</v>
      </c>
      <c r="K1624" s="127">
        <f>Price_List_BA!O109</f>
        <v>16.666666666666668</v>
      </c>
      <c r="L1624" s="127">
        <f>Price_List_BA!P109</f>
        <v>18.459750045017728</v>
      </c>
    </row>
    <row r="1625" spans="4:12" s="348" customFormat="1" ht="12.95" hidden="1" customHeight="1" outlineLevel="2" x14ac:dyDescent="0.2">
      <c r="D1625" s="785" t="str">
        <f>Price_List_BA!D110</f>
        <v>Endocervical speculum  (UG)</v>
      </c>
      <c r="E1625" s="786"/>
      <c r="F1625" s="786"/>
      <c r="G1625" s="786"/>
      <c r="J1625" s="127">
        <f>Price_List_BA!L110</f>
        <v>100</v>
      </c>
      <c r="K1625" s="127">
        <f>Price_List_BA!O110</f>
        <v>50</v>
      </c>
      <c r="L1625" s="127">
        <f>Price_List_BA!P110</f>
        <v>52.261083743842391</v>
      </c>
    </row>
    <row r="1626" spans="4:12" s="348" customFormat="1" ht="12.95" hidden="1" customHeight="1" outlineLevel="2" x14ac:dyDescent="0.2">
      <c r="D1626" s="785" t="str">
        <f>Price_List_BA!D111</f>
        <v>Examination bed (UG)</v>
      </c>
      <c r="E1626" s="786"/>
      <c r="F1626" s="786"/>
      <c r="G1626" s="786"/>
      <c r="J1626" s="127">
        <f>Price_List_BA!L111</f>
        <v>197.1369</v>
      </c>
      <c r="K1626" s="127">
        <f>Price_List_BA!O111</f>
        <v>39.427379999999999</v>
      </c>
      <c r="L1626" s="127">
        <f>Price_List_BA!P111</f>
        <v>43.045743306738252</v>
      </c>
    </row>
    <row r="1627" spans="4:12" s="348" customFormat="1" ht="12.95" hidden="1" customHeight="1" outlineLevel="2" x14ac:dyDescent="0.2">
      <c r="D1627" s="785" t="str">
        <f>Price_List_BA!D112</f>
        <v>Examination couch (with Stirrups) (ZM)</v>
      </c>
      <c r="E1627" s="786"/>
      <c r="F1627" s="786"/>
      <c r="G1627" s="786"/>
      <c r="J1627" s="127">
        <f>Price_List_BA!L112</f>
        <v>446.5</v>
      </c>
      <c r="K1627" s="127">
        <f>Price_List_BA!O112</f>
        <v>89.3</v>
      </c>
      <c r="L1627" s="127">
        <f>Price_List_BA!P112</f>
        <v>97.495316130357267</v>
      </c>
    </row>
    <row r="1628" spans="4:12" s="348" customFormat="1" ht="12.95" hidden="1" customHeight="1" outlineLevel="2" x14ac:dyDescent="0.2">
      <c r="D1628" s="785" t="str">
        <f>Price_List_BA!D113</f>
        <v>Examination light (Halogen, no bulb) (ZM)</v>
      </c>
      <c r="E1628" s="786"/>
      <c r="F1628" s="786"/>
      <c r="G1628" s="786"/>
      <c r="J1628" s="127">
        <f>Price_List_BA!L113</f>
        <v>370</v>
      </c>
      <c r="K1628" s="127">
        <f>Price_List_BA!O113</f>
        <v>61.666666666666664</v>
      </c>
      <c r="L1628" s="127">
        <f>Price_List_BA!P113</f>
        <v>68.301075166565596</v>
      </c>
    </row>
    <row r="1629" spans="4:12" s="348" customFormat="1" ht="12.75" hidden="1" customHeight="1" outlineLevel="2" x14ac:dyDescent="0.2">
      <c r="D1629" s="785" t="str">
        <f>Price_List_BA!D114</f>
        <v>Examination light source  (TZ)</v>
      </c>
      <c r="E1629" s="786"/>
      <c r="F1629" s="786"/>
      <c r="G1629" s="786"/>
      <c r="J1629" s="127">
        <f>Price_List_BA!L114</f>
        <v>40.625</v>
      </c>
      <c r="K1629" s="127">
        <f>Price_List_BA!O114</f>
        <v>8.125</v>
      </c>
      <c r="L1629" s="127">
        <f>Price_List_BA!P114</f>
        <v>8.8706544631484086</v>
      </c>
    </row>
    <row r="1630" spans="4:12" s="348" customFormat="1" ht="12.75" hidden="1" customHeight="1" outlineLevel="2" x14ac:dyDescent="0.2">
      <c r="D1630" s="785" t="str">
        <f>Price_List_BA!D115</f>
        <v>Examination light source (Halogen) with bulb (set) (ZM)</v>
      </c>
      <c r="E1630" s="786"/>
      <c r="F1630" s="786"/>
      <c r="G1630" s="786"/>
      <c r="J1630" s="127">
        <f>Price_List_BA!L115</f>
        <v>430</v>
      </c>
      <c r="K1630" s="127">
        <f>Price_List_BA!O115</f>
        <v>86</v>
      </c>
      <c r="L1630" s="127">
        <f>Price_List_BA!P115</f>
        <v>93.892465702247762</v>
      </c>
    </row>
    <row r="1631" spans="4:12" s="348" customFormat="1" ht="12.75" hidden="1" customHeight="1" outlineLevel="2" x14ac:dyDescent="0.2">
      <c r="D1631" s="785" t="str">
        <f>Price_List_BA!D116</f>
        <v>Examination table (UG)</v>
      </c>
      <c r="E1631" s="786"/>
      <c r="F1631" s="786"/>
      <c r="G1631" s="786"/>
      <c r="J1631" s="127">
        <f>Price_List_BA!L116</f>
        <v>197.1369</v>
      </c>
      <c r="K1631" s="127">
        <f>Price_List_BA!O116</f>
        <v>39.427379999999999</v>
      </c>
      <c r="L1631" s="127">
        <f>Price_List_BA!P116</f>
        <v>43.045743306738252</v>
      </c>
    </row>
    <row r="1632" spans="4:12" s="348" customFormat="1" ht="12.75" hidden="1" customHeight="1" outlineLevel="2" x14ac:dyDescent="0.2">
      <c r="D1632" s="785" t="str">
        <f>Price_List_BA!D117</f>
        <v>Filing Cabinet (ZM)</v>
      </c>
      <c r="E1632" s="786"/>
      <c r="F1632" s="786"/>
      <c r="G1632" s="786"/>
      <c r="J1632" s="127">
        <f>Price_List_BA!L117</f>
        <v>354</v>
      </c>
      <c r="K1632" s="127">
        <f>Price_List_BA!O117</f>
        <v>35.4</v>
      </c>
      <c r="L1632" s="127">
        <f>Price_List_BA!P117</f>
        <v>41.499599338226503</v>
      </c>
    </row>
    <row r="1633" spans="4:12" s="348" customFormat="1" ht="12.75" hidden="1" customHeight="1" outlineLevel="2" x14ac:dyDescent="0.2">
      <c r="D1633" s="785" t="str">
        <f>Price_List_BA!D118</f>
        <v>Forceps (UG)</v>
      </c>
      <c r="E1633" s="786"/>
      <c r="F1633" s="786"/>
      <c r="G1633" s="786"/>
      <c r="J1633" s="127">
        <f>Price_List_BA!L118</f>
        <v>8.1560000000000006</v>
      </c>
      <c r="K1633" s="127">
        <f>Price_List_BA!O118</f>
        <v>1.6312000000000002</v>
      </c>
      <c r="L1633" s="127">
        <f>Price_List_BA!P118</f>
        <v>1.7808998843430996</v>
      </c>
    </row>
    <row r="1634" spans="4:12" s="348" customFormat="1" ht="12.75" hidden="1" customHeight="1" outlineLevel="2" x14ac:dyDescent="0.2">
      <c r="D1634" s="785" t="str">
        <f>Price_List_BA!D119</f>
        <v>Forceps Babcocks  (ZM)</v>
      </c>
      <c r="E1634" s="786"/>
      <c r="F1634" s="786"/>
      <c r="G1634" s="786"/>
      <c r="J1634" s="127">
        <f>Price_List_BA!L119</f>
        <v>13</v>
      </c>
      <c r="K1634" s="127">
        <f>Price_List_BA!O119</f>
        <v>1.4444444444444444</v>
      </c>
      <c r="L1634" s="127">
        <f>Price_List_BA!P119</f>
        <v>1.6696401412353445</v>
      </c>
    </row>
    <row r="1635" spans="4:12" s="348" customFormat="1" ht="12.75" hidden="1" customHeight="1" outlineLevel="2" x14ac:dyDescent="0.2">
      <c r="D1635" s="785" t="str">
        <f>Price_List_BA!D120</f>
        <v>Forceps tissue - babcocks  (TZ)</v>
      </c>
      <c r="E1635" s="786"/>
      <c r="F1635" s="786"/>
      <c r="G1635" s="786"/>
      <c r="J1635" s="127">
        <f>Price_List_BA!L120</f>
        <v>3.75</v>
      </c>
      <c r="K1635" s="127">
        <f>Price_List_BA!O120</f>
        <v>0.75</v>
      </c>
      <c r="L1635" s="127">
        <f>Price_List_BA!P120</f>
        <v>0.81882964275216075</v>
      </c>
    </row>
    <row r="1636" spans="4:12" s="348" customFormat="1" ht="12.75" hidden="1" customHeight="1" outlineLevel="2" x14ac:dyDescent="0.2">
      <c r="D1636" s="785" t="str">
        <f>Price_List_BA!D121</f>
        <v>Forceps tissue - long  (TZ)</v>
      </c>
      <c r="E1636" s="786"/>
      <c r="F1636" s="786"/>
      <c r="G1636" s="786"/>
      <c r="J1636" s="127">
        <f>Price_List_BA!L121</f>
        <v>8.75</v>
      </c>
      <c r="K1636" s="127">
        <f>Price_List_BA!O121</f>
        <v>1.75</v>
      </c>
      <c r="L1636" s="127">
        <f>Price_List_BA!P121</f>
        <v>1.9106024997550417</v>
      </c>
    </row>
    <row r="1637" spans="4:12" s="348" customFormat="1" ht="12.75" hidden="1" customHeight="1" outlineLevel="2" x14ac:dyDescent="0.2">
      <c r="D1637" s="785" t="str">
        <f>Price_List_BA!D122</f>
        <v>Forceps tissue- litlewoods 19 cm  (TZ)</v>
      </c>
      <c r="E1637" s="786"/>
      <c r="F1637" s="786"/>
      <c r="G1637" s="786"/>
      <c r="J1637" s="127">
        <f>Price_List_BA!L122</f>
        <v>10.625</v>
      </c>
      <c r="K1637" s="127">
        <f>Price_List_BA!O122</f>
        <v>2.125</v>
      </c>
      <c r="L1637" s="127">
        <f>Price_List_BA!P122</f>
        <v>2.3200173211311221</v>
      </c>
    </row>
    <row r="1638" spans="4:12" s="348" customFormat="1" ht="12.75" hidden="1" customHeight="1" outlineLevel="2" x14ac:dyDescent="0.2">
      <c r="D1638" s="785" t="str">
        <f>Price_List_BA!D123</f>
        <v>Forceps, Cheetal (ZM)</v>
      </c>
      <c r="E1638" s="786"/>
      <c r="F1638" s="786"/>
      <c r="G1638" s="786"/>
      <c r="J1638" s="127">
        <f>Price_List_BA!L123</f>
        <v>15</v>
      </c>
      <c r="K1638" s="127">
        <f>Price_List_BA!O123</f>
        <v>3.75</v>
      </c>
      <c r="L1638" s="127">
        <f>Price_List_BA!P123</f>
        <v>4.0354056778962386</v>
      </c>
    </row>
    <row r="1639" spans="4:12" s="348" customFormat="1" ht="12.75" hidden="1" customHeight="1" outlineLevel="2" x14ac:dyDescent="0.2">
      <c r="D1639" s="785" t="str">
        <f>Price_List_BA!D124</f>
        <v>Forceps, Dissecting - 12.5 cm (ZM)</v>
      </c>
      <c r="E1639" s="786"/>
      <c r="F1639" s="786"/>
      <c r="G1639" s="786"/>
      <c r="J1639" s="127">
        <f>Price_List_BA!L124</f>
        <v>16.899999999999999</v>
      </c>
      <c r="K1639" s="127">
        <f>Price_List_BA!O124</f>
        <v>1.8777777777777775</v>
      </c>
      <c r="L1639" s="127">
        <f>Price_List_BA!P124</f>
        <v>2.1705321836059479</v>
      </c>
    </row>
    <row r="1640" spans="4:12" s="348" customFormat="1" ht="12.75" hidden="1" customHeight="1" outlineLevel="2" x14ac:dyDescent="0.2">
      <c r="D1640" s="785" t="str">
        <f>Price_List_BA!D125</f>
        <v>Forceps, Littlewoods 19 cm (ZM)</v>
      </c>
      <c r="E1640" s="786"/>
      <c r="F1640" s="786"/>
      <c r="G1640" s="786"/>
      <c r="J1640" s="127">
        <f>Price_List_BA!L125</f>
        <v>17</v>
      </c>
      <c r="K1640" s="127">
        <f>Price_List_BA!O125</f>
        <v>8.5</v>
      </c>
      <c r="L1640" s="127">
        <f>Price_List_BA!P125</f>
        <v>8.884384236453208</v>
      </c>
    </row>
    <row r="1641" spans="4:12" s="348" customFormat="1" ht="12.75" hidden="1" customHeight="1" outlineLevel="2" x14ac:dyDescent="0.2">
      <c r="D1641" s="785" t="str">
        <f>Price_List_BA!D126</f>
        <v>Forceps, Long  (ZM)</v>
      </c>
      <c r="E1641" s="786"/>
      <c r="F1641" s="786"/>
      <c r="G1641" s="786"/>
      <c r="J1641" s="127">
        <f>Price_List_BA!L126</f>
        <v>15</v>
      </c>
      <c r="K1641" s="127">
        <f>Price_List_BA!O126</f>
        <v>2.5</v>
      </c>
      <c r="L1641" s="127">
        <f>Price_List_BA!P126</f>
        <v>2.7689625067526591</v>
      </c>
    </row>
    <row r="1642" spans="4:12" s="348" customFormat="1" ht="12.75" hidden="1" customHeight="1" outlineLevel="2" x14ac:dyDescent="0.2">
      <c r="D1642" s="785" t="str">
        <f>Price_List_BA!D127</f>
        <v>Forceps, ovum (ZM)</v>
      </c>
      <c r="E1642" s="786"/>
      <c r="F1642" s="786"/>
      <c r="G1642" s="786"/>
      <c r="J1642" s="127">
        <f>Price_List_BA!L127</f>
        <v>15</v>
      </c>
      <c r="K1642" s="127">
        <f>Price_List_BA!O127</f>
        <v>2.5</v>
      </c>
      <c r="L1642" s="127">
        <f>Price_List_BA!P127</f>
        <v>2.7689625067526591</v>
      </c>
    </row>
    <row r="1643" spans="4:12" s="348" customFormat="1" ht="12.75" hidden="1" customHeight="1" outlineLevel="2" x14ac:dyDescent="0.2">
      <c r="D1643" s="785" t="str">
        <f>Price_List_BA!D128</f>
        <v>Forceps, ovum  (TZ)</v>
      </c>
      <c r="E1643" s="786"/>
      <c r="F1643" s="786"/>
      <c r="G1643" s="786"/>
      <c r="J1643" s="127">
        <f>Price_List_BA!L128</f>
        <v>3.4375</v>
      </c>
      <c r="K1643" s="127">
        <f>Price_List_BA!O128</f>
        <v>0.6875</v>
      </c>
      <c r="L1643" s="127">
        <f>Price_List_BA!P128</f>
        <v>0.75059383918948064</v>
      </c>
    </row>
    <row r="1644" spans="4:12" s="348" customFormat="1" ht="12.75" hidden="1" customHeight="1" outlineLevel="2" x14ac:dyDescent="0.2">
      <c r="D1644" s="785" t="str">
        <f>Price_List_BA!D129</f>
        <v>Forceps, Punch biopsy (ZM)</v>
      </c>
      <c r="E1644" s="786"/>
      <c r="F1644" s="786"/>
      <c r="G1644" s="786"/>
      <c r="J1644" s="127">
        <f>Price_List_BA!L129</f>
        <v>15</v>
      </c>
      <c r="K1644" s="127">
        <f>Price_List_BA!O129</f>
        <v>3.75</v>
      </c>
      <c r="L1644" s="127">
        <f>Price_List_BA!P129</f>
        <v>4.0354056778962386</v>
      </c>
    </row>
    <row r="1645" spans="4:12" s="348" customFormat="1" ht="12.75" hidden="1" customHeight="1" outlineLevel="2" x14ac:dyDescent="0.2">
      <c r="D1645" s="785" t="str">
        <f>Price_List_BA!D130</f>
        <v>Forceps, punch biopsy (TZ)</v>
      </c>
      <c r="E1645" s="786"/>
      <c r="F1645" s="786"/>
      <c r="G1645" s="786"/>
      <c r="J1645" s="127">
        <f>Price_List_BA!L130</f>
        <v>37.5</v>
      </c>
      <c r="K1645" s="127">
        <f>Price_List_BA!O130</f>
        <v>7.5</v>
      </c>
      <c r="L1645" s="127">
        <f>Price_List_BA!P130</f>
        <v>8.1882964275216068</v>
      </c>
    </row>
    <row r="1646" spans="4:12" s="348" customFormat="1" ht="12.75" hidden="1" customHeight="1" outlineLevel="2" x14ac:dyDescent="0.2">
      <c r="D1646" s="785" t="str">
        <f>Price_List_BA!D131</f>
        <v>Forceps, Sponge holder (ZM)</v>
      </c>
      <c r="E1646" s="786"/>
      <c r="F1646" s="786"/>
      <c r="G1646" s="786"/>
      <c r="J1646" s="127">
        <f>Price_List_BA!L131</f>
        <v>12</v>
      </c>
      <c r="K1646" s="127">
        <f>Price_List_BA!O131</f>
        <v>1.5</v>
      </c>
      <c r="L1646" s="127">
        <f>Price_List_BA!P131</f>
        <v>1.709476665926871</v>
      </c>
    </row>
    <row r="1647" spans="4:12" s="348" customFormat="1" ht="12.75" hidden="1" customHeight="1" outlineLevel="2" x14ac:dyDescent="0.2">
      <c r="D1647" s="785" t="str">
        <f>Price_List_BA!D132</f>
        <v>Forceps, sponge holder  (TZ)</v>
      </c>
      <c r="E1647" s="786"/>
      <c r="F1647" s="786"/>
      <c r="G1647" s="786"/>
      <c r="J1647" s="127">
        <f>Price_List_BA!L132</f>
        <v>3.4375</v>
      </c>
      <c r="K1647" s="127">
        <f>Price_List_BA!O132</f>
        <v>0.6875</v>
      </c>
      <c r="L1647" s="127">
        <f>Price_List_BA!P132</f>
        <v>0.75059383918948064</v>
      </c>
    </row>
    <row r="1648" spans="4:12" s="348" customFormat="1" ht="12.75" hidden="1" customHeight="1" outlineLevel="2" x14ac:dyDescent="0.2">
      <c r="D1648" s="785" t="str">
        <f>Price_List_BA!D133</f>
        <v>Gallipot (ZM)</v>
      </c>
      <c r="E1648" s="786"/>
      <c r="F1648" s="786"/>
      <c r="G1648" s="786"/>
      <c r="J1648" s="127">
        <f>Price_List_BA!L133</f>
        <v>10</v>
      </c>
      <c r="K1648" s="127">
        <f>Price_List_BA!O133</f>
        <v>1.1111111111111112</v>
      </c>
      <c r="L1648" s="127">
        <f>Price_List_BA!P133</f>
        <v>1.2843385701810344</v>
      </c>
    </row>
    <row r="1649" spans="4:12" s="348" customFormat="1" ht="12.75" hidden="1" customHeight="1" outlineLevel="2" x14ac:dyDescent="0.2">
      <c r="D1649" s="785" t="str">
        <f>Price_List_BA!D134</f>
        <v>Gallipot (UG)</v>
      </c>
      <c r="E1649" s="786"/>
      <c r="F1649" s="786"/>
      <c r="G1649" s="786"/>
      <c r="J1649" s="127">
        <f>Price_List_BA!L134</f>
        <v>3.9441999999999999</v>
      </c>
      <c r="K1649" s="127">
        <f>Price_List_BA!O134</f>
        <v>0.78883999999999999</v>
      </c>
      <c r="L1649" s="127">
        <f>Price_List_BA!P134</f>
        <v>0.86123410051815263</v>
      </c>
    </row>
    <row r="1650" spans="4:12" s="348" customFormat="1" ht="12.75" hidden="1" customHeight="1" outlineLevel="2" x14ac:dyDescent="0.2">
      <c r="D1650" s="785" t="str">
        <f>Price_List_BA!D135</f>
        <v>Gas cylinder adaptor (ZM)</v>
      </c>
      <c r="E1650" s="786"/>
      <c r="F1650" s="786"/>
      <c r="G1650" s="786"/>
      <c r="J1650" s="127">
        <f>Price_List_BA!L135</f>
        <v>15</v>
      </c>
      <c r="K1650" s="127">
        <f>Price_List_BA!O135</f>
        <v>1.875</v>
      </c>
      <c r="L1650" s="127">
        <f>Price_List_BA!P135</f>
        <v>2.1368458324085888</v>
      </c>
    </row>
    <row r="1651" spans="4:12" s="348" customFormat="1" ht="12.75" hidden="1" customHeight="1" outlineLevel="2" x14ac:dyDescent="0.2">
      <c r="D1651" s="785" t="str">
        <f>Price_List_BA!D136</f>
        <v>Gas cylinder adaptor  (TZ)</v>
      </c>
      <c r="E1651" s="786"/>
      <c r="F1651" s="786"/>
      <c r="G1651" s="786"/>
      <c r="J1651" s="127">
        <f>Price_List_BA!L136</f>
        <v>82.5</v>
      </c>
      <c r="K1651" s="127">
        <f>Price_List_BA!O136</f>
        <v>8.25</v>
      </c>
      <c r="L1651" s="127">
        <f>Price_List_BA!P136</f>
        <v>9.6715167949256688</v>
      </c>
    </row>
    <row r="1652" spans="4:12" s="348" customFormat="1" ht="12.75" hidden="1" customHeight="1" outlineLevel="2" x14ac:dyDescent="0.2">
      <c r="D1652" s="785" t="str">
        <f>Price_List_BA!D137</f>
        <v>Gynecological examination bed  (TZ)</v>
      </c>
      <c r="E1652" s="786"/>
      <c r="F1652" s="786"/>
      <c r="G1652" s="786"/>
      <c r="J1652" s="127">
        <f>Price_List_BA!L137</f>
        <v>346.875</v>
      </c>
      <c r="K1652" s="127">
        <f>Price_List_BA!O137</f>
        <v>173.4375</v>
      </c>
      <c r="L1652" s="127">
        <f>Price_List_BA!P137</f>
        <v>181.2806342364533</v>
      </c>
    </row>
    <row r="1653" spans="4:12" s="348" customFormat="1" ht="12.75" hidden="1" customHeight="1" outlineLevel="2" x14ac:dyDescent="0.2">
      <c r="D1653" s="785" t="str">
        <f>Price_List_BA!D138</f>
        <v>Halogen Bulbs (ZM)</v>
      </c>
      <c r="E1653" s="786"/>
      <c r="F1653" s="786"/>
      <c r="G1653" s="786"/>
      <c r="J1653" s="127">
        <f>Price_List_BA!L138</f>
        <v>50</v>
      </c>
      <c r="K1653" s="127">
        <f>Price_List_BA!O138</f>
        <v>5</v>
      </c>
      <c r="L1653" s="127">
        <f>Price_List_BA!P138</f>
        <v>5.8615253302579804</v>
      </c>
    </row>
    <row r="1654" spans="4:12" s="348" customFormat="1" ht="12.75" hidden="1" customHeight="1" outlineLevel="2" x14ac:dyDescent="0.2">
      <c r="D1654" s="785" t="str">
        <f>Price_List_BA!D139</f>
        <v>Hysterectomy Set (ZM)</v>
      </c>
      <c r="E1654" s="786"/>
      <c r="F1654" s="786"/>
      <c r="G1654" s="786"/>
      <c r="J1654" s="127">
        <f>Price_List_BA!L139</f>
        <v>120</v>
      </c>
      <c r="K1654" s="127">
        <f>Price_List_BA!O139</f>
        <v>24</v>
      </c>
      <c r="L1654" s="127">
        <f>Price_List_BA!P139</f>
        <v>26.202548568069144</v>
      </c>
    </row>
    <row r="1655" spans="4:12" s="348" customFormat="1" ht="12.75" hidden="1" customHeight="1" outlineLevel="2" x14ac:dyDescent="0.2">
      <c r="D1655" s="785" t="str">
        <f>Price_List_BA!D140</f>
        <v>Instrument tray (ZM)</v>
      </c>
      <c r="E1655" s="786"/>
      <c r="F1655" s="786"/>
      <c r="G1655" s="786"/>
      <c r="J1655" s="127">
        <f>Price_List_BA!L140</f>
        <v>20</v>
      </c>
      <c r="K1655" s="127">
        <f>Price_List_BA!O140</f>
        <v>5</v>
      </c>
      <c r="L1655" s="127">
        <f>Price_List_BA!P140</f>
        <v>5.3805409038616512</v>
      </c>
    </row>
    <row r="1656" spans="4:12" s="348" customFormat="1" ht="12.75" hidden="1" customHeight="1" outlineLevel="2" x14ac:dyDescent="0.2">
      <c r="D1656" s="785" t="str">
        <f>Price_List_BA!D141</f>
        <v>Instrument tray  (TZ)</v>
      </c>
      <c r="E1656" s="786"/>
      <c r="F1656" s="786"/>
      <c r="G1656" s="786"/>
      <c r="J1656" s="127">
        <f>Price_List_BA!L141</f>
        <v>7.5</v>
      </c>
      <c r="K1656" s="127">
        <f>Price_List_BA!O141</f>
        <v>3.75</v>
      </c>
      <c r="L1656" s="127">
        <f>Price_List_BA!P141</f>
        <v>3.9195812807881798</v>
      </c>
    </row>
    <row r="1657" spans="4:12" s="348" customFormat="1" ht="12.75" hidden="1" customHeight="1" outlineLevel="2" x14ac:dyDescent="0.2">
      <c r="D1657" s="785" t="str">
        <f>Price_List_BA!D142</f>
        <v>Kidney Dish (ZM)</v>
      </c>
      <c r="E1657" s="786"/>
      <c r="F1657" s="786"/>
      <c r="G1657" s="786"/>
      <c r="J1657" s="127">
        <f>Price_List_BA!L142</f>
        <v>20</v>
      </c>
      <c r="K1657" s="127">
        <f>Price_List_BA!O142</f>
        <v>2.5</v>
      </c>
      <c r="L1657" s="127">
        <f>Price_List_BA!P142</f>
        <v>2.8491277765447851</v>
      </c>
    </row>
    <row r="1658" spans="4:12" s="348" customFormat="1" ht="12.75" hidden="1" customHeight="1" outlineLevel="2" x14ac:dyDescent="0.2">
      <c r="D1658" s="785" t="str">
        <f>Price_List_BA!D143</f>
        <v>Kidney Dish (UG)</v>
      </c>
      <c r="E1658" s="786"/>
      <c r="F1658" s="786"/>
      <c r="G1658" s="786"/>
      <c r="J1658" s="127">
        <f>Price_List_BA!L143</f>
        <v>4.1161000000000003</v>
      </c>
      <c r="K1658" s="127">
        <f>Price_List_BA!O143</f>
        <v>0.41161000000000003</v>
      </c>
      <c r="L1658" s="127">
        <f>Price_List_BA!P143</f>
        <v>0.4825324882374975</v>
      </c>
    </row>
    <row r="1659" spans="4:12" s="348" customFormat="1" ht="12.75" hidden="1" customHeight="1" outlineLevel="2" x14ac:dyDescent="0.2">
      <c r="D1659" s="785" t="str">
        <f>Price_List_BA!D144</f>
        <v>Lamp (UG)</v>
      </c>
      <c r="E1659" s="786"/>
      <c r="F1659" s="786"/>
      <c r="G1659" s="786"/>
      <c r="J1659" s="127">
        <f>Price_List_BA!L144</f>
        <v>49.744300000000003</v>
      </c>
      <c r="K1659" s="127">
        <f>Price_List_BA!O144</f>
        <v>4.9744299999999999</v>
      </c>
      <c r="L1659" s="127">
        <f>Price_List_BA!P144</f>
        <v>5.8315494897190421</v>
      </c>
    </row>
    <row r="1660" spans="4:12" s="348" customFormat="1" ht="12.95" hidden="1" customHeight="1" outlineLevel="2" x14ac:dyDescent="0.2">
      <c r="D1660" s="785" t="str">
        <f>Price_List_BA!D145</f>
        <v>Laptop / Desktop Computer (ZM)</v>
      </c>
      <c r="E1660" s="786"/>
      <c r="F1660" s="786"/>
      <c r="G1660" s="786"/>
      <c r="J1660" s="127">
        <f>Price_List_BA!L145</f>
        <v>1100</v>
      </c>
      <c r="K1660" s="127">
        <f>Price_List_BA!O145</f>
        <v>220</v>
      </c>
      <c r="L1660" s="127">
        <f>Price_List_BA!P145</f>
        <v>240.19002854063382</v>
      </c>
    </row>
    <row r="1661" spans="4:12" s="348" customFormat="1" ht="12.75" hidden="1" customHeight="1" outlineLevel="2" x14ac:dyDescent="0.2">
      <c r="D1661" s="785" t="str">
        <f>Price_List_BA!D146</f>
        <v>LEEP Equipment  (TZ)</v>
      </c>
      <c r="E1661" s="786"/>
      <c r="F1661" s="786"/>
      <c r="G1661" s="786"/>
      <c r="J1661" s="127">
        <f>Price_List_BA!L146</f>
        <v>11838.75</v>
      </c>
      <c r="K1661" s="127">
        <f>Price_List_BA!O146</f>
        <v>1479.84375</v>
      </c>
      <c r="L1661" s="127">
        <f>Price_List_BA!P146</f>
        <v>1686.5055732284786</v>
      </c>
    </row>
    <row r="1662" spans="4:12" s="348" customFormat="1" ht="12.75" hidden="1" customHeight="1" outlineLevel="2" x14ac:dyDescent="0.2">
      <c r="D1662" s="785" t="str">
        <f>Price_List_BA!D147</f>
        <v>LEEP machine plus smoke evacuator system plus accessories (ZM)</v>
      </c>
      <c r="E1662" s="786"/>
      <c r="F1662" s="786"/>
      <c r="G1662" s="786"/>
      <c r="J1662" s="127">
        <f>Price_List_BA!L147</f>
        <v>6000</v>
      </c>
      <c r="K1662" s="127">
        <f>Price_List_BA!O147</f>
        <v>666.66666666666663</v>
      </c>
      <c r="L1662" s="127">
        <f>Price_List_BA!P147</f>
        <v>770.60314210862055</v>
      </c>
    </row>
    <row r="1663" spans="4:12" s="348" customFormat="1" ht="12.75" hidden="1" customHeight="1" outlineLevel="2" x14ac:dyDescent="0.2">
      <c r="D1663" s="785" t="str">
        <f>Price_List_BA!D148</f>
        <v>LEEP machine  with coated speculums (UG)</v>
      </c>
      <c r="E1663" s="786"/>
      <c r="F1663" s="786"/>
      <c r="G1663" s="786"/>
      <c r="J1663" s="127">
        <f>Price_List_BA!L148</f>
        <v>5055</v>
      </c>
      <c r="K1663" s="127">
        <f>Price_List_BA!O148</f>
        <v>842.5</v>
      </c>
      <c r="L1663" s="127">
        <f>Price_List_BA!P148</f>
        <v>933.14036477564616</v>
      </c>
    </row>
    <row r="1664" spans="4:12" s="348" customFormat="1" ht="12.75" hidden="1" customHeight="1" outlineLevel="2" x14ac:dyDescent="0.2">
      <c r="D1664" s="785" t="str">
        <f>Price_List_BA!D149</f>
        <v>Lensmate SX 40 Filter Adapter 58mm (ZM)</v>
      </c>
      <c r="E1664" s="786"/>
      <c r="F1664" s="786"/>
      <c r="G1664" s="786"/>
      <c r="J1664" s="127">
        <f>Price_List_BA!L149</f>
        <v>100</v>
      </c>
      <c r="K1664" s="127">
        <f>Price_List_BA!O149</f>
        <v>25</v>
      </c>
      <c r="L1664" s="127">
        <f>Price_List_BA!P149</f>
        <v>26.902704519308259</v>
      </c>
    </row>
    <row r="1665" spans="4:12" s="348" customFormat="1" hidden="1" outlineLevel="2" x14ac:dyDescent="0.2">
      <c r="D1665" s="785" t="str">
        <f>Price_List_BA!D150</f>
        <v>Loop Electrodes - 5 mm x 5mm (Ellman) (ZM)</v>
      </c>
      <c r="E1665" s="786"/>
      <c r="F1665" s="786"/>
      <c r="G1665" s="786"/>
      <c r="J1665" s="127">
        <f>Price_List_BA!L150</f>
        <v>37.200000000000003</v>
      </c>
      <c r="K1665" s="127">
        <f>Price_List_BA!O150</f>
        <v>37.200000000000003</v>
      </c>
      <c r="L1665" s="127">
        <f>Price_List_BA!P150</f>
        <v>38.315999999999967</v>
      </c>
    </row>
    <row r="1666" spans="4:12" s="348" customFormat="1" hidden="1" outlineLevel="2" x14ac:dyDescent="0.2">
      <c r="D1666" s="785" t="str">
        <f>Price_List_BA!D151</f>
        <v>Loop Electrodes - 10 mm x 10mm (Ellman) (ZM)</v>
      </c>
      <c r="E1666" s="786"/>
      <c r="F1666" s="786"/>
      <c r="G1666" s="786"/>
      <c r="J1666" s="127">
        <f>Price_List_BA!L151</f>
        <v>37.200000000000003</v>
      </c>
      <c r="K1666" s="127">
        <f>Price_List_BA!O151</f>
        <v>37.200000000000003</v>
      </c>
      <c r="L1666" s="127">
        <f>Price_List_BA!P151</f>
        <v>38.315999999999967</v>
      </c>
    </row>
    <row r="1667" spans="4:12" s="348" customFormat="1" hidden="1" outlineLevel="2" x14ac:dyDescent="0.2">
      <c r="D1667" s="785" t="str">
        <f>Price_List_BA!D152</f>
        <v>Loop Electrodes - 20 mm x 8mm (Ellman) (ZM)</v>
      </c>
      <c r="E1667" s="786"/>
      <c r="F1667" s="786"/>
      <c r="G1667" s="786"/>
      <c r="J1667" s="127">
        <f>Price_List_BA!L152</f>
        <v>37.200000000000003</v>
      </c>
      <c r="K1667" s="127">
        <f>Price_List_BA!O152</f>
        <v>37.200000000000003</v>
      </c>
      <c r="L1667" s="127">
        <f>Price_List_BA!P152</f>
        <v>38.315999999999967</v>
      </c>
    </row>
    <row r="1668" spans="4:12" s="348" customFormat="1" hidden="1" outlineLevel="2" x14ac:dyDescent="0.2">
      <c r="D1668" s="785" t="str">
        <f>Price_List_BA!D153</f>
        <v>Loop Electrodes - 20 mm x 15mm (Ellman) (ZM)</v>
      </c>
      <c r="E1668" s="786"/>
      <c r="F1668" s="786"/>
      <c r="G1668" s="786"/>
      <c r="J1668" s="127">
        <f>Price_List_BA!L153</f>
        <v>37.200000000000003</v>
      </c>
      <c r="K1668" s="127">
        <f>Price_List_BA!O153</f>
        <v>37.200000000000003</v>
      </c>
      <c r="L1668" s="127">
        <f>Price_List_BA!P153</f>
        <v>38.315999999999967</v>
      </c>
    </row>
    <row r="1669" spans="4:12" s="348" customFormat="1" ht="12.75" hidden="1" customHeight="1" outlineLevel="2" x14ac:dyDescent="0.2">
      <c r="D1669" s="785" t="str">
        <f>Price_List_BA!D154</f>
        <v>Mackintosh (Plastic sheet for exam couch) (ZM)</v>
      </c>
      <c r="E1669" s="786"/>
      <c r="F1669" s="786"/>
      <c r="G1669" s="786"/>
      <c r="J1669" s="127">
        <f>Price_List_BA!L154</f>
        <v>20</v>
      </c>
      <c r="K1669" s="127">
        <f>Price_List_BA!O154</f>
        <v>10</v>
      </c>
      <c r="L1669" s="127">
        <f>Price_List_BA!P154</f>
        <v>10.452216748768478</v>
      </c>
    </row>
    <row r="1670" spans="4:12" s="348" customFormat="1" ht="12.75" hidden="1" customHeight="1" outlineLevel="2" x14ac:dyDescent="0.2">
      <c r="D1670" s="785" t="str">
        <f>Price_List_BA!D155</f>
        <v>Magnification Lens (ZM)</v>
      </c>
      <c r="E1670" s="786"/>
      <c r="F1670" s="786"/>
      <c r="G1670" s="786"/>
      <c r="J1670" s="127">
        <f>Price_List_BA!L155</f>
        <v>150</v>
      </c>
      <c r="K1670" s="127">
        <f>Price_List_BA!O155</f>
        <v>15</v>
      </c>
      <c r="L1670" s="127">
        <f>Price_List_BA!P155</f>
        <v>17.584575990773942</v>
      </c>
    </row>
    <row r="1671" spans="4:12" s="348" customFormat="1" ht="12.75" hidden="1" customHeight="1" outlineLevel="2" x14ac:dyDescent="0.2">
      <c r="D1671" s="785" t="str">
        <f>Price_List_BA!D156</f>
        <v>Medical Rubber Mackintosh Sheet (ZM)</v>
      </c>
      <c r="E1671" s="786"/>
      <c r="F1671" s="786"/>
      <c r="G1671" s="786"/>
      <c r="J1671" s="127">
        <f>Price_List_BA!L156</f>
        <v>30</v>
      </c>
      <c r="K1671" s="127">
        <f>Price_List_BA!O156</f>
        <v>3.3333333333333335</v>
      </c>
      <c r="L1671" s="127">
        <f>Price_List_BA!P156</f>
        <v>3.8530157105431031</v>
      </c>
    </row>
    <row r="1672" spans="4:12" s="348" customFormat="1" ht="12.75" hidden="1" customHeight="1" outlineLevel="2" x14ac:dyDescent="0.2">
      <c r="D1672" s="785" t="str">
        <f>Price_List_BA!D157</f>
        <v>Medical Rubber Mackintosh Sheet   (TZ)</v>
      </c>
      <c r="E1672" s="786"/>
      <c r="F1672" s="786"/>
      <c r="G1672" s="786"/>
      <c r="J1672" s="127">
        <f>Price_List_BA!L157</f>
        <v>46.875</v>
      </c>
      <c r="K1672" s="127">
        <f>Price_List_BA!O157</f>
        <v>9.375</v>
      </c>
      <c r="L1672" s="127">
        <f>Price_List_BA!P157</f>
        <v>10.235370534402009</v>
      </c>
    </row>
    <row r="1673" spans="4:12" s="348" customFormat="1" ht="12.75" hidden="1" customHeight="1" outlineLevel="2" x14ac:dyDescent="0.2">
      <c r="D1673" s="785" t="str">
        <f>Price_List_BA!D158</f>
        <v>Memory Card (ZM)</v>
      </c>
      <c r="E1673" s="786"/>
      <c r="F1673" s="786"/>
      <c r="G1673" s="786"/>
      <c r="J1673" s="127">
        <f>Price_List_BA!L158</f>
        <v>36</v>
      </c>
      <c r="K1673" s="127">
        <f>Price_List_BA!O158</f>
        <v>4.5</v>
      </c>
      <c r="L1673" s="127">
        <f>Price_List_BA!P158</f>
        <v>5.1284299977806134</v>
      </c>
    </row>
    <row r="1674" spans="4:12" s="348" customFormat="1" ht="12.75" hidden="1" customHeight="1" outlineLevel="2" x14ac:dyDescent="0.2">
      <c r="D1674" s="785" t="str">
        <f>Price_List_BA!D159</f>
        <v>Multi-Tip Cryo-Probe System with British adapter for NO2 includes gun, regulator, hose(2/3Tips included) (set) (ZM)</v>
      </c>
      <c r="E1674" s="786"/>
      <c r="F1674" s="786"/>
      <c r="G1674" s="786"/>
      <c r="J1674" s="127">
        <f>Price_List_BA!L159</f>
        <v>1800</v>
      </c>
      <c r="K1674" s="127">
        <f>Price_List_BA!O159</f>
        <v>360</v>
      </c>
      <c r="L1674" s="127">
        <f>Price_List_BA!P159</f>
        <v>393.03822852103718</v>
      </c>
    </row>
    <row r="1675" spans="4:12" s="348" customFormat="1" ht="12.75" hidden="1" customHeight="1" outlineLevel="2" x14ac:dyDescent="0.2">
      <c r="D1675" s="785" t="str">
        <f>Price_List_BA!D160</f>
        <v>Non-conducting speculum  Pederson  (ZM)</v>
      </c>
      <c r="E1675" s="786"/>
      <c r="F1675" s="786"/>
      <c r="G1675" s="786"/>
      <c r="J1675" s="127">
        <f>Price_List_BA!L160</f>
        <v>40</v>
      </c>
      <c r="K1675" s="127">
        <f>Price_List_BA!O160</f>
        <v>4.4444444444444446</v>
      </c>
      <c r="L1675" s="127">
        <f>Price_List_BA!P160</f>
        <v>5.1373542807241375</v>
      </c>
    </row>
    <row r="1676" spans="4:12" s="348" customFormat="1" ht="12.75" hidden="1" customHeight="1" outlineLevel="2" x14ac:dyDescent="0.2">
      <c r="D1676" s="785" t="str">
        <f>Price_List_BA!D161</f>
        <v>Non-conducting speculum (UG)</v>
      </c>
      <c r="E1676" s="786"/>
      <c r="F1676" s="786"/>
      <c r="G1676" s="786"/>
      <c r="J1676" s="127">
        <f>Price_List_BA!L161</f>
        <v>90</v>
      </c>
      <c r="K1676" s="127">
        <f>Price_List_BA!O161</f>
        <v>18</v>
      </c>
      <c r="L1676" s="127">
        <f>Price_List_BA!P161</f>
        <v>19.651911426051857</v>
      </c>
    </row>
    <row r="1677" spans="4:12" s="348" customFormat="1" ht="12.75" hidden="1" customHeight="1" outlineLevel="2" x14ac:dyDescent="0.2">
      <c r="D1677" s="785" t="str">
        <f>Price_List_BA!D162</f>
        <v>Nurses Table (ZM)</v>
      </c>
      <c r="E1677" s="786"/>
      <c r="F1677" s="786"/>
      <c r="G1677" s="786"/>
      <c r="J1677" s="127">
        <f>Price_List_BA!L162</f>
        <v>160</v>
      </c>
      <c r="K1677" s="127">
        <f>Price_List_BA!O162</f>
        <v>16</v>
      </c>
      <c r="L1677" s="127">
        <f>Price_List_BA!P162</f>
        <v>18.756881056825538</v>
      </c>
    </row>
    <row r="1678" spans="4:12" s="348" customFormat="1" ht="12.75" hidden="1" customHeight="1" outlineLevel="2" x14ac:dyDescent="0.2">
      <c r="D1678" s="785" t="str">
        <f>Price_List_BA!D163</f>
        <v>Pillow (ZM)</v>
      </c>
      <c r="E1678" s="786"/>
      <c r="F1678" s="786"/>
      <c r="G1678" s="786"/>
      <c r="J1678" s="127">
        <f>Price_List_BA!L163</f>
        <v>16</v>
      </c>
      <c r="K1678" s="127">
        <f>Price_List_BA!O163</f>
        <v>8</v>
      </c>
      <c r="L1678" s="127">
        <f>Price_List_BA!P163</f>
        <v>8.3617733990147833</v>
      </c>
    </row>
    <row r="1679" spans="4:12" s="348" customFormat="1" ht="12.75" hidden="1" customHeight="1" outlineLevel="2" x14ac:dyDescent="0.2">
      <c r="D1679" s="785" t="str">
        <f>Price_List_BA!D164</f>
        <v>Plastic apron (ZM)</v>
      </c>
      <c r="E1679" s="786"/>
      <c r="F1679" s="786"/>
      <c r="G1679" s="786"/>
      <c r="J1679" s="127">
        <f>Price_List_BA!L164</f>
        <v>5</v>
      </c>
      <c r="K1679" s="127">
        <f>Price_List_BA!O164</f>
        <v>1.6666666666666667</v>
      </c>
      <c r="L1679" s="127">
        <f>Price_List_BA!P164</f>
        <v>1.7676518166229902</v>
      </c>
    </row>
    <row r="1680" spans="4:12" s="348" customFormat="1" ht="12.75" hidden="1" customHeight="1" outlineLevel="2" x14ac:dyDescent="0.2">
      <c r="D1680" s="785" t="str">
        <f>Price_List_BA!D165</f>
        <v>Plastic apron  (TZ)</v>
      </c>
      <c r="E1680" s="786"/>
      <c r="F1680" s="786"/>
      <c r="G1680" s="786"/>
      <c r="J1680" s="127">
        <f>Price_List_BA!L165</f>
        <v>10.625</v>
      </c>
      <c r="K1680" s="127">
        <f>Price_List_BA!O165</f>
        <v>1.1805555555555556</v>
      </c>
      <c r="L1680" s="127">
        <f>Price_List_BA!P165</f>
        <v>1.364609730817349</v>
      </c>
    </row>
    <row r="1681" spans="4:12" s="348" customFormat="1" ht="12.75" hidden="1" customHeight="1" outlineLevel="2" x14ac:dyDescent="0.2">
      <c r="D1681" s="785" t="str">
        <f>Price_List_BA!D166</f>
        <v>Privacy screen (portable) (ZM)</v>
      </c>
      <c r="E1681" s="786"/>
      <c r="F1681" s="786"/>
      <c r="G1681" s="786"/>
      <c r="J1681" s="127">
        <f>Price_List_BA!L166</f>
        <v>18</v>
      </c>
      <c r="K1681" s="127">
        <f>Price_List_BA!O166</f>
        <v>2.5714285714285716</v>
      </c>
      <c r="L1681" s="127">
        <f>Price_List_BA!P166</f>
        <v>2.8891143675768967</v>
      </c>
    </row>
    <row r="1682" spans="4:12" s="348" customFormat="1" ht="12.75" hidden="1" customHeight="1" outlineLevel="2" x14ac:dyDescent="0.2">
      <c r="D1682" s="785" t="str">
        <f>Price_List_BA!D167</f>
        <v>Privacy screen (portable) (TZ)</v>
      </c>
      <c r="E1682" s="786"/>
      <c r="F1682" s="786"/>
      <c r="G1682" s="786"/>
      <c r="J1682" s="127">
        <f>Price_List_BA!L167</f>
        <v>106.25</v>
      </c>
      <c r="K1682" s="127">
        <f>Price_List_BA!O167</f>
        <v>53.125</v>
      </c>
      <c r="L1682" s="127">
        <f>Price_List_BA!P167</f>
        <v>55.527401477832541</v>
      </c>
    </row>
    <row r="1683" spans="4:12" s="348" customFormat="1" ht="12.75" hidden="1" customHeight="1" outlineLevel="2" x14ac:dyDescent="0.2">
      <c r="D1683" s="785" t="str">
        <f>Price_List_BA!D168</f>
        <v>Punch Biopsy Forceps  Titanium 10" (ZM)</v>
      </c>
      <c r="E1683" s="786"/>
      <c r="F1683" s="786"/>
      <c r="G1683" s="786"/>
      <c r="J1683" s="127">
        <f>Price_List_BA!L168</f>
        <v>215</v>
      </c>
      <c r="K1683" s="127">
        <f>Price_List_BA!O168</f>
        <v>53.75</v>
      </c>
      <c r="L1683" s="127">
        <f>Price_List_BA!P168</f>
        <v>57.840814716512753</v>
      </c>
    </row>
    <row r="1684" spans="4:12" s="348" customFormat="1" ht="12.75" hidden="1" customHeight="1" outlineLevel="2" x14ac:dyDescent="0.2">
      <c r="D1684" s="785" t="str">
        <f>Price_List_BA!D169</f>
        <v>Punch Biopsy Forceps (UG)</v>
      </c>
      <c r="E1684" s="786"/>
      <c r="F1684" s="786"/>
      <c r="G1684" s="786"/>
      <c r="J1684" s="127">
        <f>Price_List_BA!L169</f>
        <v>195</v>
      </c>
      <c r="K1684" s="127">
        <f>Price_List_BA!O169</f>
        <v>48.75</v>
      </c>
      <c r="L1684" s="127">
        <f>Price_List_BA!P169</f>
        <v>52.460273812651103</v>
      </c>
    </row>
    <row r="1685" spans="4:12" s="348" customFormat="1" ht="12.75" hidden="1" customHeight="1" outlineLevel="2" x14ac:dyDescent="0.2">
      <c r="D1685" s="785" t="str">
        <f>Price_List_BA!D170</f>
        <v>Radiotherapy Machine - intra-cavity ( internal)  (TZ)</v>
      </c>
      <c r="E1685" s="786"/>
      <c r="F1685" s="786"/>
      <c r="G1685" s="786"/>
      <c r="J1685" s="127">
        <f>Price_List_BA!L170</f>
        <v>125000</v>
      </c>
      <c r="K1685" s="127">
        <f>Price_List_BA!O170</f>
        <v>31250</v>
      </c>
      <c r="L1685" s="127">
        <f>Price_List_BA!P170</f>
        <v>33628.380649135324</v>
      </c>
    </row>
    <row r="1686" spans="4:12" s="348" customFormat="1" ht="12.75" hidden="1" customHeight="1" outlineLevel="2" x14ac:dyDescent="0.2">
      <c r="D1686" s="785" t="str">
        <f>Price_List_BA!D171</f>
        <v>Radiotherapy Machine - teletherapy (external) Cobalt-60  (TZ)</v>
      </c>
      <c r="E1686" s="786"/>
      <c r="F1686" s="786"/>
      <c r="G1686" s="786"/>
      <c r="J1686" s="127">
        <f>Price_List_BA!L171</f>
        <v>625000</v>
      </c>
      <c r="K1686" s="127">
        <f>Price_List_BA!O171</f>
        <v>78125</v>
      </c>
      <c r="L1686" s="127">
        <f>Price_List_BA!P171</f>
        <v>89035.243017024535</v>
      </c>
    </row>
    <row r="1687" spans="4:12" s="348" customFormat="1" ht="12.75" hidden="1" customHeight="1" outlineLevel="2" x14ac:dyDescent="0.2">
      <c r="D1687" s="785" t="str">
        <f>Price_List_BA!D172</f>
        <v>Radiotherapy Treatment Couch  (TZ)</v>
      </c>
      <c r="E1687" s="786"/>
      <c r="F1687" s="786"/>
      <c r="G1687" s="786"/>
      <c r="J1687" s="127">
        <f>Price_List_BA!L172</f>
        <v>93750</v>
      </c>
      <c r="K1687" s="127">
        <f>Price_List_BA!O172</f>
        <v>18750</v>
      </c>
      <c r="L1687" s="127">
        <f>Price_List_BA!P172</f>
        <v>20470.741068804018</v>
      </c>
    </row>
    <row r="1688" spans="4:12" s="348" customFormat="1" ht="12.75" hidden="1" customHeight="1" outlineLevel="2" x14ac:dyDescent="0.2">
      <c r="D1688" s="785" t="str">
        <f>Price_List_BA!D173</f>
        <v>Registration book, patient  (TZ)</v>
      </c>
      <c r="E1688" s="786"/>
      <c r="F1688" s="786"/>
      <c r="G1688" s="786"/>
      <c r="J1688" s="127">
        <f>Price_List_BA!L173</f>
        <v>2.1875</v>
      </c>
      <c r="K1688" s="127">
        <f>Price_List_BA!O173</f>
        <v>0.24305555555555555</v>
      </c>
      <c r="L1688" s="127">
        <f>Price_List_BA!P173</f>
        <v>0.28094906222710125</v>
      </c>
    </row>
    <row r="1689" spans="4:12" s="348" customFormat="1" hidden="1" outlineLevel="2" x14ac:dyDescent="0.2">
      <c r="D1689" s="785" t="str">
        <f>Price_List_BA!D174</f>
        <v>Retractor 3.5" Coated Lateral Wall (ZM)</v>
      </c>
      <c r="E1689" s="786"/>
      <c r="F1689" s="786"/>
      <c r="G1689" s="786"/>
      <c r="J1689" s="127">
        <f>Price_List_BA!L174</f>
        <v>165</v>
      </c>
      <c r="K1689" s="127">
        <f>Price_List_BA!O174</f>
        <v>33</v>
      </c>
      <c r="L1689" s="127">
        <f>Price_List_BA!P174</f>
        <v>36.028504281095074</v>
      </c>
    </row>
    <row r="1690" spans="4:12" s="348" customFormat="1" hidden="1" outlineLevel="2" x14ac:dyDescent="0.2">
      <c r="D1690" s="785" t="str">
        <f>Price_List_BA!D175</f>
        <v>Smoke evacuator (UG)</v>
      </c>
      <c r="E1690" s="786"/>
      <c r="F1690" s="786"/>
      <c r="G1690" s="786"/>
      <c r="J1690" s="127">
        <f>Price_List_BA!L175</f>
        <v>1990</v>
      </c>
      <c r="K1690" s="127">
        <f>Price_List_BA!O175</f>
        <v>497.5</v>
      </c>
      <c r="L1690" s="127">
        <f>Price_List_BA!P175</f>
        <v>535.36381993423436</v>
      </c>
    </row>
    <row r="1691" spans="4:12" s="348" customFormat="1" hidden="1" outlineLevel="2" x14ac:dyDescent="0.2">
      <c r="D1691" s="785" t="str">
        <f>Price_List_BA!D176</f>
        <v>Specimen Tube rack  (TZ)</v>
      </c>
      <c r="E1691" s="786"/>
      <c r="F1691" s="786"/>
      <c r="G1691" s="786"/>
      <c r="J1691" s="127">
        <f>Price_List_BA!L176</f>
        <v>10</v>
      </c>
      <c r="K1691" s="127">
        <f>Price_List_BA!O176</f>
        <v>5</v>
      </c>
      <c r="L1691" s="127">
        <f>Price_List_BA!P176</f>
        <v>5.2261083743842391</v>
      </c>
    </row>
    <row r="1692" spans="4:12" s="348" customFormat="1" hidden="1" outlineLevel="2" x14ac:dyDescent="0.2">
      <c r="D1692" s="785" t="str">
        <f>Price_List_BA!D177</f>
        <v>Speculum  (TZ)</v>
      </c>
      <c r="E1692" s="786"/>
      <c r="F1692" s="786"/>
      <c r="G1692" s="786"/>
      <c r="J1692" s="127">
        <f>Price_List_BA!L177</f>
        <v>18.75</v>
      </c>
      <c r="K1692" s="127">
        <f>Price_List_BA!O177</f>
        <v>1.875</v>
      </c>
      <c r="L1692" s="127">
        <f>Price_List_BA!P177</f>
        <v>2.1980719988467428</v>
      </c>
    </row>
    <row r="1693" spans="4:12" s="348" customFormat="1" hidden="1" outlineLevel="2" x14ac:dyDescent="0.2">
      <c r="D1693" s="785" t="str">
        <f>Price_List_BA!D178</f>
        <v>Speculum (reusable) (UG)</v>
      </c>
      <c r="E1693" s="786"/>
      <c r="F1693" s="786"/>
      <c r="G1693" s="786"/>
      <c r="J1693" s="127">
        <f>Price_List_BA!L178</f>
        <v>8.4809000000000001</v>
      </c>
      <c r="K1693" s="127">
        <f>Price_List_BA!O178</f>
        <v>0.94232222222222228</v>
      </c>
      <c r="L1693" s="127">
        <f>Price_List_BA!P178</f>
        <v>1.0892346979848335</v>
      </c>
    </row>
    <row r="1694" spans="4:12" s="348" customFormat="1" hidden="1" outlineLevel="2" x14ac:dyDescent="0.2">
      <c r="D1694" s="785" t="str">
        <f>Price_List_BA!D179</f>
        <v>Speculum (UG)</v>
      </c>
      <c r="E1694" s="786"/>
      <c r="F1694" s="786"/>
      <c r="G1694" s="786"/>
      <c r="J1694" s="127">
        <f>Price_List_BA!L179</f>
        <v>8.4809000000000001</v>
      </c>
      <c r="K1694" s="127">
        <f>Price_List_BA!O179</f>
        <v>1.0601125</v>
      </c>
      <c r="L1694" s="127">
        <f>Price_List_BA!P179</f>
        <v>1.2081583880049334</v>
      </c>
    </row>
    <row r="1695" spans="4:12" s="348" customFormat="1" hidden="1" outlineLevel="2" x14ac:dyDescent="0.2">
      <c r="D1695" s="785" t="str">
        <f>Price_List_BA!D180</f>
        <v>Speculum Graves' large  (ZM)</v>
      </c>
      <c r="E1695" s="786"/>
      <c r="F1695" s="786"/>
      <c r="G1695" s="786"/>
      <c r="J1695" s="127">
        <f>Price_List_BA!L180</f>
        <v>14</v>
      </c>
      <c r="K1695" s="127">
        <f>Price_List_BA!O180</f>
        <v>2.3333333333333335</v>
      </c>
      <c r="L1695" s="127">
        <f>Price_List_BA!P180</f>
        <v>2.5843650063024817</v>
      </c>
    </row>
    <row r="1696" spans="4:12" s="348" customFormat="1" hidden="1" outlineLevel="2" x14ac:dyDescent="0.2">
      <c r="D1696" s="785" t="str">
        <f>Price_List_BA!D181</f>
        <v>Speculum Graves' Medium (ZM)</v>
      </c>
      <c r="E1696" s="786"/>
      <c r="F1696" s="786"/>
      <c r="G1696" s="786"/>
      <c r="J1696" s="127">
        <f>Price_List_BA!L181</f>
        <v>14</v>
      </c>
      <c r="K1696" s="127">
        <f>Price_List_BA!O181</f>
        <v>2.3333333333333335</v>
      </c>
      <c r="L1696" s="127">
        <f>Price_List_BA!P181</f>
        <v>2.5843650063024817</v>
      </c>
    </row>
    <row r="1697" spans="4:12" s="348" customFormat="1" hidden="1" outlineLevel="2" x14ac:dyDescent="0.2">
      <c r="D1697" s="785" t="str">
        <f>Price_List_BA!D182</f>
        <v>Speculum  Graves'  Small (ZM)</v>
      </c>
      <c r="E1697" s="786"/>
      <c r="F1697" s="786"/>
      <c r="G1697" s="786"/>
      <c r="J1697" s="127">
        <f>Price_List_BA!L182</f>
        <v>14</v>
      </c>
      <c r="K1697" s="127">
        <f>Price_List_BA!O182</f>
        <v>4.666666666666667</v>
      </c>
      <c r="L1697" s="127">
        <f>Price_List_BA!P182</f>
        <v>4.9494250865443723</v>
      </c>
    </row>
    <row r="1698" spans="4:12" s="348" customFormat="1" ht="12.75" hidden="1" customHeight="1" outlineLevel="2" x14ac:dyDescent="0.2">
      <c r="D1698" s="785" t="str">
        <f>Price_List_BA!D183</f>
        <v>Speculum, endocervical (ZM)</v>
      </c>
      <c r="E1698" s="786"/>
      <c r="F1698" s="786"/>
      <c r="G1698" s="786"/>
      <c r="J1698" s="127">
        <f>Price_List_BA!L183</f>
        <v>50</v>
      </c>
      <c r="K1698" s="127">
        <f>Price_List_BA!O183</f>
        <v>16.666666666666668</v>
      </c>
      <c r="L1698" s="127">
        <f>Price_List_BA!P183</f>
        <v>17.676518166229901</v>
      </c>
    </row>
    <row r="1699" spans="4:12" s="348" customFormat="1" ht="12.75" hidden="1" customHeight="1" outlineLevel="2" x14ac:dyDescent="0.2">
      <c r="D1699" s="785" t="str">
        <f>Price_List_BA!D184</f>
        <v>Sponge holding forceps (UG)</v>
      </c>
      <c r="E1699" s="786"/>
      <c r="F1699" s="786"/>
      <c r="G1699" s="786"/>
      <c r="J1699" s="127">
        <f>Price_List_BA!L184</f>
        <v>8.1560000000000006</v>
      </c>
      <c r="K1699" s="127">
        <f>Price_List_BA!O184</f>
        <v>2.718666666666667</v>
      </c>
      <c r="L1699" s="127">
        <f>Price_List_BA!P184</f>
        <v>2.8833936432754217</v>
      </c>
    </row>
    <row r="1700" spans="4:12" s="348" customFormat="1" ht="12.75" hidden="1" customHeight="1" outlineLevel="2" x14ac:dyDescent="0.2">
      <c r="D1700" s="785" t="str">
        <f>Price_List_BA!D185</f>
        <v>Steel trolley (Two/three shelves) (ZM)</v>
      </c>
      <c r="E1700" s="786"/>
      <c r="F1700" s="786"/>
      <c r="G1700" s="786"/>
      <c r="J1700" s="127">
        <f>Price_List_BA!L185</f>
        <v>220</v>
      </c>
      <c r="K1700" s="127">
        <f>Price_List_BA!O185</f>
        <v>55</v>
      </c>
      <c r="L1700" s="127">
        <f>Price_List_BA!P185</f>
        <v>59.185949942478167</v>
      </c>
    </row>
    <row r="1701" spans="4:12" s="348" customFormat="1" ht="12.75" hidden="1" customHeight="1" outlineLevel="2" x14ac:dyDescent="0.2">
      <c r="D1701" s="785" t="str">
        <f>Price_List_BA!D186</f>
        <v>Step-on stool (ZM)</v>
      </c>
      <c r="E1701" s="786"/>
      <c r="F1701" s="786"/>
      <c r="G1701" s="786"/>
      <c r="J1701" s="127">
        <f>Price_List_BA!L186</f>
        <v>120</v>
      </c>
      <c r="K1701" s="127">
        <f>Price_List_BA!O186</f>
        <v>13.333333333333334</v>
      </c>
      <c r="L1701" s="127">
        <f>Price_List_BA!P186</f>
        <v>15.412062842172412</v>
      </c>
    </row>
    <row r="1702" spans="4:12" s="348" customFormat="1" ht="12.75" hidden="1" customHeight="1" outlineLevel="2" x14ac:dyDescent="0.2">
      <c r="D1702" s="785" t="str">
        <f>Price_List_BA!D187</f>
        <v>Sterilising Drum (ZM)</v>
      </c>
      <c r="E1702" s="786"/>
      <c r="F1702" s="786"/>
      <c r="G1702" s="786"/>
      <c r="J1702" s="127">
        <f>Price_List_BA!L187</f>
        <v>40</v>
      </c>
      <c r="K1702" s="127">
        <f>Price_List_BA!O187</f>
        <v>10</v>
      </c>
      <c r="L1702" s="127">
        <f>Price_List_BA!P187</f>
        <v>10.761081807723302</v>
      </c>
    </row>
    <row r="1703" spans="4:12" s="348" customFormat="1" ht="12.75" hidden="1" customHeight="1" outlineLevel="2" x14ac:dyDescent="0.2">
      <c r="D1703" s="785" t="str">
        <f>Price_List_BA!D188</f>
        <v>Sterilizer (UG)</v>
      </c>
      <c r="E1703" s="786"/>
      <c r="F1703" s="786"/>
      <c r="G1703" s="786"/>
      <c r="J1703" s="127">
        <f>Price_List_BA!L188</f>
        <v>1189.78</v>
      </c>
      <c r="K1703" s="127">
        <f>Price_List_BA!O188</f>
        <v>198.29666666666665</v>
      </c>
      <c r="L1703" s="127">
        <f>Price_List_BA!P188</f>
        <v>219.6304140856119</v>
      </c>
    </row>
    <row r="1704" spans="4:12" s="348" customFormat="1" ht="12.75" hidden="1" customHeight="1" outlineLevel="2" x14ac:dyDescent="0.2">
      <c r="D1704" s="785" t="str">
        <f>Price_List_BA!D189</f>
        <v>Television set (ZM)</v>
      </c>
      <c r="E1704" s="786"/>
      <c r="F1704" s="786"/>
      <c r="G1704" s="786"/>
      <c r="J1704" s="127">
        <f>Price_List_BA!L189</f>
        <v>200</v>
      </c>
      <c r="K1704" s="127">
        <f>Price_List_BA!O189</f>
        <v>66.666666666666671</v>
      </c>
      <c r="L1704" s="127">
        <f>Price_List_BA!P189</f>
        <v>70.706072664919603</v>
      </c>
    </row>
    <row r="1705" spans="4:12" s="348" customFormat="1" ht="12.75" hidden="1" customHeight="1" outlineLevel="2" x14ac:dyDescent="0.2">
      <c r="D1705" s="785" t="str">
        <f>Price_List_BA!D190</f>
        <v>Timer / wall clock (UG)</v>
      </c>
      <c r="E1705" s="786"/>
      <c r="F1705" s="786"/>
      <c r="G1705" s="786"/>
      <c r="J1705" s="127">
        <f>Price_List_BA!L190</f>
        <v>4.9939999999999998</v>
      </c>
      <c r="K1705" s="127">
        <f>Price_List_BA!O190</f>
        <v>1.2484999999999999</v>
      </c>
      <c r="L1705" s="127">
        <f>Price_List_BA!P190</f>
        <v>1.3435210636942543</v>
      </c>
    </row>
    <row r="1706" spans="4:12" s="348" customFormat="1" ht="12.75" hidden="1" customHeight="1" outlineLevel="2" x14ac:dyDescent="0.2">
      <c r="D1706" s="785" t="str">
        <f>Price_List_BA!D191</f>
        <v>Torch (UG)</v>
      </c>
      <c r="E1706" s="786"/>
      <c r="F1706" s="786"/>
      <c r="G1706" s="786"/>
      <c r="J1706" s="127">
        <f>Price_List_BA!L191</f>
        <v>39.595100000000002</v>
      </c>
      <c r="K1706" s="127">
        <f>Price_List_BA!O191</f>
        <v>4.3994555555555559</v>
      </c>
      <c r="L1706" s="127">
        <f>Price_List_BA!P191</f>
        <v>5.0853514120175074</v>
      </c>
    </row>
    <row r="1707" spans="4:12" s="348" customFormat="1" ht="12.75" hidden="1" customHeight="1" outlineLevel="2" x14ac:dyDescent="0.2">
      <c r="D1707" s="785" t="str">
        <f>Price_List_BA!D192</f>
        <v>Uterine Cervical Dilator (ZM)</v>
      </c>
      <c r="E1707" s="786"/>
      <c r="F1707" s="786"/>
      <c r="G1707" s="786"/>
      <c r="J1707" s="127">
        <f>Price_List_BA!L192</f>
        <v>30</v>
      </c>
      <c r="K1707" s="127">
        <f>Price_List_BA!O192</f>
        <v>4.2857142857142856</v>
      </c>
      <c r="L1707" s="127">
        <f>Price_List_BA!P192</f>
        <v>4.8151906126281609</v>
      </c>
    </row>
    <row r="1708" spans="4:12" s="348" customFormat="1" ht="12.75" hidden="1" customHeight="1" outlineLevel="2" x14ac:dyDescent="0.2">
      <c r="D1708" s="785" t="str">
        <f>Price_List_BA!D193</f>
        <v>Uterine Cervical Dilator  (TZ)</v>
      </c>
      <c r="E1708" s="786"/>
      <c r="F1708" s="786"/>
      <c r="G1708" s="786"/>
      <c r="J1708" s="127">
        <f>Price_List_BA!L193</f>
        <v>875</v>
      </c>
      <c r="K1708" s="127">
        <f>Price_List_BA!O193</f>
        <v>291.66666666666669</v>
      </c>
      <c r="L1708" s="127">
        <f>Price_List_BA!P193</f>
        <v>309.3390679090233</v>
      </c>
    </row>
    <row r="1709" spans="4:12" s="348" customFormat="1" ht="12.75" hidden="1" customHeight="1" outlineLevel="2" x14ac:dyDescent="0.2">
      <c r="D1709" s="785" t="str">
        <f>Price_List_BA!D194</f>
        <v>Uterine Probe (ZM)</v>
      </c>
      <c r="E1709" s="786"/>
      <c r="F1709" s="786"/>
      <c r="G1709" s="786"/>
      <c r="J1709" s="127">
        <f>Price_List_BA!L194</f>
        <v>46</v>
      </c>
      <c r="K1709" s="127">
        <f>Price_List_BA!O194</f>
        <v>5.1111111111111107</v>
      </c>
      <c r="L1709" s="127">
        <f>Price_List_BA!P194</f>
        <v>5.9079574228327578</v>
      </c>
    </row>
    <row r="1710" spans="4:12" s="348" customFormat="1" ht="12.75" hidden="1" customHeight="1" outlineLevel="2" x14ac:dyDescent="0.2">
      <c r="D1710" s="785" t="str">
        <f>Price_List_BA!D195</f>
        <v>Uterine Probe  (TZ)</v>
      </c>
      <c r="E1710" s="786"/>
      <c r="F1710" s="786"/>
      <c r="G1710" s="786"/>
      <c r="J1710" s="127">
        <f>Price_List_BA!L195</f>
        <v>43.75</v>
      </c>
      <c r="K1710" s="127">
        <f>Price_List_BA!O195</f>
        <v>4.8611111111111107</v>
      </c>
      <c r="L1710" s="127">
        <f>Price_List_BA!P195</f>
        <v>5.6189812445420255</v>
      </c>
    </row>
    <row r="1711" spans="4:12" s="348" customFormat="1" ht="12.75" hidden="1" customHeight="1" outlineLevel="2" x14ac:dyDescent="0.2">
      <c r="D1711" s="785" t="str">
        <f>Price_List_BA!D196</f>
        <v>Equipment Category 113</v>
      </c>
      <c r="E1711" s="786"/>
      <c r="F1711" s="786"/>
      <c r="G1711" s="786"/>
      <c r="J1711" s="127">
        <f>Price_List_BA!L196</f>
        <v>0</v>
      </c>
      <c r="K1711" s="127">
        <f>Price_List_BA!O196</f>
        <v>0</v>
      </c>
      <c r="L1711" s="127">
        <f>Price_List_BA!P196</f>
        <v>0</v>
      </c>
    </row>
    <row r="1712" spans="4:12" s="348" customFormat="1" ht="12.75" hidden="1" customHeight="1" outlineLevel="2" x14ac:dyDescent="0.2">
      <c r="D1712" s="785" t="str">
        <f>Price_List_BA!D197</f>
        <v>Equipment Category 114</v>
      </c>
      <c r="E1712" s="786"/>
      <c r="F1712" s="786"/>
      <c r="G1712" s="786"/>
      <c r="J1712" s="127">
        <f>Price_List_BA!L197</f>
        <v>0</v>
      </c>
      <c r="K1712" s="127">
        <f>Price_List_BA!O197</f>
        <v>0</v>
      </c>
      <c r="L1712" s="127">
        <f>Price_List_BA!P197</f>
        <v>0</v>
      </c>
    </row>
    <row r="1713" spans="4:12" s="348" customFormat="1" ht="12.75" hidden="1" customHeight="1" outlineLevel="2" x14ac:dyDescent="0.2">
      <c r="D1713" s="785" t="str">
        <f>Price_List_BA!D198</f>
        <v>Equipment Category 115</v>
      </c>
      <c r="E1713" s="786"/>
      <c r="F1713" s="786"/>
      <c r="G1713" s="786"/>
      <c r="J1713" s="127">
        <f>Price_List_BA!L198</f>
        <v>0</v>
      </c>
      <c r="K1713" s="127">
        <f>Price_List_BA!O198</f>
        <v>0</v>
      </c>
      <c r="L1713" s="127">
        <f>Price_List_BA!P198</f>
        <v>0</v>
      </c>
    </row>
    <row r="1714" spans="4:12" s="348" customFormat="1" ht="12.75" hidden="1" customHeight="1" outlineLevel="2" x14ac:dyDescent="0.2">
      <c r="D1714" s="785" t="str">
        <f>Price_List_BA!D199</f>
        <v>Equipment Category 116</v>
      </c>
      <c r="E1714" s="786"/>
      <c r="F1714" s="786"/>
      <c r="G1714" s="786"/>
      <c r="J1714" s="127">
        <f>Price_List_BA!L199</f>
        <v>0</v>
      </c>
      <c r="K1714" s="127">
        <f>Price_List_BA!O199</f>
        <v>0</v>
      </c>
      <c r="L1714" s="127">
        <f>Price_List_BA!P199</f>
        <v>0</v>
      </c>
    </row>
    <row r="1715" spans="4:12" s="348" customFormat="1" ht="12.75" hidden="1" customHeight="1" outlineLevel="2" x14ac:dyDescent="0.2">
      <c r="D1715" s="785" t="str">
        <f>Price_List_BA!D200</f>
        <v>Equipment Category 117</v>
      </c>
      <c r="E1715" s="786"/>
      <c r="F1715" s="786"/>
      <c r="G1715" s="786"/>
      <c r="J1715" s="127">
        <f>Price_List_BA!L200</f>
        <v>0</v>
      </c>
      <c r="K1715" s="127">
        <f>Price_List_BA!O200</f>
        <v>0</v>
      </c>
      <c r="L1715" s="127">
        <f>Price_List_BA!P200</f>
        <v>0</v>
      </c>
    </row>
    <row r="1716" spans="4:12" s="348" customFormat="1" ht="12.75" hidden="1" customHeight="1" outlineLevel="2" x14ac:dyDescent="0.2">
      <c r="D1716" s="785" t="str">
        <f>Price_List_BA!D201</f>
        <v>Equipment Category 118</v>
      </c>
      <c r="E1716" s="786"/>
      <c r="F1716" s="786"/>
      <c r="G1716" s="786"/>
      <c r="J1716" s="127">
        <f>Price_List_BA!L201</f>
        <v>0</v>
      </c>
      <c r="K1716" s="127">
        <f>Price_List_BA!O201</f>
        <v>0</v>
      </c>
      <c r="L1716" s="127">
        <f>Price_List_BA!P201</f>
        <v>0</v>
      </c>
    </row>
    <row r="1717" spans="4:12" s="348" customFormat="1" ht="12.75" hidden="1" customHeight="1" outlineLevel="2" x14ac:dyDescent="0.2">
      <c r="D1717" s="785" t="str">
        <f>Price_List_BA!D202</f>
        <v>Equipment Category 119</v>
      </c>
      <c r="E1717" s="786"/>
      <c r="F1717" s="786"/>
      <c r="G1717" s="786"/>
      <c r="J1717" s="127">
        <f>Price_List_BA!L202</f>
        <v>0</v>
      </c>
      <c r="K1717" s="127">
        <f>Price_List_BA!O202</f>
        <v>0</v>
      </c>
      <c r="L1717" s="127">
        <f>Price_List_BA!P202</f>
        <v>0</v>
      </c>
    </row>
    <row r="1718" spans="4:12" s="348" customFormat="1" ht="12.75" hidden="1" customHeight="1" outlineLevel="2" x14ac:dyDescent="0.2">
      <c r="D1718" s="785" t="str">
        <f>Price_List_BA!D203</f>
        <v>Equipment Category 120</v>
      </c>
      <c r="E1718" s="786"/>
      <c r="F1718" s="786"/>
      <c r="G1718" s="786"/>
      <c r="J1718" s="127">
        <f>Price_List_BA!L203</f>
        <v>0</v>
      </c>
      <c r="K1718" s="127">
        <f>Price_List_BA!O203</f>
        <v>0</v>
      </c>
      <c r="L1718" s="127">
        <f>Price_List_BA!P203</f>
        <v>0</v>
      </c>
    </row>
    <row r="1719" spans="4:12" s="348" customFormat="1" ht="12.75" hidden="1" customHeight="1" outlineLevel="2" x14ac:dyDescent="0.2">
      <c r="D1719" s="785" t="str">
        <f>Price_List_BA!D204</f>
        <v>Equipment Category 121</v>
      </c>
      <c r="E1719" s="786"/>
      <c r="F1719" s="786"/>
      <c r="G1719" s="786"/>
      <c r="J1719" s="127">
        <f>Price_List_BA!L204</f>
        <v>0</v>
      </c>
      <c r="K1719" s="127">
        <f>Price_List_BA!O204</f>
        <v>0</v>
      </c>
      <c r="L1719" s="127">
        <f>Price_List_BA!P204</f>
        <v>0</v>
      </c>
    </row>
    <row r="1720" spans="4:12" s="348" customFormat="1" ht="12.75" hidden="1" customHeight="1" outlineLevel="2" x14ac:dyDescent="0.2">
      <c r="D1720" s="785" t="str">
        <f>Price_List_BA!D205</f>
        <v>Equipment Category 122</v>
      </c>
      <c r="E1720" s="786"/>
      <c r="F1720" s="786"/>
      <c r="G1720" s="786"/>
      <c r="J1720" s="127">
        <f>Price_List_BA!L205</f>
        <v>0</v>
      </c>
      <c r="K1720" s="127">
        <f>Price_List_BA!O205</f>
        <v>0</v>
      </c>
      <c r="L1720" s="127">
        <f>Price_List_BA!P205</f>
        <v>0</v>
      </c>
    </row>
    <row r="1721" spans="4:12" s="348" customFormat="1" ht="12.75" hidden="1" customHeight="1" outlineLevel="2" x14ac:dyDescent="0.2">
      <c r="D1721" s="785" t="str">
        <f>Price_List_BA!D206</f>
        <v>Equipment Category 123</v>
      </c>
      <c r="E1721" s="786"/>
      <c r="F1721" s="786"/>
      <c r="G1721" s="786"/>
      <c r="J1721" s="127">
        <f>Price_List_BA!L206</f>
        <v>0</v>
      </c>
      <c r="K1721" s="127">
        <f>Price_List_BA!O206</f>
        <v>0</v>
      </c>
      <c r="L1721" s="127">
        <f>Price_List_BA!P206</f>
        <v>0</v>
      </c>
    </row>
    <row r="1722" spans="4:12" s="348" customFormat="1" hidden="1" outlineLevel="2" x14ac:dyDescent="0.2"/>
    <row r="1723" spans="4:12" s="348" customFormat="1" ht="25.5" hidden="1" outlineLevel="2" x14ac:dyDescent="0.2">
      <c r="D1723" s="667" t="s">
        <v>186</v>
      </c>
      <c r="L1723" s="312" t="str">
        <f>"Cost per Unit ("&amp;$I$1361&amp;"/Unit)"</f>
        <v>Cost per Unit (USD/Unit)</v>
      </c>
    </row>
    <row r="1724" spans="4:12" s="348" customFormat="1" ht="12.95" hidden="1" customHeight="1" outlineLevel="2" x14ac:dyDescent="0.2">
      <c r="D1724" s="785" t="str">
        <f>Price_List_BA!D381</f>
        <v>_Not Applicable</v>
      </c>
      <c r="E1724" s="786"/>
      <c r="F1724" s="786"/>
      <c r="G1724" s="786"/>
      <c r="L1724" s="127">
        <f>Price_List_BA!L381</f>
        <v>0</v>
      </c>
    </row>
    <row r="1725" spans="4:12" s="348" customFormat="1" ht="12.95" hidden="1" customHeight="1" outlineLevel="2" x14ac:dyDescent="0.2">
      <c r="D1725" s="785" t="str">
        <f>Price_List_BA!D382</f>
        <v>Biopsy Pathology (ZM)</v>
      </c>
      <c r="E1725" s="786"/>
      <c r="F1725" s="786"/>
      <c r="G1725" s="786"/>
      <c r="L1725" s="127">
        <f>Price_List_BA!L382</f>
        <v>10.45</v>
      </c>
    </row>
    <row r="1726" spans="4:12" s="348" customFormat="1" ht="12.95" hidden="1" customHeight="1" outlineLevel="2" x14ac:dyDescent="0.2">
      <c r="D1726" s="785" t="str">
        <f>Price_List_BA!D383</f>
        <v>Blood chemistry (TZ)</v>
      </c>
      <c r="E1726" s="786"/>
      <c r="F1726" s="786"/>
      <c r="G1726" s="786"/>
      <c r="L1726" s="127">
        <f>Price_List_BA!L383</f>
        <v>21.875</v>
      </c>
    </row>
    <row r="1727" spans="4:12" s="348" customFormat="1" ht="12.95" hidden="1" customHeight="1" outlineLevel="2" x14ac:dyDescent="0.2">
      <c r="D1727" s="785" t="str">
        <f>Price_List_BA!D384</f>
        <v>Blood slide for malaria (TZ)</v>
      </c>
      <c r="E1727" s="786"/>
      <c r="F1727" s="786"/>
      <c r="G1727" s="786"/>
      <c r="L1727" s="127">
        <f>Price_List_BA!L384</f>
        <v>1.25</v>
      </c>
    </row>
    <row r="1728" spans="4:12" s="348" customFormat="1" ht="12.95" hidden="1" customHeight="1" outlineLevel="2" x14ac:dyDescent="0.2">
      <c r="D1728" s="785" t="str">
        <f>Price_List_BA!D385</f>
        <v>CareHPV test (TZ)</v>
      </c>
      <c r="E1728" s="786"/>
      <c r="F1728" s="786"/>
      <c r="G1728" s="786"/>
      <c r="L1728" s="127">
        <f>Price_List_BA!L385</f>
        <v>5</v>
      </c>
    </row>
    <row r="1729" spans="4:12" s="348" customFormat="1" ht="12.95" hidden="1" customHeight="1" outlineLevel="2" x14ac:dyDescent="0.2">
      <c r="D1729" s="785" t="str">
        <f>Price_List_BA!D386</f>
        <v>Chest X-ray (ZM)</v>
      </c>
      <c r="E1729" s="786"/>
      <c r="F1729" s="786"/>
      <c r="G1729" s="786"/>
      <c r="L1729" s="127">
        <f>Price_List_BA!L386</f>
        <v>1.67</v>
      </c>
    </row>
    <row r="1730" spans="4:12" s="348" customFormat="1" ht="12.95" hidden="1" customHeight="1" outlineLevel="2" x14ac:dyDescent="0.2">
      <c r="D1730" s="785" t="str">
        <f>Price_List_BA!D387</f>
        <v>Chest x-ray (TZ)</v>
      </c>
      <c r="E1730" s="786"/>
      <c r="F1730" s="786"/>
      <c r="G1730" s="786"/>
      <c r="L1730" s="127">
        <f>Price_List_BA!L387</f>
        <v>3.75</v>
      </c>
    </row>
    <row r="1731" spans="4:12" s="348" customFormat="1" ht="12.95" hidden="1" customHeight="1" outlineLevel="2" x14ac:dyDescent="0.2">
      <c r="D1731" s="785" t="str">
        <f>Price_List_BA!D388</f>
        <v>Full Blood Count (ZM)</v>
      </c>
      <c r="E1731" s="786"/>
      <c r="F1731" s="786"/>
      <c r="G1731" s="786"/>
      <c r="L1731" s="127">
        <f>Price_List_BA!L388</f>
        <v>2.5</v>
      </c>
    </row>
    <row r="1732" spans="4:12" s="348" customFormat="1" ht="12.95" hidden="1" customHeight="1" outlineLevel="2" x14ac:dyDescent="0.2">
      <c r="D1732" s="785" t="str">
        <f>Price_List_BA!D389</f>
        <v>Full blood picture (TZ)</v>
      </c>
      <c r="E1732" s="786"/>
      <c r="F1732" s="786"/>
      <c r="G1732" s="786"/>
      <c r="L1732" s="127">
        <f>Price_List_BA!L389</f>
        <v>6.25</v>
      </c>
    </row>
    <row r="1733" spans="4:12" s="348" customFormat="1" ht="12.75" hidden="1" customHeight="1" outlineLevel="2" x14ac:dyDescent="0.2">
      <c r="D1733" s="785" t="str">
        <f>Price_List_BA!D390</f>
        <v>Grouping, X matching (TZ)</v>
      </c>
      <c r="E1733" s="786"/>
      <c r="F1733" s="786"/>
      <c r="G1733" s="786"/>
      <c r="L1733" s="127">
        <f>Price_List_BA!L390</f>
        <v>1.875</v>
      </c>
    </row>
    <row r="1734" spans="4:12" s="348" customFormat="1" ht="12.75" hidden="1" customHeight="1" outlineLevel="2" x14ac:dyDescent="0.2">
      <c r="D1734" s="785" t="str">
        <f>Price_List_BA!D391</f>
        <v>Haemoglobin (TZ)</v>
      </c>
      <c r="E1734" s="786"/>
      <c r="F1734" s="786"/>
      <c r="G1734" s="786"/>
      <c r="L1734" s="127">
        <f>Price_List_BA!L391</f>
        <v>0.625</v>
      </c>
    </row>
    <row r="1735" spans="4:12" s="348" customFormat="1" ht="12.75" hidden="1" customHeight="1" outlineLevel="2" x14ac:dyDescent="0.2">
      <c r="D1735" s="785" t="str">
        <f>Price_List_BA!D392</f>
        <v>Histopathology (TZ)</v>
      </c>
      <c r="E1735" s="786"/>
      <c r="F1735" s="786"/>
      <c r="G1735" s="786"/>
      <c r="L1735" s="127">
        <f>Price_List_BA!L392</f>
        <v>31.25</v>
      </c>
    </row>
    <row r="1736" spans="4:12" s="348" customFormat="1" ht="12.75" hidden="1" customHeight="1" outlineLevel="2" x14ac:dyDescent="0.2">
      <c r="D1736" s="785" t="str">
        <f>Price_List_BA!D393</f>
        <v>Home Care (Day) (TZ)</v>
      </c>
      <c r="E1736" s="786"/>
      <c r="F1736" s="786"/>
      <c r="G1736" s="786"/>
      <c r="L1736" s="127">
        <f>Price_List_BA!L393</f>
        <v>12.5</v>
      </c>
    </row>
    <row r="1737" spans="4:12" s="348" customFormat="1" ht="12.75" hidden="1" customHeight="1" outlineLevel="2" x14ac:dyDescent="0.2">
      <c r="D1737" s="785" t="str">
        <f>Price_List_BA!D394</f>
        <v>Hospital Stay (Bed Day) (TZ)</v>
      </c>
      <c r="E1737" s="786"/>
      <c r="F1737" s="786"/>
      <c r="G1737" s="786"/>
      <c r="L1737" s="127">
        <f>Price_List_BA!L394</f>
        <v>18.75</v>
      </c>
    </row>
    <row r="1738" spans="4:12" s="348" customFormat="1" ht="12.75" hidden="1" customHeight="1" outlineLevel="2" x14ac:dyDescent="0.2">
      <c r="D1738" s="785" t="str">
        <f>Price_List_BA!D395</f>
        <v>Hysterectomy Pathology (ZM)</v>
      </c>
      <c r="E1738" s="786"/>
      <c r="F1738" s="786"/>
      <c r="G1738" s="786"/>
      <c r="L1738" s="127">
        <f>Price_List_BA!L395</f>
        <v>135.77000000000001</v>
      </c>
    </row>
    <row r="1739" spans="4:12" s="348" customFormat="1" ht="12.75" hidden="1" customHeight="1" outlineLevel="2" x14ac:dyDescent="0.2">
      <c r="D1739" s="785" t="str">
        <f>Price_List_BA!D396</f>
        <v>LEEP Pathology (ZM)</v>
      </c>
      <c r="E1739" s="786"/>
      <c r="F1739" s="786"/>
      <c r="G1739" s="786"/>
      <c r="L1739" s="127">
        <f>Price_List_BA!L396</f>
        <v>62.66</v>
      </c>
    </row>
    <row r="1740" spans="4:12" s="348" customFormat="1" ht="12.75" hidden="1" customHeight="1" outlineLevel="2" x14ac:dyDescent="0.2">
      <c r="D1740" s="785" t="str">
        <f>Price_List_BA!D397</f>
        <v>Liver Function (ZM)</v>
      </c>
      <c r="E1740" s="786"/>
      <c r="F1740" s="786"/>
      <c r="G1740" s="786"/>
      <c r="L1740" s="127">
        <f>Price_List_BA!L397</f>
        <v>6.67</v>
      </c>
    </row>
    <row r="1741" spans="4:12" s="348" customFormat="1" ht="12.75" hidden="1" customHeight="1" outlineLevel="2" x14ac:dyDescent="0.2">
      <c r="D1741" s="785" t="str">
        <f>Price_List_BA!D398</f>
        <v>Planning x-ray (TZ)</v>
      </c>
      <c r="E1741" s="786"/>
      <c r="F1741" s="786"/>
      <c r="G1741" s="786"/>
      <c r="L1741" s="127">
        <f>Price_List_BA!L398</f>
        <v>3.75</v>
      </c>
    </row>
    <row r="1742" spans="4:12" s="348" customFormat="1" ht="12.75" hidden="1" customHeight="1" outlineLevel="2" x14ac:dyDescent="0.2">
      <c r="D1742" s="785" t="str">
        <f>Price_List_BA!D399</f>
        <v>Renal Function (ZM)</v>
      </c>
      <c r="E1742" s="786"/>
      <c r="F1742" s="786"/>
      <c r="G1742" s="786"/>
      <c r="L1742" s="127">
        <f>Price_List_BA!L399</f>
        <v>3.33</v>
      </c>
    </row>
    <row r="1743" spans="4:12" s="348" customFormat="1" ht="12.75" hidden="1" customHeight="1" outlineLevel="2" x14ac:dyDescent="0.2">
      <c r="D1743" s="785" t="str">
        <f>Price_List_BA!D400</f>
        <v>Ultrasound (ZM)</v>
      </c>
      <c r="E1743" s="786"/>
      <c r="F1743" s="786"/>
      <c r="G1743" s="786"/>
      <c r="L1743" s="127">
        <f>Price_List_BA!L400</f>
        <v>4.17</v>
      </c>
    </row>
    <row r="1744" spans="4:12" s="348" customFormat="1" ht="12.75" hidden="1" customHeight="1" outlineLevel="2" x14ac:dyDescent="0.2">
      <c r="D1744" s="785" t="str">
        <f>Price_List_BA!D401</f>
        <v>ultrasound (abdominal &amp; pelvic) (TZ)</v>
      </c>
      <c r="E1744" s="786"/>
      <c r="F1744" s="786"/>
      <c r="G1744" s="786"/>
      <c r="L1744" s="127">
        <f>Price_List_BA!L401</f>
        <v>15.625</v>
      </c>
    </row>
    <row r="1745" spans="3:12" s="348" customFormat="1" ht="12.75" hidden="1" customHeight="1" outlineLevel="2" x14ac:dyDescent="0.2">
      <c r="D1745" s="785" t="str">
        <f>Price_List_BA!D402</f>
        <v>Urine/stool test (TZ)</v>
      </c>
      <c r="E1745" s="786"/>
      <c r="F1745" s="786"/>
      <c r="G1745" s="786"/>
      <c r="L1745" s="127">
        <f>Price_List_BA!L402</f>
        <v>2.5</v>
      </c>
    </row>
    <row r="1746" spans="3:12" s="348" customFormat="1" ht="12.75" hidden="1" customHeight="1" outlineLevel="2" x14ac:dyDescent="0.2">
      <c r="D1746" s="785" t="str">
        <f>Price_List_BA!D403</f>
        <v>Lab Tests &amp; Other Direct Costs Category 23</v>
      </c>
      <c r="E1746" s="786"/>
      <c r="F1746" s="786"/>
      <c r="G1746" s="786"/>
      <c r="L1746" s="127">
        <f>Price_List_BA!L403</f>
        <v>0</v>
      </c>
    </row>
    <row r="1747" spans="3:12" s="348" customFormat="1" ht="12.95" hidden="1" customHeight="1" outlineLevel="2" x14ac:dyDescent="0.2">
      <c r="D1747" s="785" t="str">
        <f>Price_List_BA!D404</f>
        <v>Lab Tests &amp; Other Direct Costs Category 24</v>
      </c>
      <c r="E1747" s="786"/>
      <c r="F1747" s="786"/>
      <c r="G1747" s="786"/>
      <c r="L1747" s="127">
        <f>Price_List_BA!L404</f>
        <v>0</v>
      </c>
    </row>
    <row r="1748" spans="3:12" s="348" customFormat="1" ht="12.95" hidden="1" customHeight="1" outlineLevel="2" x14ac:dyDescent="0.2">
      <c r="D1748" s="785" t="str">
        <f>Price_List_BA!D405</f>
        <v>Lab Tests &amp; Other Direct Costs Category 25</v>
      </c>
      <c r="E1748" s="786"/>
      <c r="F1748" s="786"/>
      <c r="G1748" s="786"/>
      <c r="L1748" s="127">
        <f>Price_List_BA!L405</f>
        <v>0</v>
      </c>
    </row>
    <row r="1749" spans="3:12" s="348" customFormat="1" ht="12.95" hidden="1" customHeight="1" outlineLevel="2" x14ac:dyDescent="0.2">
      <c r="D1749" s="785" t="str">
        <f>Price_List_BA!D406</f>
        <v>Lab Tests &amp; Other Direct Costs Category 26</v>
      </c>
      <c r="E1749" s="786"/>
      <c r="F1749" s="786"/>
      <c r="G1749" s="786"/>
      <c r="L1749" s="127">
        <f>Price_List_BA!L406</f>
        <v>0</v>
      </c>
    </row>
    <row r="1750" spans="3:12" s="348" customFormat="1" ht="12.95" hidden="1" customHeight="1" outlineLevel="2" x14ac:dyDescent="0.2">
      <c r="D1750" s="785" t="str">
        <f>Price_List_BA!D407</f>
        <v>Lab Tests &amp; Other Direct Costs Category 27</v>
      </c>
      <c r="E1750" s="786"/>
      <c r="F1750" s="786"/>
      <c r="G1750" s="786"/>
      <c r="L1750" s="127">
        <f>Price_List_BA!L407</f>
        <v>0</v>
      </c>
    </row>
    <row r="1751" spans="3:12" s="348" customFormat="1" ht="12.95" hidden="1" customHeight="1" outlineLevel="2" x14ac:dyDescent="0.2">
      <c r="D1751" s="785" t="str">
        <f>Price_List_BA!D408</f>
        <v>Lab Tests &amp; Other Direct Costs Category 28</v>
      </c>
      <c r="E1751" s="786"/>
      <c r="F1751" s="786"/>
      <c r="G1751" s="786"/>
      <c r="L1751" s="127">
        <f>Price_List_BA!L408</f>
        <v>0</v>
      </c>
    </row>
    <row r="1752" spans="3:12" s="348" customFormat="1" ht="12.95" hidden="1" customHeight="1" outlineLevel="2" x14ac:dyDescent="0.2">
      <c r="D1752" s="785" t="str">
        <f>Price_List_BA!D409</f>
        <v>Lab Tests &amp; Other Direct Costs Category 29</v>
      </c>
      <c r="E1752" s="786"/>
      <c r="F1752" s="786"/>
      <c r="G1752" s="786"/>
      <c r="L1752" s="127">
        <f>Price_List_BA!L409</f>
        <v>0</v>
      </c>
    </row>
    <row r="1753" spans="3:12" s="348" customFormat="1" ht="12.95" hidden="1" customHeight="1" outlineLevel="2" x14ac:dyDescent="0.2">
      <c r="D1753" s="785" t="str">
        <f>Price_List_BA!D410</f>
        <v>Lab Tests &amp; Other Direct Costs Category 30</v>
      </c>
      <c r="E1753" s="786"/>
      <c r="F1753" s="786"/>
      <c r="G1753" s="786"/>
      <c r="L1753" s="127">
        <f>Price_List_BA!L410</f>
        <v>0</v>
      </c>
    </row>
    <row r="1754" spans="3:12" s="348" customFormat="1" ht="12.95" hidden="1" customHeight="1" outlineLevel="2" x14ac:dyDescent="0.2">
      <c r="D1754" s="785" t="str">
        <f>Price_List_BA!D411</f>
        <v>Lab Tests &amp; Other Direct Costs Category 31</v>
      </c>
      <c r="E1754" s="786"/>
      <c r="F1754" s="786"/>
      <c r="G1754" s="786"/>
      <c r="L1754" s="127">
        <f>Price_List_BA!L411</f>
        <v>0</v>
      </c>
    </row>
    <row r="1755" spans="3:12" s="348" customFormat="1" ht="12.75" hidden="1" customHeight="1" outlineLevel="2" x14ac:dyDescent="0.2">
      <c r="D1755" s="785" t="str">
        <f>Price_List_BA!D412</f>
        <v>Lab Tests &amp; Other Direct Costs Category 32</v>
      </c>
      <c r="E1755" s="786"/>
      <c r="F1755" s="786"/>
      <c r="G1755" s="786"/>
      <c r="L1755" s="127">
        <f>Price_List_BA!L412</f>
        <v>0</v>
      </c>
    </row>
    <row r="1756" spans="3:12" s="348" customFormat="1" ht="12.75" hidden="1" customHeight="1" outlineLevel="2" x14ac:dyDescent="0.2">
      <c r="D1756" s="785" t="str">
        <f>Price_List_BA!D413</f>
        <v>Last ODC Row</v>
      </c>
      <c r="E1756" s="786"/>
      <c r="F1756" s="786"/>
      <c r="G1756" s="786"/>
      <c r="L1756" s="127">
        <f>Price_List_BA!L413</f>
        <v>0</v>
      </c>
    </row>
    <row r="1757" spans="3:12" s="348" customFormat="1" hidden="1" outlineLevel="2" collapsed="1" x14ac:dyDescent="0.2"/>
    <row r="1758" spans="3:12" s="348" customFormat="1" hidden="1" outlineLevel="2" x14ac:dyDescent="0.2">
      <c r="D1758" s="671" t="s">
        <v>312</v>
      </c>
      <c r="I1758" s="130">
        <f>IF(ISERROR(SUM(U$1258:U$1265,U$1277:U$1279,U$1292:U$1300,U$1313:U$1315,U$1328:U$1334,U1361)),1,MIN(SUM(U$1258:U$1265,U$1277:U$1279,U$1292:U$1300,U$1313:U$1315,U$1328:U$1334,U1361),1))</f>
        <v>0</v>
      </c>
    </row>
    <row r="1759" spans="3:12" s="348" customFormat="1" collapsed="1" x14ac:dyDescent="0.2">
      <c r="C1759" s="671" t="s">
        <v>23</v>
      </c>
      <c r="I1759" s="131">
        <f>IF(ISERROR(SUM(I1758)),1,MIN(SUM(I1758),1))</f>
        <v>0</v>
      </c>
    </row>
    <row r="1760" spans="3:12" s="348" customFormat="1" x14ac:dyDescent="0.2"/>
    <row r="1761" spans="2:14" s="348" customFormat="1" x14ac:dyDescent="0.2">
      <c r="C1761" s="722" t="str">
        <f>"Go to "&amp;HL_Intv_3_Ann_Ass</f>
        <v>Go to Intervention Services - Annual Assumptions</v>
      </c>
      <c r="D1761" s="777"/>
      <c r="E1761" s="777"/>
      <c r="F1761" s="777"/>
      <c r="G1761" s="777"/>
      <c r="H1761" s="777"/>
      <c r="I1761" s="777"/>
    </row>
    <row r="1762" spans="2:14" s="348" customFormat="1" x14ac:dyDescent="0.2">
      <c r="C1762" s="722" t="str">
        <f>"Go to "&amp;HL_Intv_3_Out</f>
        <v>Go to Chemotherapy</v>
      </c>
      <c r="D1762" s="777"/>
      <c r="E1762" s="777"/>
      <c r="F1762" s="777"/>
      <c r="G1762" s="777"/>
      <c r="H1762" s="777"/>
      <c r="I1762" s="777"/>
    </row>
    <row r="1763" spans="2:14" s="348" customFormat="1" x14ac:dyDescent="0.2"/>
    <row r="1764" spans="2:14" s="348" customFormat="1" x14ac:dyDescent="0.2"/>
    <row r="1765" spans="2:14" s="348" customFormat="1" ht="18.75" x14ac:dyDescent="0.2">
      <c r="B1765" s="424" t="str">
        <f>G1767</f>
        <v>Radiotherapy</v>
      </c>
    </row>
    <row r="1766" spans="2:14" s="348" customFormat="1" x14ac:dyDescent="0.2"/>
    <row r="1767" spans="2:14" s="348" customFormat="1" x14ac:dyDescent="0.2">
      <c r="C1767" s="671" t="s">
        <v>77</v>
      </c>
      <c r="G1767" s="721" t="s">
        <v>188</v>
      </c>
      <c r="H1767" s="721"/>
      <c r="I1767" s="721"/>
      <c r="J1767" s="721"/>
    </row>
    <row r="1768" spans="2:14" s="348" customFormat="1" x14ac:dyDescent="0.2">
      <c r="C1768" s="671" t="s">
        <v>79</v>
      </c>
      <c r="G1768" s="721" t="s">
        <v>404</v>
      </c>
      <c r="H1768" s="721"/>
      <c r="I1768" s="721"/>
      <c r="J1768" s="721"/>
    </row>
    <row r="1769" spans="2:14" s="348" customFormat="1" x14ac:dyDescent="0.2">
      <c r="L1769" s="671" t="s">
        <v>1712</v>
      </c>
    </row>
    <row r="1770" spans="2:14" s="348" customFormat="1" x14ac:dyDescent="0.2">
      <c r="C1770" s="802" t="s">
        <v>815</v>
      </c>
      <c r="D1770" s="803"/>
      <c r="E1770" s="803"/>
      <c r="F1770" s="803"/>
      <c r="G1770" s="803"/>
      <c r="H1770" s="803"/>
      <c r="I1770" s="803"/>
      <c r="J1770" s="313">
        <f>IFERROR(INDEX($J$1774:$J$1780,MATCH($G$1768,$C$1774:$C$1780,0))+INDEX($J$1784:$J$1789,MATCH($G$1768,$C$1784:$C$1789,0)),0)</f>
        <v>8.9499999999999996E-3</v>
      </c>
    </row>
    <row r="1771" spans="2:14" s="348" customFormat="1" x14ac:dyDescent="0.2">
      <c r="C1771" s="671" t="s">
        <v>142</v>
      </c>
      <c r="J1771" s="413">
        <v>0.7</v>
      </c>
      <c r="L1771" s="721"/>
      <c r="M1771" s="721"/>
      <c r="N1771" s="721"/>
    </row>
    <row r="1772" spans="2:14" s="348" customFormat="1" hidden="1" outlineLevel="1" x14ac:dyDescent="0.2"/>
    <row r="1773" spans="2:14" s="348" customFormat="1" ht="15" hidden="1" outlineLevel="1" x14ac:dyDescent="0.2">
      <c r="C1773" s="667" t="s">
        <v>270</v>
      </c>
      <c r="J1773" s="671" t="s">
        <v>779</v>
      </c>
    </row>
    <row r="1774" spans="2:14" s="348" customFormat="1" hidden="1" outlineLevel="1" x14ac:dyDescent="0.2">
      <c r="C1774" s="668" t="str">
        <f>Reg_Pop_Ann_TA!D57</f>
        <v>BIOP-H</v>
      </c>
      <c r="J1774" s="303">
        <f>Reg_Pop_Ann_TA!H57</f>
        <v>0.01</v>
      </c>
    </row>
    <row r="1775" spans="2:14" s="348" customFormat="1" hidden="1" outlineLevel="1" x14ac:dyDescent="0.2">
      <c r="C1775" s="668" t="str">
        <f>Reg_Pop_Ann_TA!D58</f>
        <v>Cryo -SV</v>
      </c>
      <c r="J1775" s="303">
        <f>Reg_Pop_Ann_TA!H58</f>
        <v>0.106</v>
      </c>
    </row>
    <row r="1776" spans="2:14" s="348" customFormat="1" hidden="1" outlineLevel="1" x14ac:dyDescent="0.2">
      <c r="C1776" s="668" t="str">
        <f>Reg_Pop_Ann_TA!D59</f>
        <v>LEEP with BIOP-H</v>
      </c>
      <c r="J1776" s="303">
        <f>Reg_Pop_Ann_TA!H59</f>
        <v>6.3E-2</v>
      </c>
    </row>
    <row r="1777" spans="3:10" s="348" customFormat="1" hidden="1" outlineLevel="1" x14ac:dyDescent="0.2">
      <c r="C1777" s="668" t="str">
        <f>Reg_Pop_Ann_TA!D60</f>
        <v>SURG</v>
      </c>
      <c r="J1777" s="303">
        <f>Reg_Pop_Ann_TA!H60</f>
        <v>0</v>
      </c>
    </row>
    <row r="1778" spans="3:10" s="348" customFormat="1" hidden="1" outlineLevel="1" x14ac:dyDescent="0.2">
      <c r="C1778" s="668" t="str">
        <f>Reg_Pop_Ann_TA!D61</f>
        <v>Chemo</v>
      </c>
      <c r="J1778" s="303">
        <f>Reg_Pop_Ann_TA!H61</f>
        <v>0</v>
      </c>
    </row>
    <row r="1779" spans="3:10" s="348" customFormat="1" hidden="1" outlineLevel="1" x14ac:dyDescent="0.2">
      <c r="C1779" s="668" t="str">
        <f>Reg_Pop_Ann_TA!D62</f>
        <v>RADIO</v>
      </c>
      <c r="J1779" s="303">
        <f>Reg_Pop_Ann_TA!H62</f>
        <v>0</v>
      </c>
    </row>
    <row r="1780" spans="3:10" s="348" customFormat="1" hidden="1" outlineLevel="1" x14ac:dyDescent="0.2">
      <c r="C1780" s="668" t="str">
        <f>Reg_Pop_Ann_TA!D63</f>
        <v>PALL</v>
      </c>
      <c r="J1780" s="303">
        <f>Reg_Pop_Ann_TA!H63</f>
        <v>0</v>
      </c>
    </row>
    <row r="1781" spans="3:10" s="348" customFormat="1" ht="15" hidden="1" outlineLevel="1" x14ac:dyDescent="0.2">
      <c r="C1781" s="667" t="s">
        <v>781</v>
      </c>
      <c r="J1781" s="303">
        <f>SUM(J1774:J1780)</f>
        <v>0.17899999999999999</v>
      </c>
    </row>
    <row r="1782" spans="3:10" s="348" customFormat="1" hidden="1" outlineLevel="1" x14ac:dyDescent="0.2"/>
    <row r="1783" spans="3:10" s="348" customFormat="1" ht="15" hidden="1" outlineLevel="1" x14ac:dyDescent="0.2">
      <c r="C1783" s="667" t="s">
        <v>270</v>
      </c>
      <c r="J1783" s="671" t="s">
        <v>780</v>
      </c>
    </row>
    <row r="1784" spans="3:10" s="348" customFormat="1" hidden="1" outlineLevel="1" x14ac:dyDescent="0.2">
      <c r="C1784" s="668" t="str">
        <f>Reg_Pop_Ann_TA!D80</f>
        <v>Cryo -SV</v>
      </c>
      <c r="J1784" s="313">
        <f>Reg_Pop_Ann_TA!I80</f>
        <v>0</v>
      </c>
    </row>
    <row r="1785" spans="3:10" s="348" customFormat="1" hidden="1" outlineLevel="1" x14ac:dyDescent="0.2">
      <c r="C1785" s="668" t="str">
        <f>Reg_Pop_Ann_TA!D81</f>
        <v>LEEP with BIOP-H</v>
      </c>
      <c r="J1785" s="313">
        <f>Reg_Pop_Ann_TA!I81</f>
        <v>0</v>
      </c>
    </row>
    <row r="1786" spans="3:10" s="348" customFormat="1" hidden="1" outlineLevel="1" x14ac:dyDescent="0.2">
      <c r="C1786" s="668" t="str">
        <f>Reg_Pop_Ann_TA!D82</f>
        <v>SURG</v>
      </c>
      <c r="J1786" s="313">
        <f>Reg_Pop_Ann_TA!I82</f>
        <v>7.1599999999999997E-3</v>
      </c>
    </row>
    <row r="1787" spans="3:10" s="348" customFormat="1" hidden="1" outlineLevel="1" x14ac:dyDescent="0.2">
      <c r="C1787" s="668" t="str">
        <f>Reg_Pop_Ann_TA!D83</f>
        <v>Chemo</v>
      </c>
      <c r="J1787" s="313">
        <f>Reg_Pop_Ann_TA!I83</f>
        <v>8.9499999999999996E-3</v>
      </c>
    </row>
    <row r="1788" spans="3:10" s="348" customFormat="1" hidden="1" outlineLevel="1" x14ac:dyDescent="0.2">
      <c r="C1788" s="668" t="str">
        <f>Reg_Pop_Ann_TA!D84</f>
        <v>RADIO</v>
      </c>
      <c r="J1788" s="313">
        <f>Reg_Pop_Ann_TA!I84</f>
        <v>8.9499999999999996E-3</v>
      </c>
    </row>
    <row r="1789" spans="3:10" s="348" customFormat="1" hidden="1" outlineLevel="1" x14ac:dyDescent="0.2">
      <c r="C1789" s="668" t="str">
        <f>Reg_Pop_Ann_TA!D85</f>
        <v>PALL</v>
      </c>
      <c r="J1789" s="313">
        <f>Reg_Pop_Ann_TA!I85</f>
        <v>5.3699999999999998E-3</v>
      </c>
    </row>
    <row r="1790" spans="3:10" s="348" customFormat="1" ht="15" hidden="1" outlineLevel="1" x14ac:dyDescent="0.2">
      <c r="C1790" s="667" t="s">
        <v>782</v>
      </c>
      <c r="J1790" s="304">
        <f>SUM(J1784:J1789)</f>
        <v>3.0429999999999999E-2</v>
      </c>
    </row>
    <row r="1791" spans="3:10" s="348" customFormat="1" hidden="1" outlineLevel="1" x14ac:dyDescent="0.2"/>
    <row r="1792" spans="3:10" s="348" customFormat="1" collapsed="1" x14ac:dyDescent="0.2"/>
    <row r="1793" spans="2:16" s="348" customFormat="1" ht="15.75" x14ac:dyDescent="0.2">
      <c r="B1793" s="124" t="str">
        <f>"Annual Capacity per Service Unit - "&amp;Intv_4_Short_Code</f>
        <v>Annual Capacity per Service Unit - RADIO</v>
      </c>
    </row>
    <row r="1794" spans="2:16" s="348" customFormat="1" x14ac:dyDescent="0.2"/>
    <row r="1795" spans="2:16" s="348" customFormat="1" ht="38.25" x14ac:dyDescent="0.2">
      <c r="C1795" s="671" t="s">
        <v>1752</v>
      </c>
      <c r="H1795" s="676" t="s">
        <v>1746</v>
      </c>
      <c r="I1795" s="676" t="s">
        <v>1747</v>
      </c>
      <c r="J1795" s="676" t="s">
        <v>1749</v>
      </c>
      <c r="K1795" s="676" t="s">
        <v>1748</v>
      </c>
      <c r="L1795" s="676" t="s">
        <v>1750</v>
      </c>
      <c r="N1795" s="800" t="s">
        <v>1759</v>
      </c>
      <c r="O1795" s="801"/>
      <c r="P1795" s="801"/>
    </row>
    <row r="1796" spans="2:16" s="348" customFormat="1" x14ac:dyDescent="0.2">
      <c r="D1796" s="668" t="str">
        <f>Labels_BA!D16</f>
        <v>Central Referral Hospital</v>
      </c>
      <c r="H1796" s="494">
        <v>220</v>
      </c>
      <c r="I1796" s="494">
        <v>11</v>
      </c>
      <c r="J1796" s="494">
        <v>60</v>
      </c>
      <c r="K1796" s="494">
        <v>60</v>
      </c>
      <c r="L1796" s="487">
        <f>IFERROR((H1796*I1796*J1796)/K1796,0)</f>
        <v>2420</v>
      </c>
      <c r="N1796" s="721" t="s">
        <v>1873</v>
      </c>
      <c r="O1796" s="721"/>
      <c r="P1796" s="721"/>
    </row>
    <row r="1797" spans="2:16" s="348" customFormat="1" x14ac:dyDescent="0.2">
      <c r="D1797" s="668" t="str">
        <f>Labels_BA!E16</f>
        <v>Provincial Hospital</v>
      </c>
      <c r="H1797" s="494">
        <v>0</v>
      </c>
      <c r="I1797" s="494">
        <v>0</v>
      </c>
      <c r="J1797" s="494">
        <v>0</v>
      </c>
      <c r="K1797" s="494">
        <v>0</v>
      </c>
      <c r="L1797" s="487">
        <f>IFERROR((H1797*I1797*J1797)/K1797,0)</f>
        <v>0</v>
      </c>
      <c r="N1797" s="721"/>
      <c r="O1797" s="721"/>
      <c r="P1797" s="721"/>
    </row>
    <row r="1798" spans="2:16" s="348" customFormat="1" x14ac:dyDescent="0.2">
      <c r="D1798" s="668" t="str">
        <f>Labels_BA!F16</f>
        <v>District Hospital</v>
      </c>
      <c r="H1798" s="494">
        <v>0</v>
      </c>
      <c r="I1798" s="494">
        <v>0</v>
      </c>
      <c r="J1798" s="494">
        <v>0</v>
      </c>
      <c r="K1798" s="494">
        <v>0</v>
      </c>
      <c r="L1798" s="487">
        <f>IFERROR((H1798*I1798*J1798)/K1798,0)</f>
        <v>0</v>
      </c>
      <c r="N1798" s="721"/>
      <c r="O1798" s="721"/>
      <c r="P1798" s="721"/>
    </row>
    <row r="1799" spans="2:16" s="348" customFormat="1" x14ac:dyDescent="0.2"/>
    <row r="1800" spans="2:16" s="348" customFormat="1" x14ac:dyDescent="0.2">
      <c r="C1800" s="671" t="s">
        <v>1751</v>
      </c>
    </row>
    <row r="1801" spans="2:16" s="348" customFormat="1" x14ac:dyDescent="0.2">
      <c r="D1801" s="668" t="str">
        <f>Labels_BA!G16</f>
        <v>Fixed Health Clinic</v>
      </c>
      <c r="H1801" s="494">
        <v>0</v>
      </c>
      <c r="I1801" s="494">
        <v>0</v>
      </c>
      <c r="J1801" s="494">
        <v>0</v>
      </c>
      <c r="K1801" s="494">
        <v>0</v>
      </c>
      <c r="L1801" s="487">
        <f t="shared" ref="L1801:L1807" si="29">IFERROR((H1801*I1801*J1801)/K1801,0)</f>
        <v>0</v>
      </c>
      <c r="N1801" s="721"/>
      <c r="O1801" s="721"/>
      <c r="P1801" s="721"/>
    </row>
    <row r="1802" spans="2:16" s="348" customFormat="1" x14ac:dyDescent="0.2">
      <c r="D1802" s="668" t="str">
        <f>Labels_BA!H16</f>
        <v>PCI Mobile Health Team</v>
      </c>
      <c r="H1802" s="494">
        <v>0</v>
      </c>
      <c r="I1802" s="494">
        <v>0</v>
      </c>
      <c r="J1802" s="494">
        <v>0</v>
      </c>
      <c r="K1802" s="494">
        <v>0</v>
      </c>
      <c r="L1802" s="487">
        <f t="shared" si="29"/>
        <v>0</v>
      </c>
      <c r="N1802" s="721"/>
      <c r="O1802" s="721"/>
      <c r="P1802" s="721"/>
    </row>
    <row r="1803" spans="2:16" s="348" customFormat="1" x14ac:dyDescent="0.2">
      <c r="D1803" s="668" t="str">
        <f>Labels_BA!I16</f>
        <v>Gov't Mobile Health Team (Hospital)</v>
      </c>
      <c r="H1803" s="494">
        <v>0</v>
      </c>
      <c r="I1803" s="494">
        <v>0</v>
      </c>
      <c r="J1803" s="494">
        <v>0</v>
      </c>
      <c r="K1803" s="494">
        <v>0</v>
      </c>
      <c r="L1803" s="487">
        <f t="shared" si="29"/>
        <v>0</v>
      </c>
      <c r="N1803" s="721"/>
      <c r="O1803" s="721"/>
      <c r="P1803" s="721"/>
    </row>
    <row r="1804" spans="2:16" s="348" customFormat="1" x14ac:dyDescent="0.2">
      <c r="D1804" s="668" t="str">
        <f>Labels_BA!J16</f>
        <v>CIDRZ Mobile Health Team</v>
      </c>
      <c r="H1804" s="494">
        <v>0</v>
      </c>
      <c r="I1804" s="494">
        <v>0</v>
      </c>
      <c r="J1804" s="494">
        <v>0</v>
      </c>
      <c r="K1804" s="494">
        <v>0</v>
      </c>
      <c r="L1804" s="487">
        <f t="shared" si="29"/>
        <v>0</v>
      </c>
      <c r="N1804" s="721"/>
      <c r="O1804" s="721"/>
      <c r="P1804" s="721"/>
    </row>
    <row r="1805" spans="2:16" s="348" customFormat="1" x14ac:dyDescent="0.2">
      <c r="D1805" s="668" t="str">
        <f>Labels_BA!K16</f>
        <v>Facility Type 8</v>
      </c>
      <c r="H1805" s="494">
        <v>0</v>
      </c>
      <c r="I1805" s="494">
        <v>0</v>
      </c>
      <c r="J1805" s="494">
        <v>0</v>
      </c>
      <c r="K1805" s="494">
        <v>0</v>
      </c>
      <c r="L1805" s="487">
        <f t="shared" si="29"/>
        <v>0</v>
      </c>
      <c r="N1805" s="721"/>
      <c r="O1805" s="721"/>
      <c r="P1805" s="721"/>
    </row>
    <row r="1806" spans="2:16" s="348" customFormat="1" x14ac:dyDescent="0.2">
      <c r="D1806" s="668" t="str">
        <f>Labels_BA!L16</f>
        <v>Facility Type 9</v>
      </c>
      <c r="H1806" s="494">
        <v>0</v>
      </c>
      <c r="I1806" s="494">
        <v>0</v>
      </c>
      <c r="J1806" s="494">
        <v>0</v>
      </c>
      <c r="K1806" s="494">
        <v>0</v>
      </c>
      <c r="L1806" s="487">
        <f t="shared" si="29"/>
        <v>0</v>
      </c>
      <c r="N1806" s="721"/>
      <c r="O1806" s="721"/>
      <c r="P1806" s="721"/>
    </row>
    <row r="1807" spans="2:16" s="348" customFormat="1" x14ac:dyDescent="0.2">
      <c r="D1807" s="668" t="str">
        <f>Labels_BA!M16</f>
        <v>Facility Type 10</v>
      </c>
      <c r="H1807" s="494">
        <v>0</v>
      </c>
      <c r="I1807" s="494">
        <v>0</v>
      </c>
      <c r="J1807" s="494">
        <v>0</v>
      </c>
      <c r="K1807" s="494">
        <v>0</v>
      </c>
      <c r="L1807" s="487">
        <f t="shared" si="29"/>
        <v>0</v>
      </c>
      <c r="N1807" s="721"/>
      <c r="O1807" s="721"/>
      <c r="P1807" s="721"/>
    </row>
    <row r="1808" spans="2:16" s="348" customFormat="1" x14ac:dyDescent="0.2"/>
    <row r="1809" spans="2:14" s="348" customFormat="1" x14ac:dyDescent="0.2">
      <c r="D1809" s="671" t="s">
        <v>1754</v>
      </c>
    </row>
    <row r="1810" spans="2:14" s="348" customFormat="1" x14ac:dyDescent="0.2">
      <c r="E1810" s="721"/>
      <c r="F1810" s="721"/>
      <c r="G1810" s="721"/>
      <c r="H1810" s="721"/>
      <c r="I1810" s="721"/>
      <c r="J1810" s="721"/>
      <c r="K1810" s="721"/>
      <c r="L1810" s="721"/>
    </row>
    <row r="1811" spans="2:14" s="348" customFormat="1" x14ac:dyDescent="0.2">
      <c r="E1811" s="721"/>
      <c r="F1811" s="721"/>
      <c r="G1811" s="721"/>
      <c r="H1811" s="721"/>
      <c r="I1811" s="721"/>
      <c r="J1811" s="721"/>
      <c r="K1811" s="721"/>
      <c r="L1811" s="721"/>
    </row>
    <row r="1812" spans="2:14" s="348" customFormat="1" x14ac:dyDescent="0.2">
      <c r="E1812" s="721"/>
      <c r="F1812" s="721"/>
      <c r="G1812" s="721"/>
      <c r="H1812" s="721"/>
      <c r="I1812" s="721"/>
      <c r="J1812" s="721"/>
      <c r="K1812" s="721"/>
      <c r="L1812" s="721"/>
    </row>
    <row r="1813" spans="2:14" s="348" customFormat="1" x14ac:dyDescent="0.2">
      <c r="E1813" s="721"/>
      <c r="F1813" s="721"/>
      <c r="G1813" s="721"/>
      <c r="H1813" s="721"/>
      <c r="I1813" s="721"/>
      <c r="J1813" s="721"/>
      <c r="K1813" s="721"/>
      <c r="L1813" s="721"/>
    </row>
    <row r="1814" spans="2:14" s="348" customFormat="1" x14ac:dyDescent="0.2">
      <c r="E1814" s="721"/>
      <c r="F1814" s="721"/>
      <c r="G1814" s="721"/>
      <c r="H1814" s="721"/>
      <c r="I1814" s="721"/>
      <c r="J1814" s="721"/>
      <c r="K1814" s="721"/>
      <c r="L1814" s="721"/>
    </row>
    <row r="1815" spans="2:14" s="348" customFormat="1" x14ac:dyDescent="0.2">
      <c r="E1815" s="721"/>
      <c r="F1815" s="721"/>
      <c r="G1815" s="721"/>
      <c r="H1815" s="721"/>
      <c r="I1815" s="721"/>
      <c r="J1815" s="721"/>
      <c r="K1815" s="721"/>
      <c r="L1815" s="721"/>
    </row>
    <row r="1816" spans="2:14" s="348" customFormat="1" x14ac:dyDescent="0.2"/>
    <row r="1817" spans="2:14" s="348" customFormat="1" ht="15.75" x14ac:dyDescent="0.2">
      <c r="B1817" s="124" t="str">
        <f>"Pre-existing Equipment and Supplies per Service Unit - "&amp;Intv_4_Short_Code</f>
        <v>Pre-existing Equipment and Supplies per Service Unit - RADIO</v>
      </c>
    </row>
    <row r="1818" spans="2:14" s="348" customFormat="1" x14ac:dyDescent="0.2"/>
    <row r="1819" spans="2:14" s="348" customFormat="1" x14ac:dyDescent="0.2">
      <c r="D1819" s="671" t="s">
        <v>846</v>
      </c>
      <c r="K1819" s="671" t="s">
        <v>847</v>
      </c>
    </row>
    <row r="1820" spans="2:14" s="348" customFormat="1" x14ac:dyDescent="0.2">
      <c r="D1820" s="737" t="s">
        <v>974</v>
      </c>
      <c r="E1820" s="738"/>
      <c r="F1820" s="738"/>
      <c r="G1820" s="738"/>
      <c r="H1820" s="738"/>
      <c r="I1820" s="739"/>
      <c r="J1820" s="372">
        <v>0</v>
      </c>
      <c r="K1820" s="737"/>
      <c r="L1820" s="738"/>
      <c r="M1820" s="738"/>
      <c r="N1820" s="739"/>
    </row>
    <row r="1821" spans="2:14" s="348" customFormat="1" x14ac:dyDescent="0.2">
      <c r="D1821" s="737"/>
      <c r="E1821" s="738"/>
      <c r="F1821" s="738"/>
      <c r="G1821" s="738"/>
      <c r="H1821" s="738"/>
      <c r="I1821" s="739"/>
      <c r="J1821" s="372">
        <v>0</v>
      </c>
      <c r="K1821" s="737"/>
      <c r="L1821" s="738"/>
      <c r="M1821" s="738"/>
      <c r="N1821" s="739"/>
    </row>
    <row r="1822" spans="2:14" s="348" customFormat="1" x14ac:dyDescent="0.2">
      <c r="D1822" s="737"/>
      <c r="E1822" s="738"/>
      <c r="F1822" s="738"/>
      <c r="G1822" s="738"/>
      <c r="H1822" s="738"/>
      <c r="I1822" s="739"/>
      <c r="J1822" s="372">
        <v>0</v>
      </c>
      <c r="K1822" s="737"/>
      <c r="L1822" s="738"/>
      <c r="M1822" s="738"/>
      <c r="N1822" s="739"/>
    </row>
    <row r="1823" spans="2:14" s="348" customFormat="1" x14ac:dyDescent="0.2">
      <c r="D1823" s="737"/>
      <c r="E1823" s="738"/>
      <c r="F1823" s="738"/>
      <c r="G1823" s="738"/>
      <c r="H1823" s="738"/>
      <c r="I1823" s="739"/>
      <c r="J1823" s="372">
        <v>0</v>
      </c>
      <c r="K1823" s="737"/>
      <c r="L1823" s="738"/>
      <c r="M1823" s="738"/>
      <c r="N1823" s="739"/>
    </row>
    <row r="1824" spans="2:14" s="348" customFormat="1" x14ac:dyDescent="0.2">
      <c r="D1824" s="737"/>
      <c r="E1824" s="738"/>
      <c r="F1824" s="738"/>
      <c r="G1824" s="738"/>
      <c r="H1824" s="738"/>
      <c r="I1824" s="739"/>
      <c r="J1824" s="372">
        <v>0</v>
      </c>
      <c r="K1824" s="737"/>
      <c r="L1824" s="738"/>
      <c r="M1824" s="738"/>
      <c r="N1824" s="739"/>
    </row>
    <row r="1825" spans="4:14" s="348" customFormat="1" x14ac:dyDescent="0.2">
      <c r="D1825" s="737"/>
      <c r="E1825" s="738"/>
      <c r="F1825" s="738"/>
      <c r="G1825" s="738"/>
      <c r="H1825" s="738"/>
      <c r="I1825" s="739"/>
      <c r="J1825" s="372">
        <v>0</v>
      </c>
      <c r="K1825" s="737"/>
      <c r="L1825" s="738"/>
      <c r="M1825" s="738"/>
      <c r="N1825" s="739"/>
    </row>
    <row r="1826" spans="4:14" s="348" customFormat="1" x14ac:dyDescent="0.2">
      <c r="D1826" s="737"/>
      <c r="E1826" s="738"/>
      <c r="F1826" s="738"/>
      <c r="G1826" s="738"/>
      <c r="H1826" s="738"/>
      <c r="I1826" s="739"/>
      <c r="J1826" s="372">
        <v>0</v>
      </c>
      <c r="K1826" s="737"/>
      <c r="L1826" s="738"/>
      <c r="M1826" s="738"/>
      <c r="N1826" s="739"/>
    </row>
    <row r="1827" spans="4:14" s="348" customFormat="1" x14ac:dyDescent="0.2">
      <c r="D1827" s="737"/>
      <c r="E1827" s="738"/>
      <c r="F1827" s="738"/>
      <c r="G1827" s="738"/>
      <c r="H1827" s="738"/>
      <c r="I1827" s="739"/>
      <c r="J1827" s="372">
        <v>0</v>
      </c>
      <c r="K1827" s="737"/>
      <c r="L1827" s="738"/>
      <c r="M1827" s="738"/>
      <c r="N1827" s="739"/>
    </row>
    <row r="1828" spans="4:14" s="348" customFormat="1" x14ac:dyDescent="0.2">
      <c r="D1828" s="737"/>
      <c r="E1828" s="738"/>
      <c r="F1828" s="738"/>
      <c r="G1828" s="738"/>
      <c r="H1828" s="738"/>
      <c r="I1828" s="739"/>
      <c r="J1828" s="372">
        <v>0</v>
      </c>
      <c r="K1828" s="737"/>
      <c r="L1828" s="738"/>
      <c r="M1828" s="738"/>
      <c r="N1828" s="739"/>
    </row>
    <row r="1829" spans="4:14" s="348" customFormat="1" x14ac:dyDescent="0.2">
      <c r="D1829" s="737"/>
      <c r="E1829" s="738"/>
      <c r="F1829" s="738"/>
      <c r="G1829" s="738"/>
      <c r="H1829" s="738"/>
      <c r="I1829" s="739"/>
      <c r="J1829" s="372">
        <v>0</v>
      </c>
      <c r="K1829" s="737"/>
      <c r="L1829" s="738"/>
      <c r="M1829" s="738"/>
      <c r="N1829" s="739"/>
    </row>
    <row r="1830" spans="4:14" s="348" customFormat="1" x14ac:dyDescent="0.2">
      <c r="D1830" s="737"/>
      <c r="E1830" s="738"/>
      <c r="F1830" s="738"/>
      <c r="G1830" s="738"/>
      <c r="H1830" s="738"/>
      <c r="I1830" s="739"/>
      <c r="J1830" s="372">
        <v>0</v>
      </c>
      <c r="K1830" s="737"/>
      <c r="L1830" s="738"/>
      <c r="M1830" s="738"/>
      <c r="N1830" s="739"/>
    </row>
    <row r="1831" spans="4:14" s="348" customFormat="1" x14ac:dyDescent="0.2">
      <c r="D1831" s="737"/>
      <c r="E1831" s="738"/>
      <c r="F1831" s="738"/>
      <c r="G1831" s="738"/>
      <c r="H1831" s="738"/>
      <c r="I1831" s="739"/>
      <c r="J1831" s="372">
        <v>0</v>
      </c>
      <c r="K1831" s="737"/>
      <c r="L1831" s="738"/>
      <c r="M1831" s="738"/>
      <c r="N1831" s="739"/>
    </row>
    <row r="1832" spans="4:14" s="348" customFormat="1" x14ac:dyDescent="0.2">
      <c r="D1832" s="737"/>
      <c r="E1832" s="738"/>
      <c r="F1832" s="738"/>
      <c r="G1832" s="738"/>
      <c r="H1832" s="738"/>
      <c r="I1832" s="739"/>
      <c r="J1832" s="372">
        <v>0</v>
      </c>
      <c r="K1832" s="737"/>
      <c r="L1832" s="738"/>
      <c r="M1832" s="738"/>
      <c r="N1832" s="739"/>
    </row>
    <row r="1833" spans="4:14" s="348" customFormat="1" x14ac:dyDescent="0.2">
      <c r="D1833" s="737"/>
      <c r="E1833" s="738"/>
      <c r="F1833" s="738"/>
      <c r="G1833" s="738"/>
      <c r="H1833" s="738"/>
      <c r="I1833" s="739"/>
      <c r="J1833" s="372">
        <v>0</v>
      </c>
      <c r="K1833" s="737"/>
      <c r="L1833" s="738"/>
      <c r="M1833" s="738"/>
      <c r="N1833" s="739"/>
    </row>
    <row r="1834" spans="4:14" s="348" customFormat="1" x14ac:dyDescent="0.2">
      <c r="D1834" s="737"/>
      <c r="E1834" s="738"/>
      <c r="F1834" s="738"/>
      <c r="G1834" s="738"/>
      <c r="H1834" s="738"/>
      <c r="I1834" s="739"/>
      <c r="J1834" s="372">
        <v>0</v>
      </c>
      <c r="K1834" s="737"/>
      <c r="L1834" s="738"/>
      <c r="M1834" s="738"/>
      <c r="N1834" s="739"/>
    </row>
    <row r="1835" spans="4:14" s="348" customFormat="1" x14ac:dyDescent="0.2">
      <c r="D1835" s="737"/>
      <c r="E1835" s="738"/>
      <c r="F1835" s="738"/>
      <c r="G1835" s="738"/>
      <c r="H1835" s="738"/>
      <c r="I1835" s="739"/>
      <c r="J1835" s="372">
        <v>0</v>
      </c>
      <c r="K1835" s="737"/>
      <c r="L1835" s="738"/>
      <c r="M1835" s="738"/>
      <c r="N1835" s="739"/>
    </row>
    <row r="1836" spans="4:14" s="348" customFormat="1" x14ac:dyDescent="0.2">
      <c r="D1836" s="737"/>
      <c r="E1836" s="738"/>
      <c r="F1836" s="738"/>
      <c r="G1836" s="738"/>
      <c r="H1836" s="738"/>
      <c r="I1836" s="739"/>
      <c r="J1836" s="372">
        <v>0</v>
      </c>
      <c r="K1836" s="737"/>
      <c r="L1836" s="738"/>
      <c r="M1836" s="738"/>
      <c r="N1836" s="739"/>
    </row>
    <row r="1837" spans="4:14" s="348" customFormat="1" x14ac:dyDescent="0.2">
      <c r="D1837" s="737"/>
      <c r="E1837" s="738"/>
      <c r="F1837" s="738"/>
      <c r="G1837" s="738"/>
      <c r="H1837" s="738"/>
      <c r="I1837" s="739"/>
      <c r="J1837" s="372">
        <v>0</v>
      </c>
      <c r="K1837" s="737"/>
      <c r="L1837" s="738"/>
      <c r="M1837" s="738"/>
      <c r="N1837" s="739"/>
    </row>
    <row r="1838" spans="4:14" s="348" customFormat="1" x14ac:dyDescent="0.2">
      <c r="D1838" s="737"/>
      <c r="E1838" s="738"/>
      <c r="F1838" s="738"/>
      <c r="G1838" s="738"/>
      <c r="H1838" s="738"/>
      <c r="I1838" s="739"/>
      <c r="J1838" s="372">
        <v>0</v>
      </c>
      <c r="K1838" s="737"/>
      <c r="L1838" s="738"/>
      <c r="M1838" s="738"/>
      <c r="N1838" s="739"/>
    </row>
    <row r="1839" spans="4:14" s="348" customFormat="1" x14ac:dyDescent="0.2"/>
    <row r="1840" spans="4:14" s="348" customFormat="1" x14ac:dyDescent="0.2"/>
    <row r="1841" spans="3:21" s="348" customFormat="1" ht="15.75" x14ac:dyDescent="0.2">
      <c r="C1841" s="124" t="str">
        <f>"Personnel Required for "&amp;G1768</f>
        <v>Personnel Required for RADIO</v>
      </c>
    </row>
    <row r="1842" spans="3:21" s="348" customFormat="1" x14ac:dyDescent="0.2"/>
    <row r="1843" spans="3:21" s="348" customFormat="1" ht="15" x14ac:dyDescent="0.2">
      <c r="J1843" s="849" t="str">
        <f>"Cost Per Minute ("&amp;$I$1953&amp;")"</f>
        <v>Cost Per Minute (USD)</v>
      </c>
      <c r="K1843" s="873" t="s">
        <v>112</v>
      </c>
      <c r="L1843" s="874"/>
      <c r="M1843" s="874"/>
      <c r="N1843" s="875" t="s">
        <v>183</v>
      </c>
      <c r="O1843" s="898" t="str">
        <f>"Cost ("&amp;$I$1953&amp;")"</f>
        <v>Cost (USD)</v>
      </c>
    </row>
    <row r="1844" spans="3:21" s="348" customFormat="1" ht="30" x14ac:dyDescent="0.2">
      <c r="D1844" s="508" t="str">
        <f>C1795</f>
        <v>Fixed Hospital Sites</v>
      </c>
      <c r="H1844" s="880" t="s">
        <v>385</v>
      </c>
      <c r="I1844" s="890"/>
      <c r="J1844" s="895"/>
      <c r="K1844" s="675" t="s">
        <v>109</v>
      </c>
      <c r="L1844" s="319" t="s">
        <v>110</v>
      </c>
      <c r="M1844" s="133" t="s">
        <v>111</v>
      </c>
      <c r="N1844" s="876"/>
      <c r="O1844" s="899"/>
      <c r="U1844" s="671" t="s">
        <v>312</v>
      </c>
    </row>
    <row r="1845" spans="3:21" s="348" customFormat="1" x14ac:dyDescent="0.2">
      <c r="D1845" s="723" t="s">
        <v>1260</v>
      </c>
      <c r="E1845" s="723"/>
      <c r="F1845" s="723"/>
      <c r="G1845" s="723"/>
      <c r="H1845" s="723" t="s">
        <v>1810</v>
      </c>
      <c r="I1845" s="882"/>
      <c r="J1845" s="144">
        <f t="shared" ref="J1845:J1856" si="30">IFERROR(INDEX($L$1956:$L$1986,MATCH(D1845,LU_Intv_4_Pers_Hosp,0)),0)</f>
        <v>0.39408430337975103</v>
      </c>
      <c r="K1845" s="468">
        <v>30</v>
      </c>
      <c r="L1845" s="469"/>
      <c r="M1845" s="470"/>
      <c r="N1845" s="475">
        <v>1</v>
      </c>
      <c r="O1845" s="134">
        <f t="shared" ref="O1845:O1856" si="31">J1845*SUM(K1845:M1845)*N1845</f>
        <v>11.822529101392531</v>
      </c>
      <c r="U1845" s="119">
        <f t="shared" ref="U1845:U1856" si="32">IF(AND(ISERROR(MATCH(D1845,LU_Intv_4_Pers_Hosp,0)),SUM(K1845:M1845),N1845),1,0)</f>
        <v>0</v>
      </c>
    </row>
    <row r="1846" spans="3:21" s="348" customFormat="1" x14ac:dyDescent="0.2">
      <c r="D1846" s="723" t="s">
        <v>1260</v>
      </c>
      <c r="E1846" s="723"/>
      <c r="F1846" s="723"/>
      <c r="G1846" s="723"/>
      <c r="H1846" s="723" t="s">
        <v>1809</v>
      </c>
      <c r="I1846" s="882"/>
      <c r="J1846" s="147">
        <f t="shared" si="30"/>
        <v>0.39408430337975103</v>
      </c>
      <c r="K1846" s="471">
        <v>0</v>
      </c>
      <c r="L1846" s="472">
        <v>30</v>
      </c>
      <c r="M1846" s="473">
        <v>0</v>
      </c>
      <c r="N1846" s="476">
        <v>3</v>
      </c>
      <c r="O1846" s="135">
        <f t="shared" si="31"/>
        <v>35.467587304177592</v>
      </c>
      <c r="U1846" s="119">
        <f t="shared" si="32"/>
        <v>0</v>
      </c>
    </row>
    <row r="1847" spans="3:21" s="348" customFormat="1" x14ac:dyDescent="0.2">
      <c r="D1847" s="723" t="s">
        <v>1265</v>
      </c>
      <c r="E1847" s="723"/>
      <c r="F1847" s="723"/>
      <c r="G1847" s="723"/>
      <c r="H1847" s="723" t="s">
        <v>1811</v>
      </c>
      <c r="I1847" s="882"/>
      <c r="J1847" s="147">
        <f t="shared" si="30"/>
        <v>0.15991895126196667</v>
      </c>
      <c r="K1847" s="480"/>
      <c r="L1847" s="481">
        <v>30</v>
      </c>
      <c r="M1847" s="482"/>
      <c r="N1847" s="476">
        <v>4</v>
      </c>
      <c r="O1847" s="135">
        <f t="shared" si="31"/>
        <v>19.190274151436</v>
      </c>
      <c r="U1847" s="119">
        <f t="shared" si="32"/>
        <v>0</v>
      </c>
    </row>
    <row r="1848" spans="3:21" s="348" customFormat="1" x14ac:dyDescent="0.2">
      <c r="D1848" s="723" t="s">
        <v>1272</v>
      </c>
      <c r="E1848" s="723"/>
      <c r="F1848" s="723"/>
      <c r="G1848" s="723"/>
      <c r="H1848" s="723" t="s">
        <v>1809</v>
      </c>
      <c r="I1848" s="882"/>
      <c r="J1848" s="147">
        <f t="shared" si="30"/>
        <v>0.15919708260806459</v>
      </c>
      <c r="K1848" s="480">
        <v>40</v>
      </c>
      <c r="L1848" s="481"/>
      <c r="M1848" s="482"/>
      <c r="N1848" s="476">
        <v>1</v>
      </c>
      <c r="O1848" s="135">
        <f t="shared" si="31"/>
        <v>6.367883304322584</v>
      </c>
      <c r="U1848" s="119">
        <f t="shared" si="32"/>
        <v>0</v>
      </c>
    </row>
    <row r="1849" spans="3:21" s="348" customFormat="1" x14ac:dyDescent="0.2">
      <c r="D1849" s="723" t="s">
        <v>1272</v>
      </c>
      <c r="E1849" s="723"/>
      <c r="F1849" s="723"/>
      <c r="G1849" s="723"/>
      <c r="H1849" s="723" t="s">
        <v>1809</v>
      </c>
      <c r="I1849" s="882"/>
      <c r="J1849" s="147">
        <f t="shared" si="30"/>
        <v>0.15919708260806459</v>
      </c>
      <c r="K1849" s="480"/>
      <c r="L1849" s="481">
        <v>20</v>
      </c>
      <c r="M1849" s="482"/>
      <c r="N1849" s="476">
        <v>28</v>
      </c>
      <c r="O1849" s="135">
        <f t="shared" si="31"/>
        <v>89.150366260516179</v>
      </c>
      <c r="U1849" s="119">
        <f t="shared" si="32"/>
        <v>0</v>
      </c>
    </row>
    <row r="1850" spans="3:21" s="348" customFormat="1" x14ac:dyDescent="0.2">
      <c r="D1850" s="877" t="s">
        <v>1275</v>
      </c>
      <c r="E1850" s="878"/>
      <c r="F1850" s="878"/>
      <c r="G1850" s="879"/>
      <c r="H1850" s="723" t="s">
        <v>1809</v>
      </c>
      <c r="I1850" s="882"/>
      <c r="J1850" s="147">
        <f t="shared" si="30"/>
        <v>9.6099869451697087E-2</v>
      </c>
      <c r="K1850" s="480">
        <v>20</v>
      </c>
      <c r="L1850" s="481"/>
      <c r="M1850" s="482"/>
      <c r="N1850" s="476">
        <v>1</v>
      </c>
      <c r="O1850" s="135">
        <f t="shared" si="31"/>
        <v>1.9219973890339417</v>
      </c>
      <c r="U1850" s="119">
        <f t="shared" si="32"/>
        <v>0</v>
      </c>
    </row>
    <row r="1851" spans="3:21" s="348" customFormat="1" x14ac:dyDescent="0.2">
      <c r="D1851" s="877" t="s">
        <v>1276</v>
      </c>
      <c r="E1851" s="878"/>
      <c r="F1851" s="878"/>
      <c r="G1851" s="879"/>
      <c r="H1851" s="723" t="s">
        <v>1809</v>
      </c>
      <c r="I1851" s="882"/>
      <c r="J1851" s="147">
        <f t="shared" si="30"/>
        <v>5.7114882506527402E-2</v>
      </c>
      <c r="K1851" s="480"/>
      <c r="L1851" s="481">
        <v>10</v>
      </c>
      <c r="M1851" s="482"/>
      <c r="N1851" s="476">
        <v>28</v>
      </c>
      <c r="O1851" s="135">
        <f t="shared" si="31"/>
        <v>15.992167101827672</v>
      </c>
      <c r="U1851" s="119">
        <f t="shared" si="32"/>
        <v>0</v>
      </c>
    </row>
    <row r="1852" spans="3:21" s="348" customFormat="1" x14ac:dyDescent="0.2">
      <c r="D1852" s="877" t="s">
        <v>1260</v>
      </c>
      <c r="E1852" s="878"/>
      <c r="F1852" s="878"/>
      <c r="G1852" s="879"/>
      <c r="H1852" s="723" t="s">
        <v>1813</v>
      </c>
      <c r="I1852" s="882"/>
      <c r="J1852" s="147">
        <f t="shared" si="30"/>
        <v>0.39408430337975103</v>
      </c>
      <c r="K1852" s="480"/>
      <c r="L1852" s="481">
        <v>20</v>
      </c>
      <c r="M1852" s="482"/>
      <c r="N1852" s="476">
        <v>3</v>
      </c>
      <c r="O1852" s="135">
        <f t="shared" si="31"/>
        <v>23.645058202785062</v>
      </c>
      <c r="U1852" s="119">
        <f t="shared" si="32"/>
        <v>0</v>
      </c>
    </row>
    <row r="1853" spans="3:21" s="348" customFormat="1" x14ac:dyDescent="0.2">
      <c r="D1853" s="723" t="s">
        <v>1265</v>
      </c>
      <c r="E1853" s="723"/>
      <c r="F1853" s="723"/>
      <c r="G1853" s="723"/>
      <c r="H1853" s="723" t="s">
        <v>1813</v>
      </c>
      <c r="I1853" s="882"/>
      <c r="J1853" s="147">
        <f t="shared" si="30"/>
        <v>0.15991895126196667</v>
      </c>
      <c r="K1853" s="480"/>
      <c r="L1853" s="481">
        <v>20</v>
      </c>
      <c r="M1853" s="482"/>
      <c r="N1853" s="476">
        <v>3</v>
      </c>
      <c r="O1853" s="135">
        <f t="shared" si="31"/>
        <v>9.5951370757180001</v>
      </c>
      <c r="U1853" s="119">
        <f t="shared" si="32"/>
        <v>0</v>
      </c>
    </row>
    <row r="1854" spans="3:21" s="348" customFormat="1" x14ac:dyDescent="0.2">
      <c r="D1854" s="723" t="s">
        <v>1272</v>
      </c>
      <c r="E1854" s="723"/>
      <c r="F1854" s="723"/>
      <c r="G1854" s="723"/>
      <c r="H1854" s="723" t="s">
        <v>1813</v>
      </c>
      <c r="I1854" s="882"/>
      <c r="J1854" s="147">
        <f t="shared" si="30"/>
        <v>0.15919708260806459</v>
      </c>
      <c r="K1854" s="480"/>
      <c r="L1854" s="481">
        <v>15</v>
      </c>
      <c r="M1854" s="482"/>
      <c r="N1854" s="476">
        <v>3</v>
      </c>
      <c r="O1854" s="135">
        <f t="shared" si="31"/>
        <v>7.1638687173629059</v>
      </c>
      <c r="U1854" s="119">
        <f t="shared" si="32"/>
        <v>0</v>
      </c>
    </row>
    <row r="1855" spans="3:21" s="348" customFormat="1" x14ac:dyDescent="0.2">
      <c r="D1855" s="877" t="s">
        <v>1275</v>
      </c>
      <c r="E1855" s="878"/>
      <c r="F1855" s="878"/>
      <c r="G1855" s="879"/>
      <c r="H1855" s="877" t="s">
        <v>1813</v>
      </c>
      <c r="I1855" s="878"/>
      <c r="J1855" s="147">
        <f t="shared" si="30"/>
        <v>9.6099869451697087E-2</v>
      </c>
      <c r="K1855" s="480"/>
      <c r="L1855" s="481">
        <v>10</v>
      </c>
      <c r="M1855" s="482">
        <v>0</v>
      </c>
      <c r="N1855" s="476">
        <v>3</v>
      </c>
      <c r="O1855" s="135">
        <f t="shared" si="31"/>
        <v>2.8829960835509123</v>
      </c>
      <c r="U1855" s="119">
        <f t="shared" si="32"/>
        <v>0</v>
      </c>
    </row>
    <row r="1856" spans="3:21" s="348" customFormat="1" x14ac:dyDescent="0.2">
      <c r="D1856" s="723" t="s">
        <v>1276</v>
      </c>
      <c r="E1856" s="723"/>
      <c r="F1856" s="723"/>
      <c r="G1856" s="723"/>
      <c r="H1856" s="723" t="s">
        <v>1813</v>
      </c>
      <c r="I1856" s="882"/>
      <c r="J1856" s="149">
        <f t="shared" si="30"/>
        <v>5.7114882506527402E-2</v>
      </c>
      <c r="K1856" s="483">
        <v>0</v>
      </c>
      <c r="L1856" s="484">
        <v>40</v>
      </c>
      <c r="M1856" s="485">
        <v>0</v>
      </c>
      <c r="N1856" s="486">
        <v>3</v>
      </c>
      <c r="O1856" s="135">
        <f t="shared" si="31"/>
        <v>6.8537859007832882</v>
      </c>
      <c r="U1856" s="119">
        <f t="shared" si="32"/>
        <v>0</v>
      </c>
    </row>
    <row r="1857" spans="4:21" s="348" customFormat="1" ht="15" x14ac:dyDescent="0.2">
      <c r="D1857" s="782" t="s">
        <v>113</v>
      </c>
      <c r="E1857" s="783"/>
      <c r="F1857" s="783"/>
      <c r="G1857" s="783"/>
      <c r="H1857" s="669"/>
      <c r="I1857" s="669"/>
      <c r="J1857" s="119"/>
      <c r="K1857" s="883"/>
      <c r="L1857" s="884"/>
      <c r="M1857" s="884"/>
      <c r="N1857" s="119"/>
      <c r="O1857" s="136">
        <f>SUM(O1845:O1856)</f>
        <v>230.05365059290673</v>
      </c>
      <c r="U1857" s="672"/>
    </row>
    <row r="1858" spans="4:21" s="348" customFormat="1" x14ac:dyDescent="0.2"/>
    <row r="1859" spans="4:21" s="348" customFormat="1" ht="15" x14ac:dyDescent="0.2">
      <c r="D1859" s="667" t="s">
        <v>949</v>
      </c>
      <c r="K1859" s="671" t="s">
        <v>950</v>
      </c>
    </row>
    <row r="1860" spans="4:21" s="348" customFormat="1" x14ac:dyDescent="0.2">
      <c r="D1860" s="788" t="s">
        <v>1873</v>
      </c>
      <c r="E1860" s="788"/>
      <c r="F1860" s="788"/>
      <c r="G1860" s="788"/>
      <c r="H1860" s="788"/>
      <c r="I1860" s="788"/>
      <c r="K1860" s="721" t="s">
        <v>1873</v>
      </c>
      <c r="L1860" s="721"/>
      <c r="M1860" s="721"/>
      <c r="N1860" s="721"/>
      <c r="O1860" s="721"/>
      <c r="P1860" s="721"/>
    </row>
    <row r="1861" spans="4:21" s="348" customFormat="1" x14ac:dyDescent="0.2">
      <c r="D1861" s="721"/>
      <c r="E1861" s="721"/>
      <c r="F1861" s="721"/>
      <c r="G1861" s="721"/>
      <c r="H1861" s="721"/>
      <c r="I1861" s="721"/>
      <c r="K1861" s="721"/>
      <c r="L1861" s="721"/>
      <c r="M1861" s="721"/>
      <c r="N1861" s="721"/>
      <c r="O1861" s="721"/>
      <c r="P1861" s="721"/>
    </row>
    <row r="1862" spans="4:21" s="348" customFormat="1" x14ac:dyDescent="0.2">
      <c r="D1862" s="721"/>
      <c r="E1862" s="721"/>
      <c r="F1862" s="721"/>
      <c r="G1862" s="721"/>
      <c r="H1862" s="721"/>
      <c r="I1862" s="721"/>
      <c r="K1862" s="721"/>
      <c r="L1862" s="721"/>
      <c r="M1862" s="721"/>
      <c r="N1862" s="721"/>
      <c r="O1862" s="721"/>
      <c r="P1862" s="721"/>
    </row>
    <row r="1863" spans="4:21" s="348" customFormat="1" x14ac:dyDescent="0.2">
      <c r="D1863" s="721" t="s">
        <v>1812</v>
      </c>
      <c r="E1863" s="721"/>
      <c r="F1863" s="721"/>
      <c r="G1863" s="721"/>
      <c r="H1863" s="721"/>
      <c r="I1863" s="721"/>
      <c r="K1863" s="721"/>
      <c r="L1863" s="721"/>
      <c r="M1863" s="721"/>
      <c r="N1863" s="721"/>
      <c r="O1863" s="721"/>
      <c r="P1863" s="721"/>
    </row>
    <row r="1864" spans="4:21" s="348" customFormat="1" x14ac:dyDescent="0.2">
      <c r="D1864" s="721"/>
      <c r="E1864" s="721"/>
      <c r="F1864" s="721"/>
      <c r="G1864" s="721"/>
      <c r="H1864" s="721"/>
      <c r="I1864" s="721"/>
      <c r="K1864" s="721"/>
      <c r="L1864" s="721"/>
      <c r="M1864" s="721"/>
      <c r="N1864" s="721"/>
      <c r="O1864" s="721"/>
      <c r="P1864" s="721"/>
    </row>
    <row r="1865" spans="4:21" s="348" customFormat="1" x14ac:dyDescent="0.2"/>
    <row r="1866" spans="4:21" s="348" customFormat="1" ht="15" x14ac:dyDescent="0.2">
      <c r="J1866" s="849" t="str">
        <f>"Cost Per Minute ("&amp;$I$1953&amp;")"</f>
        <v>Cost Per Minute (USD)</v>
      </c>
      <c r="K1866" s="891" t="s">
        <v>112</v>
      </c>
      <c r="L1866" s="892"/>
      <c r="M1866" s="892"/>
      <c r="N1866" s="896" t="s">
        <v>183</v>
      </c>
      <c r="O1866" s="888" t="str">
        <f>"Cost ("&amp;$I$1953&amp;")"</f>
        <v>Cost (USD)</v>
      </c>
    </row>
    <row r="1867" spans="4:21" s="348" customFormat="1" ht="30" x14ac:dyDescent="0.2">
      <c r="D1867" s="669" t="str">
        <f>C1800</f>
        <v>Other Facility Types</v>
      </c>
      <c r="H1867" s="880" t="s">
        <v>385</v>
      </c>
      <c r="I1867" s="881"/>
      <c r="J1867" s="850"/>
      <c r="K1867" s="159" t="s">
        <v>109</v>
      </c>
      <c r="L1867" s="305" t="s">
        <v>110</v>
      </c>
      <c r="M1867" s="159" t="s">
        <v>111</v>
      </c>
      <c r="N1867" s="897"/>
      <c r="O1867" s="889"/>
      <c r="U1867" s="671" t="s">
        <v>312</v>
      </c>
    </row>
    <row r="1868" spans="4:21" s="348" customFormat="1" x14ac:dyDescent="0.2">
      <c r="D1868" s="721"/>
      <c r="E1868" s="721"/>
      <c r="F1868" s="721"/>
      <c r="G1868" s="721"/>
      <c r="H1868" s="721"/>
      <c r="I1868" s="721"/>
      <c r="J1868" s="147">
        <f>IFERROR(INDEX($L$1989:$L$2019,MATCH(D1868,LU_Intv_4_Pers_Oth,0)),0)</f>
        <v>0</v>
      </c>
      <c r="K1868" s="187">
        <v>0</v>
      </c>
      <c r="L1868" s="188">
        <v>0</v>
      </c>
      <c r="M1868" s="217">
        <v>0</v>
      </c>
      <c r="N1868" s="218"/>
      <c r="O1868" s="134">
        <f>J1868*SUM(K1868:M1868)*N1868</f>
        <v>0</v>
      </c>
      <c r="U1868" s="119">
        <f>IF(AND(ISERROR(MATCH(D1868,LU_Intv_4_Pers_Oth,0)),SUM(K1868:M1868),N1868),1,0)</f>
        <v>0</v>
      </c>
    </row>
    <row r="1869" spans="4:21" s="348" customFormat="1" x14ac:dyDescent="0.2">
      <c r="D1869" s="721"/>
      <c r="E1869" s="721"/>
      <c r="F1869" s="721"/>
      <c r="G1869" s="721"/>
      <c r="H1869" s="721"/>
      <c r="I1869" s="721"/>
      <c r="J1869" s="147">
        <f>IFERROR(INDEX($L$1989:$L$2019,MATCH(D1869,LU_Intv_4_Pers_Oth,0)),0)</f>
        <v>0</v>
      </c>
      <c r="K1869" s="221">
        <v>0</v>
      </c>
      <c r="L1869" s="182">
        <v>0</v>
      </c>
      <c r="M1869" s="222">
        <v>0</v>
      </c>
      <c r="N1869" s="223"/>
      <c r="O1869" s="135">
        <f>J1869*SUM(K1869:M1869)*N1869</f>
        <v>0</v>
      </c>
      <c r="U1869" s="119">
        <f>IF(AND(ISERROR(MATCH(D1869,LU_Intv_4_Pers_Oth,0)),SUM(K1869:M1869),N1869),1,0)</f>
        <v>0</v>
      </c>
    </row>
    <row r="1870" spans="4:21" s="348" customFormat="1" x14ac:dyDescent="0.2">
      <c r="D1870" s="721"/>
      <c r="E1870" s="721"/>
      <c r="F1870" s="721"/>
      <c r="G1870" s="721"/>
      <c r="H1870" s="721"/>
      <c r="I1870" s="721"/>
      <c r="J1870" s="149">
        <f>IFERROR(INDEX($L$1989:$L$2019,MATCH(D1870,LU_Intv_4_Pers_Oth,0)),0)</f>
        <v>0</v>
      </c>
      <c r="K1870" s="224">
        <v>0</v>
      </c>
      <c r="L1870" s="225">
        <v>0</v>
      </c>
      <c r="M1870" s="226">
        <v>0</v>
      </c>
      <c r="N1870" s="219"/>
      <c r="O1870" s="135">
        <f>J1870*SUM(K1870:M1870)*N1870</f>
        <v>0</v>
      </c>
      <c r="U1870" s="119">
        <f>IF(AND(ISERROR(MATCH(D1870,LU_Intv_4_Pers_Oth,0)),SUM(K1870:M1870),N1870),1,0)</f>
        <v>0</v>
      </c>
    </row>
    <row r="1871" spans="4:21" s="348" customFormat="1" ht="15" x14ac:dyDescent="0.2">
      <c r="D1871" s="782" t="s">
        <v>287</v>
      </c>
      <c r="E1871" s="783"/>
      <c r="F1871" s="783"/>
      <c r="G1871" s="783"/>
      <c r="H1871" s="669"/>
      <c r="I1871" s="669"/>
      <c r="J1871" s="119"/>
      <c r="K1871" s="883"/>
      <c r="L1871" s="884"/>
      <c r="M1871" s="884"/>
      <c r="N1871" s="119"/>
      <c r="O1871" s="136">
        <f>SUM(O1868:O1870)</f>
        <v>0</v>
      </c>
      <c r="U1871" s="672"/>
    </row>
    <row r="1872" spans="4:21" s="348" customFormat="1" x14ac:dyDescent="0.2"/>
    <row r="1873" spans="3:21" s="348" customFormat="1" ht="15" x14ac:dyDescent="0.2">
      <c r="D1873" s="667" t="s">
        <v>949</v>
      </c>
      <c r="K1873" s="671" t="s">
        <v>950</v>
      </c>
    </row>
    <row r="1874" spans="3:21" s="348" customFormat="1" x14ac:dyDescent="0.2">
      <c r="D1874" s="721"/>
      <c r="E1874" s="721"/>
      <c r="F1874" s="721"/>
      <c r="G1874" s="721"/>
      <c r="H1874" s="721"/>
      <c r="I1874" s="721"/>
      <c r="K1874" s="721"/>
      <c r="L1874" s="721"/>
      <c r="M1874" s="721"/>
      <c r="N1874" s="721"/>
      <c r="O1874" s="721"/>
      <c r="P1874" s="721"/>
    </row>
    <row r="1875" spans="3:21" s="348" customFormat="1" x14ac:dyDescent="0.2">
      <c r="D1875" s="721"/>
      <c r="E1875" s="721"/>
      <c r="F1875" s="721"/>
      <c r="G1875" s="721"/>
      <c r="H1875" s="721"/>
      <c r="I1875" s="721"/>
      <c r="K1875" s="721"/>
      <c r="L1875" s="721"/>
      <c r="M1875" s="721"/>
      <c r="N1875" s="721"/>
      <c r="O1875" s="721"/>
      <c r="P1875" s="721"/>
    </row>
    <row r="1876" spans="3:21" s="348" customFormat="1" x14ac:dyDescent="0.2">
      <c r="D1876" s="721"/>
      <c r="E1876" s="721"/>
      <c r="F1876" s="721"/>
      <c r="G1876" s="721"/>
      <c r="H1876" s="721"/>
      <c r="I1876" s="721"/>
      <c r="K1876" s="721"/>
      <c r="L1876" s="721"/>
      <c r="M1876" s="721"/>
      <c r="N1876" s="721"/>
      <c r="O1876" s="721"/>
      <c r="P1876" s="721"/>
    </row>
    <row r="1877" spans="3:21" s="348" customFormat="1" x14ac:dyDescent="0.2">
      <c r="D1877" s="721"/>
      <c r="E1877" s="721"/>
      <c r="F1877" s="721"/>
      <c r="G1877" s="721"/>
      <c r="H1877" s="721"/>
      <c r="I1877" s="721"/>
      <c r="K1877" s="721"/>
      <c r="L1877" s="721"/>
      <c r="M1877" s="721"/>
      <c r="N1877" s="721"/>
      <c r="O1877" s="721"/>
      <c r="P1877" s="721"/>
    </row>
    <row r="1878" spans="3:21" s="348" customFormat="1" x14ac:dyDescent="0.2"/>
    <row r="1879" spans="3:21" s="348" customFormat="1" x14ac:dyDescent="0.2"/>
    <row r="1880" spans="3:21" s="348" customFormat="1" ht="15.75" x14ac:dyDescent="0.2">
      <c r="C1880" s="124" t="str">
        <f>"Supplies Required for "&amp;G1768</f>
        <v>Supplies Required for RADIO</v>
      </c>
    </row>
    <row r="1881" spans="3:21" s="348" customFormat="1" x14ac:dyDescent="0.2"/>
    <row r="1882" spans="3:21" s="348" customFormat="1" ht="30" x14ac:dyDescent="0.2">
      <c r="D1882" s="667" t="s">
        <v>106</v>
      </c>
      <c r="H1882" s="671" t="s">
        <v>951</v>
      </c>
      <c r="J1882" s="132" t="str">
        <f>"Cost per Unit ("&amp;$I$1953&amp;")"</f>
        <v>Cost per Unit (USD)</v>
      </c>
      <c r="K1882" s="366" t="s">
        <v>107</v>
      </c>
      <c r="L1882" s="307" t="s">
        <v>183</v>
      </c>
      <c r="M1882" s="132" t="str">
        <f>"Total Cost ("&amp;$I$1953&amp;")"</f>
        <v>Total Cost (USD)</v>
      </c>
      <c r="N1882" s="725" t="s">
        <v>74</v>
      </c>
      <c r="O1882" s="726"/>
      <c r="P1882" s="726"/>
      <c r="U1882" s="671" t="s">
        <v>312</v>
      </c>
    </row>
    <row r="1883" spans="3:21" s="348" customFormat="1" x14ac:dyDescent="0.2">
      <c r="D1883" s="723" t="s">
        <v>1410</v>
      </c>
      <c r="E1883" s="723"/>
      <c r="F1883" s="723"/>
      <c r="G1883" s="723"/>
      <c r="H1883" s="668" t="str">
        <f t="shared" ref="H1883:H1889" si="33">IFERROR(INDEX($J$2022:$J$2188,MATCH(D1883,LU_Intv_4_Supplies,0)),0)</f>
        <v>each</v>
      </c>
      <c r="J1883" s="674">
        <f t="shared" ref="J1883:J1889" si="34">IFERROR(INDEX($L$2022:$L$2188,MATCH(D1883,LU_Intv_4_Supplies,0)),0)</f>
        <v>7.2000000000000008E-2</v>
      </c>
      <c r="K1883" s="462">
        <v>8</v>
      </c>
      <c r="L1883" s="458">
        <v>1</v>
      </c>
      <c r="M1883" s="137">
        <f t="shared" ref="M1883:M1889" si="35">J1883*K1883*L1883</f>
        <v>0.57600000000000007</v>
      </c>
      <c r="N1883" s="723" t="s">
        <v>1816</v>
      </c>
      <c r="O1883" s="723"/>
      <c r="P1883" s="723"/>
      <c r="U1883" s="119">
        <f t="shared" ref="U1883:U1889" si="36">IF(AND(ISERROR(MATCH(D1883,LU_Intv_4_Supplies,0)),L1883),1,0)</f>
        <v>0</v>
      </c>
    </row>
    <row r="1884" spans="3:21" s="348" customFormat="1" x14ac:dyDescent="0.2">
      <c r="D1884" s="723" t="s">
        <v>1410</v>
      </c>
      <c r="E1884" s="723"/>
      <c r="F1884" s="723"/>
      <c r="G1884" s="723"/>
      <c r="H1884" s="668" t="str">
        <f t="shared" si="33"/>
        <v>each</v>
      </c>
      <c r="J1884" s="674">
        <f t="shared" si="34"/>
        <v>7.2000000000000008E-2</v>
      </c>
      <c r="K1884" s="462">
        <v>4</v>
      </c>
      <c r="L1884" s="458">
        <v>28</v>
      </c>
      <c r="M1884" s="137">
        <f t="shared" si="35"/>
        <v>8.0640000000000001</v>
      </c>
      <c r="N1884" s="723" t="s">
        <v>1817</v>
      </c>
      <c r="O1884" s="723"/>
      <c r="P1884" s="723"/>
      <c r="U1884" s="119">
        <f t="shared" si="36"/>
        <v>0</v>
      </c>
    </row>
    <row r="1885" spans="3:21" s="348" customFormat="1" x14ac:dyDescent="0.2">
      <c r="D1885" s="723" t="s">
        <v>1411</v>
      </c>
      <c r="E1885" s="723"/>
      <c r="F1885" s="723"/>
      <c r="G1885" s="723"/>
      <c r="H1885" s="668" t="str">
        <f t="shared" si="33"/>
        <v>each</v>
      </c>
      <c r="J1885" s="674">
        <f t="shared" si="34"/>
        <v>0.21932200000000002</v>
      </c>
      <c r="K1885" s="462">
        <v>10</v>
      </c>
      <c r="L1885" s="458">
        <v>3</v>
      </c>
      <c r="M1885" s="137">
        <f t="shared" si="35"/>
        <v>6.5796600000000005</v>
      </c>
      <c r="N1885" s="723" t="s">
        <v>1818</v>
      </c>
      <c r="O1885" s="723"/>
      <c r="P1885" s="723"/>
      <c r="U1885" s="119">
        <f t="shared" si="36"/>
        <v>0</v>
      </c>
    </row>
    <row r="1886" spans="3:21" s="348" customFormat="1" x14ac:dyDescent="0.2">
      <c r="D1886" s="723" t="s">
        <v>1257</v>
      </c>
      <c r="E1886" s="723"/>
      <c r="F1886" s="723"/>
      <c r="G1886" s="723"/>
      <c r="H1886" s="668" t="str">
        <f t="shared" si="33"/>
        <v>SU</v>
      </c>
      <c r="J1886" s="674">
        <f t="shared" si="34"/>
        <v>0</v>
      </c>
      <c r="K1886" s="462">
        <v>0</v>
      </c>
      <c r="L1886" s="458"/>
      <c r="M1886" s="137">
        <f t="shared" si="35"/>
        <v>0</v>
      </c>
      <c r="N1886" s="723"/>
      <c r="O1886" s="723"/>
      <c r="P1886" s="723"/>
      <c r="U1886" s="119">
        <f t="shared" si="36"/>
        <v>0</v>
      </c>
    </row>
    <row r="1887" spans="3:21" s="348" customFormat="1" x14ac:dyDescent="0.2">
      <c r="D1887" s="723" t="s">
        <v>1257</v>
      </c>
      <c r="E1887" s="723" t="s">
        <v>1257</v>
      </c>
      <c r="F1887" s="723" t="s">
        <v>1257</v>
      </c>
      <c r="G1887" s="723" t="s">
        <v>1257</v>
      </c>
      <c r="H1887" s="668" t="str">
        <f t="shared" si="33"/>
        <v>SU</v>
      </c>
      <c r="J1887" s="674">
        <f t="shared" si="34"/>
        <v>0</v>
      </c>
      <c r="K1887" s="462">
        <v>0</v>
      </c>
      <c r="L1887" s="458"/>
      <c r="M1887" s="137">
        <f t="shared" si="35"/>
        <v>0</v>
      </c>
      <c r="N1887" s="723"/>
      <c r="O1887" s="723"/>
      <c r="P1887" s="723"/>
      <c r="U1887" s="119">
        <f t="shared" si="36"/>
        <v>0</v>
      </c>
    </row>
    <row r="1888" spans="3:21" s="348" customFormat="1" x14ac:dyDescent="0.2">
      <c r="D1888" s="723" t="s">
        <v>1257</v>
      </c>
      <c r="E1888" s="723" t="s">
        <v>1257</v>
      </c>
      <c r="F1888" s="723" t="s">
        <v>1257</v>
      </c>
      <c r="G1888" s="723" t="s">
        <v>1257</v>
      </c>
      <c r="H1888" s="668" t="str">
        <f t="shared" si="33"/>
        <v>SU</v>
      </c>
      <c r="J1888" s="674">
        <f t="shared" si="34"/>
        <v>0</v>
      </c>
      <c r="K1888" s="462">
        <v>0</v>
      </c>
      <c r="L1888" s="458"/>
      <c r="M1888" s="137">
        <f t="shared" si="35"/>
        <v>0</v>
      </c>
      <c r="N1888" s="723"/>
      <c r="O1888" s="723"/>
      <c r="P1888" s="723"/>
      <c r="U1888" s="119">
        <f t="shared" si="36"/>
        <v>0</v>
      </c>
    </row>
    <row r="1889" spans="3:21" s="348" customFormat="1" x14ac:dyDescent="0.2">
      <c r="D1889" s="723" t="s">
        <v>1257</v>
      </c>
      <c r="E1889" s="723" t="s">
        <v>1257</v>
      </c>
      <c r="F1889" s="723" t="s">
        <v>1257</v>
      </c>
      <c r="G1889" s="723" t="s">
        <v>1257</v>
      </c>
      <c r="H1889" s="668" t="str">
        <f t="shared" si="33"/>
        <v>SU</v>
      </c>
      <c r="J1889" s="674">
        <f t="shared" si="34"/>
        <v>0</v>
      </c>
      <c r="K1889" s="462">
        <v>0</v>
      </c>
      <c r="L1889" s="458"/>
      <c r="M1889" s="137">
        <f t="shared" si="35"/>
        <v>0</v>
      </c>
      <c r="N1889" s="723"/>
      <c r="O1889" s="723"/>
      <c r="P1889" s="723"/>
      <c r="U1889" s="119">
        <f t="shared" si="36"/>
        <v>0</v>
      </c>
    </row>
    <row r="1890" spans="3:21" s="348" customFormat="1" ht="15" x14ac:dyDescent="0.2">
      <c r="D1890" s="782" t="s">
        <v>108</v>
      </c>
      <c r="E1890" s="783"/>
      <c r="F1890" s="783"/>
      <c r="G1890" s="783"/>
      <c r="H1890" s="669"/>
      <c r="J1890" s="308"/>
      <c r="K1890" s="119"/>
      <c r="L1890" s="674"/>
      <c r="M1890" s="309">
        <f>SUM(M1883:M1889)</f>
        <v>15.219660000000001</v>
      </c>
      <c r="N1890" s="669"/>
      <c r="O1890" s="669"/>
      <c r="P1890" s="669"/>
      <c r="U1890" s="672"/>
    </row>
    <row r="1891" spans="3:21" s="348" customFormat="1" x14ac:dyDescent="0.2"/>
    <row r="1892" spans="3:21" s="348" customFormat="1" ht="15" x14ac:dyDescent="0.2">
      <c r="D1892" s="667" t="s">
        <v>962</v>
      </c>
      <c r="K1892" s="671" t="s">
        <v>963</v>
      </c>
    </row>
    <row r="1893" spans="3:21" s="348" customFormat="1" x14ac:dyDescent="0.2">
      <c r="D1893" s="721" t="s">
        <v>1814</v>
      </c>
      <c r="E1893" s="721"/>
      <c r="F1893" s="721"/>
      <c r="G1893" s="721"/>
      <c r="H1893" s="721"/>
      <c r="I1893" s="721"/>
      <c r="K1893" s="721"/>
      <c r="L1893" s="721"/>
      <c r="M1893" s="721"/>
      <c r="N1893" s="721"/>
      <c r="O1893" s="721"/>
      <c r="P1893" s="721"/>
    </row>
    <row r="1894" spans="3:21" s="348" customFormat="1" x14ac:dyDescent="0.2">
      <c r="D1894" s="721" t="s">
        <v>1819</v>
      </c>
      <c r="E1894" s="721"/>
      <c r="F1894" s="721"/>
      <c r="G1894" s="721"/>
      <c r="H1894" s="721"/>
      <c r="I1894" s="721"/>
      <c r="K1894" s="721"/>
      <c r="L1894" s="721"/>
      <c r="M1894" s="721"/>
      <c r="N1894" s="721"/>
      <c r="O1894" s="721"/>
      <c r="P1894" s="721"/>
    </row>
    <row r="1895" spans="3:21" s="348" customFormat="1" ht="27" customHeight="1" x14ac:dyDescent="0.2">
      <c r="D1895" s="721"/>
      <c r="E1895" s="721"/>
      <c r="F1895" s="721"/>
      <c r="G1895" s="721"/>
      <c r="H1895" s="721"/>
      <c r="I1895" s="721"/>
      <c r="K1895" s="737"/>
      <c r="L1895" s="738"/>
      <c r="M1895" s="738"/>
      <c r="N1895" s="738"/>
      <c r="O1895" s="738"/>
      <c r="P1895" s="739"/>
    </row>
    <row r="1896" spans="3:21" s="348" customFormat="1" x14ac:dyDescent="0.2">
      <c r="D1896" s="721"/>
      <c r="E1896" s="721"/>
      <c r="F1896" s="721"/>
      <c r="G1896" s="721"/>
      <c r="H1896" s="721"/>
      <c r="I1896" s="721"/>
      <c r="K1896" s="721"/>
      <c r="L1896" s="721"/>
      <c r="M1896" s="721"/>
      <c r="N1896" s="721"/>
      <c r="O1896" s="721"/>
      <c r="P1896" s="721"/>
    </row>
    <row r="1897" spans="3:21" s="348" customFormat="1" x14ac:dyDescent="0.2"/>
    <row r="1898" spans="3:21" s="348" customFormat="1" ht="15.75" x14ac:dyDescent="0.2">
      <c r="C1898" s="124" t="str">
        <f>"Equipment Required to Outfit a Health Facility for "&amp;G1768&amp;""</f>
        <v>Equipment Required to Outfit a Health Facility for RADIO</v>
      </c>
    </row>
    <row r="1899" spans="3:21" s="348" customFormat="1" x14ac:dyDescent="0.2"/>
    <row r="1900" spans="3:21" s="348" customFormat="1" ht="30" x14ac:dyDescent="0.2">
      <c r="J1900" s="141" t="str">
        <f>"Cost per Unit ("&amp;$I$1953&amp;")"</f>
        <v>Cost per Unit (USD)</v>
      </c>
      <c r="L1900" s="885" t="str">
        <f>"Total Cost per Site ("&amp;$I$1953&amp;")"</f>
        <v>Total Cost per Site (USD)</v>
      </c>
      <c r="M1900" s="886"/>
      <c r="N1900" s="887"/>
    </row>
    <row r="1901" spans="3:21" s="348" customFormat="1" ht="30" x14ac:dyDescent="0.2">
      <c r="D1901" s="667" t="s">
        <v>106</v>
      </c>
      <c r="J1901" s="142" t="s">
        <v>117</v>
      </c>
      <c r="K1901" s="675" t="s">
        <v>116</v>
      </c>
      <c r="L1901" s="310" t="str">
        <f>J1901</f>
        <v>Facility</v>
      </c>
      <c r="M1901" s="159" t="s">
        <v>632</v>
      </c>
      <c r="N1901" s="288" t="s">
        <v>633</v>
      </c>
      <c r="O1901" s="870" t="s">
        <v>74</v>
      </c>
      <c r="P1901" s="871"/>
      <c r="Q1901" s="872"/>
      <c r="U1901" s="671" t="s">
        <v>312</v>
      </c>
    </row>
    <row r="1902" spans="3:21" s="348" customFormat="1" x14ac:dyDescent="0.2">
      <c r="D1902" s="723" t="s">
        <v>872</v>
      </c>
      <c r="E1902" s="723"/>
      <c r="F1902" s="723"/>
      <c r="G1902" s="723"/>
      <c r="J1902" s="311">
        <f t="shared" ref="J1902:J1910" si="37">IFERROR(INDEX($J$2191:$J$2313,MATCH(D1902,LU_Intv_4_Equip,0)),0)</f>
        <v>625000</v>
      </c>
      <c r="K1902" s="463">
        <v>1</v>
      </c>
      <c r="L1902" s="153">
        <f t="shared" ref="L1902:L1910" si="38">J1902*K1902</f>
        <v>625000</v>
      </c>
      <c r="M1902" s="163">
        <f t="shared" ref="M1902:M1910" si="39">IFERROR(INDEX($K$2191:$K$2313,MATCH(D1902,LU_Intv_4_Equip,0)),0)*K1902</f>
        <v>78125</v>
      </c>
      <c r="N1902" s="146">
        <f t="shared" ref="N1902:N1910" si="40">IFERROR(INDEX($L$2191:$L$2313,MATCH(D1902,LU_Intv_4_Equip,0)),0)*K1902</f>
        <v>89035.243017024535</v>
      </c>
      <c r="O1902" s="865"/>
      <c r="P1902" s="865"/>
      <c r="Q1902" s="866"/>
      <c r="U1902" s="119">
        <f t="shared" ref="U1902:U1910" si="41">IF(AND(ISERROR(MATCH(D1902,LU_Intv_4_Equip,0)),K1902),1,0)</f>
        <v>0</v>
      </c>
    </row>
    <row r="1903" spans="3:21" s="348" customFormat="1" x14ac:dyDescent="0.2">
      <c r="D1903" s="723" t="s">
        <v>878</v>
      </c>
      <c r="E1903" s="723"/>
      <c r="F1903" s="723"/>
      <c r="G1903" s="723"/>
      <c r="J1903" s="297">
        <f t="shared" si="37"/>
        <v>125000</v>
      </c>
      <c r="K1903" s="460">
        <v>1</v>
      </c>
      <c r="L1903" s="153">
        <f t="shared" si="38"/>
        <v>125000</v>
      </c>
      <c r="M1903" s="153">
        <f t="shared" si="39"/>
        <v>31250</v>
      </c>
      <c r="N1903" s="146">
        <f t="shared" si="40"/>
        <v>33628.380649135324</v>
      </c>
      <c r="O1903" s="868"/>
      <c r="P1903" s="868"/>
      <c r="Q1903" s="869"/>
      <c r="U1903" s="119">
        <f t="shared" si="41"/>
        <v>0</v>
      </c>
    </row>
    <row r="1904" spans="3:21" s="348" customFormat="1" x14ac:dyDescent="0.2">
      <c r="D1904" s="723"/>
      <c r="E1904" s="723"/>
      <c r="F1904" s="723"/>
      <c r="G1904" s="723"/>
      <c r="J1904" s="297">
        <f t="shared" si="37"/>
        <v>0</v>
      </c>
      <c r="K1904" s="461">
        <v>0</v>
      </c>
      <c r="L1904" s="153">
        <f t="shared" si="38"/>
        <v>0</v>
      </c>
      <c r="M1904" s="153">
        <f t="shared" si="39"/>
        <v>0</v>
      </c>
      <c r="N1904" s="146">
        <f t="shared" si="40"/>
        <v>0</v>
      </c>
      <c r="O1904" s="868"/>
      <c r="P1904" s="868"/>
      <c r="Q1904" s="869"/>
      <c r="U1904" s="119">
        <f t="shared" si="41"/>
        <v>0</v>
      </c>
    </row>
    <row r="1905" spans="3:21" s="348" customFormat="1" x14ac:dyDescent="0.2">
      <c r="D1905" s="723"/>
      <c r="E1905" s="723"/>
      <c r="F1905" s="723"/>
      <c r="G1905" s="723"/>
      <c r="J1905" s="297">
        <f t="shared" si="37"/>
        <v>0</v>
      </c>
      <c r="K1905" s="461">
        <v>0</v>
      </c>
      <c r="L1905" s="153">
        <f t="shared" si="38"/>
        <v>0</v>
      </c>
      <c r="M1905" s="153">
        <f t="shared" si="39"/>
        <v>0</v>
      </c>
      <c r="N1905" s="146">
        <f t="shared" si="40"/>
        <v>0</v>
      </c>
      <c r="O1905" s="868"/>
      <c r="P1905" s="868"/>
      <c r="Q1905" s="869"/>
      <c r="U1905" s="119">
        <f t="shared" si="41"/>
        <v>0</v>
      </c>
    </row>
    <row r="1906" spans="3:21" s="348" customFormat="1" x14ac:dyDescent="0.2">
      <c r="D1906" s="723"/>
      <c r="E1906" s="723"/>
      <c r="F1906" s="723"/>
      <c r="G1906" s="723"/>
      <c r="J1906" s="297">
        <f t="shared" si="37"/>
        <v>0</v>
      </c>
      <c r="K1906" s="461">
        <v>0</v>
      </c>
      <c r="L1906" s="153">
        <f t="shared" si="38"/>
        <v>0</v>
      </c>
      <c r="M1906" s="153">
        <f t="shared" si="39"/>
        <v>0</v>
      </c>
      <c r="N1906" s="146">
        <f t="shared" si="40"/>
        <v>0</v>
      </c>
      <c r="O1906" s="868"/>
      <c r="P1906" s="868"/>
      <c r="Q1906" s="869"/>
      <c r="U1906" s="119">
        <f t="shared" si="41"/>
        <v>0</v>
      </c>
    </row>
    <row r="1907" spans="3:21" s="348" customFormat="1" x14ac:dyDescent="0.2">
      <c r="D1907" s="723"/>
      <c r="E1907" s="723"/>
      <c r="F1907" s="723"/>
      <c r="G1907" s="723"/>
      <c r="J1907" s="297">
        <f t="shared" si="37"/>
        <v>0</v>
      </c>
      <c r="K1907" s="461">
        <v>0</v>
      </c>
      <c r="L1907" s="153">
        <f t="shared" si="38"/>
        <v>0</v>
      </c>
      <c r="M1907" s="153">
        <f t="shared" si="39"/>
        <v>0</v>
      </c>
      <c r="N1907" s="146">
        <f t="shared" si="40"/>
        <v>0</v>
      </c>
      <c r="O1907" s="868"/>
      <c r="P1907" s="868"/>
      <c r="Q1907" s="869"/>
      <c r="U1907" s="119">
        <f t="shared" si="41"/>
        <v>0</v>
      </c>
    </row>
    <row r="1908" spans="3:21" s="348" customFormat="1" x14ac:dyDescent="0.2">
      <c r="D1908" s="723"/>
      <c r="E1908" s="723"/>
      <c r="F1908" s="723"/>
      <c r="G1908" s="723"/>
      <c r="J1908" s="297">
        <f t="shared" si="37"/>
        <v>0</v>
      </c>
      <c r="K1908" s="461">
        <v>0</v>
      </c>
      <c r="L1908" s="153">
        <f t="shared" si="38"/>
        <v>0</v>
      </c>
      <c r="M1908" s="153">
        <f t="shared" si="39"/>
        <v>0</v>
      </c>
      <c r="N1908" s="146">
        <f t="shared" si="40"/>
        <v>0</v>
      </c>
      <c r="O1908" s="868"/>
      <c r="P1908" s="868"/>
      <c r="Q1908" s="869"/>
      <c r="U1908" s="119">
        <f t="shared" si="41"/>
        <v>0</v>
      </c>
    </row>
    <row r="1909" spans="3:21" s="348" customFormat="1" x14ac:dyDescent="0.2">
      <c r="D1909" s="723"/>
      <c r="E1909" s="723"/>
      <c r="F1909" s="723"/>
      <c r="G1909" s="723"/>
      <c r="J1909" s="297">
        <f t="shared" si="37"/>
        <v>0</v>
      </c>
      <c r="K1909" s="461">
        <v>0</v>
      </c>
      <c r="L1909" s="153">
        <f t="shared" si="38"/>
        <v>0</v>
      </c>
      <c r="M1909" s="153">
        <f t="shared" si="39"/>
        <v>0</v>
      </c>
      <c r="N1909" s="146">
        <f t="shared" si="40"/>
        <v>0</v>
      </c>
      <c r="O1909" s="868"/>
      <c r="P1909" s="868"/>
      <c r="Q1909" s="869"/>
      <c r="U1909" s="119">
        <f t="shared" si="41"/>
        <v>0</v>
      </c>
    </row>
    <row r="1910" spans="3:21" s="348" customFormat="1" x14ac:dyDescent="0.2">
      <c r="D1910" s="723"/>
      <c r="E1910" s="723"/>
      <c r="F1910" s="723"/>
      <c r="G1910" s="723"/>
      <c r="J1910" s="306">
        <f t="shared" si="37"/>
        <v>0</v>
      </c>
      <c r="K1910" s="464">
        <v>0</v>
      </c>
      <c r="L1910" s="153">
        <f t="shared" si="38"/>
        <v>0</v>
      </c>
      <c r="M1910" s="153">
        <f t="shared" si="39"/>
        <v>0</v>
      </c>
      <c r="N1910" s="146">
        <f t="shared" si="40"/>
        <v>0</v>
      </c>
      <c r="O1910" s="860"/>
      <c r="P1910" s="860"/>
      <c r="Q1910" s="861"/>
      <c r="U1910" s="119">
        <f t="shared" si="41"/>
        <v>0</v>
      </c>
    </row>
    <row r="1911" spans="3:21" s="348" customFormat="1" x14ac:dyDescent="0.2">
      <c r="D1911" s="671" t="s">
        <v>191</v>
      </c>
      <c r="L1911" s="150">
        <f>SUM(L1902:L1910)</f>
        <v>750000</v>
      </c>
      <c r="M1911" s="151">
        <f>SUM(M1902:M1910)</f>
        <v>109375</v>
      </c>
      <c r="N1911" s="152">
        <f>SUM(N1902:N1910)</f>
        <v>122663.62366615987</v>
      </c>
    </row>
    <row r="1912" spans="3:21" s="348" customFormat="1" x14ac:dyDescent="0.2">
      <c r="D1912" s="671" t="s">
        <v>120</v>
      </c>
      <c r="I1912" s="239">
        <v>0.15</v>
      </c>
      <c r="M1912" s="153">
        <f>M1911*$I$1912</f>
        <v>16406.25</v>
      </c>
      <c r="N1912" s="154">
        <f>N1911*$I$1912</f>
        <v>18399.543549923979</v>
      </c>
    </row>
    <row r="1913" spans="3:21" s="348" customFormat="1" ht="15" x14ac:dyDescent="0.2">
      <c r="D1913" s="667" t="s">
        <v>121</v>
      </c>
      <c r="M1913" s="155">
        <f>SUM(M1911:M1912)</f>
        <v>125781.25</v>
      </c>
      <c r="N1913" s="156">
        <f>SUM(N1911:N1912)</f>
        <v>141063.16721608385</v>
      </c>
    </row>
    <row r="1914" spans="3:21" s="348" customFormat="1" x14ac:dyDescent="0.2"/>
    <row r="1915" spans="3:21" s="348" customFormat="1" ht="15" x14ac:dyDescent="0.2">
      <c r="D1915" s="667" t="s">
        <v>964</v>
      </c>
      <c r="K1915" s="671" t="s">
        <v>965</v>
      </c>
    </row>
    <row r="1916" spans="3:21" s="348" customFormat="1" x14ac:dyDescent="0.2">
      <c r="D1916" s="721" t="s">
        <v>1820</v>
      </c>
      <c r="E1916" s="721"/>
      <c r="F1916" s="721"/>
      <c r="G1916" s="721"/>
      <c r="H1916" s="721"/>
      <c r="I1916" s="721"/>
      <c r="K1916" s="721" t="s">
        <v>1822</v>
      </c>
      <c r="L1916" s="721"/>
      <c r="M1916" s="721"/>
      <c r="N1916" s="721"/>
      <c r="O1916" s="721"/>
      <c r="P1916" s="721"/>
    </row>
    <row r="1917" spans="3:21" s="348" customFormat="1" x14ac:dyDescent="0.2">
      <c r="D1917" s="721" t="s">
        <v>1821</v>
      </c>
      <c r="E1917" s="721"/>
      <c r="F1917" s="721"/>
      <c r="G1917" s="721"/>
      <c r="H1917" s="721"/>
      <c r="I1917" s="721"/>
      <c r="K1917" s="721" t="s">
        <v>1873</v>
      </c>
      <c r="L1917" s="721"/>
      <c r="M1917" s="721"/>
      <c r="N1917" s="721"/>
      <c r="O1917" s="721"/>
      <c r="P1917" s="721"/>
    </row>
    <row r="1918" spans="3:21" s="348" customFormat="1" x14ac:dyDescent="0.2">
      <c r="D1918" s="721" t="s">
        <v>1825</v>
      </c>
      <c r="E1918" s="721"/>
      <c r="F1918" s="721"/>
      <c r="G1918" s="721"/>
      <c r="H1918" s="721"/>
      <c r="I1918" s="721"/>
      <c r="K1918" s="721" t="s">
        <v>1823</v>
      </c>
      <c r="L1918" s="721"/>
      <c r="M1918" s="721"/>
      <c r="N1918" s="721"/>
      <c r="O1918" s="721"/>
      <c r="P1918" s="721"/>
    </row>
    <row r="1919" spans="3:21" s="348" customFormat="1" x14ac:dyDescent="0.2">
      <c r="D1919" s="721" t="s">
        <v>1826</v>
      </c>
      <c r="E1919" s="721"/>
      <c r="F1919" s="721"/>
      <c r="G1919" s="721"/>
      <c r="H1919" s="721"/>
      <c r="I1919" s="721"/>
      <c r="K1919" s="721" t="s">
        <v>1824</v>
      </c>
      <c r="L1919" s="721"/>
      <c r="M1919" s="721"/>
      <c r="N1919" s="721"/>
      <c r="O1919" s="721"/>
      <c r="P1919" s="721"/>
    </row>
    <row r="1920" spans="3:21" s="348" customFormat="1" ht="15.75" x14ac:dyDescent="0.2">
      <c r="C1920" s="124" t="str">
        <f>"Lab Tests &amp; Other Direct Costs for "&amp;G1768&amp;""</f>
        <v>Lab Tests &amp; Other Direct Costs for RADIO</v>
      </c>
    </row>
    <row r="1921" spans="3:21" s="348" customFormat="1" x14ac:dyDescent="0.2"/>
    <row r="1922" spans="3:21" s="348" customFormat="1" ht="30" x14ac:dyDescent="0.2">
      <c r="D1922" s="667" t="s">
        <v>106</v>
      </c>
      <c r="J1922" s="132" t="str">
        <f>"Cost per Unit ("&amp;$I$1953&amp;")"</f>
        <v>Cost per Unit (USD)</v>
      </c>
      <c r="K1922" s="366" t="s">
        <v>107</v>
      </c>
      <c r="L1922" s="307" t="s">
        <v>183</v>
      </c>
      <c r="M1922" s="132" t="str">
        <f>"Total Cost ("&amp;$I$1953&amp;")"</f>
        <v>Total Cost (USD)</v>
      </c>
      <c r="N1922" s="725" t="s">
        <v>74</v>
      </c>
      <c r="O1922" s="726"/>
      <c r="P1922" s="726"/>
      <c r="U1922" s="671" t="s">
        <v>312</v>
      </c>
    </row>
    <row r="1923" spans="3:21" s="348" customFormat="1" x14ac:dyDescent="0.2">
      <c r="D1923" s="723" t="s">
        <v>1565</v>
      </c>
      <c r="E1923" s="723"/>
      <c r="F1923" s="723"/>
      <c r="G1923" s="723"/>
      <c r="H1923" s="672"/>
      <c r="J1923" s="674">
        <f>IFERROR(INDEX($L$2316:$L$2348,MATCH(D1923,LU_Intv_4_Lab_Oth,0)),0)</f>
        <v>1.67</v>
      </c>
      <c r="K1923" s="183">
        <v>1</v>
      </c>
      <c r="L1923" s="183">
        <v>1</v>
      </c>
      <c r="M1923" s="161">
        <f t="shared" ref="M1923:M1926" si="42">J1923*K1923*L1923</f>
        <v>1.67</v>
      </c>
      <c r="N1923" s="721"/>
      <c r="O1923" s="721"/>
      <c r="P1923" s="721"/>
      <c r="U1923" s="119">
        <f>IF(AND(ISERROR(MATCH(D1923,LU_Intv_4_Lab_Oth,0)),L1923),1,0)</f>
        <v>0</v>
      </c>
    </row>
    <row r="1924" spans="3:21" s="348" customFormat="1" x14ac:dyDescent="0.2">
      <c r="D1924" s="723" t="s">
        <v>936</v>
      </c>
      <c r="E1924" s="723"/>
      <c r="F1924" s="723"/>
      <c r="G1924" s="723"/>
      <c r="H1924" s="672"/>
      <c r="J1924" s="674">
        <f>IFERROR(INDEX($L$2316:$L$2348,MATCH(D1924,LU_Intv_4_Lab_Oth,0)),0)</f>
        <v>3.75</v>
      </c>
      <c r="K1924" s="183">
        <v>1</v>
      </c>
      <c r="L1924" s="183">
        <v>1</v>
      </c>
      <c r="M1924" s="161">
        <f t="shared" si="42"/>
        <v>3.75</v>
      </c>
      <c r="N1924" s="721"/>
      <c r="O1924" s="721"/>
      <c r="P1924" s="721"/>
      <c r="U1924" s="119">
        <f>IF(AND(ISERROR(MATCH(D1924,LU_Intv_4_Lab_Oth,0)),L1924),1,0)</f>
        <v>0</v>
      </c>
    </row>
    <row r="1925" spans="3:21" s="348" customFormat="1" x14ac:dyDescent="0.2">
      <c r="D1925" s="723" t="s">
        <v>1257</v>
      </c>
      <c r="E1925" s="723"/>
      <c r="F1925" s="723"/>
      <c r="G1925" s="723"/>
      <c r="H1925" s="672"/>
      <c r="J1925" s="674">
        <f>IFERROR(INDEX($L$2316:$L$2348,MATCH(D1925,LU_Intv_4_Lab_Oth,0)),0)</f>
        <v>0</v>
      </c>
      <c r="K1925" s="183">
        <v>0</v>
      </c>
      <c r="L1925" s="183"/>
      <c r="M1925" s="161">
        <f t="shared" si="42"/>
        <v>0</v>
      </c>
      <c r="N1925" s="721"/>
      <c r="O1925" s="721"/>
      <c r="P1925" s="721"/>
      <c r="U1925" s="119">
        <f>IF(AND(ISERROR(MATCH(D1925,LU_Intv_4_Lab_Oth,0)),L1925),1,0)</f>
        <v>0</v>
      </c>
    </row>
    <row r="1926" spans="3:21" s="348" customFormat="1" x14ac:dyDescent="0.2">
      <c r="D1926" s="723" t="s">
        <v>1257</v>
      </c>
      <c r="E1926" s="723"/>
      <c r="F1926" s="723"/>
      <c r="G1926" s="723"/>
      <c r="H1926" s="672"/>
      <c r="J1926" s="674">
        <f>IFERROR(INDEX($L$2316:$L$2348,MATCH(D1926,LU_Intv_4_Lab_Oth,0)),0)</f>
        <v>0</v>
      </c>
      <c r="K1926" s="183">
        <v>0</v>
      </c>
      <c r="L1926" s="183"/>
      <c r="M1926" s="161">
        <f t="shared" si="42"/>
        <v>0</v>
      </c>
      <c r="N1926" s="721"/>
      <c r="O1926" s="721"/>
      <c r="P1926" s="721"/>
      <c r="U1926" s="119">
        <f>IF(AND(ISERROR(MATCH(D1926,LU_Intv_4_Lab_Oth,0)),L1926),1,0)</f>
        <v>0</v>
      </c>
    </row>
    <row r="1927" spans="3:21" s="348" customFormat="1" ht="15" x14ac:dyDescent="0.2">
      <c r="D1927" s="782" t="s">
        <v>108</v>
      </c>
      <c r="E1927" s="783"/>
      <c r="F1927" s="783"/>
      <c r="G1927" s="783"/>
      <c r="H1927" s="672"/>
      <c r="J1927" s="308"/>
      <c r="K1927" s="119"/>
      <c r="L1927" s="674"/>
      <c r="M1927" s="162">
        <f>SUM(M1923:M1926)</f>
        <v>5.42</v>
      </c>
      <c r="N1927" s="669"/>
      <c r="O1927" s="669"/>
      <c r="P1927" s="669"/>
      <c r="U1927" s="672"/>
    </row>
    <row r="1928" spans="3:21" s="348" customFormat="1" x14ac:dyDescent="0.2"/>
    <row r="1929" spans="3:21" s="348" customFormat="1" ht="15" x14ac:dyDescent="0.2">
      <c r="D1929" s="667" t="s">
        <v>966</v>
      </c>
      <c r="K1929" s="671" t="s">
        <v>967</v>
      </c>
    </row>
    <row r="1930" spans="3:21" s="348" customFormat="1" x14ac:dyDescent="0.2">
      <c r="D1930" s="723" t="s">
        <v>1874</v>
      </c>
      <c r="E1930" s="723"/>
      <c r="F1930" s="723"/>
      <c r="G1930" s="723"/>
      <c r="H1930" s="723"/>
      <c r="I1930" s="723"/>
      <c r="K1930" s="721" t="s">
        <v>1873</v>
      </c>
      <c r="L1930" s="721"/>
      <c r="M1930" s="721"/>
      <c r="N1930" s="721"/>
      <c r="O1930" s="721"/>
      <c r="P1930" s="721"/>
    </row>
    <row r="1931" spans="3:21" s="348" customFormat="1" x14ac:dyDescent="0.2">
      <c r="D1931" s="723" t="s">
        <v>1815</v>
      </c>
      <c r="E1931" s="723"/>
      <c r="F1931" s="723"/>
      <c r="G1931" s="723"/>
      <c r="H1931" s="723"/>
      <c r="I1931" s="723"/>
      <c r="K1931" s="721"/>
      <c r="L1931" s="721"/>
      <c r="M1931" s="721"/>
      <c r="N1931" s="721"/>
      <c r="O1931" s="721"/>
      <c r="P1931" s="721"/>
    </row>
    <row r="1932" spans="3:21" s="348" customFormat="1" x14ac:dyDescent="0.2">
      <c r="D1932" s="721"/>
      <c r="E1932" s="721"/>
      <c r="F1932" s="721"/>
      <c r="G1932" s="721"/>
      <c r="H1932" s="721"/>
      <c r="I1932" s="721"/>
      <c r="K1932" s="721"/>
      <c r="L1932" s="721"/>
      <c r="M1932" s="721"/>
      <c r="N1932" s="721"/>
      <c r="O1932" s="721"/>
      <c r="P1932" s="721"/>
    </row>
    <row r="1933" spans="3:21" s="348" customFormat="1" x14ac:dyDescent="0.2">
      <c r="D1933" s="721"/>
      <c r="E1933" s="721"/>
      <c r="F1933" s="721"/>
      <c r="G1933" s="721"/>
      <c r="H1933" s="721"/>
      <c r="I1933" s="721"/>
      <c r="K1933" s="721"/>
      <c r="L1933" s="721"/>
      <c r="M1933" s="721"/>
      <c r="N1933" s="721"/>
      <c r="O1933" s="721"/>
      <c r="P1933" s="721"/>
    </row>
    <row r="1934" spans="3:21" s="348" customFormat="1" hidden="1" outlineLevel="2" x14ac:dyDescent="0.2"/>
    <row r="1935" spans="3:21" s="348" customFormat="1" collapsed="1" x14ac:dyDescent="0.2"/>
    <row r="1936" spans="3:21" s="348" customFormat="1" ht="15.75" x14ac:dyDescent="0.2">
      <c r="C1936" s="664" t="s">
        <v>1870</v>
      </c>
    </row>
    <row r="1937" spans="3:21" s="348" customFormat="1" hidden="1" outlineLevel="1" x14ac:dyDescent="0.2">
      <c r="D1937" s="668" t="str">
        <f>Plac_Start_Facs_BA!C10</f>
        <v>Central</v>
      </c>
    </row>
    <row r="1938" spans="3:21" s="348" customFormat="1" hidden="1" outlineLevel="1" x14ac:dyDescent="0.2">
      <c r="D1938" s="668" t="str">
        <f>Plac_Start_Facs_BA!C11</f>
        <v>Copperbelt</v>
      </c>
    </row>
    <row r="1939" spans="3:21" s="348" customFormat="1" hidden="1" outlineLevel="1" x14ac:dyDescent="0.2">
      <c r="D1939" s="668" t="str">
        <f>Plac_Start_Facs_BA!C12</f>
        <v>Eastern</v>
      </c>
    </row>
    <row r="1940" spans="3:21" s="348" customFormat="1" hidden="1" outlineLevel="1" x14ac:dyDescent="0.2">
      <c r="D1940" s="668" t="str">
        <f>Plac_Start_Facs_BA!C13</f>
        <v>Luapula</v>
      </c>
    </row>
    <row r="1941" spans="3:21" s="348" customFormat="1" hidden="1" outlineLevel="1" x14ac:dyDescent="0.2">
      <c r="D1941" s="668" t="str">
        <f>Plac_Start_Facs_BA!C14</f>
        <v>Lusaka</v>
      </c>
    </row>
    <row r="1942" spans="3:21" s="348" customFormat="1" hidden="1" outlineLevel="1" x14ac:dyDescent="0.2">
      <c r="D1942" s="668" t="str">
        <f>Plac_Start_Facs_BA!C15</f>
        <v>Muchinga</v>
      </c>
    </row>
    <row r="1943" spans="3:21" s="348" customFormat="1" hidden="1" outlineLevel="1" x14ac:dyDescent="0.2">
      <c r="D1943" s="668" t="str">
        <f>Plac_Start_Facs_BA!C16</f>
        <v>Northern</v>
      </c>
    </row>
    <row r="1944" spans="3:21" s="348" customFormat="1" hidden="1" outlineLevel="1" x14ac:dyDescent="0.2">
      <c r="D1944" s="668" t="str">
        <f>Plac_Start_Facs_BA!C17</f>
        <v>North-Western</v>
      </c>
    </row>
    <row r="1945" spans="3:21" s="348" customFormat="1" hidden="1" outlineLevel="1" x14ac:dyDescent="0.2">
      <c r="D1945" s="668" t="str">
        <f>Plac_Start_Facs_BA!C18</f>
        <v>Southern</v>
      </c>
    </row>
    <row r="1946" spans="3:21" s="348" customFormat="1" hidden="1" outlineLevel="1" x14ac:dyDescent="0.2">
      <c r="D1946" s="668" t="str">
        <f>Plac_Start_Facs_BA!C19</f>
        <v>Western</v>
      </c>
    </row>
    <row r="1947" spans="3:21" s="348" customFormat="1" collapsed="1" x14ac:dyDescent="0.2"/>
    <row r="1948" spans="3:21" s="348" customFormat="1" x14ac:dyDescent="0.2"/>
    <row r="1949" spans="3:21" s="348" customFormat="1" x14ac:dyDescent="0.2"/>
    <row r="1950" spans="3:21" s="348" customFormat="1" x14ac:dyDescent="0.2"/>
    <row r="1951" spans="3:21" s="348" customFormat="1" ht="15.75" hidden="1" outlineLevel="2" x14ac:dyDescent="0.2">
      <c r="C1951" s="664" t="s">
        <v>303</v>
      </c>
    </row>
    <row r="1952" spans="3:21" s="348" customFormat="1" hidden="1" outlineLevel="2" x14ac:dyDescent="0.2">
      <c r="U1952" s="671" t="s">
        <v>312</v>
      </c>
    </row>
    <row r="1953" spans="4:21" s="348" customFormat="1" ht="15" hidden="1" customHeight="1" outlineLevel="2" x14ac:dyDescent="0.2">
      <c r="D1953" s="667" t="s">
        <v>302</v>
      </c>
      <c r="I1953" s="785" t="str">
        <f>Price_List_BA!G10</f>
        <v>USD</v>
      </c>
      <c r="J1953" s="786"/>
      <c r="U1953" s="119">
        <f>IF(ISERROR(MATCH(I1953,LU_Intv_4_Curr,0)),1,0)</f>
        <v>0</v>
      </c>
    </row>
    <row r="1954" spans="4:21" s="348" customFormat="1" hidden="1" outlineLevel="2" x14ac:dyDescent="0.2"/>
    <row r="1955" spans="4:21" s="348" customFormat="1" ht="25.5" hidden="1" outlineLevel="2" x14ac:dyDescent="0.2">
      <c r="D1955" s="359" t="str">
        <f>"Personnel - "&amp;D1844</f>
        <v>Personnel - Fixed Hospital Sites</v>
      </c>
      <c r="L1955" s="312" t="str">
        <f>"Cost per Unit ("&amp;$I$1953&amp;"/Unit)"</f>
        <v>Cost per Unit (USD/Unit)</v>
      </c>
    </row>
    <row r="1956" spans="4:21" s="348" customFormat="1" ht="12.75" hidden="1" customHeight="1" outlineLevel="2" x14ac:dyDescent="0.2">
      <c r="D1956" s="785" t="str">
        <f>Price_List_BA!D14</f>
        <v>_Not Applicable</v>
      </c>
      <c r="E1956" s="786"/>
      <c r="F1956" s="786"/>
      <c r="G1956" s="786"/>
      <c r="L1956" s="137">
        <f>Price_List_BA!L14</f>
        <v>0</v>
      </c>
    </row>
    <row r="1957" spans="4:21" s="348" customFormat="1" ht="12.95" hidden="1" customHeight="1" outlineLevel="2" x14ac:dyDescent="0.2">
      <c r="D1957" s="785" t="str">
        <f>Price_List_BA!D15</f>
        <v>Biomedical scientist (ZM)</v>
      </c>
      <c r="E1957" s="786"/>
      <c r="F1957" s="786"/>
      <c r="G1957" s="786"/>
      <c r="L1957" s="137">
        <f>Price_List_BA!L15</f>
        <v>9.6099869451697087E-2</v>
      </c>
    </row>
    <row r="1958" spans="4:21" s="348" customFormat="1" ht="12.95" hidden="1" customHeight="1" outlineLevel="2" x14ac:dyDescent="0.2">
      <c r="D1958" s="785" t="str">
        <f>Price_List_BA!D16</f>
        <v>Clinical officer  (ZM)</v>
      </c>
      <c r="E1958" s="786"/>
      <c r="F1958" s="786"/>
      <c r="G1958" s="786"/>
      <c r="L1958" s="137">
        <f>Price_List_BA!L16</f>
        <v>5.4314893385552607E-2</v>
      </c>
    </row>
    <row r="1959" spans="4:21" s="348" customFormat="1" ht="12.75" hidden="1" customHeight="1" outlineLevel="2" x14ac:dyDescent="0.2">
      <c r="D1959" s="785" t="str">
        <f>Price_List_BA!D17</f>
        <v>Consultant  (ZM)</v>
      </c>
      <c r="E1959" s="786"/>
      <c r="F1959" s="786"/>
      <c r="G1959" s="786"/>
      <c r="L1959" s="137">
        <f>Price_List_BA!L17</f>
        <v>0.39408430337975103</v>
      </c>
    </row>
    <row r="1960" spans="4:21" s="348" customFormat="1" hidden="1" outlineLevel="2" x14ac:dyDescent="0.2">
      <c r="D1960" s="785" t="str">
        <f>Price_List_BA!D18</f>
        <v>General Medical Doctor</v>
      </c>
      <c r="E1960" s="786"/>
      <c r="F1960" s="786"/>
      <c r="G1960" s="786"/>
      <c r="L1960" s="137">
        <f>Price_List_BA!L18</f>
        <v>0.33333333333333331</v>
      </c>
    </row>
    <row r="1961" spans="4:21" s="348" customFormat="1" ht="12.75" hidden="1" customHeight="1" outlineLevel="2" x14ac:dyDescent="0.2">
      <c r="D1961" s="785" t="str">
        <f>Price_List_BA!D19</f>
        <v>Junior Resident Medical officer  (ZM)</v>
      </c>
      <c r="E1961" s="786"/>
      <c r="F1961" s="786"/>
      <c r="G1961" s="786"/>
      <c r="L1961" s="137">
        <f>Price_List_BA!L19</f>
        <v>0.30300363087467391</v>
      </c>
    </row>
    <row r="1962" spans="4:21" s="348" customFormat="1" ht="12.95" hidden="1" customHeight="1" outlineLevel="2" x14ac:dyDescent="0.2">
      <c r="D1962" s="785" t="str">
        <f>Price_List_BA!D20</f>
        <v>Lab Scientist (ZM)</v>
      </c>
      <c r="E1962" s="786"/>
      <c r="F1962" s="786"/>
      <c r="G1962" s="786"/>
      <c r="L1962" s="137">
        <f>Price_List_BA!L20</f>
        <v>9.6099869451697087E-2</v>
      </c>
    </row>
    <row r="1963" spans="4:21" s="348" customFormat="1" ht="12.95" hidden="1" customHeight="1" outlineLevel="2" x14ac:dyDescent="0.2">
      <c r="D1963" s="785" t="str">
        <f>Price_List_BA!D21</f>
        <v>Lab Technician (ZM)</v>
      </c>
      <c r="E1963" s="786"/>
      <c r="F1963" s="786"/>
      <c r="G1963" s="786"/>
      <c r="L1963" s="137">
        <f>Price_List_BA!L21</f>
        <v>4.7519582245430833E-2</v>
      </c>
    </row>
    <row r="1964" spans="4:21" s="348" customFormat="1" ht="12.75" hidden="1" customHeight="1" outlineLevel="2" x14ac:dyDescent="0.2">
      <c r="D1964" s="785" t="str">
        <f>Price_List_BA!D22</f>
        <v>Lab Technologist (ZM)</v>
      </c>
      <c r="E1964" s="786"/>
      <c r="F1964" s="786"/>
      <c r="G1964" s="786"/>
      <c r="L1964" s="137">
        <f>Price_List_BA!L22</f>
        <v>5.4308093994778019E-2</v>
      </c>
    </row>
    <row r="1965" spans="4:21" s="348" customFormat="1" ht="12.75" hidden="1" customHeight="1" outlineLevel="2" x14ac:dyDescent="0.2">
      <c r="D1965" s="785" t="str">
        <f>Price_List_BA!D23</f>
        <v>Medical Physicist (ZM)</v>
      </c>
      <c r="E1965" s="786"/>
      <c r="F1965" s="786"/>
      <c r="G1965" s="786"/>
      <c r="L1965" s="137">
        <f>Price_List_BA!L23</f>
        <v>0.15991895126196667</v>
      </c>
    </row>
    <row r="1966" spans="4:21" s="348" customFormat="1" ht="12.95" hidden="1" customHeight="1" outlineLevel="2" x14ac:dyDescent="0.2">
      <c r="D1966" s="785" t="str">
        <f>Price_List_BA!D24</f>
        <v>Nursing Officer (ZM)</v>
      </c>
      <c r="E1966" s="786"/>
      <c r="F1966" s="786"/>
      <c r="G1966" s="786"/>
      <c r="L1966" s="137">
        <f>Price_List_BA!L24</f>
        <v>9.6099869451697087E-2</v>
      </c>
    </row>
    <row r="1967" spans="4:21" s="348" customFormat="1" ht="12.95" hidden="1" customHeight="1" outlineLevel="2" x14ac:dyDescent="0.2">
      <c r="D1967" s="785" t="str">
        <f>Price_List_BA!D25</f>
        <v>Pathologist (ZM)</v>
      </c>
      <c r="E1967" s="786"/>
      <c r="F1967" s="786"/>
      <c r="G1967" s="786"/>
      <c r="L1967" s="137">
        <f>Price_List_BA!L25</f>
        <v>0.39408430337975103</v>
      </c>
    </row>
    <row r="1968" spans="4:21" s="348" customFormat="1" ht="12.95" hidden="1" customHeight="1" outlineLevel="2" x14ac:dyDescent="0.2">
      <c r="D1968" s="785" t="str">
        <f>Price_List_BA!D26</f>
        <v>Pharmacy Technologist (ZM)</v>
      </c>
      <c r="E1968" s="786"/>
      <c r="F1968" s="786"/>
      <c r="G1968" s="786"/>
      <c r="L1968" s="137">
        <f>Price_List_BA!L26</f>
        <v>5.4312173629242816E-2</v>
      </c>
    </row>
    <row r="1969" spans="4:12" s="348" customFormat="1" ht="12.95" hidden="1" customHeight="1" outlineLevel="2" x14ac:dyDescent="0.2">
      <c r="D1969" s="785" t="str">
        <f>Price_List_BA!D27</f>
        <v>Principal Nursing Officer (ZM)</v>
      </c>
      <c r="E1969" s="786"/>
      <c r="F1969" s="786"/>
      <c r="G1969" s="786"/>
      <c r="L1969" s="137">
        <f>Price_List_BA!L27</f>
        <v>0.15919413620539585</v>
      </c>
    </row>
    <row r="1970" spans="4:12" s="348" customFormat="1" ht="12.95" hidden="1" customHeight="1" outlineLevel="2" x14ac:dyDescent="0.2">
      <c r="D1970" s="785" t="str">
        <f>Price_List_BA!D28</f>
        <v>Principal Pharmacist (ZM)</v>
      </c>
      <c r="E1970" s="786"/>
      <c r="F1970" s="786"/>
      <c r="G1970" s="786"/>
      <c r="L1970" s="137">
        <f>Price_List_BA!L28</f>
        <v>0.15919560940673019</v>
      </c>
    </row>
    <row r="1971" spans="4:12" s="348" customFormat="1" ht="12.75" hidden="1" customHeight="1" outlineLevel="2" x14ac:dyDescent="0.2">
      <c r="D1971" s="785" t="str">
        <f>Price_List_BA!D29</f>
        <v>Principal Radiographer (ZM)</v>
      </c>
      <c r="E1971" s="786"/>
      <c r="F1971" s="786"/>
      <c r="G1971" s="786"/>
      <c r="L1971" s="137">
        <f>Price_List_BA!L29</f>
        <v>0.15919855580939896</v>
      </c>
    </row>
    <row r="1972" spans="4:12" s="348" customFormat="1" ht="12.75" hidden="1" customHeight="1" outlineLevel="2" x14ac:dyDescent="0.2">
      <c r="D1972" s="785" t="str">
        <f>Price_List_BA!D30</f>
        <v>Principal Therapist - Radiation (ZM)</v>
      </c>
      <c r="E1972" s="786"/>
      <c r="F1972" s="786"/>
      <c r="G1972" s="786"/>
      <c r="L1972" s="137">
        <f>Price_List_BA!L30</f>
        <v>0.15919708260806459</v>
      </c>
    </row>
    <row r="1973" spans="4:12" s="348" customFormat="1" ht="12.75" hidden="1" customHeight="1" outlineLevel="2" x14ac:dyDescent="0.2">
      <c r="D1973" s="785" t="str">
        <f>Price_List_BA!D31</f>
        <v>Radiation Lab Scientist (ZM)</v>
      </c>
      <c r="E1973" s="786"/>
      <c r="F1973" s="786"/>
      <c r="G1973" s="786"/>
      <c r="L1973" s="137">
        <f>Price_List_BA!L31</f>
        <v>9.6099869451697087E-2</v>
      </c>
    </row>
    <row r="1974" spans="4:12" s="348" customFormat="1" ht="12.95" hidden="1" customHeight="1" outlineLevel="2" x14ac:dyDescent="0.2">
      <c r="D1974" s="785" t="str">
        <f>Price_List_BA!D32</f>
        <v>Radiation Protection Officer (ZM)</v>
      </c>
      <c r="E1974" s="786"/>
      <c r="F1974" s="786"/>
      <c r="G1974" s="786"/>
      <c r="L1974" s="137">
        <f>Price_List_BA!L32</f>
        <v>9.6099869451697087E-2</v>
      </c>
    </row>
    <row r="1975" spans="4:12" s="348" customFormat="1" ht="12.95" hidden="1" customHeight="1" outlineLevel="2" x14ac:dyDescent="0.2">
      <c r="D1975" s="785" t="str">
        <f>Price_List_BA!D33</f>
        <v>Radiographer (ZM)</v>
      </c>
      <c r="E1975" s="786"/>
      <c r="F1975" s="786"/>
      <c r="G1975" s="786"/>
      <c r="L1975" s="137">
        <f>Price_List_BA!L33</f>
        <v>9.6099869451697087E-2</v>
      </c>
    </row>
    <row r="1976" spans="4:12" s="348" customFormat="1" ht="12.95" hidden="1" customHeight="1" outlineLevel="2" x14ac:dyDescent="0.2">
      <c r="D1976" s="785" t="str">
        <f>Price_List_BA!D34</f>
        <v>Registered Nurse (ZM)</v>
      </c>
      <c r="E1976" s="786"/>
      <c r="F1976" s="786"/>
      <c r="G1976" s="786"/>
      <c r="L1976" s="137">
        <f>Price_List_BA!L34</f>
        <v>5.7114882506527402E-2</v>
      </c>
    </row>
    <row r="1977" spans="4:12" s="348" customFormat="1" ht="12.95" hidden="1" customHeight="1" outlineLevel="2" x14ac:dyDescent="0.2">
      <c r="D1977" s="785" t="str">
        <f>Price_List_BA!D35</f>
        <v>Senior Enrolled Nurse (ZM)</v>
      </c>
      <c r="E1977" s="786"/>
      <c r="F1977" s="786"/>
      <c r="G1977" s="786"/>
      <c r="L1977" s="137">
        <f>Price_List_BA!L35</f>
        <v>5.4313533507397704E-2</v>
      </c>
    </row>
    <row r="1978" spans="4:12" s="348" customFormat="1" ht="12.75" hidden="1" customHeight="1" outlineLevel="2" x14ac:dyDescent="0.2">
      <c r="D1978" s="785" t="str">
        <f>Price_List_BA!D36</f>
        <v>Senior Nursing Officer (ZM)</v>
      </c>
      <c r="E1978" s="786"/>
      <c r="F1978" s="786"/>
      <c r="G1978" s="786"/>
      <c r="L1978" s="137">
        <f>Price_List_BA!L36</f>
        <v>0.12206946257615311</v>
      </c>
    </row>
    <row r="1979" spans="4:12" s="348" customFormat="1" ht="12.75" hidden="1" customHeight="1" outlineLevel="2" x14ac:dyDescent="0.2">
      <c r="D1979" s="785" t="str">
        <f>Price_List_BA!D37</f>
        <v>Senior Radiation protection Officer (ZM)</v>
      </c>
      <c r="E1979" s="786"/>
      <c r="F1979" s="786"/>
      <c r="G1979" s="786"/>
      <c r="L1979" s="137">
        <f>Price_List_BA!L37</f>
        <v>0.12207093577748751</v>
      </c>
    </row>
    <row r="1980" spans="4:12" s="348" customFormat="1" ht="12.75" hidden="1" customHeight="1" outlineLevel="2" x14ac:dyDescent="0.2">
      <c r="D1980" s="785" t="str">
        <f>Price_List_BA!D38</f>
        <v>Senior Radiographer (ZM)</v>
      </c>
      <c r="E1980" s="786"/>
      <c r="F1980" s="786"/>
      <c r="G1980" s="786"/>
      <c r="L1980" s="137">
        <f>Price_List_BA!L38</f>
        <v>0.12207240897882186</v>
      </c>
    </row>
    <row r="1981" spans="4:12" s="348" customFormat="1" ht="12.75" hidden="1" customHeight="1" outlineLevel="2" x14ac:dyDescent="0.2">
      <c r="D1981" s="785" t="str">
        <f>Price_List_BA!D39</f>
        <v>Zambia Enrolled Nurse (ZEN) (ZM)</v>
      </c>
      <c r="E1981" s="786"/>
      <c r="F1981" s="786"/>
      <c r="G1981" s="786"/>
      <c r="L1981" s="137">
        <f>Price_List_BA!L39</f>
        <v>5.4309453872933025E-2</v>
      </c>
    </row>
    <row r="1982" spans="4:12" s="348" customFormat="1" hidden="1" outlineLevel="2" x14ac:dyDescent="0.2">
      <c r="D1982" s="785" t="str">
        <f>Price_List_BA!D40</f>
        <v>Personnel - Hospital Cadre - Other 27</v>
      </c>
      <c r="E1982" s="786"/>
      <c r="F1982" s="786"/>
      <c r="G1982" s="786"/>
      <c r="L1982" s="137">
        <f>Price_List_BA!L40</f>
        <v>0</v>
      </c>
    </row>
    <row r="1983" spans="4:12" s="348" customFormat="1" hidden="1" outlineLevel="2" x14ac:dyDescent="0.2">
      <c r="D1983" s="785" t="str">
        <f>Price_List_BA!D41</f>
        <v>Personnel - Hospital Cadre - Other 28</v>
      </c>
      <c r="E1983" s="786"/>
      <c r="F1983" s="786"/>
      <c r="G1983" s="786"/>
      <c r="L1983" s="137">
        <f>Price_List_BA!L41</f>
        <v>0</v>
      </c>
    </row>
    <row r="1984" spans="4:12" s="348" customFormat="1" hidden="1" outlineLevel="2" x14ac:dyDescent="0.2">
      <c r="D1984" s="785" t="str">
        <f>Price_List_BA!D42</f>
        <v>Personnel - Hospital Cadre - Other 29</v>
      </c>
      <c r="E1984" s="786"/>
      <c r="F1984" s="786"/>
      <c r="G1984" s="786"/>
      <c r="L1984" s="137">
        <f>Price_List_BA!L42</f>
        <v>0</v>
      </c>
    </row>
    <row r="1985" spans="4:12" s="348" customFormat="1" hidden="1" outlineLevel="2" x14ac:dyDescent="0.2">
      <c r="D1985" s="785" t="str">
        <f>Price_List_BA!D43</f>
        <v>Personnel - Hospital Cadre - Other 30</v>
      </c>
      <c r="E1985" s="786"/>
      <c r="F1985" s="786"/>
      <c r="G1985" s="786"/>
      <c r="L1985" s="137">
        <f>Price_List_BA!L43</f>
        <v>0</v>
      </c>
    </row>
    <row r="1986" spans="4:12" s="348" customFormat="1" hidden="1" outlineLevel="2" x14ac:dyDescent="0.2">
      <c r="D1986" s="785" t="str">
        <f>Price_List_BA!D44</f>
        <v>Personnel - Hospital Cadre - Other 31</v>
      </c>
      <c r="E1986" s="786"/>
      <c r="F1986" s="786"/>
      <c r="G1986" s="786"/>
      <c r="L1986" s="137">
        <f>Price_List_BA!L44</f>
        <v>0</v>
      </c>
    </row>
    <row r="1987" spans="4:12" s="348" customFormat="1" hidden="1" outlineLevel="2" x14ac:dyDescent="0.2"/>
    <row r="1988" spans="4:12" s="348" customFormat="1" ht="25.5" hidden="1" outlineLevel="2" x14ac:dyDescent="0.2">
      <c r="D1988" s="359" t="str">
        <f>"Personnel - "&amp;D1867</f>
        <v>Personnel - Other Facility Types</v>
      </c>
      <c r="L1988" s="312" t="str">
        <f>"Cost per Unit ("&amp;$I$1953&amp;"/Unit)"</f>
        <v>Cost per Unit (USD/Unit)</v>
      </c>
    </row>
    <row r="1989" spans="4:12" s="348" customFormat="1" ht="12.75" hidden="1" customHeight="1" outlineLevel="2" x14ac:dyDescent="0.2">
      <c r="D1989" s="785" t="str">
        <f>Price_List_BA!D47</f>
        <v>_Not Applicable</v>
      </c>
      <c r="E1989" s="786"/>
      <c r="F1989" s="786"/>
      <c r="G1989" s="786"/>
      <c r="L1989" s="127">
        <f>Price_List_BA!L47</f>
        <v>0</v>
      </c>
    </row>
    <row r="1990" spans="4:12" s="348" customFormat="1" ht="12.95" hidden="1" customHeight="1" outlineLevel="2" x14ac:dyDescent="0.2">
      <c r="D1990" s="785" t="str">
        <f>Price_List_BA!D48</f>
        <v>Biomedical scientist (ZM)</v>
      </c>
      <c r="E1990" s="786"/>
      <c r="F1990" s="786"/>
      <c r="G1990" s="786"/>
      <c r="L1990" s="127">
        <f>Price_List_BA!L48</f>
        <v>9.6099869451697087E-2</v>
      </c>
    </row>
    <row r="1991" spans="4:12" s="348" customFormat="1" ht="12.75" hidden="1" customHeight="1" outlineLevel="2" x14ac:dyDescent="0.2">
      <c r="D1991" s="785" t="str">
        <f>Price_List_BA!D49</f>
        <v>Clinical officer  (ZM)</v>
      </c>
      <c r="E1991" s="786"/>
      <c r="F1991" s="786"/>
      <c r="G1991" s="786"/>
      <c r="L1991" s="127">
        <f>Price_List_BA!L49</f>
        <v>5.4314893385552607E-2</v>
      </c>
    </row>
    <row r="1992" spans="4:12" s="348" customFormat="1" ht="12.75" hidden="1" customHeight="1" outlineLevel="2" x14ac:dyDescent="0.2">
      <c r="D1992" s="785" t="str">
        <f>Price_List_BA!D50</f>
        <v>Consultant  (ZM)</v>
      </c>
      <c r="E1992" s="786"/>
      <c r="F1992" s="786"/>
      <c r="G1992" s="786"/>
      <c r="L1992" s="127">
        <f>Price_List_BA!L50</f>
        <v>0.39408430337975103</v>
      </c>
    </row>
    <row r="1993" spans="4:12" s="348" customFormat="1" hidden="1" outlineLevel="2" x14ac:dyDescent="0.2">
      <c r="D1993" s="785" t="str">
        <f>Price_List_BA!D51</f>
        <v>General Medical Doctor</v>
      </c>
      <c r="E1993" s="786"/>
      <c r="F1993" s="786"/>
      <c r="G1993" s="786"/>
      <c r="L1993" s="127">
        <f>Price_List_BA!L51</f>
        <v>0.3125</v>
      </c>
    </row>
    <row r="1994" spans="4:12" s="348" customFormat="1" ht="12.75" hidden="1" customHeight="1" outlineLevel="2" x14ac:dyDescent="0.2">
      <c r="D1994" s="785" t="str">
        <f>Price_List_BA!D52</f>
        <v>Junior Resident Medical officer  (ZM)</v>
      </c>
      <c r="E1994" s="786"/>
      <c r="F1994" s="786"/>
      <c r="G1994" s="786"/>
      <c r="L1994" s="127">
        <f>Price_List_BA!L52</f>
        <v>0.30300363087467391</v>
      </c>
    </row>
    <row r="1995" spans="4:12" s="348" customFormat="1" ht="12.95" hidden="1" customHeight="1" outlineLevel="2" x14ac:dyDescent="0.2">
      <c r="D1995" s="785" t="str">
        <f>Price_List_BA!D53</f>
        <v>Lab Scientist (ZM)</v>
      </c>
      <c r="E1995" s="786"/>
      <c r="F1995" s="786"/>
      <c r="G1995" s="786"/>
      <c r="L1995" s="127">
        <f>Price_List_BA!L53</f>
        <v>9.6099869451697087E-2</v>
      </c>
    </row>
    <row r="1996" spans="4:12" s="348" customFormat="1" ht="12.75" hidden="1" customHeight="1" outlineLevel="2" x14ac:dyDescent="0.2">
      <c r="D1996" s="785" t="str">
        <f>Price_List_BA!D54</f>
        <v>Lab Technician (ZM)</v>
      </c>
      <c r="E1996" s="786"/>
      <c r="F1996" s="786"/>
      <c r="G1996" s="786"/>
      <c r="L1996" s="127">
        <f>Price_List_BA!L54</f>
        <v>4.7519582245430833E-2</v>
      </c>
    </row>
    <row r="1997" spans="4:12" s="348" customFormat="1" ht="12.75" hidden="1" customHeight="1" outlineLevel="2" x14ac:dyDescent="0.2">
      <c r="D1997" s="785" t="str">
        <f>Price_List_BA!D55</f>
        <v>Lab Technologist (ZM)</v>
      </c>
      <c r="E1997" s="786"/>
      <c r="F1997" s="786"/>
      <c r="G1997" s="786"/>
      <c r="L1997" s="127">
        <f>Price_List_BA!L55</f>
        <v>5.4308093994778019E-2</v>
      </c>
    </row>
    <row r="1998" spans="4:12" s="348" customFormat="1" ht="12.75" hidden="1" customHeight="1" outlineLevel="2" x14ac:dyDescent="0.2">
      <c r="D1998" s="785" t="str">
        <f>Price_List_BA!D56</f>
        <v>Medical Physicist (ZM)</v>
      </c>
      <c r="E1998" s="786"/>
      <c r="F1998" s="786"/>
      <c r="G1998" s="786"/>
      <c r="L1998" s="127">
        <f>Price_List_BA!L56</f>
        <v>0.15991895126196667</v>
      </c>
    </row>
    <row r="1999" spans="4:12" s="348" customFormat="1" ht="12.75" hidden="1" customHeight="1" outlineLevel="2" x14ac:dyDescent="0.2">
      <c r="D1999" s="785" t="str">
        <f>Price_List_BA!D57</f>
        <v>Nursing Officer (ZM)</v>
      </c>
      <c r="E1999" s="786"/>
      <c r="F1999" s="786"/>
      <c r="G1999" s="786"/>
      <c r="L1999" s="127">
        <f>Price_List_BA!L57</f>
        <v>9.6099869451697087E-2</v>
      </c>
    </row>
    <row r="2000" spans="4:12" s="348" customFormat="1" ht="12.75" hidden="1" customHeight="1" outlineLevel="2" x14ac:dyDescent="0.2">
      <c r="D2000" s="785" t="str">
        <f>Price_List_BA!D58</f>
        <v>Pathologist (ZM)</v>
      </c>
      <c r="E2000" s="786"/>
      <c r="F2000" s="786"/>
      <c r="G2000" s="786"/>
      <c r="L2000" s="127">
        <f>Price_List_BA!L58</f>
        <v>0.39408430337975103</v>
      </c>
    </row>
    <row r="2001" spans="4:12" s="348" customFormat="1" ht="12.75" hidden="1" customHeight="1" outlineLevel="2" x14ac:dyDescent="0.2">
      <c r="D2001" s="785" t="str">
        <f>Price_List_BA!D59</f>
        <v>Pharmacy Technologist (ZM)</v>
      </c>
      <c r="E2001" s="786"/>
      <c r="F2001" s="786"/>
      <c r="G2001" s="786"/>
      <c r="L2001" s="127">
        <f>Price_List_BA!L59</f>
        <v>5.4312173629242816E-2</v>
      </c>
    </row>
    <row r="2002" spans="4:12" s="348" customFormat="1" ht="12.75" hidden="1" customHeight="1" outlineLevel="2" x14ac:dyDescent="0.2">
      <c r="D2002" s="785" t="str">
        <f>Price_List_BA!D60</f>
        <v>Principal Nursing Officer (ZM)</v>
      </c>
      <c r="E2002" s="786"/>
      <c r="F2002" s="786"/>
      <c r="G2002" s="786"/>
      <c r="L2002" s="127">
        <f>Price_List_BA!L60</f>
        <v>0.15919413620539585</v>
      </c>
    </row>
    <row r="2003" spans="4:12" s="348" customFormat="1" ht="12.75" hidden="1" customHeight="1" outlineLevel="2" x14ac:dyDescent="0.2">
      <c r="D2003" s="785" t="str">
        <f>Price_List_BA!D61</f>
        <v>Principal Pharmacist (ZM)</v>
      </c>
      <c r="E2003" s="786"/>
      <c r="F2003" s="786"/>
      <c r="G2003" s="786"/>
      <c r="L2003" s="127">
        <f>Price_List_BA!L61</f>
        <v>0.15919560940673019</v>
      </c>
    </row>
    <row r="2004" spans="4:12" s="348" customFormat="1" ht="12.75" hidden="1" customHeight="1" outlineLevel="2" x14ac:dyDescent="0.2">
      <c r="D2004" s="785" t="str">
        <f>Price_List_BA!D62</f>
        <v>Principal Radiographer (ZM)</v>
      </c>
      <c r="E2004" s="786"/>
      <c r="F2004" s="786"/>
      <c r="G2004" s="786"/>
      <c r="L2004" s="127">
        <f>Price_List_BA!L62</f>
        <v>0.15919855580939896</v>
      </c>
    </row>
    <row r="2005" spans="4:12" s="348" customFormat="1" ht="12.95" hidden="1" customHeight="1" outlineLevel="2" x14ac:dyDescent="0.2">
      <c r="D2005" s="785" t="str">
        <f>Price_List_BA!D63</f>
        <v>Principal Therapist - Radiation (ZM)</v>
      </c>
      <c r="E2005" s="786"/>
      <c r="F2005" s="786"/>
      <c r="G2005" s="786"/>
      <c r="L2005" s="127">
        <f>Price_List_BA!L63</f>
        <v>0.15919708260806459</v>
      </c>
    </row>
    <row r="2006" spans="4:12" s="348" customFormat="1" ht="12.95" hidden="1" customHeight="1" outlineLevel="2" x14ac:dyDescent="0.2">
      <c r="D2006" s="785" t="str">
        <f>Price_List_BA!D64</f>
        <v>Radiation Lab Scientist (ZM)</v>
      </c>
      <c r="E2006" s="786"/>
      <c r="F2006" s="786"/>
      <c r="G2006" s="786"/>
      <c r="L2006" s="127">
        <f>Price_List_BA!L64</f>
        <v>9.6099869451697087E-2</v>
      </c>
    </row>
    <row r="2007" spans="4:12" s="348" customFormat="1" ht="12.95" hidden="1" customHeight="1" outlineLevel="2" x14ac:dyDescent="0.2">
      <c r="D2007" s="785" t="str">
        <f>Price_List_BA!D65</f>
        <v>Radiation Protection Officer (ZM)</v>
      </c>
      <c r="E2007" s="786"/>
      <c r="F2007" s="786"/>
      <c r="G2007" s="786"/>
      <c r="L2007" s="127">
        <f>Price_List_BA!L65</f>
        <v>9.6099869451697087E-2</v>
      </c>
    </row>
    <row r="2008" spans="4:12" s="348" customFormat="1" ht="12.95" hidden="1" customHeight="1" outlineLevel="2" x14ac:dyDescent="0.2">
      <c r="D2008" s="785" t="str">
        <f>Price_List_BA!D66</f>
        <v>Radiographer (ZM)</v>
      </c>
      <c r="E2008" s="786"/>
      <c r="F2008" s="786"/>
      <c r="G2008" s="786"/>
      <c r="L2008" s="127">
        <f>Price_List_BA!L66</f>
        <v>9.6099869451697087E-2</v>
      </c>
    </row>
    <row r="2009" spans="4:12" s="348" customFormat="1" ht="12.95" hidden="1" customHeight="1" outlineLevel="2" x14ac:dyDescent="0.2">
      <c r="D2009" s="785" t="str">
        <f>Price_List_BA!D67</f>
        <v>Registered Nurse (ZM)</v>
      </c>
      <c r="E2009" s="786"/>
      <c r="F2009" s="786"/>
      <c r="G2009" s="786"/>
      <c r="L2009" s="127">
        <f>Price_List_BA!L67</f>
        <v>5.7114882506527402E-2</v>
      </c>
    </row>
    <row r="2010" spans="4:12" s="348" customFormat="1" ht="12.75" hidden="1" customHeight="1" outlineLevel="2" x14ac:dyDescent="0.2">
      <c r="D2010" s="785" t="str">
        <f>Price_List_BA!D68</f>
        <v>Senior Enrolled Nurse (ZM)</v>
      </c>
      <c r="E2010" s="786"/>
      <c r="F2010" s="786"/>
      <c r="G2010" s="786"/>
      <c r="L2010" s="127">
        <f>Price_List_BA!L68</f>
        <v>5.4313533507397704E-2</v>
      </c>
    </row>
    <row r="2011" spans="4:12" s="348" customFormat="1" ht="12.75" hidden="1" customHeight="1" outlineLevel="2" x14ac:dyDescent="0.2">
      <c r="D2011" s="785" t="str">
        <f>Price_List_BA!D69</f>
        <v>Senior Nursing Officer (ZM)</v>
      </c>
      <c r="E2011" s="786"/>
      <c r="F2011" s="786"/>
      <c r="G2011" s="786"/>
      <c r="L2011" s="127">
        <f>Price_List_BA!L69</f>
        <v>0.12206946257615311</v>
      </c>
    </row>
    <row r="2012" spans="4:12" s="348" customFormat="1" ht="12.75" hidden="1" customHeight="1" outlineLevel="2" x14ac:dyDescent="0.2">
      <c r="D2012" s="785" t="str">
        <f>Price_List_BA!D70</f>
        <v>Senior Radiation protection Officer (ZM)</v>
      </c>
      <c r="E2012" s="786"/>
      <c r="F2012" s="786"/>
      <c r="G2012" s="786"/>
      <c r="L2012" s="127">
        <f>Price_List_BA!L70</f>
        <v>0.12207093577748751</v>
      </c>
    </row>
    <row r="2013" spans="4:12" s="348" customFormat="1" hidden="1" outlineLevel="2" x14ac:dyDescent="0.2">
      <c r="D2013" s="785" t="str">
        <f>Price_List_BA!D71</f>
        <v>Senior Radiographer (ZM)</v>
      </c>
      <c r="E2013" s="786"/>
      <c r="F2013" s="786"/>
      <c r="G2013" s="786"/>
      <c r="L2013" s="127">
        <f>Price_List_BA!L71</f>
        <v>0.12207240897882186</v>
      </c>
    </row>
    <row r="2014" spans="4:12" s="348" customFormat="1" hidden="1" outlineLevel="2" x14ac:dyDescent="0.2">
      <c r="D2014" s="785" t="str">
        <f>Price_List_BA!D72</f>
        <v>Zambia Enrolled Nurse (ZEN) (ZM)</v>
      </c>
      <c r="E2014" s="786"/>
      <c r="F2014" s="786"/>
      <c r="G2014" s="786"/>
      <c r="L2014" s="127">
        <f>Price_List_BA!L72</f>
        <v>5.4309453872933025E-2</v>
      </c>
    </row>
    <row r="2015" spans="4:12" s="348" customFormat="1" hidden="1" outlineLevel="2" x14ac:dyDescent="0.2">
      <c r="D2015" s="785" t="str">
        <f>Price_List_BA!D73</f>
        <v>Personnel - Other Category 27</v>
      </c>
      <c r="E2015" s="786"/>
      <c r="F2015" s="786"/>
      <c r="G2015" s="786"/>
      <c r="L2015" s="127">
        <f>Price_List_BA!L73</f>
        <v>0</v>
      </c>
    </row>
    <row r="2016" spans="4:12" s="348" customFormat="1" hidden="1" outlineLevel="2" x14ac:dyDescent="0.2">
      <c r="D2016" s="785" t="str">
        <f>Price_List_BA!D74</f>
        <v>Personnel - Other Category 28</v>
      </c>
      <c r="E2016" s="786"/>
      <c r="F2016" s="786"/>
      <c r="G2016" s="786"/>
      <c r="L2016" s="127">
        <f>Price_List_BA!L74</f>
        <v>0</v>
      </c>
    </row>
    <row r="2017" spans="4:12" s="348" customFormat="1" hidden="1" outlineLevel="2" x14ac:dyDescent="0.2">
      <c r="D2017" s="785" t="str">
        <f>Price_List_BA!D75</f>
        <v>Personnel - Other Category 29</v>
      </c>
      <c r="E2017" s="786"/>
      <c r="F2017" s="786"/>
      <c r="G2017" s="786"/>
      <c r="L2017" s="127">
        <f>Price_List_BA!L75</f>
        <v>0</v>
      </c>
    </row>
    <row r="2018" spans="4:12" s="348" customFormat="1" hidden="1" outlineLevel="2" x14ac:dyDescent="0.2">
      <c r="D2018" s="785" t="str">
        <f>Price_List_BA!D76</f>
        <v>Personnel - Other Category 30</v>
      </c>
      <c r="E2018" s="786"/>
      <c r="F2018" s="786"/>
      <c r="G2018" s="786"/>
      <c r="L2018" s="127">
        <f>Price_List_BA!L76</f>
        <v>0</v>
      </c>
    </row>
    <row r="2019" spans="4:12" s="348" customFormat="1" ht="12.95" hidden="1" customHeight="1" outlineLevel="2" x14ac:dyDescent="0.2">
      <c r="D2019" s="785">
        <f>Price_List_BA!D77</f>
        <v>0</v>
      </c>
      <c r="E2019" s="786"/>
      <c r="F2019" s="786"/>
      <c r="G2019" s="786"/>
      <c r="L2019" s="127">
        <f>Price_List_BA!L77</f>
        <v>0</v>
      </c>
    </row>
    <row r="2020" spans="4:12" s="348" customFormat="1" hidden="1" outlineLevel="2" x14ac:dyDescent="0.2"/>
    <row r="2021" spans="4:12" s="348" customFormat="1" ht="25.5" hidden="1" outlineLevel="2" x14ac:dyDescent="0.2">
      <c r="D2021" s="667" t="s">
        <v>316</v>
      </c>
      <c r="J2021" s="671" t="s">
        <v>951</v>
      </c>
      <c r="L2021" s="312" t="str">
        <f>"Cost per Unit ("&amp;$I$1953&amp;"/Unit)"</f>
        <v>Cost per Unit (USD/Unit)</v>
      </c>
    </row>
    <row r="2022" spans="4:12" s="348" customFormat="1" ht="12.75" hidden="1" customHeight="1" outlineLevel="2" x14ac:dyDescent="0.2">
      <c r="D2022" s="785" t="str">
        <f>Price_List_BA!D210</f>
        <v>_Not Applicable</v>
      </c>
      <c r="E2022" s="786"/>
      <c r="F2022" s="786"/>
      <c r="G2022" s="786"/>
      <c r="J2022" s="668" t="str">
        <f>Price_List_BA!J210</f>
        <v>SU</v>
      </c>
      <c r="L2022" s="127">
        <f>Price_List_BA!L210</f>
        <v>0</v>
      </c>
    </row>
    <row r="2023" spans="4:12" s="348" customFormat="1" ht="12.75" hidden="1" customHeight="1" outlineLevel="2" x14ac:dyDescent="0.2">
      <c r="D2023" s="785" t="str">
        <f>Price_List_BA!D211</f>
        <v>10 ml syringes with long 27-gauge needle (UG)</v>
      </c>
      <c r="E2023" s="786"/>
      <c r="F2023" s="786"/>
      <c r="G2023" s="786"/>
      <c r="J2023" s="668" t="str">
        <f>Price_List_BA!J211</f>
        <v>each</v>
      </c>
      <c r="L2023" s="127">
        <f>Price_List_BA!L211</f>
        <v>0.18578</v>
      </c>
    </row>
    <row r="2024" spans="4:12" s="348" customFormat="1" ht="12.75" hidden="1" customHeight="1" outlineLevel="2" x14ac:dyDescent="0.2">
      <c r="D2024" s="785" t="str">
        <f>Price_List_BA!D212</f>
        <v>100% alcohol (UG)</v>
      </c>
      <c r="E2024" s="786"/>
      <c r="F2024" s="786"/>
      <c r="G2024" s="786"/>
      <c r="J2024" s="668" t="str">
        <f>Price_List_BA!J212</f>
        <v>mililiter</v>
      </c>
      <c r="L2024" s="127">
        <f>Price_List_BA!L212</f>
        <v>1.9224106655010398E-2</v>
      </c>
    </row>
    <row r="2025" spans="4:12" s="348" customFormat="1" ht="12.75" hidden="1" customHeight="1" outlineLevel="2" x14ac:dyDescent="0.2">
      <c r="D2025" s="785" t="str">
        <f>Price_List_BA!D213</f>
        <v>100% Ethanol (UG)</v>
      </c>
      <c r="E2025" s="786"/>
      <c r="F2025" s="786"/>
      <c r="G2025" s="786"/>
      <c r="J2025" s="668" t="str">
        <f>Price_List_BA!J213</f>
        <v>mililiter</v>
      </c>
      <c r="L2025" s="127">
        <f>Price_List_BA!L213</f>
        <v>1.9224106655010398E-2</v>
      </c>
    </row>
    <row r="2026" spans="4:12" s="348" customFormat="1" ht="12.75" hidden="1" customHeight="1" outlineLevel="2" x14ac:dyDescent="0.2">
      <c r="D2026" s="785" t="str">
        <f>Price_List_BA!D214</f>
        <v>5% acetic acid (UG)</v>
      </c>
      <c r="E2026" s="786"/>
      <c r="F2026" s="786"/>
      <c r="G2026" s="786"/>
      <c r="J2026" s="668" t="str">
        <f>Price_List_BA!J214</f>
        <v>mililiter</v>
      </c>
      <c r="L2026" s="127">
        <f>Price_List_BA!L214</f>
        <v>1.52988744399519E-2</v>
      </c>
    </row>
    <row r="2027" spans="4:12" s="348" customFormat="1" ht="12.75" hidden="1" customHeight="1" outlineLevel="2" x14ac:dyDescent="0.2">
      <c r="D2027" s="785" t="str">
        <f>Price_List_BA!D215</f>
        <v>Acetic acid (UG)</v>
      </c>
      <c r="E2027" s="786"/>
      <c r="F2027" s="786"/>
      <c r="G2027" s="786"/>
      <c r="J2027" s="668" t="str">
        <f>Price_List_BA!J215</f>
        <v>mililiter</v>
      </c>
      <c r="L2027" s="127">
        <f>Price_List_BA!L215</f>
        <v>1.47739525734892E-2</v>
      </c>
    </row>
    <row r="2028" spans="4:12" s="348" customFormat="1" ht="12.75" hidden="1" customHeight="1" outlineLevel="2" x14ac:dyDescent="0.2">
      <c r="D2028" s="785" t="str">
        <f>Price_List_BA!D216</f>
        <v>Acetic acid, 3–5% dilution (ZM)</v>
      </c>
      <c r="E2028" s="786"/>
      <c r="F2028" s="786"/>
      <c r="G2028" s="786"/>
      <c r="J2028" s="668" t="str">
        <f>Price_List_BA!J216</f>
        <v>centilitre</v>
      </c>
      <c r="L2028" s="127">
        <f>Price_List_BA!L216</f>
        <v>3.4000000000000002E-2</v>
      </c>
    </row>
    <row r="2029" spans="4:12" s="348" customFormat="1" ht="12.75" hidden="1" customHeight="1" outlineLevel="2" x14ac:dyDescent="0.2">
      <c r="D2029" s="785" t="str">
        <f>Price_List_BA!D217</f>
        <v>Acetic acid, 3–5% dilution (TZ)</v>
      </c>
      <c r="E2029" s="786"/>
      <c r="F2029" s="786"/>
      <c r="G2029" s="786"/>
      <c r="J2029" s="668" t="str">
        <f>Price_List_BA!J217</f>
        <v>centilitre</v>
      </c>
      <c r="L2029" s="127">
        <f>Price_List_BA!L217</f>
        <v>3.5000000000000003E-2</v>
      </c>
    </row>
    <row r="2030" spans="4:12" s="348" customFormat="1" ht="12.75" hidden="1" customHeight="1" outlineLevel="2" x14ac:dyDescent="0.2">
      <c r="D2030" s="785" t="str">
        <f>Price_List_BA!D218</f>
        <v>Alcohol, 60-90% isopropyl or ethyl (TZ)</v>
      </c>
      <c r="E2030" s="786"/>
      <c r="F2030" s="786"/>
      <c r="G2030" s="786"/>
      <c r="J2030" s="668" t="str">
        <f>Price_List_BA!J218</f>
        <v>centilitre</v>
      </c>
      <c r="L2030" s="127">
        <f>Price_List_BA!L218</f>
        <v>8.2500000000000004E-2</v>
      </c>
    </row>
    <row r="2031" spans="4:12" s="348" customFormat="1" ht="12.75" hidden="1" customHeight="1" outlineLevel="2" x14ac:dyDescent="0.2">
      <c r="D2031" s="785" t="str">
        <f>Price_List_BA!D219</f>
        <v>Alcohol, 60-90% isopropyl or ethyl 95% (ZM)</v>
      </c>
      <c r="E2031" s="786"/>
      <c r="F2031" s="786"/>
      <c r="G2031" s="786"/>
      <c r="J2031" s="668" t="str">
        <f>Price_List_BA!J219</f>
        <v>centilitre</v>
      </c>
      <c r="L2031" s="127">
        <f>Price_List_BA!L219</f>
        <v>4.4125300000000006E-2</v>
      </c>
    </row>
    <row r="2032" spans="4:12" s="348" customFormat="1" ht="12.75" hidden="1" customHeight="1" outlineLevel="2" x14ac:dyDescent="0.2">
      <c r="D2032" s="785" t="str">
        <f>Price_List_BA!D220</f>
        <v>Amitriptyline hydrochloride( 25mg) (ZM)</v>
      </c>
      <c r="E2032" s="786"/>
      <c r="F2032" s="786"/>
      <c r="G2032" s="786"/>
      <c r="J2032" s="668" t="str">
        <f>Price_List_BA!J220</f>
        <v>25 mg</v>
      </c>
      <c r="L2032" s="127">
        <f>Price_List_BA!L220</f>
        <v>7.3106999999999998E-3</v>
      </c>
    </row>
    <row r="2033" spans="4:12" s="348" customFormat="1" ht="12.75" hidden="1" customHeight="1" outlineLevel="2" x14ac:dyDescent="0.2">
      <c r="D2033" s="785" t="str">
        <f>Price_List_BA!D221</f>
        <v>Amitriptyline hydrochloride( 25mg) (TZ)</v>
      </c>
      <c r="E2033" s="786"/>
      <c r="F2033" s="786"/>
      <c r="G2033" s="786"/>
      <c r="J2033" s="668" t="str">
        <f>Price_List_BA!J221</f>
        <v>each</v>
      </c>
      <c r="L2033" s="127">
        <f>Price_List_BA!L221</f>
        <v>1.8749999999999999E-3</v>
      </c>
    </row>
    <row r="2034" spans="4:12" s="348" customFormat="1" ht="12.75" hidden="1" customHeight="1" outlineLevel="2" x14ac:dyDescent="0.2">
      <c r="D2034" s="785" t="str">
        <f>Price_List_BA!D222</f>
        <v>Anticeptic solution (UG)</v>
      </c>
      <c r="E2034" s="786"/>
      <c r="F2034" s="786"/>
      <c r="G2034" s="786"/>
      <c r="J2034" s="668" t="str">
        <f>Price_List_BA!J222</f>
        <v>mililiter</v>
      </c>
      <c r="L2034" s="127">
        <f>Price_List_BA!L222</f>
        <v>1.9869626497533474E-2</v>
      </c>
    </row>
    <row r="2035" spans="4:12" s="348" customFormat="1" ht="12.95" hidden="1" customHeight="1" outlineLevel="2" x14ac:dyDescent="0.2">
      <c r="D2035" s="785" t="str">
        <f>Price_List_BA!D223</f>
        <v>Arithromycin (250g) (ZM)</v>
      </c>
      <c r="E2035" s="786"/>
      <c r="F2035" s="786"/>
      <c r="G2035" s="786"/>
      <c r="J2035" s="668" t="str">
        <f>Price_List_BA!J223</f>
        <v>tablet</v>
      </c>
      <c r="L2035" s="127">
        <f>Price_List_BA!L223</f>
        <v>1.0514359999999998</v>
      </c>
    </row>
    <row r="2036" spans="4:12" s="348" customFormat="1" ht="12.95" hidden="1" customHeight="1" outlineLevel="2" x14ac:dyDescent="0.2">
      <c r="D2036" s="785" t="str">
        <f>Price_List_BA!D224</f>
        <v>Arithromycin (250g) (UG)</v>
      </c>
      <c r="E2036" s="786"/>
      <c r="F2036" s="786"/>
      <c r="G2036" s="786"/>
      <c r="J2036" s="668" t="str">
        <f>Price_List_BA!J224</f>
        <v>tablet</v>
      </c>
      <c r="L2036" s="127">
        <f>Price_List_BA!L224</f>
        <v>3.8652518850398859E-2</v>
      </c>
    </row>
    <row r="2037" spans="4:12" s="348" customFormat="1" ht="12.95" hidden="1" customHeight="1" outlineLevel="2" x14ac:dyDescent="0.2">
      <c r="D2037" s="785" t="str">
        <f>Price_List_BA!D225</f>
        <v>Arithromycin (5g) (UG)</v>
      </c>
      <c r="E2037" s="786"/>
      <c r="F2037" s="786"/>
      <c r="G2037" s="786"/>
      <c r="J2037" s="668" t="str">
        <f>Price_List_BA!J225</f>
        <v>tablet</v>
      </c>
      <c r="L2037" s="127">
        <f>Price_List_BA!L225</f>
        <v>0.77305037700797719</v>
      </c>
    </row>
    <row r="2038" spans="4:12" s="348" customFormat="1" ht="12.95" hidden="1" customHeight="1" outlineLevel="2" x14ac:dyDescent="0.2">
      <c r="D2038" s="785" t="str">
        <f>Price_List_BA!D226</f>
        <v>Atropine (ZM)</v>
      </c>
      <c r="E2038" s="786"/>
      <c r="F2038" s="786"/>
      <c r="G2038" s="786"/>
      <c r="J2038" s="668" t="str">
        <f>Price_List_BA!J226</f>
        <v>SU</v>
      </c>
      <c r="L2038" s="127">
        <f>Price_List_BA!L226</f>
        <v>0</v>
      </c>
    </row>
    <row r="2039" spans="4:12" s="348" customFormat="1" ht="12.95" hidden="1" customHeight="1" outlineLevel="2" x14ac:dyDescent="0.2">
      <c r="D2039" s="785" t="str">
        <f>Price_List_BA!D227</f>
        <v>Ball electrode (UG)</v>
      </c>
      <c r="E2039" s="786"/>
      <c r="F2039" s="786"/>
      <c r="G2039" s="786"/>
      <c r="J2039" s="668" t="str">
        <f>Price_List_BA!J227</f>
        <v>each</v>
      </c>
      <c r="L2039" s="127">
        <f>Price_List_BA!L227</f>
        <v>9</v>
      </c>
    </row>
    <row r="2040" spans="4:12" s="348" customFormat="1" ht="12.95" hidden="1" customHeight="1" outlineLevel="2" x14ac:dyDescent="0.2">
      <c r="D2040" s="785" t="str">
        <f>Price_List_BA!D228</f>
        <v>Bed linen sheet (100 uses) (ZM)</v>
      </c>
      <c r="E2040" s="786"/>
      <c r="F2040" s="786"/>
      <c r="G2040" s="786"/>
      <c r="J2040" s="668" t="str">
        <f>Price_List_BA!J228</f>
        <v>sheet use</v>
      </c>
      <c r="L2040" s="127">
        <f>Price_List_BA!L228</f>
        <v>4.3299999999999998E-2</v>
      </c>
    </row>
    <row r="2041" spans="4:12" s="348" customFormat="1" ht="12.95" hidden="1" customHeight="1" outlineLevel="2" x14ac:dyDescent="0.2">
      <c r="D2041" s="785" t="str">
        <f>Price_List_BA!D229</f>
        <v>Bed linen sheet (TZ)</v>
      </c>
      <c r="E2041" s="786"/>
      <c r="F2041" s="786"/>
      <c r="G2041" s="786"/>
      <c r="J2041" s="668" t="str">
        <f>Price_List_BA!J229</f>
        <v>1 use</v>
      </c>
      <c r="L2041" s="127">
        <f>Price_List_BA!L229</f>
        <v>6.25E-2</v>
      </c>
    </row>
    <row r="2042" spans="4:12" s="348" customFormat="1" ht="12.95" hidden="1" customHeight="1" outlineLevel="2" x14ac:dyDescent="0.2">
      <c r="D2042" s="785" t="str">
        <f>Price_List_BA!D230</f>
        <v>Bin Liner (ZM)</v>
      </c>
      <c r="E2042" s="786"/>
      <c r="F2042" s="786"/>
      <c r="G2042" s="786"/>
      <c r="J2042" s="668" t="str">
        <f>Price_List_BA!J230</f>
        <v>liner</v>
      </c>
      <c r="L2042" s="127">
        <f>Price_List_BA!L230</f>
        <v>0.234987</v>
      </c>
    </row>
    <row r="2043" spans="4:12" s="348" customFormat="1" ht="12.95" hidden="1" customHeight="1" outlineLevel="2" x14ac:dyDescent="0.2">
      <c r="D2043" s="785" t="str">
        <f>Price_List_BA!D231</f>
        <v>Bleach (JIK)</v>
      </c>
      <c r="E2043" s="786"/>
      <c r="F2043" s="786"/>
      <c r="G2043" s="786"/>
      <c r="J2043" s="668" t="str">
        <f>Price_List_BA!J231</f>
        <v>mililiter</v>
      </c>
      <c r="L2043" s="127">
        <f>Price_List_BA!L231</f>
        <v>2.2666666666666664E-3</v>
      </c>
    </row>
    <row r="2044" spans="4:12" s="348" customFormat="1" ht="12.95" hidden="1" customHeight="1" outlineLevel="2" x14ac:dyDescent="0.2">
      <c r="D2044" s="785" t="str">
        <f>Price_List_BA!D232</f>
        <v>Bleach (UG)</v>
      </c>
      <c r="E2044" s="786"/>
      <c r="F2044" s="786"/>
      <c r="G2044" s="786"/>
      <c r="J2044" s="668" t="str">
        <f>Price_List_BA!J232</f>
        <v>mililiter</v>
      </c>
      <c r="L2044" s="127">
        <f>Price_List_BA!L232</f>
        <v>1.5735985138236267E-3</v>
      </c>
    </row>
    <row r="2045" spans="4:12" s="348" customFormat="1" ht="12.95" hidden="1" customHeight="1" outlineLevel="2" x14ac:dyDescent="0.2">
      <c r="D2045" s="785" t="str">
        <f>Price_List_BA!D233</f>
        <v>careHPV DCM tube (UG)</v>
      </c>
      <c r="E2045" s="786"/>
      <c r="F2045" s="786"/>
      <c r="G2045" s="786"/>
      <c r="J2045" s="668" t="str">
        <f>Price_List_BA!J233</f>
        <v>tube</v>
      </c>
      <c r="L2045" s="127">
        <f>Price_List_BA!L233</f>
        <v>0.22799999999999998</v>
      </c>
    </row>
    <row r="2046" spans="4:12" s="348" customFormat="1" ht="12.95" hidden="1" customHeight="1" outlineLevel="2" x14ac:dyDescent="0.2">
      <c r="D2046" s="785" t="str">
        <f>Price_List_BA!D234</f>
        <v>Catheter -Urine (TZ)</v>
      </c>
      <c r="E2046" s="786"/>
      <c r="F2046" s="786"/>
      <c r="G2046" s="786"/>
      <c r="J2046" s="668" t="str">
        <f>Price_List_BA!J234</f>
        <v>1 catheter set</v>
      </c>
      <c r="L2046" s="127">
        <f>Price_List_BA!L234</f>
        <v>0.875</v>
      </c>
    </row>
    <row r="2047" spans="4:12" s="348" customFormat="1" ht="12.95" hidden="1" customHeight="1" outlineLevel="2" x14ac:dyDescent="0.2">
      <c r="D2047" s="785" t="str">
        <f>Price_List_BA!D235</f>
        <v>Cervical brush (UG)</v>
      </c>
      <c r="E2047" s="786"/>
      <c r="F2047" s="786"/>
      <c r="G2047" s="786"/>
      <c r="J2047" s="668" t="str">
        <f>Price_List_BA!J235</f>
        <v>brush</v>
      </c>
      <c r="L2047" s="127">
        <f>Price_List_BA!L235</f>
        <v>1.1399999999999999E-2</v>
      </c>
    </row>
    <row r="2048" spans="4:12" s="348" customFormat="1" ht="12.95" hidden="1" customHeight="1" outlineLevel="2" x14ac:dyDescent="0.2">
      <c r="D2048" s="785" t="str">
        <f>Price_List_BA!D236</f>
        <v>Chlorine 0.5% (Jik-diluted) (ZM)</v>
      </c>
      <c r="E2048" s="786"/>
      <c r="F2048" s="786"/>
      <c r="G2048" s="786"/>
      <c r="J2048" s="668" t="str">
        <f>Price_List_BA!J236</f>
        <v>mililiter</v>
      </c>
      <c r="L2048" s="127">
        <f>Price_List_BA!L236</f>
        <v>4.5999999999999999E-3</v>
      </c>
    </row>
    <row r="2049" spans="4:12" s="348" customFormat="1" ht="12.75" hidden="1" customHeight="1" outlineLevel="2" x14ac:dyDescent="0.2">
      <c r="D2049" s="785" t="str">
        <f>Price_List_BA!D237</f>
        <v>Chlorine 0.5% (Jik-diluted)  (TZ)</v>
      </c>
      <c r="E2049" s="786"/>
      <c r="F2049" s="786"/>
      <c r="G2049" s="786"/>
      <c r="J2049" s="668" t="str">
        <f>Price_List_BA!J237</f>
        <v>centilitre</v>
      </c>
      <c r="L2049" s="127">
        <f>Price_List_BA!L237</f>
        <v>1.375E-2</v>
      </c>
    </row>
    <row r="2050" spans="4:12" s="348" customFormat="1" ht="12.75" hidden="1" customHeight="1" outlineLevel="2" x14ac:dyDescent="0.2">
      <c r="D2050" s="785" t="str">
        <f>Price_List_BA!D238</f>
        <v>Cidex (2-4% glutaraldehyde) (ZM)</v>
      </c>
      <c r="E2050" s="786"/>
      <c r="F2050" s="786"/>
      <c r="G2050" s="786"/>
      <c r="J2050" s="668" t="str">
        <f>Price_List_BA!J238</f>
        <v>mililiter</v>
      </c>
      <c r="L2050" s="127">
        <f>Price_List_BA!L238</f>
        <v>1.9321200000000001E-3</v>
      </c>
    </row>
    <row r="2051" spans="4:12" s="348" customFormat="1" ht="12.75" hidden="1" customHeight="1" outlineLevel="2" x14ac:dyDescent="0.2">
      <c r="D2051" s="785" t="str">
        <f>Price_List_BA!D239</f>
        <v>Cidex (2-4% glutaraldehyde) (TZ)</v>
      </c>
      <c r="E2051" s="786"/>
      <c r="F2051" s="786"/>
      <c r="G2051" s="786"/>
      <c r="J2051" s="668" t="str">
        <f>Price_List_BA!J239</f>
        <v>centilitre</v>
      </c>
      <c r="L2051" s="127">
        <f>Price_List_BA!L239</f>
        <v>0.140625</v>
      </c>
    </row>
    <row r="2052" spans="4:12" s="348" customFormat="1" ht="12.75" hidden="1" customHeight="1" outlineLevel="2" x14ac:dyDescent="0.2">
      <c r="D2052" s="785" t="str">
        <f>Price_List_BA!D240</f>
        <v>Ciprofloxacin (500mg) (UG)</v>
      </c>
      <c r="E2052" s="786"/>
      <c r="F2052" s="786"/>
      <c r="G2052" s="786"/>
      <c r="J2052" s="668" t="str">
        <f>Price_List_BA!J240</f>
        <v>tablet</v>
      </c>
      <c r="L2052" s="127">
        <f>Price_List_BA!L240</f>
        <v>3.4291683968965141E-2</v>
      </c>
    </row>
    <row r="2053" spans="4:12" s="348" customFormat="1" ht="12.75" hidden="1" customHeight="1" outlineLevel="2" x14ac:dyDescent="0.2">
      <c r="D2053" s="785" t="str">
        <f>Price_List_BA!D241</f>
        <v>Ciprofloxacin (500mg) 250MG (ZM)</v>
      </c>
      <c r="E2053" s="786"/>
      <c r="F2053" s="786"/>
      <c r="G2053" s="786"/>
      <c r="J2053" s="668" t="str">
        <f>Price_List_BA!J241</f>
        <v>tablet</v>
      </c>
      <c r="L2053" s="127">
        <f>Price_List_BA!L241</f>
        <v>4.9088000000000005E-3</v>
      </c>
    </row>
    <row r="2054" spans="4:12" s="348" customFormat="1" ht="12.75" hidden="1" customHeight="1" outlineLevel="2" x14ac:dyDescent="0.2">
      <c r="D2054" s="785" t="str">
        <f>Price_List_BA!D242</f>
        <v>Cisplatin (50 mg) (ZM)</v>
      </c>
      <c r="E2054" s="786"/>
      <c r="F2054" s="786"/>
      <c r="G2054" s="786"/>
      <c r="J2054" s="668" t="str">
        <f>Price_List_BA!J242</f>
        <v>vial</v>
      </c>
      <c r="L2054" s="127">
        <f>Price_List_BA!L242</f>
        <v>14</v>
      </c>
    </row>
    <row r="2055" spans="4:12" s="348" customFormat="1" ht="12.75" hidden="1" customHeight="1" outlineLevel="2" x14ac:dyDescent="0.2">
      <c r="D2055" s="785" t="str">
        <f>Price_List_BA!D243</f>
        <v>Cisplatin (50 mg) (TZ)</v>
      </c>
      <c r="E2055" s="786"/>
      <c r="F2055" s="786"/>
      <c r="G2055" s="786"/>
      <c r="J2055" s="668" t="str">
        <f>Price_List_BA!J243</f>
        <v>50 mg vial</v>
      </c>
      <c r="L2055" s="127">
        <f>Price_List_BA!L243</f>
        <v>15.63</v>
      </c>
    </row>
    <row r="2056" spans="4:12" s="348" customFormat="1" ht="12.75" hidden="1" customHeight="1" outlineLevel="2" x14ac:dyDescent="0.2">
      <c r="D2056" s="785" t="str">
        <f>Price_List_BA!D244</f>
        <v>Citokit (UG)</v>
      </c>
      <c r="E2056" s="786"/>
      <c r="F2056" s="786"/>
      <c r="G2056" s="786"/>
      <c r="J2056" s="668" t="str">
        <f>Price_List_BA!J244</f>
        <v>kit</v>
      </c>
      <c r="L2056" s="127">
        <f>Price_List_BA!L244</f>
        <v>2.0981313517648346</v>
      </c>
    </row>
    <row r="2057" spans="4:12" s="348" customFormat="1" ht="12.75" hidden="1" customHeight="1" outlineLevel="2" x14ac:dyDescent="0.2">
      <c r="D2057" s="785" t="str">
        <f>Price_List_BA!D245</f>
        <v>Colostomy Bag (TZ)</v>
      </c>
      <c r="E2057" s="786"/>
      <c r="F2057" s="786"/>
      <c r="G2057" s="786"/>
      <c r="J2057" s="668" t="str">
        <f>Price_List_BA!J245</f>
        <v>each</v>
      </c>
      <c r="L2057" s="127">
        <f>Price_List_BA!L245</f>
        <v>2.5</v>
      </c>
    </row>
    <row r="2058" spans="4:12" s="348" customFormat="1" ht="12.75" hidden="1" customHeight="1" outlineLevel="2" x14ac:dyDescent="0.2">
      <c r="D2058" s="785" t="str">
        <f>Price_List_BA!D246</f>
        <v>Condom  (TZ)</v>
      </c>
      <c r="E2058" s="786"/>
      <c r="F2058" s="786"/>
      <c r="G2058" s="786"/>
      <c r="J2058" s="668" t="str">
        <f>Price_List_BA!J246</f>
        <v>each</v>
      </c>
      <c r="L2058" s="127">
        <f>Price_List_BA!L246</f>
        <v>0.3125</v>
      </c>
    </row>
    <row r="2059" spans="4:12" s="348" customFormat="1" ht="12.75" hidden="1" customHeight="1" outlineLevel="2" x14ac:dyDescent="0.2">
      <c r="D2059" s="785" t="str">
        <f>Price_List_BA!D247</f>
        <v>Condom MALE (ZM)</v>
      </c>
      <c r="E2059" s="786"/>
      <c r="F2059" s="786"/>
      <c r="G2059" s="786"/>
      <c r="J2059" s="668" t="str">
        <f>Price_List_BA!J247</f>
        <v>each</v>
      </c>
      <c r="L2059" s="127">
        <f>Price_List_BA!L247</f>
        <v>1.2946041666666666E-2</v>
      </c>
    </row>
    <row r="2060" spans="4:12" s="348" customFormat="1" ht="12.75" hidden="1" customHeight="1" outlineLevel="2" x14ac:dyDescent="0.2">
      <c r="D2060" s="785" t="str">
        <f>Price_List_BA!D248</f>
        <v>Cotton swab (ZM)</v>
      </c>
      <c r="E2060" s="786"/>
      <c r="F2060" s="786"/>
      <c r="G2060" s="786"/>
      <c r="J2060" s="668" t="str">
        <f>Price_List_BA!J248</f>
        <v>swab</v>
      </c>
      <c r="L2060" s="127">
        <f>Price_List_BA!L248</f>
        <v>1.0200000000000001E-2</v>
      </c>
    </row>
    <row r="2061" spans="4:12" s="348" customFormat="1" ht="12.75" hidden="1" customHeight="1" outlineLevel="2" x14ac:dyDescent="0.2">
      <c r="D2061" s="785" t="str">
        <f>Price_List_BA!D249</f>
        <v>Cotton swab (TZ)</v>
      </c>
      <c r="E2061" s="786"/>
      <c r="F2061" s="786"/>
      <c r="G2061" s="786"/>
      <c r="J2061" s="668" t="str">
        <f>Price_List_BA!J249</f>
        <v>each</v>
      </c>
      <c r="L2061" s="127">
        <f>Price_List_BA!L249</f>
        <v>2.75E-2</v>
      </c>
    </row>
    <row r="2062" spans="4:12" s="348" customFormat="1" ht="12.75" hidden="1" customHeight="1" outlineLevel="2" x14ac:dyDescent="0.2">
      <c r="D2062" s="785" t="str">
        <f>Price_List_BA!D250</f>
        <v>Cotton swabs (UG)</v>
      </c>
      <c r="E2062" s="786"/>
      <c r="F2062" s="786"/>
      <c r="G2062" s="786"/>
      <c r="J2062" s="668" t="str">
        <f>Price_List_BA!J250</f>
        <v>swab</v>
      </c>
      <c r="L2062" s="127">
        <f>Price_List_BA!L250</f>
        <v>6.9238334608239596E-3</v>
      </c>
    </row>
    <row r="2063" spans="4:12" s="348" customFormat="1" ht="12.75" hidden="1" customHeight="1" outlineLevel="2" x14ac:dyDescent="0.2">
      <c r="D2063" s="785" t="str">
        <f>Price_List_BA!D251</f>
        <v>Cotton Wool, roll, non-sterile (ZM)</v>
      </c>
      <c r="E2063" s="786"/>
      <c r="F2063" s="786"/>
      <c r="G2063" s="786"/>
      <c r="J2063" s="668" t="str">
        <f>Price_List_BA!J251</f>
        <v>1/100 roll</v>
      </c>
      <c r="L2063" s="127">
        <f>Price_List_BA!L251</f>
        <v>7.1200000000000005E-3</v>
      </c>
    </row>
    <row r="2064" spans="4:12" s="348" customFormat="1" ht="12.75" hidden="1" customHeight="1" outlineLevel="2" x14ac:dyDescent="0.2">
      <c r="D2064" s="785" t="str">
        <f>Price_List_BA!D252</f>
        <v>Cotton Wool, roll, non-sterile (TZ)</v>
      </c>
      <c r="E2064" s="786"/>
      <c r="F2064" s="786"/>
      <c r="G2064" s="786"/>
      <c r="J2064" s="668" t="str">
        <f>Price_List_BA!J252</f>
        <v>1 gram</v>
      </c>
      <c r="L2064" s="127">
        <f>Price_List_BA!L252</f>
        <v>3.0000000000000001E-3</v>
      </c>
    </row>
    <row r="2065" spans="4:12" s="348" customFormat="1" ht="12.75" hidden="1" customHeight="1" outlineLevel="2" x14ac:dyDescent="0.2">
      <c r="D2065" s="785" t="str">
        <f>Price_List_BA!D253</f>
        <v xml:space="preserve">Dexamethasone (ZM) </v>
      </c>
      <c r="E2065" s="786"/>
      <c r="F2065" s="786"/>
      <c r="G2065" s="786"/>
      <c r="J2065" s="668" t="str">
        <f>Price_List_BA!J253</f>
        <v>4mg</v>
      </c>
      <c r="L2065" s="127">
        <f>Price_List_BA!L253</f>
        <v>0.25</v>
      </c>
    </row>
    <row r="2066" spans="4:12" s="348" customFormat="1" ht="12.75" hidden="1" customHeight="1" outlineLevel="2" x14ac:dyDescent="0.2">
      <c r="D2066" s="785" t="str">
        <f>Price_List_BA!D254</f>
        <v>Diclofenac (50mg) (ZM)</v>
      </c>
      <c r="E2066" s="786"/>
      <c r="F2066" s="786"/>
      <c r="G2066" s="786"/>
      <c r="J2066" s="668" t="str">
        <f>Price_List_BA!J254</f>
        <v>tablet</v>
      </c>
      <c r="L2066" s="127">
        <f>Price_List_BA!L254</f>
        <v>3.3939999999999999E-3</v>
      </c>
    </row>
    <row r="2067" spans="4:12" s="348" customFormat="1" ht="12.75" hidden="1" customHeight="1" outlineLevel="2" x14ac:dyDescent="0.2">
      <c r="D2067" s="785" t="str">
        <f>Price_List_BA!D255</f>
        <v>Diclofenac (50mg) (TZ)</v>
      </c>
      <c r="E2067" s="786"/>
      <c r="F2067" s="786"/>
      <c r="G2067" s="786"/>
      <c r="J2067" s="668" t="str">
        <f>Price_List_BA!J255</f>
        <v>tablet</v>
      </c>
      <c r="L2067" s="127">
        <f>Price_List_BA!L255</f>
        <v>1.5625</v>
      </c>
    </row>
    <row r="2068" spans="4:12" s="348" customFormat="1" ht="12.75" hidden="1" customHeight="1" outlineLevel="2" x14ac:dyDescent="0.2">
      <c r="D2068" s="785" t="str">
        <f>Price_List_BA!D256</f>
        <v>Distilled water (ZM)</v>
      </c>
      <c r="E2068" s="786"/>
      <c r="F2068" s="786"/>
      <c r="G2068" s="786"/>
      <c r="J2068" s="668" t="str">
        <f>Price_List_BA!J256</f>
        <v>mililiter</v>
      </c>
      <c r="L2068" s="127">
        <f>Price_List_BA!L256</f>
        <v>2.3199999999999997E-4</v>
      </c>
    </row>
    <row r="2069" spans="4:12" s="348" customFormat="1" ht="12.75" hidden="1" customHeight="1" outlineLevel="2" x14ac:dyDescent="0.2">
      <c r="D2069" s="785" t="str">
        <f>Price_List_BA!D257</f>
        <v>Distilled water (UG)</v>
      </c>
      <c r="E2069" s="786"/>
      <c r="F2069" s="786"/>
      <c r="G2069" s="786"/>
      <c r="J2069" s="668" t="str">
        <f>Price_List_BA!J257</f>
        <v>mililiter</v>
      </c>
      <c r="L2069" s="127">
        <f>Price_List_BA!L257</f>
        <v>2.3680472079554149E-4</v>
      </c>
    </row>
    <row r="2070" spans="4:12" s="348" customFormat="1" ht="12.75" hidden="1" customHeight="1" outlineLevel="2" x14ac:dyDescent="0.2">
      <c r="D2070" s="785" t="str">
        <f>Price_List_BA!D258</f>
        <v>Dulcolax (10mg) (ZM)</v>
      </c>
      <c r="E2070" s="786"/>
      <c r="F2070" s="786"/>
      <c r="G2070" s="786"/>
      <c r="J2070" s="668" t="str">
        <f>Price_List_BA!J258</f>
        <v>tablet</v>
      </c>
      <c r="L2070" s="127">
        <f>Price_List_BA!L258</f>
        <v>0.1</v>
      </c>
    </row>
    <row r="2071" spans="4:12" s="348" customFormat="1" ht="12.75" hidden="1" customHeight="1" outlineLevel="2" x14ac:dyDescent="0.2">
      <c r="D2071" s="785" t="str">
        <f>Price_List_BA!D259</f>
        <v>Dulcolax (10mg) (TZ)</v>
      </c>
      <c r="E2071" s="786"/>
      <c r="F2071" s="786"/>
      <c r="G2071" s="786"/>
      <c r="J2071" s="668" t="str">
        <f>Price_List_BA!J259</f>
        <v>tablet</v>
      </c>
      <c r="L2071" s="127">
        <f>Price_List_BA!L259</f>
        <v>0.625</v>
      </c>
    </row>
    <row r="2072" spans="4:12" s="348" customFormat="1" ht="12.75" hidden="1" customHeight="1" outlineLevel="2" x14ac:dyDescent="0.2">
      <c r="D2072" s="785" t="str">
        <f>Price_List_BA!D260</f>
        <v>Emend (ZM)</v>
      </c>
      <c r="E2072" s="786"/>
      <c r="F2072" s="786"/>
      <c r="G2072" s="786"/>
      <c r="J2072" s="668" t="str">
        <f>Price_List_BA!J260</f>
        <v>SU</v>
      </c>
      <c r="L2072" s="127">
        <f>Price_List_BA!L260</f>
        <v>0</v>
      </c>
    </row>
    <row r="2073" spans="4:12" s="348" customFormat="1" ht="12.75" hidden="1" customHeight="1" outlineLevel="2" x14ac:dyDescent="0.2">
      <c r="D2073" s="785" t="str">
        <f>Price_List_BA!D261</f>
        <v>Formalin (UG)</v>
      </c>
      <c r="E2073" s="786"/>
      <c r="F2073" s="786"/>
      <c r="G2073" s="786"/>
      <c r="J2073" s="668" t="str">
        <f>Price_List_BA!J261</f>
        <v>mililiter</v>
      </c>
      <c r="L2073" s="127">
        <f>Price_List_BA!L261</f>
        <v>6.5566604742651096E-3</v>
      </c>
    </row>
    <row r="2074" spans="4:12" s="348" customFormat="1" ht="12.75" hidden="1" customHeight="1" outlineLevel="2" x14ac:dyDescent="0.2">
      <c r="D2074" s="785" t="str">
        <f>Price_List_BA!D262</f>
        <v>Formalin AR 40% (ZM)</v>
      </c>
      <c r="E2074" s="786"/>
      <c r="F2074" s="786"/>
      <c r="G2074" s="786"/>
      <c r="J2074" s="668" t="str">
        <f>Price_List_BA!J262</f>
        <v>mililiter</v>
      </c>
      <c r="L2074" s="127">
        <f>Price_List_BA!L262</f>
        <v>0.34903395999999998</v>
      </c>
    </row>
    <row r="2075" spans="4:12" s="348" customFormat="1" ht="12.75" hidden="1" customHeight="1" outlineLevel="2" x14ac:dyDescent="0.2">
      <c r="D2075" s="785" t="str">
        <f>Price_List_BA!D263</f>
        <v>Formalin AR 40% (TZ)</v>
      </c>
      <c r="E2075" s="786"/>
      <c r="F2075" s="786"/>
      <c r="G2075" s="786"/>
      <c r="J2075" s="668" t="str">
        <f>Price_List_BA!J263</f>
        <v>centilitre</v>
      </c>
      <c r="L2075" s="127">
        <f>Price_List_BA!L263</f>
        <v>0.03</v>
      </c>
    </row>
    <row r="2076" spans="4:12" s="348" customFormat="1" ht="12.75" hidden="1" customHeight="1" outlineLevel="2" x14ac:dyDescent="0.2">
      <c r="D2076" s="785" t="str">
        <f>Price_List_BA!D264</f>
        <v>Frusamide (ZM)</v>
      </c>
      <c r="E2076" s="786"/>
      <c r="F2076" s="786"/>
      <c r="G2076" s="786"/>
      <c r="J2076" s="668" t="str">
        <f>Price_List_BA!J264</f>
        <v>20mg</v>
      </c>
      <c r="L2076" s="127">
        <f>Price_List_BA!L264</f>
        <v>0.5</v>
      </c>
    </row>
    <row r="2077" spans="4:12" s="348" customFormat="1" ht="12.75" hidden="1" customHeight="1" outlineLevel="2" x14ac:dyDescent="0.2">
      <c r="D2077" s="785" t="str">
        <f>Price_List_BA!D265</f>
        <v>Gas - N2O (UG)</v>
      </c>
      <c r="E2077" s="786"/>
      <c r="F2077" s="786"/>
      <c r="G2077" s="786"/>
      <c r="J2077" s="668" t="str">
        <f>Price_List_BA!J265</f>
        <v>litre</v>
      </c>
      <c r="L2077" s="127">
        <f>Price_List_BA!L265</f>
        <v>0.21116458854315942</v>
      </c>
    </row>
    <row r="2078" spans="4:12" s="348" customFormat="1" ht="12.75" hidden="1" customHeight="1" outlineLevel="2" x14ac:dyDescent="0.2">
      <c r="D2078" s="785" t="str">
        <f>Price_List_BA!D266</f>
        <v>Gas Cylinder (Nitrous Oxide) 72 kg. (ZM)</v>
      </c>
      <c r="E2078" s="786"/>
      <c r="F2078" s="786"/>
      <c r="G2078" s="786"/>
      <c r="J2078" s="668" t="str">
        <f>Price_List_BA!J266</f>
        <v>application</v>
      </c>
      <c r="L2078" s="127">
        <f>Price_List_BA!L266</f>
        <v>37.333333333333336</v>
      </c>
    </row>
    <row r="2079" spans="4:12" s="348" customFormat="1" ht="12.75" hidden="1" customHeight="1" outlineLevel="2" x14ac:dyDescent="0.2">
      <c r="D2079" s="785" t="str">
        <f>Price_List_BA!D267</f>
        <v>Gas Cylinder (TZ)</v>
      </c>
      <c r="E2079" s="786"/>
      <c r="F2079" s="786"/>
      <c r="G2079" s="786"/>
      <c r="J2079" s="668" t="str">
        <f>Price_List_BA!J267</f>
        <v>1/15th of a cylinder</v>
      </c>
      <c r="L2079" s="127">
        <f>Price_List_BA!L267</f>
        <v>1.6666666666666667</v>
      </c>
    </row>
    <row r="2080" spans="4:12" s="348" customFormat="1" ht="12.75" hidden="1" customHeight="1" outlineLevel="2" x14ac:dyDescent="0.2">
      <c r="D2080" s="785" t="str">
        <f>Price_List_BA!D268</f>
        <v>Gauze (UG)</v>
      </c>
      <c r="E2080" s="786"/>
      <c r="F2080" s="786"/>
      <c r="G2080" s="786"/>
      <c r="J2080" s="668" t="str">
        <f>Price_List_BA!J268</f>
        <v>piece</v>
      </c>
      <c r="L2080" s="127">
        <f>Price_List_BA!L268</f>
        <v>1.2239099551961501E-2</v>
      </c>
    </row>
    <row r="2081" spans="4:12" s="348" customFormat="1" ht="12.75" hidden="1" customHeight="1" outlineLevel="2" x14ac:dyDescent="0.2">
      <c r="D2081" s="785" t="str">
        <f>Price_List_BA!D269</f>
        <v>Gauze hospital quality 10x4 cm (TZ)</v>
      </c>
      <c r="E2081" s="786"/>
      <c r="F2081" s="786"/>
      <c r="G2081" s="786"/>
      <c r="J2081" s="668" t="str">
        <f>Price_List_BA!J269</f>
        <v>each</v>
      </c>
      <c r="L2081" s="127">
        <f>Price_List_BA!L269</f>
        <v>0.3125</v>
      </c>
    </row>
    <row r="2082" spans="4:12" s="348" customFormat="1" ht="12.75" hidden="1" customHeight="1" outlineLevel="2" x14ac:dyDescent="0.2">
      <c r="D2082" s="785" t="str">
        <f>Price_List_BA!D270</f>
        <v>Gauze, Non-Sterile (ZM)</v>
      </c>
      <c r="E2082" s="786"/>
      <c r="F2082" s="786"/>
      <c r="G2082" s="786"/>
      <c r="J2082" s="668" t="str">
        <f>Price_List_BA!J270</f>
        <v>1/2 roll</v>
      </c>
      <c r="L2082" s="127">
        <f>Price_List_BA!L270</f>
        <v>6.7035000000000003E-3</v>
      </c>
    </row>
    <row r="2083" spans="4:12" s="348" customFormat="1" ht="12.75" hidden="1" customHeight="1" outlineLevel="2" x14ac:dyDescent="0.2">
      <c r="D2083" s="785" t="str">
        <f>Price_List_BA!D271</f>
        <v>Gauze, Non-Sterile (TZ)</v>
      </c>
      <c r="E2083" s="786"/>
      <c r="F2083" s="786"/>
      <c r="G2083" s="786"/>
      <c r="J2083" s="668" t="str">
        <f>Price_List_BA!J271</f>
        <v>1/100 of roll</v>
      </c>
      <c r="L2083" s="127">
        <f>Price_List_BA!L271</f>
        <v>0.125</v>
      </c>
    </row>
    <row r="2084" spans="4:12" s="348" customFormat="1" ht="12.75" hidden="1" customHeight="1" outlineLevel="2" x14ac:dyDescent="0.2">
      <c r="D2084" s="785" t="str">
        <f>Price_List_BA!D272</f>
        <v>Gauze, Sterile (ZM)</v>
      </c>
      <c r="E2084" s="786"/>
      <c r="F2084" s="786"/>
      <c r="G2084" s="786"/>
      <c r="J2084" s="668" t="str">
        <f>Price_List_BA!J272</f>
        <v>roll</v>
      </c>
      <c r="L2084" s="127">
        <f>Price_List_BA!L272</f>
        <v>4.7962999999999999E-2</v>
      </c>
    </row>
    <row r="2085" spans="4:12" s="348" customFormat="1" ht="12.75" hidden="1" customHeight="1" outlineLevel="2" x14ac:dyDescent="0.2">
      <c r="D2085" s="785" t="str">
        <f>Price_List_BA!D273</f>
        <v>Gauze, Sterile (TZ)</v>
      </c>
      <c r="E2085" s="786"/>
      <c r="F2085" s="786"/>
      <c r="G2085" s="786"/>
      <c r="J2085" s="668" t="str">
        <f>Price_List_BA!J273</f>
        <v>1/100 of roll</v>
      </c>
      <c r="L2085" s="127">
        <f>Price_List_BA!L273</f>
        <v>0.125</v>
      </c>
    </row>
    <row r="2086" spans="4:12" s="348" customFormat="1" ht="12.75" hidden="1" customHeight="1" outlineLevel="2" x14ac:dyDescent="0.2">
      <c r="D2086" s="785" t="str">
        <f>Price_List_BA!D274</f>
        <v>Gloves (UG)</v>
      </c>
      <c r="E2086" s="786"/>
      <c r="F2086" s="786"/>
      <c r="G2086" s="786"/>
      <c r="J2086" s="668" t="str">
        <f>Price_List_BA!J274</f>
        <v>pair</v>
      </c>
      <c r="L2086" s="127">
        <f>Price_List_BA!L274</f>
        <v>0.10490656758824179</v>
      </c>
    </row>
    <row r="2087" spans="4:12" s="348" customFormat="1" ht="12.75" hidden="1" customHeight="1" outlineLevel="2" x14ac:dyDescent="0.2">
      <c r="D2087" s="785" t="str">
        <f>Price_List_BA!D275</f>
        <v>Gloves, Non-Sterile, Examination, latex, assorted sizes, disp. (ZM)</v>
      </c>
      <c r="E2087" s="786"/>
      <c r="F2087" s="786"/>
      <c r="G2087" s="786"/>
      <c r="J2087" s="668" t="str">
        <f>Price_List_BA!J275</f>
        <v>each</v>
      </c>
      <c r="L2087" s="127">
        <f>Price_List_BA!L275</f>
        <v>7.2000000000000008E-2</v>
      </c>
    </row>
    <row r="2088" spans="4:12" s="348" customFormat="1" ht="12.75" hidden="1" customHeight="1" outlineLevel="2" x14ac:dyDescent="0.2">
      <c r="D2088" s="785" t="str">
        <f>Price_List_BA!D276</f>
        <v>Gloves, Non-Sterile, Examination, latex, medium, disp. (TZ)</v>
      </c>
      <c r="E2088" s="786"/>
      <c r="F2088" s="786"/>
      <c r="G2088" s="786"/>
      <c r="J2088" s="668" t="str">
        <f>Price_List_BA!J276</f>
        <v>each</v>
      </c>
      <c r="L2088" s="127">
        <f>Price_List_BA!L276</f>
        <v>4.2699999999999995E-2</v>
      </c>
    </row>
    <row r="2089" spans="4:12" s="348" customFormat="1" ht="12.75" hidden="1" customHeight="1" outlineLevel="2" x14ac:dyDescent="0.2">
      <c r="D2089" s="785" t="str">
        <f>Price_List_BA!D277</f>
        <v>Gloves, Sterile (TZ)</v>
      </c>
      <c r="E2089" s="786"/>
      <c r="F2089" s="786"/>
      <c r="G2089" s="786"/>
      <c r="J2089" s="668" t="str">
        <f>Price_List_BA!J277</f>
        <v>each</v>
      </c>
      <c r="L2089" s="127">
        <f>Price_List_BA!L277</f>
        <v>0.92500000000000004</v>
      </c>
    </row>
    <row r="2090" spans="4:12" s="348" customFormat="1" ht="12.75" hidden="1" customHeight="1" outlineLevel="2" x14ac:dyDescent="0.2">
      <c r="D2090" s="785" t="str">
        <f>Price_List_BA!D278</f>
        <v>Gloves, Sterile 7.5 (ZM)</v>
      </c>
      <c r="E2090" s="786"/>
      <c r="F2090" s="786"/>
      <c r="G2090" s="786"/>
      <c r="J2090" s="668" t="str">
        <f>Price_List_BA!J278</f>
        <v>each</v>
      </c>
      <c r="L2090" s="127">
        <f>Price_List_BA!L278</f>
        <v>0.21932200000000002</v>
      </c>
    </row>
    <row r="2091" spans="4:12" s="348" customFormat="1" ht="12.75" hidden="1" customHeight="1" outlineLevel="2" x14ac:dyDescent="0.2">
      <c r="D2091" s="785" t="str">
        <f>Price_List_BA!D279</f>
        <v>Halothane (ZM)</v>
      </c>
      <c r="E2091" s="786"/>
      <c r="F2091" s="786"/>
      <c r="G2091" s="786"/>
      <c r="J2091" s="668" t="str">
        <f>Price_List_BA!J279</f>
        <v>millilitre</v>
      </c>
      <c r="L2091" s="127">
        <f>Price_List_BA!L279</f>
        <v>0</v>
      </c>
    </row>
    <row r="2092" spans="4:12" s="348" customFormat="1" ht="12.75" hidden="1" customHeight="1" outlineLevel="2" x14ac:dyDescent="0.2">
      <c r="D2092" s="785" t="str">
        <f>Price_List_BA!D280</f>
        <v>IV canula 22G  (ZM)</v>
      </c>
      <c r="E2092" s="786"/>
      <c r="F2092" s="786"/>
      <c r="G2092" s="786"/>
      <c r="J2092" s="668" t="str">
        <f>Price_List_BA!J280</f>
        <v>canula</v>
      </c>
      <c r="L2092" s="127">
        <f>Price_List_BA!L280</f>
        <v>0.130548</v>
      </c>
    </row>
    <row r="2093" spans="4:12" s="348" customFormat="1" ht="12.75" hidden="1" customHeight="1" outlineLevel="2" x14ac:dyDescent="0.2">
      <c r="D2093" s="785" t="str">
        <f>Price_List_BA!D281</f>
        <v>IV canula 22G (each) (TZ)</v>
      </c>
      <c r="E2093" s="786"/>
      <c r="F2093" s="786"/>
      <c r="G2093" s="786"/>
      <c r="J2093" s="668" t="str">
        <f>Price_List_BA!J281</f>
        <v>each</v>
      </c>
      <c r="L2093" s="127">
        <f>Price_List_BA!L281</f>
        <v>0.16250000000000001</v>
      </c>
    </row>
    <row r="2094" spans="4:12" s="348" customFormat="1" ht="12.75" hidden="1" customHeight="1" outlineLevel="2" x14ac:dyDescent="0.2">
      <c r="D2094" s="785" t="str">
        <f>Price_List_BA!D282</f>
        <v>IV giving set (each) (TZ)</v>
      </c>
      <c r="E2094" s="786"/>
      <c r="F2094" s="786"/>
      <c r="G2094" s="786"/>
      <c r="J2094" s="668" t="str">
        <f>Price_List_BA!J282</f>
        <v>set</v>
      </c>
      <c r="L2094" s="127">
        <f>Price_List_BA!L282</f>
        <v>0.15</v>
      </c>
    </row>
    <row r="2095" spans="4:12" s="348" customFormat="1" ht="12.75" hidden="1" customHeight="1" outlineLevel="2" x14ac:dyDescent="0.2">
      <c r="D2095" s="785" t="str">
        <f>Price_List_BA!D283</f>
        <v>IV giving set (closed system) (ZM)</v>
      </c>
      <c r="E2095" s="786"/>
      <c r="F2095" s="786"/>
      <c r="G2095" s="786"/>
      <c r="J2095" s="668" t="str">
        <f>Price_List_BA!J283</f>
        <v>SU</v>
      </c>
      <c r="L2095" s="127">
        <f>Price_List_BA!L283</f>
        <v>0</v>
      </c>
    </row>
    <row r="2096" spans="4:12" s="348" customFormat="1" ht="12.75" hidden="1" customHeight="1" outlineLevel="2" x14ac:dyDescent="0.2">
      <c r="D2096" s="785" t="str">
        <f>Price_List_BA!D284</f>
        <v>IV line (set) (ZM)</v>
      </c>
      <c r="E2096" s="786"/>
      <c r="F2096" s="786"/>
      <c r="G2096" s="786"/>
      <c r="J2096" s="668" t="str">
        <f>Price_List_BA!J284</f>
        <v>set</v>
      </c>
      <c r="L2096" s="127">
        <f>Price_List_BA!L284</f>
        <v>0.120104</v>
      </c>
    </row>
    <row r="2097" spans="4:12" s="348" customFormat="1" ht="12.75" hidden="1" customHeight="1" outlineLevel="2" x14ac:dyDescent="0.2">
      <c r="D2097" s="785" t="str">
        <f>Price_List_BA!D285</f>
        <v>IV line (set) (TZ)</v>
      </c>
      <c r="E2097" s="786"/>
      <c r="F2097" s="786"/>
      <c r="G2097" s="786"/>
      <c r="J2097" s="668" t="str">
        <f>Price_List_BA!J285</f>
        <v>set</v>
      </c>
      <c r="L2097" s="127">
        <f>Price_List_BA!L285</f>
        <v>0.9375</v>
      </c>
    </row>
    <row r="2098" spans="4:12" s="348" customFormat="1" ht="12.75" hidden="1" customHeight="1" outlineLevel="2" x14ac:dyDescent="0.2">
      <c r="D2098" s="785" t="str">
        <f>Price_List_BA!D286</f>
        <v>Ketamine (ZM)</v>
      </c>
      <c r="E2098" s="786"/>
      <c r="F2098" s="786"/>
      <c r="G2098" s="786"/>
      <c r="J2098" s="668" t="str">
        <f>Price_List_BA!J286</f>
        <v>SU</v>
      </c>
      <c r="L2098" s="127">
        <f>Price_List_BA!L286</f>
        <v>0</v>
      </c>
    </row>
    <row r="2099" spans="4:12" s="348" customFormat="1" ht="12.75" hidden="1" customHeight="1" outlineLevel="2" x14ac:dyDescent="0.2">
      <c r="D2099" s="785" t="str">
        <f>Price_List_BA!D287</f>
        <v>Kitchen Towel (ZM)</v>
      </c>
      <c r="E2099" s="786"/>
      <c r="F2099" s="786"/>
      <c r="G2099" s="786"/>
      <c r="J2099" s="668" t="str">
        <f>Price_List_BA!J287</f>
        <v>application</v>
      </c>
      <c r="L2099" s="127">
        <f>Price_List_BA!L287</f>
        <v>1.3999999999999999E-2</v>
      </c>
    </row>
    <row r="2100" spans="4:12" s="348" customFormat="1" ht="12.75" hidden="1" customHeight="1" outlineLevel="2" x14ac:dyDescent="0.2">
      <c r="D2100" s="785" t="str">
        <f>Price_List_BA!D288</f>
        <v>K-Y jelly  (TZ)</v>
      </c>
      <c r="E2100" s="786"/>
      <c r="F2100" s="786"/>
      <c r="G2100" s="786"/>
      <c r="J2100" s="668" t="str">
        <f>Price_List_BA!J288</f>
        <v>1/100 of tube</v>
      </c>
      <c r="L2100" s="127">
        <f>Price_List_BA!L288</f>
        <v>8.4375000000000006E-2</v>
      </c>
    </row>
    <row r="2101" spans="4:12" s="348" customFormat="1" ht="12.75" hidden="1" customHeight="1" outlineLevel="2" x14ac:dyDescent="0.2">
      <c r="D2101" s="785" t="str">
        <f>Price_List_BA!D289</f>
        <v>K-Y jelly Tube w/ 100 applcations ea) (ZM)</v>
      </c>
      <c r="E2101" s="786"/>
      <c r="F2101" s="786"/>
      <c r="G2101" s="786"/>
      <c r="J2101" s="668" t="str">
        <f>Price_List_BA!J289</f>
        <v>1 application</v>
      </c>
      <c r="L2101" s="127">
        <f>Price_List_BA!L289</f>
        <v>4.4999999999999998E-2</v>
      </c>
    </row>
    <row r="2102" spans="4:12" s="348" customFormat="1" ht="12.75" hidden="1" customHeight="1" outlineLevel="2" x14ac:dyDescent="0.2">
      <c r="D2102" s="785" t="str">
        <f>Price_List_BA!D290</f>
        <v>Label (TZ)</v>
      </c>
      <c r="E2102" s="786"/>
      <c r="F2102" s="786"/>
      <c r="G2102" s="786"/>
      <c r="J2102" s="668" t="str">
        <f>Price_List_BA!J290</f>
        <v>label</v>
      </c>
      <c r="L2102" s="127">
        <f>Price_List_BA!L290</f>
        <v>3.125E-2</v>
      </c>
    </row>
    <row r="2103" spans="4:12" s="348" customFormat="1" ht="12.75" hidden="1" customHeight="1" outlineLevel="2" x14ac:dyDescent="0.2">
      <c r="D2103" s="785" t="str">
        <f>Price_List_BA!D291</f>
        <v>Lidocaine 1% or 2% without epinephrine (UG)</v>
      </c>
      <c r="E2103" s="786"/>
      <c r="F2103" s="786"/>
      <c r="G2103" s="786"/>
      <c r="J2103" s="668" t="str">
        <f>Price_List_BA!J291</f>
        <v>mililitre</v>
      </c>
      <c r="L2103" s="127">
        <f>Price_List_BA!L291</f>
        <v>6.6747459294066225E-2</v>
      </c>
    </row>
    <row r="2104" spans="4:12" s="348" customFormat="1" ht="12.75" hidden="1" customHeight="1" outlineLevel="2" x14ac:dyDescent="0.2">
      <c r="D2104" s="785" t="str">
        <f>Price_List_BA!D292</f>
        <v>Lidocaine 2% with epinephrine 1:80000 (ZM)</v>
      </c>
      <c r="E2104" s="786"/>
      <c r="F2104" s="786"/>
      <c r="G2104" s="786"/>
      <c r="J2104" s="668" t="str">
        <f>Price_List_BA!J292</f>
        <v>unknown</v>
      </c>
      <c r="L2104" s="127">
        <f>Price_List_BA!L292</f>
        <v>0.9</v>
      </c>
    </row>
    <row r="2105" spans="4:12" s="348" customFormat="1" ht="12.75" hidden="1" customHeight="1" outlineLevel="2" x14ac:dyDescent="0.2">
      <c r="D2105" s="785" t="str">
        <f>Price_List_BA!D293</f>
        <v>Lidocaine: 2% with adrenalin 1:80000 (TZ)</v>
      </c>
      <c r="E2105" s="786"/>
      <c r="F2105" s="786"/>
      <c r="G2105" s="786"/>
      <c r="J2105" s="668" t="str">
        <f>Price_List_BA!J293</f>
        <v>centilitre</v>
      </c>
      <c r="L2105" s="127">
        <f>Price_List_BA!L293</f>
        <v>0.13750000000000001</v>
      </c>
    </row>
    <row r="2106" spans="4:12" s="348" customFormat="1" ht="12.75" hidden="1" customHeight="1" outlineLevel="2" x14ac:dyDescent="0.2">
      <c r="D2106" s="785" t="str">
        <f>Price_List_BA!D294</f>
        <v>Liquid soap (UG)</v>
      </c>
      <c r="E2106" s="786"/>
      <c r="F2106" s="786"/>
      <c r="G2106" s="786"/>
      <c r="J2106" s="668" t="str">
        <f>Price_List_BA!J294</f>
        <v>mililiter</v>
      </c>
      <c r="L2106" s="127">
        <f>Price_List_BA!L294</f>
        <v>5.4194295705387399E-4</v>
      </c>
    </row>
    <row r="2107" spans="4:12" s="348" customFormat="1" ht="12.75" hidden="1" customHeight="1" outlineLevel="2" x14ac:dyDescent="0.2">
      <c r="D2107" s="785" t="str">
        <f>Price_List_BA!D295</f>
        <v>Lugol's iodine (UG)</v>
      </c>
      <c r="E2107" s="786"/>
      <c r="F2107" s="786"/>
      <c r="G2107" s="786"/>
      <c r="J2107" s="668" t="str">
        <f>Price_List_BA!J295</f>
        <v>mililiter</v>
      </c>
      <c r="L2107" s="127">
        <f>Price_List_BA!L295</f>
        <v>1.2621571412960299E-2</v>
      </c>
    </row>
    <row r="2108" spans="4:12" s="348" customFormat="1" ht="12.75" hidden="1" customHeight="1" outlineLevel="2" x14ac:dyDescent="0.2">
      <c r="D2108" s="785" t="str">
        <f>Price_List_BA!D296</f>
        <v>Mannitol (ZM)</v>
      </c>
      <c r="E2108" s="786"/>
      <c r="F2108" s="786"/>
      <c r="G2108" s="786"/>
      <c r="J2108" s="668" t="str">
        <f>Price_List_BA!J296</f>
        <v>SU</v>
      </c>
      <c r="L2108" s="127">
        <f>Price_List_BA!L296</f>
        <v>0</v>
      </c>
    </row>
    <row r="2109" spans="4:12" s="348" customFormat="1" ht="12.75" hidden="1" customHeight="1" outlineLevel="2" x14ac:dyDescent="0.2">
      <c r="D2109" s="785" t="str">
        <f>Price_List_BA!D297</f>
        <v>Metronizadol (200mg) (ZM)</v>
      </c>
      <c r="E2109" s="786"/>
      <c r="F2109" s="786"/>
      <c r="G2109" s="786"/>
      <c r="J2109" s="668" t="str">
        <f>Price_List_BA!J297</f>
        <v>tablet</v>
      </c>
      <c r="L2109" s="127">
        <f>Price_List_BA!L297</f>
        <v>3.7859E-3</v>
      </c>
    </row>
    <row r="2110" spans="4:12" s="348" customFormat="1" ht="12.75" hidden="1" customHeight="1" outlineLevel="2" x14ac:dyDescent="0.2">
      <c r="D2110" s="785" t="str">
        <f>Price_List_BA!D298</f>
        <v>Metronizadol (200mg) (UG)</v>
      </c>
      <c r="E2110" s="786"/>
      <c r="F2110" s="786"/>
      <c r="G2110" s="786"/>
      <c r="J2110" s="668" t="str">
        <f>Price_List_BA!J298</f>
        <v>tablet</v>
      </c>
      <c r="L2110" s="127">
        <f>Price_List_BA!L298</f>
        <v>3.9235056278002405E-3</v>
      </c>
    </row>
    <row r="2111" spans="4:12" s="348" customFormat="1" ht="12.75" hidden="1" customHeight="1" outlineLevel="2" x14ac:dyDescent="0.2">
      <c r="D2111" s="785" t="str">
        <f>Price_List_BA!D299</f>
        <v>Metronizadol (400mg) (UG)</v>
      </c>
      <c r="E2111" s="786"/>
      <c r="F2111" s="786"/>
      <c r="G2111" s="786"/>
      <c r="J2111" s="668" t="str">
        <f>Price_List_BA!J299</f>
        <v>tablet</v>
      </c>
      <c r="L2111" s="127">
        <f>Price_List_BA!L299</f>
        <v>7.847011255600481E-3</v>
      </c>
    </row>
    <row r="2112" spans="4:12" s="348" customFormat="1" ht="12.75" hidden="1" customHeight="1" outlineLevel="2" x14ac:dyDescent="0.2">
      <c r="D2112" s="785" t="str">
        <f>Price_List_BA!D300</f>
        <v>Mictomycin  C (10mg) (TZ)</v>
      </c>
      <c r="E2112" s="786"/>
      <c r="F2112" s="786"/>
      <c r="G2112" s="786"/>
      <c r="J2112" s="668" t="str">
        <f>Price_List_BA!J300</f>
        <v>10mg</v>
      </c>
      <c r="L2112" s="127">
        <f>Price_List_BA!L300</f>
        <v>18.75</v>
      </c>
    </row>
    <row r="2113" spans="4:12" s="348" customFormat="1" ht="12.75" hidden="1" customHeight="1" outlineLevel="2" x14ac:dyDescent="0.2">
      <c r="D2113" s="785" t="str">
        <f>Price_List_BA!D301</f>
        <v>Mitomycin  C (10mg) (ZM)</v>
      </c>
      <c r="E2113" s="786"/>
      <c r="F2113" s="786"/>
      <c r="G2113" s="786"/>
      <c r="J2113" s="668" t="str">
        <f>Price_List_BA!J301</f>
        <v>vial</v>
      </c>
      <c r="L2113" s="127">
        <f>Price_List_BA!L301</f>
        <v>27.5</v>
      </c>
    </row>
    <row r="2114" spans="4:12" s="348" customFormat="1" ht="12.75" hidden="1" customHeight="1" outlineLevel="2" x14ac:dyDescent="0.2">
      <c r="D2114" s="785" t="str">
        <f>Price_List_BA!D302</f>
        <v>Monsel's solution (UG)</v>
      </c>
      <c r="E2114" s="786"/>
      <c r="F2114" s="786"/>
      <c r="G2114" s="786"/>
      <c r="J2114" s="668" t="str">
        <f>Price_List_BA!J302</f>
        <v>mililiter</v>
      </c>
      <c r="L2114" s="127">
        <f>Price_List_BA!L302</f>
        <v>0.41111111111111109</v>
      </c>
    </row>
    <row r="2115" spans="4:12" s="348" customFormat="1" ht="12.75" hidden="1" customHeight="1" outlineLevel="2" x14ac:dyDescent="0.2">
      <c r="D2115" s="785" t="str">
        <f>Price_List_BA!D303</f>
        <v>Monsel's solution (ZM)</v>
      </c>
      <c r="E2115" s="786"/>
      <c r="F2115" s="786"/>
      <c r="G2115" s="786"/>
      <c r="J2115" s="668" t="str">
        <f>Price_List_BA!J303</f>
        <v>application</v>
      </c>
      <c r="L2115" s="127">
        <f>Price_List_BA!L303</f>
        <v>10.126666666666667</v>
      </c>
    </row>
    <row r="2116" spans="4:12" s="348" customFormat="1" ht="12.75" hidden="1" customHeight="1" outlineLevel="2" x14ac:dyDescent="0.2">
      <c r="D2116" s="785" t="str">
        <f>Price_List_BA!D304</f>
        <v>Morphine (10mg) (ZM)</v>
      </c>
      <c r="E2116" s="786"/>
      <c r="F2116" s="786"/>
      <c r="G2116" s="786"/>
      <c r="J2116" s="668" t="str">
        <f>Price_List_BA!J304</f>
        <v>tablet</v>
      </c>
      <c r="L2116" s="127">
        <f>Price_List_BA!L304</f>
        <v>0.22666666666666666</v>
      </c>
    </row>
    <row r="2117" spans="4:12" s="348" customFormat="1" ht="12.75" hidden="1" customHeight="1" outlineLevel="2" x14ac:dyDescent="0.2">
      <c r="D2117" s="785" t="str">
        <f>Price_List_BA!D305</f>
        <v>Morphine (10mg) (TZ)</v>
      </c>
      <c r="E2117" s="786"/>
      <c r="F2117" s="786"/>
      <c r="G2117" s="786"/>
      <c r="J2117" s="668" t="str">
        <f>Price_List_BA!J305</f>
        <v>10mg</v>
      </c>
      <c r="L2117" s="127">
        <f>Price_List_BA!L305</f>
        <v>3.5625</v>
      </c>
    </row>
    <row r="2118" spans="4:12" s="348" customFormat="1" ht="12.75" hidden="1" customHeight="1" outlineLevel="2" x14ac:dyDescent="0.2">
      <c r="D2118" s="785" t="str">
        <f>Price_List_BA!D306</f>
        <v>Mutton Cloth (ZM)</v>
      </c>
      <c r="E2118" s="786"/>
      <c r="F2118" s="786"/>
      <c r="G2118" s="786"/>
      <c r="J2118" s="668" t="str">
        <f>Price_List_BA!J306</f>
        <v>metre</v>
      </c>
      <c r="L2118" s="127">
        <f>Price_List_BA!L306</f>
        <v>6.5000000000000002E-2</v>
      </c>
    </row>
    <row r="2119" spans="4:12" s="348" customFormat="1" ht="12.75" hidden="1" customHeight="1" outlineLevel="2" x14ac:dyDescent="0.2">
      <c r="D2119" s="785" t="str">
        <f>Price_List_BA!D307</f>
        <v>Needle – 18 or 20 gauge (TZ)</v>
      </c>
      <c r="E2119" s="786"/>
      <c r="F2119" s="786"/>
      <c r="G2119" s="786"/>
      <c r="J2119" s="668" t="str">
        <f>Price_List_BA!J307</f>
        <v>one piece</v>
      </c>
      <c r="L2119" s="127">
        <f>Price_List_BA!L307</f>
        <v>8.8541666666666671E-2</v>
      </c>
    </row>
    <row r="2120" spans="4:12" s="348" customFormat="1" ht="12.75" hidden="1" customHeight="1" outlineLevel="2" x14ac:dyDescent="0.2">
      <c r="D2120" s="785" t="str">
        <f>Price_List_BA!D308</f>
        <v>Needle - Spinal 22G (disposable) (ZM)</v>
      </c>
      <c r="E2120" s="786"/>
      <c r="F2120" s="786"/>
      <c r="G2120" s="786"/>
      <c r="J2120" s="668" t="str">
        <f>Price_List_BA!J308</f>
        <v>needle</v>
      </c>
      <c r="L2120" s="127">
        <f>Price_List_BA!L308</f>
        <v>1.240208</v>
      </c>
    </row>
    <row r="2121" spans="4:12" s="348" customFormat="1" ht="12.75" hidden="1" customHeight="1" outlineLevel="2" x14ac:dyDescent="0.2">
      <c r="D2121" s="785" t="str">
        <f>Price_List_BA!D309</f>
        <v>Needle - Spinal 22G (disposable) (TZ)</v>
      </c>
      <c r="E2121" s="786"/>
      <c r="F2121" s="786"/>
      <c r="G2121" s="786"/>
      <c r="J2121" s="668" t="str">
        <f>Price_List_BA!J309</f>
        <v>one piece</v>
      </c>
      <c r="L2121" s="127">
        <f>Price_List_BA!L309</f>
        <v>0.91249999999999998</v>
      </c>
    </row>
    <row r="2122" spans="4:12" s="348" customFormat="1" ht="12.75" hidden="1" customHeight="1" outlineLevel="2" x14ac:dyDescent="0.2">
      <c r="D2122" s="785" t="str">
        <f>Price_List_BA!D310</f>
        <v>Needles - Dental 27G Long (ZM)</v>
      </c>
      <c r="E2122" s="786"/>
      <c r="F2122" s="786"/>
      <c r="G2122" s="786"/>
      <c r="J2122" s="668" t="str">
        <f>Price_List_BA!J310</f>
        <v>needle</v>
      </c>
      <c r="L2122" s="127">
        <f>Price_List_BA!L310</f>
        <v>0.30909999999999999</v>
      </c>
    </row>
    <row r="2123" spans="4:12" s="348" customFormat="1" ht="12.75" hidden="1" customHeight="1" outlineLevel="2" x14ac:dyDescent="0.2">
      <c r="D2123" s="785" t="str">
        <f>Price_List_BA!D311</f>
        <v>Neostymine (ZM)</v>
      </c>
      <c r="E2123" s="786"/>
      <c r="F2123" s="786"/>
      <c r="G2123" s="786"/>
      <c r="J2123" s="668" t="str">
        <f>Price_List_BA!J311</f>
        <v>SU</v>
      </c>
      <c r="L2123" s="127">
        <f>Price_List_BA!L311</f>
        <v>0</v>
      </c>
    </row>
    <row r="2124" spans="4:12" s="348" customFormat="1" ht="12.75" hidden="1" customHeight="1" outlineLevel="2" x14ac:dyDescent="0.2">
      <c r="D2124" s="785" t="str">
        <f>Price_List_BA!D312</f>
        <v>Normal saline (UG)</v>
      </c>
      <c r="E2124" s="786"/>
      <c r="F2124" s="786"/>
      <c r="G2124" s="786"/>
      <c r="J2124" s="668" t="str">
        <f>Price_List_BA!J312</f>
        <v>mililiter</v>
      </c>
      <c r="L2124" s="127">
        <f>Price_List_BA!L312</f>
        <v>8.4106217899683098E-4</v>
      </c>
    </row>
    <row r="2125" spans="4:12" s="348" customFormat="1" ht="12.75" hidden="1" customHeight="1" outlineLevel="2" x14ac:dyDescent="0.2">
      <c r="D2125" s="785" t="str">
        <f>Price_List_BA!D313</f>
        <v>Normal saline (ZM)</v>
      </c>
      <c r="E2125" s="786"/>
      <c r="F2125" s="786"/>
      <c r="G2125" s="786"/>
      <c r="J2125" s="668" t="str">
        <f>Price_List_BA!J313</f>
        <v>1 litre</v>
      </c>
      <c r="L2125" s="127">
        <f>Price_List_BA!L313</f>
        <v>0</v>
      </c>
    </row>
    <row r="2126" spans="4:12" s="348" customFormat="1" ht="12.75" hidden="1" customHeight="1" outlineLevel="2" x14ac:dyDescent="0.2">
      <c r="D2126" s="785" t="str">
        <f>Price_List_BA!D314</f>
        <v>Nystain (200mg) (UG)</v>
      </c>
      <c r="E2126" s="786"/>
      <c r="F2126" s="786"/>
      <c r="G2126" s="786"/>
      <c r="J2126" s="668" t="str">
        <f>Price_List_BA!J314</f>
        <v>tablet</v>
      </c>
      <c r="L2126" s="127">
        <f>Price_List_BA!L314</f>
        <v>2.9588372855425638E-2</v>
      </c>
    </row>
    <row r="2127" spans="4:12" s="348" customFormat="1" ht="12.75" hidden="1" customHeight="1" outlineLevel="2" x14ac:dyDescent="0.2">
      <c r="D2127" s="785" t="str">
        <f>Price_List_BA!D315</f>
        <v>Ondansetron (IV) 4mg vials</v>
      </c>
      <c r="E2127" s="786"/>
      <c r="F2127" s="786"/>
      <c r="G2127" s="786"/>
      <c r="J2127" s="668" t="str">
        <f>Price_List_BA!J315</f>
        <v>SU</v>
      </c>
      <c r="L2127" s="127">
        <f>Price_List_BA!L315</f>
        <v>0</v>
      </c>
    </row>
    <row r="2128" spans="4:12" s="348" customFormat="1" hidden="1" outlineLevel="2" x14ac:dyDescent="0.2">
      <c r="D2128" s="785" t="str">
        <f>Price_List_BA!D316</f>
        <v>Ondasetron (oral) (4mg tablets)</v>
      </c>
      <c r="E2128" s="786"/>
      <c r="F2128" s="786"/>
      <c r="G2128" s="786"/>
      <c r="J2128" s="668" t="str">
        <f>Price_List_BA!J316</f>
        <v>tablet</v>
      </c>
      <c r="L2128" s="127">
        <f>Price_List_BA!L316</f>
        <v>9</v>
      </c>
    </row>
    <row r="2129" spans="4:12" s="348" customFormat="1" ht="12.75" hidden="1" customHeight="1" outlineLevel="2" x14ac:dyDescent="0.2">
      <c r="D2129" s="785" t="str">
        <f>Price_List_BA!D317</f>
        <v>Opiods - Pethidine (ZM)</v>
      </c>
      <c r="E2129" s="786"/>
      <c r="F2129" s="786"/>
      <c r="G2129" s="786"/>
      <c r="J2129" s="668" t="str">
        <f>Price_List_BA!J317</f>
        <v>SU</v>
      </c>
      <c r="L2129" s="127">
        <f>Price_List_BA!L317</f>
        <v>0</v>
      </c>
    </row>
    <row r="2130" spans="4:12" s="348" customFormat="1" ht="12.75" hidden="1" customHeight="1" outlineLevel="2" x14ac:dyDescent="0.2">
      <c r="D2130" s="785" t="str">
        <f>Price_List_BA!D318</f>
        <v>Supplies Category 109</v>
      </c>
      <c r="E2130" s="786"/>
      <c r="F2130" s="786"/>
      <c r="G2130" s="786"/>
      <c r="J2130" s="668" t="str">
        <f>Price_List_BA!J318</f>
        <v>SU</v>
      </c>
      <c r="L2130" s="127">
        <f>Price_List_BA!L318</f>
        <v>0</v>
      </c>
    </row>
    <row r="2131" spans="4:12" s="348" customFormat="1" ht="12.75" hidden="1" customHeight="1" outlineLevel="2" x14ac:dyDescent="0.2">
      <c r="D2131" s="785" t="str">
        <f>Price_List_BA!D319</f>
        <v>Oralpharyngeal airway (ZM)</v>
      </c>
      <c r="E2131" s="786"/>
      <c r="F2131" s="786"/>
      <c r="G2131" s="786"/>
      <c r="J2131" s="668" t="str">
        <f>Price_List_BA!J319</f>
        <v>SU</v>
      </c>
      <c r="L2131" s="127">
        <f>Price_List_BA!L319</f>
        <v>0</v>
      </c>
    </row>
    <row r="2132" spans="4:12" s="348" customFormat="1" ht="12.75" hidden="1" customHeight="1" outlineLevel="2" x14ac:dyDescent="0.2">
      <c r="D2132" s="785" t="str">
        <f>Price_List_BA!D320</f>
        <v>Oxygen Mask (ZM)</v>
      </c>
      <c r="E2132" s="786"/>
      <c r="F2132" s="786"/>
      <c r="G2132" s="786"/>
      <c r="J2132" s="668" t="str">
        <f>Price_List_BA!J320</f>
        <v>SU</v>
      </c>
      <c r="L2132" s="127">
        <f>Price_List_BA!L320</f>
        <v>0</v>
      </c>
    </row>
    <row r="2133" spans="4:12" s="348" customFormat="1" ht="12.75" hidden="1" customHeight="1" outlineLevel="2" x14ac:dyDescent="0.2">
      <c r="D2133" s="785" t="str">
        <f>Price_List_BA!D321</f>
        <v>Pancuronuien (ZM)</v>
      </c>
      <c r="E2133" s="786"/>
      <c r="F2133" s="786"/>
      <c r="G2133" s="786"/>
      <c r="J2133" s="668" t="str">
        <f>Price_List_BA!J321</f>
        <v>SU</v>
      </c>
      <c r="L2133" s="127">
        <f>Price_List_BA!L321</f>
        <v>0</v>
      </c>
    </row>
    <row r="2134" spans="4:12" s="348" customFormat="1" ht="12.75" hidden="1" customHeight="1" outlineLevel="2" x14ac:dyDescent="0.2">
      <c r="D2134" s="785" t="str">
        <f>Price_List_BA!D322</f>
        <v>Paracetamol (1g) (UG)</v>
      </c>
      <c r="E2134" s="786"/>
      <c r="F2134" s="786"/>
      <c r="G2134" s="786"/>
      <c r="J2134" s="668" t="str">
        <f>Price_List_BA!J322</f>
        <v>tablet</v>
      </c>
      <c r="L2134" s="127">
        <f>Price_List_BA!L322</f>
        <v>1.1203409463446619E-2</v>
      </c>
    </row>
    <row r="2135" spans="4:12" s="348" customFormat="1" ht="12.75" hidden="1" customHeight="1" outlineLevel="2" x14ac:dyDescent="0.2">
      <c r="D2135" s="785" t="str">
        <f>Price_List_BA!D323</f>
        <v>Paracetamol (500mg) (ZM)</v>
      </c>
      <c r="E2135" s="786"/>
      <c r="F2135" s="786"/>
      <c r="G2135" s="786"/>
      <c r="J2135" s="668" t="str">
        <f>Price_List_BA!J323</f>
        <v>tablet</v>
      </c>
      <c r="L2135" s="127">
        <f>Price_List_BA!L323</f>
        <v>2.0888E-3</v>
      </c>
    </row>
    <row r="2136" spans="4:12" s="348" customFormat="1" ht="12.95" hidden="1" customHeight="1" outlineLevel="2" x14ac:dyDescent="0.2">
      <c r="D2136" s="785" t="str">
        <f>Price_List_BA!D324</f>
        <v>Paracetamol (500mg) (TZ)</v>
      </c>
      <c r="E2136" s="786"/>
      <c r="F2136" s="786"/>
      <c r="G2136" s="786"/>
      <c r="J2136" s="668" t="str">
        <f>Price_List_BA!J324</f>
        <v>one tablet</v>
      </c>
      <c r="L2136" s="127">
        <f>Price_List_BA!L324</f>
        <v>4.5624999999999997E-3</v>
      </c>
    </row>
    <row r="2137" spans="4:12" s="348" customFormat="1" ht="12.95" hidden="1" customHeight="1" outlineLevel="2" x14ac:dyDescent="0.2">
      <c r="D2137" s="785" t="str">
        <f>Price_List_BA!D325</f>
        <v>Paracetamol (500mg) (UG)</v>
      </c>
      <c r="E2137" s="786"/>
      <c r="F2137" s="786"/>
      <c r="G2137" s="786"/>
      <c r="J2137" s="668" t="str">
        <f>Price_List_BA!J325</f>
        <v>tablet</v>
      </c>
      <c r="L2137" s="127">
        <f>Price_List_BA!L325</f>
        <v>5.6017047317233094E-3</v>
      </c>
    </row>
    <row r="2138" spans="4:12" s="348" customFormat="1" ht="12.95" hidden="1" customHeight="1" outlineLevel="2" x14ac:dyDescent="0.2">
      <c r="D2138" s="785" t="str">
        <f>Price_List_BA!D326</f>
        <v>Pathology form (TZ)</v>
      </c>
      <c r="E2138" s="786"/>
      <c r="F2138" s="786"/>
      <c r="G2138" s="786"/>
      <c r="J2138" s="668">
        <f>Price_List_BA!J326</f>
        <v>1</v>
      </c>
      <c r="L2138" s="127">
        <f>Price_List_BA!L326</f>
        <v>0.31</v>
      </c>
    </row>
    <row r="2139" spans="4:12" s="348" customFormat="1" ht="12.95" hidden="1" customHeight="1" outlineLevel="2" x14ac:dyDescent="0.2">
      <c r="D2139" s="785" t="str">
        <f>Price_List_BA!D327</f>
        <v>Patient card (TZ)</v>
      </c>
      <c r="E2139" s="786"/>
      <c r="F2139" s="786"/>
      <c r="G2139" s="786"/>
      <c r="J2139" s="668" t="str">
        <f>Price_List_BA!J327</f>
        <v>card</v>
      </c>
      <c r="L2139" s="127">
        <f>Price_List_BA!L327</f>
        <v>0.625</v>
      </c>
    </row>
    <row r="2140" spans="4:12" s="348" customFormat="1" ht="12.95" hidden="1" customHeight="1" outlineLevel="2" x14ac:dyDescent="0.2">
      <c r="D2140" s="785" t="str">
        <f>Price_List_BA!D328</f>
        <v>Pencil (TZ)</v>
      </c>
      <c r="E2140" s="786"/>
      <c r="F2140" s="786"/>
      <c r="G2140" s="786"/>
      <c r="J2140" s="668" t="str">
        <f>Price_List_BA!J328</f>
        <v>each</v>
      </c>
      <c r="L2140" s="127">
        <f>Price_List_BA!L328</f>
        <v>0.1875</v>
      </c>
    </row>
    <row r="2141" spans="4:12" s="348" customFormat="1" ht="12.95" hidden="1" customHeight="1" outlineLevel="2" x14ac:dyDescent="0.2">
      <c r="D2141" s="785" t="str">
        <f>Price_List_BA!D329</f>
        <v>Perthodine (TZ)</v>
      </c>
      <c r="E2141" s="786"/>
      <c r="F2141" s="786"/>
      <c r="G2141" s="786"/>
      <c r="J2141" s="668" t="str">
        <f>Price_List_BA!J329</f>
        <v>100ml vial</v>
      </c>
      <c r="L2141" s="127">
        <f>Price_List_BA!L329</f>
        <v>0.5625</v>
      </c>
    </row>
    <row r="2142" spans="4:12" s="348" customFormat="1" ht="12.95" hidden="1" customHeight="1" outlineLevel="2" x14ac:dyDescent="0.2">
      <c r="D2142" s="785" t="str">
        <f>Price_List_BA!D330</f>
        <v>Pipette Tips (TZ)</v>
      </c>
      <c r="E2142" s="786"/>
      <c r="F2142" s="786"/>
      <c r="G2142" s="786"/>
      <c r="J2142" s="668">
        <f>Price_List_BA!J330</f>
        <v>1</v>
      </c>
      <c r="L2142" s="127">
        <f>Price_List_BA!L330</f>
        <v>9.3749999999999997E-3</v>
      </c>
    </row>
    <row r="2143" spans="4:12" s="348" customFormat="1" ht="12.75" hidden="1" customHeight="1" outlineLevel="2" x14ac:dyDescent="0.2">
      <c r="D2143" s="785" t="str">
        <f>Price_List_BA!D331</f>
        <v>Pipette, Fixed, 50 microlitre (TZ)</v>
      </c>
      <c r="E2143" s="786"/>
      <c r="F2143" s="786"/>
      <c r="G2143" s="786"/>
      <c r="J2143" s="668" t="str">
        <f>Price_List_BA!J331</f>
        <v>1 use</v>
      </c>
      <c r="L2143" s="127">
        <f>Price_List_BA!L331</f>
        <v>7.4999999999999997E-2</v>
      </c>
    </row>
    <row r="2144" spans="4:12" s="348" customFormat="1" ht="12.75" hidden="1" customHeight="1" outlineLevel="2" x14ac:dyDescent="0.2">
      <c r="D2144" s="785" t="str">
        <f>Price_List_BA!D332</f>
        <v>Pipette, Repeater (TZ)</v>
      </c>
      <c r="E2144" s="786"/>
      <c r="F2144" s="786"/>
      <c r="G2144" s="786"/>
      <c r="J2144" s="668" t="str">
        <f>Price_List_BA!J332</f>
        <v>1 use</v>
      </c>
      <c r="L2144" s="127">
        <f>Price_List_BA!L332</f>
        <v>6.2500000000000003E-3</v>
      </c>
    </row>
    <row r="2145" spans="4:12" s="348" customFormat="1" ht="12.75" hidden="1" customHeight="1" outlineLevel="2" x14ac:dyDescent="0.2">
      <c r="D2145" s="785" t="str">
        <f>Price_List_BA!D333</f>
        <v>Pregnancy test– urine test strip (ZM)</v>
      </c>
      <c r="E2145" s="786"/>
      <c r="F2145" s="786"/>
      <c r="G2145" s="786"/>
      <c r="J2145" s="668" t="str">
        <f>Price_List_BA!J333</f>
        <v>test</v>
      </c>
      <c r="L2145" s="127">
        <f>Price_List_BA!L333</f>
        <v>0.14374900000000002</v>
      </c>
    </row>
    <row r="2146" spans="4:12" s="348" customFormat="1" ht="12.75" hidden="1" customHeight="1" outlineLevel="2" x14ac:dyDescent="0.2">
      <c r="D2146" s="785" t="str">
        <f>Price_List_BA!D334</f>
        <v>Pregnancy tests – urine test strips (TZ)</v>
      </c>
      <c r="E2146" s="786"/>
      <c r="F2146" s="786"/>
      <c r="G2146" s="786"/>
      <c r="J2146" s="668" t="str">
        <f>Price_List_BA!J334</f>
        <v>one strip</v>
      </c>
      <c r="L2146" s="127">
        <f>Price_List_BA!L334</f>
        <v>0.15</v>
      </c>
    </row>
    <row r="2147" spans="4:12" s="348" customFormat="1" ht="12.75" hidden="1" customHeight="1" outlineLevel="2" x14ac:dyDescent="0.2">
      <c r="D2147" s="785" t="str">
        <f>Price_List_BA!D335</f>
        <v>Profol, 2%, 20 mg/l, 50ml (ZM)</v>
      </c>
      <c r="E2147" s="786"/>
      <c r="F2147" s="786"/>
      <c r="G2147" s="786"/>
      <c r="J2147" s="668" t="str">
        <f>Price_List_BA!J335</f>
        <v>SU</v>
      </c>
      <c r="L2147" s="127">
        <f>Price_List_BA!L335</f>
        <v>0</v>
      </c>
    </row>
    <row r="2148" spans="4:12" s="348" customFormat="1" ht="12.75" hidden="1" customHeight="1" outlineLevel="2" x14ac:dyDescent="0.2">
      <c r="D2148" s="785" t="str">
        <f>Price_List_BA!D336</f>
        <v>Repeater Tips (TZ)</v>
      </c>
      <c r="E2148" s="786"/>
      <c r="F2148" s="786"/>
      <c r="G2148" s="786"/>
      <c r="J2148" s="668">
        <f>Price_List_BA!J336</f>
        <v>1</v>
      </c>
      <c r="L2148" s="127">
        <f>Price_List_BA!L336</f>
        <v>9.3749999999999997E-3</v>
      </c>
    </row>
    <row r="2149" spans="4:12" s="348" customFormat="1" ht="12.75" hidden="1" customHeight="1" outlineLevel="2" x14ac:dyDescent="0.2">
      <c r="D2149" s="785" t="str">
        <f>Price_List_BA!D337</f>
        <v>Return electrode (UG)</v>
      </c>
      <c r="E2149" s="786"/>
      <c r="F2149" s="786"/>
      <c r="G2149" s="786"/>
      <c r="J2149" s="668" t="str">
        <f>Price_List_BA!J337</f>
        <v>piece</v>
      </c>
      <c r="L2149" s="127">
        <f>Price_List_BA!L337</f>
        <v>9</v>
      </c>
    </row>
    <row r="2150" spans="4:12" s="348" customFormat="1" ht="12.75" hidden="1" customHeight="1" outlineLevel="2" x14ac:dyDescent="0.2">
      <c r="D2150" s="785" t="str">
        <f>Price_List_BA!D338</f>
        <v>Saline solution, normal (ZM)</v>
      </c>
      <c r="E2150" s="786"/>
      <c r="F2150" s="786"/>
      <c r="G2150" s="786"/>
      <c r="J2150" s="668" t="str">
        <f>Price_List_BA!J338</f>
        <v>bag</v>
      </c>
      <c r="L2150" s="127">
        <f>Price_List_BA!L338</f>
        <v>0.8224583333333334</v>
      </c>
    </row>
    <row r="2151" spans="4:12" s="348" customFormat="1" ht="12.75" hidden="1" customHeight="1" outlineLevel="2" x14ac:dyDescent="0.2">
      <c r="D2151" s="785" t="str">
        <f>Price_List_BA!D339</f>
        <v>Saline solution, normal (TZ)</v>
      </c>
      <c r="E2151" s="786"/>
      <c r="F2151" s="786"/>
      <c r="G2151" s="786"/>
      <c r="J2151" s="668" t="str">
        <f>Price_List_BA!J339</f>
        <v>mililiter</v>
      </c>
      <c r="L2151" s="127">
        <f>Price_List_BA!L339</f>
        <v>1.8749999999999999E-3</v>
      </c>
    </row>
    <row r="2152" spans="4:12" s="348" customFormat="1" ht="12.75" hidden="1" customHeight="1" outlineLevel="2" x14ac:dyDescent="0.2">
      <c r="D2152" s="785" t="str">
        <f>Price_List_BA!D340</f>
        <v>Sanitary pad (ZM)</v>
      </c>
      <c r="E2152" s="786"/>
      <c r="F2152" s="786"/>
      <c r="G2152" s="786"/>
      <c r="J2152" s="668" t="str">
        <f>Price_List_BA!J340</f>
        <v>pad</v>
      </c>
      <c r="L2152" s="127">
        <f>Price_List_BA!L340</f>
        <v>0.191</v>
      </c>
    </row>
    <row r="2153" spans="4:12" s="348" customFormat="1" ht="12.75" hidden="1" customHeight="1" outlineLevel="2" x14ac:dyDescent="0.2">
      <c r="D2153" s="785" t="str">
        <f>Price_List_BA!D341</f>
        <v>Sanitary pad (UG)</v>
      </c>
      <c r="E2153" s="786"/>
      <c r="F2153" s="786"/>
      <c r="G2153" s="786"/>
      <c r="J2153" s="668" t="str">
        <f>Price_List_BA!J341</f>
        <v>piece</v>
      </c>
      <c r="L2153" s="127">
        <f>Price_List_BA!L341</f>
        <v>1.3890406634369043E-2</v>
      </c>
    </row>
    <row r="2154" spans="4:12" s="348" customFormat="1" ht="12.75" hidden="1" customHeight="1" outlineLevel="2" x14ac:dyDescent="0.2">
      <c r="D2154" s="785" t="str">
        <f>Price_List_BA!D342</f>
        <v>Scouring Powder (Ajax)</v>
      </c>
      <c r="E2154" s="786"/>
      <c r="F2154" s="786"/>
      <c r="G2154" s="786"/>
      <c r="J2154" s="668" t="str">
        <f>Price_List_BA!J342</f>
        <v>1 gram</v>
      </c>
      <c r="L2154" s="127">
        <f>Price_List_BA!L342</f>
        <v>2.6199999999999999E-3</v>
      </c>
    </row>
    <row r="2155" spans="4:12" s="348" customFormat="1" ht="12.75" hidden="1" customHeight="1" outlineLevel="2" x14ac:dyDescent="0.2">
      <c r="D2155" s="785" t="str">
        <f>Price_List_BA!D343</f>
        <v>Soap (or hand sanitizer) (ZM)</v>
      </c>
      <c r="E2155" s="786"/>
      <c r="F2155" s="786"/>
      <c r="G2155" s="786"/>
      <c r="J2155" s="668" t="str">
        <f>Price_List_BA!J343</f>
        <v>uses</v>
      </c>
      <c r="L2155" s="127">
        <f>Price_List_BA!L343</f>
        <v>5.5999999999999999E-3</v>
      </c>
    </row>
    <row r="2156" spans="4:12" s="348" customFormat="1" ht="12.75" hidden="1" customHeight="1" outlineLevel="2" x14ac:dyDescent="0.2">
      <c r="D2156" s="785" t="str">
        <f>Price_List_BA!D344</f>
        <v>Soap (or hand sanitizer) (TZ)</v>
      </c>
      <c r="E2156" s="786"/>
      <c r="F2156" s="786"/>
      <c r="G2156" s="786"/>
      <c r="J2156" s="668" t="str">
        <f>Price_List_BA!J344</f>
        <v>1/25th</v>
      </c>
      <c r="L2156" s="127">
        <f>Price_List_BA!L344</f>
        <v>2.75E-2</v>
      </c>
    </row>
    <row r="2157" spans="4:12" s="348" customFormat="1" ht="12.75" hidden="1" customHeight="1" outlineLevel="2" x14ac:dyDescent="0.2">
      <c r="D2157" s="785" t="str">
        <f>Price_List_BA!D345</f>
        <v>Specimen bottle / recyled syringe bottles (UG)</v>
      </c>
      <c r="E2157" s="786"/>
      <c r="F2157" s="786"/>
      <c r="G2157" s="786"/>
      <c r="J2157" s="668" t="str">
        <f>Price_List_BA!J345</f>
        <v>piece</v>
      </c>
      <c r="L2157" s="127">
        <f>Price_List_BA!L345</f>
        <v>0.32350000000000001</v>
      </c>
    </row>
    <row r="2158" spans="4:12" s="348" customFormat="1" ht="12.75" hidden="1" customHeight="1" outlineLevel="2" x14ac:dyDescent="0.2">
      <c r="D2158" s="785" t="str">
        <f>Price_List_BA!D346</f>
        <v>Specimen cup with lid and label - 100 cc (TZ)</v>
      </c>
      <c r="E2158" s="786"/>
      <c r="F2158" s="786"/>
      <c r="G2158" s="786"/>
      <c r="J2158" s="668" t="str">
        <f>Price_List_BA!J346</f>
        <v>cup with lid</v>
      </c>
      <c r="L2158" s="127">
        <f>Price_List_BA!L346</f>
        <v>6.25E-2</v>
      </c>
    </row>
    <row r="2159" spans="4:12" s="348" customFormat="1" ht="12.75" hidden="1" customHeight="1" outlineLevel="2" x14ac:dyDescent="0.2">
      <c r="D2159" s="785" t="str">
        <f>Price_List_BA!D347</f>
        <v>Surgical Apron (ZM)</v>
      </c>
      <c r="E2159" s="786"/>
      <c r="F2159" s="786"/>
      <c r="G2159" s="786"/>
      <c r="J2159" s="668" t="str">
        <f>Price_List_BA!J347</f>
        <v>apron</v>
      </c>
      <c r="L2159" s="127">
        <f>Price_List_BA!L347</f>
        <v>0.10705000000000001</v>
      </c>
    </row>
    <row r="2160" spans="4:12" s="348" customFormat="1" ht="12.75" hidden="1" customHeight="1" outlineLevel="2" x14ac:dyDescent="0.2">
      <c r="D2160" s="785" t="str">
        <f>Price_List_BA!D348</f>
        <v>Suxamethonium (ZM)</v>
      </c>
      <c r="E2160" s="786"/>
      <c r="F2160" s="786"/>
      <c r="G2160" s="786"/>
      <c r="J2160" s="668" t="str">
        <f>Price_List_BA!J348</f>
        <v>SU</v>
      </c>
      <c r="L2160" s="127">
        <f>Price_List_BA!L348</f>
        <v>0</v>
      </c>
    </row>
    <row r="2161" spans="4:12" s="348" customFormat="1" ht="12.75" hidden="1" customHeight="1" outlineLevel="2" x14ac:dyDescent="0.2">
      <c r="D2161" s="785" t="str">
        <f>Price_List_BA!D349</f>
        <v>Syringe - 2cc (ZM)</v>
      </c>
      <c r="E2161" s="786"/>
      <c r="F2161" s="786"/>
      <c r="G2161" s="786"/>
      <c r="J2161" s="668" t="str">
        <f>Price_List_BA!J349</f>
        <v>syringe</v>
      </c>
      <c r="L2161" s="127">
        <f>Price_List_BA!L349</f>
        <v>1.9598999999999998E-2</v>
      </c>
    </row>
    <row r="2162" spans="4:12" s="348" customFormat="1" ht="12.75" hidden="1" customHeight="1" outlineLevel="2" x14ac:dyDescent="0.2">
      <c r="D2162" s="785" t="str">
        <f>Price_List_BA!D350</f>
        <v>Syringe - 2ml (UG)</v>
      </c>
      <c r="E2162" s="786"/>
      <c r="F2162" s="786"/>
      <c r="G2162" s="786"/>
      <c r="J2162" s="668" t="str">
        <f>Price_List_BA!J350</f>
        <v>syringe</v>
      </c>
      <c r="L2162" s="127">
        <f>Price_List_BA!L350</f>
        <v>6.4910938695224574E-2</v>
      </c>
    </row>
    <row r="2163" spans="4:12" s="348" customFormat="1" ht="12.75" hidden="1" customHeight="1" outlineLevel="2" x14ac:dyDescent="0.2">
      <c r="D2163" s="785" t="str">
        <f>Price_List_BA!D351</f>
        <v>Syringe, 10 cc with needle (ZM)</v>
      </c>
      <c r="E2163" s="786"/>
      <c r="F2163" s="786"/>
      <c r="G2163" s="786"/>
      <c r="J2163" s="668" t="str">
        <f>Price_List_BA!J351</f>
        <v>syringe w/needle</v>
      </c>
      <c r="L2163" s="127">
        <f>Price_List_BA!L351</f>
        <v>2.4021000000000001E-2</v>
      </c>
    </row>
    <row r="2164" spans="4:12" s="348" customFormat="1" ht="12.75" hidden="1" customHeight="1" outlineLevel="2" x14ac:dyDescent="0.2">
      <c r="D2164" s="785" t="str">
        <f>Price_List_BA!D352</f>
        <v>Syringe, 5 cc with needle (ZM)</v>
      </c>
      <c r="E2164" s="786"/>
      <c r="F2164" s="786"/>
      <c r="G2164" s="786"/>
      <c r="J2164" s="668" t="str">
        <f>Price_List_BA!J352</f>
        <v>syringe w/needle</v>
      </c>
      <c r="L2164" s="127">
        <f>Price_List_BA!L352</f>
        <v>1.4752000000000001E-2</v>
      </c>
    </row>
    <row r="2165" spans="4:12" s="348" customFormat="1" ht="12.75" hidden="1" customHeight="1" outlineLevel="2" x14ac:dyDescent="0.2">
      <c r="D2165" s="785" t="str">
        <f>Price_List_BA!D353</f>
        <v>Syringes, 10 cc with needle (TZ)</v>
      </c>
      <c r="E2165" s="786"/>
      <c r="F2165" s="786"/>
      <c r="G2165" s="786"/>
      <c r="J2165" s="668" t="str">
        <f>Price_List_BA!J353</f>
        <v>one piece</v>
      </c>
      <c r="L2165" s="127">
        <f>Price_List_BA!L353</f>
        <v>6.25E-2</v>
      </c>
    </row>
    <row r="2166" spans="4:12" s="348" customFormat="1" ht="12.75" hidden="1" customHeight="1" outlineLevel="2" x14ac:dyDescent="0.2">
      <c r="D2166" s="785" t="str">
        <f>Price_List_BA!D354</f>
        <v>Syringes, 5 cc with needle (TZ)</v>
      </c>
      <c r="E2166" s="786"/>
      <c r="F2166" s="786"/>
      <c r="G2166" s="786"/>
      <c r="J2166" s="668" t="str">
        <f>Price_List_BA!J354</f>
        <v>1 syringe with needle</v>
      </c>
      <c r="L2166" s="127">
        <f>Price_List_BA!L354</f>
        <v>4.3749999999999997E-2</v>
      </c>
    </row>
    <row r="2167" spans="4:12" s="348" customFormat="1" ht="12.75" hidden="1" customHeight="1" outlineLevel="2" x14ac:dyDescent="0.2">
      <c r="D2167" s="785" t="str">
        <f>Price_List_BA!D355</f>
        <v>Syringes, Dental, 25 gauge (ZM)</v>
      </c>
      <c r="E2167" s="786"/>
      <c r="F2167" s="786"/>
      <c r="G2167" s="786"/>
      <c r="J2167" s="668" t="str">
        <f>Price_List_BA!J355</f>
        <v>one syringe</v>
      </c>
      <c r="L2167" s="127">
        <f>Price_List_BA!L355</f>
        <v>0.48200000000000004</v>
      </c>
    </row>
    <row r="2168" spans="4:12" s="348" customFormat="1" ht="12.75" hidden="1" customHeight="1" outlineLevel="2" x14ac:dyDescent="0.2">
      <c r="D2168" s="785" t="str">
        <f>Price_List_BA!D356</f>
        <v>Thiopentone,500mg vial (ZM)</v>
      </c>
      <c r="E2168" s="786"/>
      <c r="F2168" s="786"/>
      <c r="G2168" s="786"/>
      <c r="J2168" s="668" t="str">
        <f>Price_List_BA!J356</f>
        <v>SU</v>
      </c>
      <c r="L2168" s="127">
        <f>Price_List_BA!L356</f>
        <v>0</v>
      </c>
    </row>
    <row r="2169" spans="4:12" s="348" customFormat="1" ht="12.75" hidden="1" customHeight="1" outlineLevel="2" x14ac:dyDescent="0.2">
      <c r="D2169" s="785" t="str">
        <f>Price_List_BA!D357</f>
        <v>Toilet Tissues (roll) – 500 sheets (ZM)</v>
      </c>
      <c r="E2169" s="786"/>
      <c r="F2169" s="786"/>
      <c r="G2169" s="786"/>
      <c r="J2169" s="668" t="str">
        <f>Price_List_BA!J357</f>
        <v>10 sheets</v>
      </c>
      <c r="L2169" s="127">
        <f>Price_List_BA!L357</f>
        <v>8.4000000000000012E-3</v>
      </c>
    </row>
    <row r="2170" spans="4:12" s="348" customFormat="1" ht="12.75" hidden="1" customHeight="1" outlineLevel="2" x14ac:dyDescent="0.2">
      <c r="D2170" s="785" t="str">
        <f>Price_List_BA!D358</f>
        <v>Tramadol (50mg)  (ZM)</v>
      </c>
      <c r="E2170" s="786"/>
      <c r="F2170" s="786"/>
      <c r="G2170" s="786"/>
      <c r="J2170" s="668" t="str">
        <f>Price_List_BA!J358</f>
        <v>tablet</v>
      </c>
      <c r="L2170" s="127">
        <f>Price_List_BA!L358</f>
        <v>1.0829E-2</v>
      </c>
    </row>
    <row r="2171" spans="4:12" s="348" customFormat="1" ht="12.75" hidden="1" customHeight="1" outlineLevel="2" x14ac:dyDescent="0.2">
      <c r="D2171" s="785" t="str">
        <f>Price_List_BA!D359</f>
        <v>Tramadol (50mg) (TZ)</v>
      </c>
      <c r="E2171" s="786"/>
      <c r="F2171" s="786"/>
      <c r="G2171" s="786"/>
      <c r="J2171" s="668" t="str">
        <f>Price_List_BA!J359</f>
        <v>one tablet</v>
      </c>
      <c r="L2171" s="127">
        <f>Price_List_BA!L359</f>
        <v>5.7750000000000003E-2</v>
      </c>
    </row>
    <row r="2172" spans="4:12" s="348" customFormat="1" ht="12.75" hidden="1" customHeight="1" outlineLevel="2" x14ac:dyDescent="0.2">
      <c r="D2172" s="785" t="str">
        <f>Price_List_BA!D360</f>
        <v>Tubes - Endotrach (ZM)</v>
      </c>
      <c r="E2172" s="786"/>
      <c r="F2172" s="786"/>
      <c r="G2172" s="786"/>
      <c r="J2172" s="668" t="str">
        <f>Price_List_BA!J360</f>
        <v>SU</v>
      </c>
      <c r="L2172" s="127">
        <f>Price_List_BA!L360</f>
        <v>0</v>
      </c>
    </row>
    <row r="2173" spans="4:12" s="348" customFormat="1" ht="12.75" hidden="1" customHeight="1" outlineLevel="2" x14ac:dyDescent="0.2">
      <c r="D2173" s="785" t="str">
        <f>Price_List_BA!D361</f>
        <v>Urine Bag (ZM)</v>
      </c>
      <c r="E2173" s="786"/>
      <c r="F2173" s="786"/>
      <c r="G2173" s="786"/>
      <c r="J2173" s="668" t="str">
        <f>Price_List_BA!J361</f>
        <v>bag</v>
      </c>
      <c r="L2173" s="127">
        <f>Price_List_BA!L361</f>
        <v>0.25979099999999999</v>
      </c>
    </row>
    <row r="2174" spans="4:12" s="348" customFormat="1" ht="12.75" hidden="1" customHeight="1" outlineLevel="2" x14ac:dyDescent="0.2">
      <c r="D2174" s="785" t="str">
        <f>Price_List_BA!D362</f>
        <v>Urine Bag (TZ)</v>
      </c>
      <c r="E2174" s="786"/>
      <c r="F2174" s="786"/>
      <c r="G2174" s="786"/>
      <c r="J2174" s="668" t="str">
        <f>Price_List_BA!J362</f>
        <v>one bag</v>
      </c>
      <c r="L2174" s="127">
        <f>Price_List_BA!L362</f>
        <v>0.21249999999999999</v>
      </c>
    </row>
    <row r="2175" spans="4:12" s="348" customFormat="1" ht="12.75" hidden="1" customHeight="1" outlineLevel="2" x14ac:dyDescent="0.2">
      <c r="D2175" s="785" t="str">
        <f>Price_List_BA!D363</f>
        <v>Washing powder (ZM)</v>
      </c>
      <c r="E2175" s="786"/>
      <c r="F2175" s="786"/>
      <c r="G2175" s="786"/>
      <c r="J2175" s="668" t="str">
        <f>Price_List_BA!J363</f>
        <v>gram</v>
      </c>
      <c r="L2175" s="127">
        <f>Price_List_BA!L363</f>
        <v>3.0000000000000001E-3</v>
      </c>
    </row>
    <row r="2176" spans="4:12" s="348" customFormat="1" ht="12.75" hidden="1" customHeight="1" outlineLevel="2" x14ac:dyDescent="0.2">
      <c r="D2176" s="785" t="str">
        <f>Price_List_BA!D364</f>
        <v>Wire electrode (UG)</v>
      </c>
      <c r="E2176" s="786"/>
      <c r="F2176" s="786"/>
      <c r="G2176" s="786"/>
      <c r="J2176" s="668" t="str">
        <f>Price_List_BA!J364</f>
        <v>electrode</v>
      </c>
      <c r="L2176" s="127">
        <f>Price_List_BA!L364</f>
        <v>9</v>
      </c>
    </row>
    <row r="2177" spans="4:12" s="348" customFormat="1" ht="12.75" hidden="1" customHeight="1" outlineLevel="2" x14ac:dyDescent="0.2">
      <c r="D2177" s="785" t="str">
        <f>Price_List_BA!D365</f>
        <v>Wood stick (ZM)</v>
      </c>
      <c r="E2177" s="786"/>
      <c r="F2177" s="786"/>
      <c r="G2177" s="786"/>
      <c r="J2177" s="668" t="str">
        <f>Price_List_BA!J365</f>
        <v>stick</v>
      </c>
      <c r="L2177" s="127">
        <f>Price_List_BA!L365</f>
        <v>2.0052E-3</v>
      </c>
    </row>
    <row r="2178" spans="4:12" s="348" customFormat="1" ht="12.75" hidden="1" customHeight="1" outlineLevel="2" x14ac:dyDescent="0.2">
      <c r="D2178" s="785" t="str">
        <f>Price_List_BA!D366</f>
        <v>Wood stick (TZ)</v>
      </c>
      <c r="E2178" s="786"/>
      <c r="F2178" s="786"/>
      <c r="G2178" s="786"/>
      <c r="J2178" s="668" t="str">
        <f>Price_List_BA!J366</f>
        <v>one stick</v>
      </c>
      <c r="L2178" s="127">
        <f>Price_List_BA!L366</f>
        <v>1.2500000000000001E-2</v>
      </c>
    </row>
    <row r="2179" spans="4:12" s="348" customFormat="1" ht="12.75" hidden="1" customHeight="1" outlineLevel="2" x14ac:dyDescent="0.2">
      <c r="D2179" s="785" t="str">
        <f>Price_List_BA!D367</f>
        <v>Supplies Category 158</v>
      </c>
      <c r="E2179" s="786"/>
      <c r="F2179" s="786"/>
      <c r="G2179" s="786"/>
      <c r="J2179" s="668" t="str">
        <f>Price_List_BA!J367</f>
        <v>SU</v>
      </c>
      <c r="L2179" s="127">
        <f>Price_List_BA!L367</f>
        <v>0</v>
      </c>
    </row>
    <row r="2180" spans="4:12" s="348" customFormat="1" ht="12.75" hidden="1" customHeight="1" outlineLevel="2" x14ac:dyDescent="0.2">
      <c r="D2180" s="785" t="str">
        <f>Price_List_BA!D368</f>
        <v>Supplies Category 159</v>
      </c>
      <c r="E2180" s="786"/>
      <c r="F2180" s="786"/>
      <c r="G2180" s="786"/>
      <c r="J2180" s="668" t="str">
        <f>Price_List_BA!J368</f>
        <v>SU</v>
      </c>
      <c r="L2180" s="127">
        <f>Price_List_BA!L368</f>
        <v>0</v>
      </c>
    </row>
    <row r="2181" spans="4:12" s="348" customFormat="1" ht="12.75" hidden="1" customHeight="1" outlineLevel="2" x14ac:dyDescent="0.2">
      <c r="D2181" s="785" t="str">
        <f>Price_List_BA!D369</f>
        <v>Supplies Category 160</v>
      </c>
      <c r="E2181" s="786"/>
      <c r="F2181" s="786"/>
      <c r="G2181" s="786"/>
      <c r="J2181" s="668" t="str">
        <f>Price_List_BA!J369</f>
        <v>SU</v>
      </c>
      <c r="L2181" s="127">
        <f>Price_List_BA!L369</f>
        <v>0</v>
      </c>
    </row>
    <row r="2182" spans="4:12" s="348" customFormat="1" ht="12.75" hidden="1" customHeight="1" outlineLevel="2" x14ac:dyDescent="0.2">
      <c r="D2182" s="785" t="str">
        <f>Price_List_BA!D370</f>
        <v>Supplies Category 161</v>
      </c>
      <c r="E2182" s="786"/>
      <c r="F2182" s="786"/>
      <c r="G2182" s="786"/>
      <c r="J2182" s="668" t="str">
        <f>Price_List_BA!J370</f>
        <v>SU</v>
      </c>
      <c r="L2182" s="127">
        <f>Price_List_BA!L370</f>
        <v>0</v>
      </c>
    </row>
    <row r="2183" spans="4:12" s="348" customFormat="1" ht="12.75" hidden="1" customHeight="1" outlineLevel="2" x14ac:dyDescent="0.2">
      <c r="D2183" s="785" t="str">
        <f>Price_List_BA!D371</f>
        <v>Supplies Category 162</v>
      </c>
      <c r="E2183" s="786"/>
      <c r="F2183" s="786"/>
      <c r="G2183" s="786"/>
      <c r="J2183" s="668" t="str">
        <f>Price_List_BA!J371</f>
        <v>SU</v>
      </c>
      <c r="L2183" s="127">
        <f>Price_List_BA!L371</f>
        <v>0</v>
      </c>
    </row>
    <row r="2184" spans="4:12" s="348" customFormat="1" ht="12.75" hidden="1" customHeight="1" outlineLevel="2" x14ac:dyDescent="0.2">
      <c r="D2184" s="785" t="str">
        <f>Price_List_BA!D372</f>
        <v>Supplies Category 163</v>
      </c>
      <c r="E2184" s="786"/>
      <c r="F2184" s="786"/>
      <c r="G2184" s="786"/>
      <c r="J2184" s="668" t="str">
        <f>Price_List_BA!J372</f>
        <v>SU</v>
      </c>
      <c r="L2184" s="127">
        <f>Price_List_BA!L372</f>
        <v>0</v>
      </c>
    </row>
    <row r="2185" spans="4:12" s="348" customFormat="1" ht="12.75" hidden="1" customHeight="1" outlineLevel="2" x14ac:dyDescent="0.2">
      <c r="D2185" s="785" t="str">
        <f>Price_List_BA!D373</f>
        <v>Other Supply (Specify)</v>
      </c>
      <c r="E2185" s="786"/>
      <c r="F2185" s="786"/>
      <c r="G2185" s="786"/>
      <c r="J2185" s="668" t="str">
        <f>Price_List_BA!J373</f>
        <v>SU</v>
      </c>
      <c r="L2185" s="127">
        <f>Price_List_BA!L373</f>
        <v>0</v>
      </c>
    </row>
    <row r="2186" spans="4:12" s="348" customFormat="1" ht="12.75" hidden="1" customHeight="1" outlineLevel="2" x14ac:dyDescent="0.2">
      <c r="D2186" s="785" t="str">
        <f>Price_List_BA!D374</f>
        <v>Other Supply (Specify)</v>
      </c>
      <c r="E2186" s="786"/>
      <c r="F2186" s="786"/>
      <c r="G2186" s="786"/>
      <c r="J2186" s="668" t="str">
        <f>Price_List_BA!J374</f>
        <v>SU</v>
      </c>
      <c r="L2186" s="127">
        <f>Price_List_BA!L374</f>
        <v>0</v>
      </c>
    </row>
    <row r="2187" spans="4:12" s="348" customFormat="1" ht="12.75" hidden="1" customHeight="1" outlineLevel="2" x14ac:dyDescent="0.2">
      <c r="D2187" s="785" t="str">
        <f>Price_List_BA!D375</f>
        <v>Other Supply (Specify)</v>
      </c>
      <c r="E2187" s="786"/>
      <c r="F2187" s="786"/>
      <c r="G2187" s="786"/>
      <c r="J2187" s="668" t="str">
        <f>Price_List_BA!J375</f>
        <v>SU</v>
      </c>
      <c r="L2187" s="127">
        <f>Price_List_BA!L375</f>
        <v>0</v>
      </c>
    </row>
    <row r="2188" spans="4:12" s="348" customFormat="1" ht="12.95" hidden="1" customHeight="1" outlineLevel="2" x14ac:dyDescent="0.2">
      <c r="D2188" s="785" t="str">
        <f>Price_List_BA!D376</f>
        <v>Other Supply (Specify)</v>
      </c>
      <c r="E2188" s="786"/>
      <c r="F2188" s="786"/>
      <c r="G2188" s="786"/>
      <c r="J2188" s="668" t="str">
        <f>Price_List_BA!J376</f>
        <v>SU</v>
      </c>
      <c r="L2188" s="127">
        <f>Price_List_BA!L376</f>
        <v>0</v>
      </c>
    </row>
    <row r="2189" spans="4:12" s="348" customFormat="1" hidden="1" outlineLevel="2" x14ac:dyDescent="0.2"/>
    <row r="2190" spans="4:12" s="348" customFormat="1" ht="25.5" hidden="1" outlineLevel="2" x14ac:dyDescent="0.2">
      <c r="D2190" s="667" t="s">
        <v>313</v>
      </c>
      <c r="J2190" s="365" t="str">
        <f>"Cost per Unit ("&amp;$I$1953&amp;"/Unit)"</f>
        <v>Cost per Unit (USD/Unit)</v>
      </c>
      <c r="K2190" s="365" t="str">
        <f>"Annual Financial Cost ("&amp;$I$1953&amp;"/Unit)"</f>
        <v>Annual Financial Cost (USD/Unit)</v>
      </c>
      <c r="L2190" s="312" t="str">
        <f>"Annual Economic Cost ("&amp;$I$1953&amp;"/Unit)"</f>
        <v>Annual Economic Cost (USD/Unit)</v>
      </c>
    </row>
    <row r="2191" spans="4:12" s="348" customFormat="1" ht="12.75" hidden="1" customHeight="1" outlineLevel="2" x14ac:dyDescent="0.2">
      <c r="D2191" s="785" t="str">
        <f>Price_List_BA!D84</f>
        <v>_Not Applicable</v>
      </c>
      <c r="E2191" s="786"/>
      <c r="F2191" s="786"/>
      <c r="G2191" s="786"/>
      <c r="J2191" s="127">
        <f>Price_List_BA!L84</f>
        <v>0</v>
      </c>
      <c r="K2191" s="127">
        <f>Price_List_BA!O84</f>
        <v>0</v>
      </c>
      <c r="L2191" s="127">
        <f>Price_List_BA!P84</f>
        <v>0</v>
      </c>
    </row>
    <row r="2192" spans="4:12" s="348" customFormat="1" ht="12.75" hidden="1" customHeight="1" outlineLevel="2" x14ac:dyDescent="0.2">
      <c r="D2192" s="785" t="str">
        <f>Price_List_BA!D85</f>
        <v>Aluminum pail with lid (TZ)</v>
      </c>
      <c r="E2192" s="786"/>
      <c r="F2192" s="786"/>
      <c r="G2192" s="786"/>
      <c r="J2192" s="127">
        <f>Price_List_BA!L85</f>
        <v>11.25</v>
      </c>
      <c r="K2192" s="127">
        <f>Price_List_BA!O85</f>
        <v>1.125</v>
      </c>
      <c r="L2192" s="127">
        <f>Price_List_BA!P85</f>
        <v>1.3188431993080456</v>
      </c>
    </row>
    <row r="2193" spans="4:12" s="348" customFormat="1" ht="12.75" hidden="1" customHeight="1" outlineLevel="2" x14ac:dyDescent="0.2">
      <c r="D2193" s="785" t="str">
        <f>Price_List_BA!D86</f>
        <v>Autoclaving Machine (ZM)</v>
      </c>
      <c r="E2193" s="786"/>
      <c r="F2193" s="786"/>
      <c r="G2193" s="786"/>
      <c r="J2193" s="127">
        <f>Price_List_BA!L86</f>
        <v>5610</v>
      </c>
      <c r="K2193" s="127">
        <f>Price_List_BA!O86</f>
        <v>2805</v>
      </c>
      <c r="L2193" s="127">
        <f>Price_List_BA!P86</f>
        <v>2931.8467980295582</v>
      </c>
    </row>
    <row r="2194" spans="4:12" s="348" customFormat="1" hidden="1" outlineLevel="2" x14ac:dyDescent="0.2">
      <c r="D2194" s="785" t="str">
        <f>Price_List_BA!D87</f>
        <v>Ball electrode  5mm/Ellman (ZM)</v>
      </c>
      <c r="E2194" s="786"/>
      <c r="F2194" s="786"/>
      <c r="G2194" s="786"/>
      <c r="J2194" s="127">
        <f>Price_List_BA!L87</f>
        <v>37.200000000000003</v>
      </c>
      <c r="K2194" s="127">
        <f>Price_List_BA!O87</f>
        <v>37.200000000000003</v>
      </c>
      <c r="L2194" s="127">
        <f>Price_List_BA!P87</f>
        <v>38.315999999999967</v>
      </c>
    </row>
    <row r="2195" spans="4:12" s="348" customFormat="1" ht="12.75" hidden="1" customHeight="1" outlineLevel="2" x14ac:dyDescent="0.2">
      <c r="D2195" s="785" t="str">
        <f>Price_List_BA!D88</f>
        <v>Basin (for examination couch) (ZM)</v>
      </c>
      <c r="E2195" s="786"/>
      <c r="F2195" s="786"/>
      <c r="G2195" s="786"/>
      <c r="J2195" s="127">
        <f>Price_List_BA!L88</f>
        <v>2</v>
      </c>
      <c r="K2195" s="127">
        <f>Price_List_BA!O88</f>
        <v>1</v>
      </c>
      <c r="L2195" s="127">
        <f>Price_List_BA!P88</f>
        <v>1.0452216748768479</v>
      </c>
    </row>
    <row r="2196" spans="4:12" s="348" customFormat="1" ht="12.75" hidden="1" customHeight="1" outlineLevel="2" x14ac:dyDescent="0.2">
      <c r="D2196" s="785" t="str">
        <f>Price_List_BA!D89</f>
        <v>Battery Charger (ZM)</v>
      </c>
      <c r="E2196" s="786"/>
      <c r="F2196" s="786"/>
      <c r="G2196" s="786"/>
      <c r="J2196" s="127">
        <f>Price_List_BA!L89</f>
        <v>50</v>
      </c>
      <c r="K2196" s="127">
        <f>Price_List_BA!O89</f>
        <v>16.666666666666668</v>
      </c>
      <c r="L2196" s="127">
        <f>Price_List_BA!P89</f>
        <v>17.676518166229901</v>
      </c>
    </row>
    <row r="2197" spans="4:12" s="348" customFormat="1" ht="12.75" hidden="1" customHeight="1" outlineLevel="2" x14ac:dyDescent="0.2">
      <c r="D2197" s="785" t="str">
        <f>Price_List_BA!D90</f>
        <v>Bucket (UG)</v>
      </c>
      <c r="E2197" s="786"/>
      <c r="F2197" s="786"/>
      <c r="G2197" s="786"/>
      <c r="J2197" s="127">
        <f>Price_List_BA!L90</f>
        <v>42.303199999999997</v>
      </c>
      <c r="K2197" s="127">
        <f>Price_List_BA!O90</f>
        <v>4.2303199999999999</v>
      </c>
      <c r="L2197" s="127">
        <f>Price_List_BA!P90</f>
        <v>4.9592255670193879</v>
      </c>
    </row>
    <row r="2198" spans="4:12" s="348" customFormat="1" ht="12.75" hidden="1" customHeight="1" outlineLevel="2" x14ac:dyDescent="0.2">
      <c r="D2198" s="785" t="str">
        <f>Price_List_BA!D91</f>
        <v>Bucket 20Lt plastic with lid (ZM)</v>
      </c>
      <c r="E2198" s="786"/>
      <c r="F2198" s="786"/>
      <c r="G2198" s="786"/>
      <c r="J2198" s="127">
        <f>Price_List_BA!L91</f>
        <v>4</v>
      </c>
      <c r="K2198" s="127">
        <f>Price_List_BA!O91</f>
        <v>0.8</v>
      </c>
      <c r="L2198" s="127">
        <f>Price_List_BA!P91</f>
        <v>0.87341828560230483</v>
      </c>
    </row>
    <row r="2199" spans="4:12" s="348" customFormat="1" ht="12.95" hidden="1" customHeight="1" outlineLevel="2" x14ac:dyDescent="0.2">
      <c r="D2199" s="785" t="str">
        <f>Price_List_BA!D92</f>
        <v>Camera Rechargeable batteries ( set of 6) (ZM)</v>
      </c>
      <c r="E2199" s="786"/>
      <c r="F2199" s="786"/>
      <c r="G2199" s="786"/>
      <c r="J2199" s="127">
        <f>Price_List_BA!L92</f>
        <v>20</v>
      </c>
      <c r="K2199" s="127">
        <f>Price_List_BA!O92</f>
        <v>2</v>
      </c>
      <c r="L2199" s="127">
        <f>Price_List_BA!P92</f>
        <v>2.3446101321031922</v>
      </c>
    </row>
    <row r="2200" spans="4:12" s="348" customFormat="1" ht="12.75" hidden="1" customHeight="1" outlineLevel="2" x14ac:dyDescent="0.2">
      <c r="D2200" s="785" t="str">
        <f>Price_List_BA!D93</f>
        <v>Card Reader (ZM)</v>
      </c>
      <c r="E2200" s="786"/>
      <c r="F2200" s="786"/>
      <c r="G2200" s="786"/>
      <c r="J2200" s="127">
        <f>Price_List_BA!L93</f>
        <v>40</v>
      </c>
      <c r="K2200" s="127">
        <f>Price_List_BA!O93</f>
        <v>20</v>
      </c>
      <c r="L2200" s="127">
        <f>Price_List_BA!P93</f>
        <v>20.904433497536957</v>
      </c>
    </row>
    <row r="2201" spans="4:12" s="348" customFormat="1" ht="12.75" hidden="1" customHeight="1" outlineLevel="2" x14ac:dyDescent="0.2">
      <c r="D2201" s="785" t="str">
        <f>Price_List_BA!D94</f>
        <v>CareHPV Machine (kit set) (ZM)</v>
      </c>
      <c r="E2201" s="786"/>
      <c r="F2201" s="786"/>
      <c r="G2201" s="786"/>
      <c r="J2201" s="127">
        <f>Price_List_BA!L94</f>
        <v>150</v>
      </c>
      <c r="K2201" s="127">
        <f>Price_List_BA!O94</f>
        <v>16.666666666666668</v>
      </c>
      <c r="L2201" s="127">
        <f>Price_List_BA!P94</f>
        <v>19.265078552715515</v>
      </c>
    </row>
    <row r="2202" spans="4:12" s="348" customFormat="1" ht="12.75" hidden="1" customHeight="1" outlineLevel="2" x14ac:dyDescent="0.2">
      <c r="D2202" s="785" t="str">
        <f>Price_List_BA!D95</f>
        <v>CareHPV Machine (kit)  (TZ)</v>
      </c>
      <c r="E2202" s="786"/>
      <c r="F2202" s="786"/>
      <c r="G2202" s="786"/>
      <c r="J2202" s="127">
        <f>Price_List_BA!L95</f>
        <v>1000</v>
      </c>
      <c r="K2202" s="127">
        <f>Price_List_BA!O95</f>
        <v>500</v>
      </c>
      <c r="L2202" s="127">
        <f>Price_List_BA!P95</f>
        <v>522.61083743842391</v>
      </c>
    </row>
    <row r="2203" spans="4:12" s="348" customFormat="1" ht="12.75" hidden="1" customHeight="1" outlineLevel="2" x14ac:dyDescent="0.2">
      <c r="D2203" s="785" t="str">
        <f>Price_List_BA!D96</f>
        <v>Cauterizer (ZM)</v>
      </c>
      <c r="E2203" s="786"/>
      <c r="F2203" s="786"/>
      <c r="G2203" s="786"/>
      <c r="J2203" s="127">
        <f>Price_List_BA!L96</f>
        <v>100</v>
      </c>
      <c r="K2203" s="127">
        <f>Price_List_BA!O96</f>
        <v>10</v>
      </c>
      <c r="L2203" s="127">
        <f>Price_List_BA!P96</f>
        <v>11.723050660515961</v>
      </c>
    </row>
    <row r="2204" spans="4:12" s="348" customFormat="1" ht="12.75" hidden="1" customHeight="1" outlineLevel="2" x14ac:dyDescent="0.2">
      <c r="D2204" s="785" t="str">
        <f>Price_List_BA!D97</f>
        <v>Cauterizer  (TZ)</v>
      </c>
      <c r="E2204" s="786"/>
      <c r="F2204" s="786"/>
      <c r="G2204" s="786"/>
      <c r="J2204" s="127">
        <f>Price_List_BA!L97</f>
        <v>18.75</v>
      </c>
      <c r="K2204" s="127">
        <f>Price_List_BA!O97</f>
        <v>3.75</v>
      </c>
      <c r="L2204" s="127">
        <f>Price_List_BA!P97</f>
        <v>4.0941482137608034</v>
      </c>
    </row>
    <row r="2205" spans="4:12" s="348" customFormat="1" hidden="1" outlineLevel="2" x14ac:dyDescent="0.2">
      <c r="D2205" s="785" t="str">
        <f>Price_List_BA!D98</f>
        <v>Cervical Cold Coagulator with Instrument Cable and Therapy Probe (ZM)</v>
      </c>
      <c r="E2205" s="786"/>
      <c r="F2205" s="786"/>
      <c r="G2205" s="786"/>
      <c r="J2205" s="127">
        <f>Price_List_BA!L98</f>
        <v>2367</v>
      </c>
      <c r="K2205" s="127">
        <f>Price_List_BA!O98</f>
        <v>473.4</v>
      </c>
      <c r="L2205" s="127">
        <f>Price_List_BA!P98</f>
        <v>516.84527050516385</v>
      </c>
    </row>
    <row r="2206" spans="4:12" s="348" customFormat="1" ht="12.75" hidden="1" customHeight="1" outlineLevel="2" x14ac:dyDescent="0.2">
      <c r="D2206" s="785" t="str">
        <f>Price_List_BA!D99</f>
        <v>Chair (ZM)</v>
      </c>
      <c r="E2206" s="786"/>
      <c r="F2206" s="786"/>
      <c r="G2206" s="786"/>
      <c r="J2206" s="127">
        <f>Price_List_BA!L99</f>
        <v>80</v>
      </c>
      <c r="K2206" s="127">
        <f>Price_List_BA!O99</f>
        <v>20</v>
      </c>
      <c r="L2206" s="127">
        <f>Price_List_BA!P99</f>
        <v>21.522163615446605</v>
      </c>
    </row>
    <row r="2207" spans="4:12" s="348" customFormat="1" ht="12.75" hidden="1" customHeight="1" outlineLevel="2" x14ac:dyDescent="0.2">
      <c r="D2207" s="785" t="str">
        <f>Price_List_BA!D100</f>
        <v>Cheetal forceps (UG)</v>
      </c>
      <c r="E2207" s="786"/>
      <c r="F2207" s="786"/>
      <c r="G2207" s="786"/>
      <c r="J2207" s="127">
        <f>Price_List_BA!L100</f>
        <v>8.1560000000000006</v>
      </c>
      <c r="K2207" s="127">
        <f>Price_List_BA!O100</f>
        <v>4.0780000000000003</v>
      </c>
      <c r="L2207" s="127">
        <f>Price_List_BA!P100</f>
        <v>4.2624139901477864</v>
      </c>
    </row>
    <row r="2208" spans="4:12" s="348" customFormat="1" ht="12.75" hidden="1" customHeight="1" outlineLevel="2" x14ac:dyDescent="0.2">
      <c r="D2208" s="785" t="str">
        <f>Price_List_BA!D101</f>
        <v>Colposcope (set) (ZM)</v>
      </c>
      <c r="E2208" s="786"/>
      <c r="F2208" s="786"/>
      <c r="G2208" s="786"/>
      <c r="J2208" s="127">
        <f>Price_List_BA!L101</f>
        <v>10000</v>
      </c>
      <c r="K2208" s="127">
        <f>Price_List_BA!O101</f>
        <v>1428.5714285714287</v>
      </c>
      <c r="L2208" s="127">
        <f>Price_List_BA!P101</f>
        <v>1605.0635375427203</v>
      </c>
    </row>
    <row r="2209" spans="4:12" s="348" customFormat="1" ht="12.75" hidden="1" customHeight="1" outlineLevel="2" x14ac:dyDescent="0.2">
      <c r="D2209" s="785" t="str">
        <f>Price_List_BA!D102</f>
        <v>Colposcope (UG)</v>
      </c>
      <c r="E2209" s="786"/>
      <c r="F2209" s="786"/>
      <c r="G2209" s="786"/>
      <c r="J2209" s="127">
        <f>Price_List_BA!L102</f>
        <v>3100</v>
      </c>
      <c r="K2209" s="127">
        <f>Price_List_BA!O102</f>
        <v>620</v>
      </c>
      <c r="L2209" s="127">
        <f>Price_List_BA!P102</f>
        <v>676.8991713417862</v>
      </c>
    </row>
    <row r="2210" spans="4:12" s="348" customFormat="1" ht="12.95" hidden="1" customHeight="1" outlineLevel="2" x14ac:dyDescent="0.2">
      <c r="D2210" s="785" t="str">
        <f>Price_List_BA!D103</f>
        <v>Colposcopy equipment (TZ)</v>
      </c>
      <c r="E2210" s="786"/>
      <c r="F2210" s="786"/>
      <c r="G2210" s="786"/>
      <c r="J2210" s="127">
        <f>Price_List_BA!L103</f>
        <v>6250</v>
      </c>
      <c r="K2210" s="127">
        <f>Price_List_BA!O103</f>
        <v>625</v>
      </c>
      <c r="L2210" s="127">
        <f>Price_List_BA!P103</f>
        <v>732.69066628224755</v>
      </c>
    </row>
    <row r="2211" spans="4:12" s="348" customFormat="1" ht="12.95" hidden="1" customHeight="1" outlineLevel="2" x14ac:dyDescent="0.2">
      <c r="D2211" s="785" t="str">
        <f>Price_List_BA!D104</f>
        <v>Cryotherapy unit (UG)</v>
      </c>
      <c r="E2211" s="786"/>
      <c r="F2211" s="786"/>
      <c r="G2211" s="786"/>
      <c r="J2211" s="127">
        <f>Price_List_BA!L104</f>
        <v>1091</v>
      </c>
      <c r="K2211" s="127">
        <f>Price_List_BA!O104</f>
        <v>218.2</v>
      </c>
      <c r="L2211" s="127">
        <f>Price_List_BA!P104</f>
        <v>238.22483739802863</v>
      </c>
    </row>
    <row r="2212" spans="4:12" s="348" customFormat="1" ht="12.95" hidden="1" customHeight="1" outlineLevel="2" x14ac:dyDescent="0.2">
      <c r="D2212" s="785" t="str">
        <f>Price_List_BA!D105</f>
        <v>Cryotherapy Unit with cryotips (set) (ZM)</v>
      </c>
      <c r="E2212" s="786"/>
      <c r="F2212" s="786"/>
      <c r="G2212" s="786"/>
      <c r="J2212" s="127">
        <f>Price_List_BA!L105</f>
        <v>500</v>
      </c>
      <c r="K2212" s="127">
        <f>Price_List_BA!O105</f>
        <v>125</v>
      </c>
      <c r="L2212" s="127">
        <f>Price_List_BA!P105</f>
        <v>134.51352259654129</v>
      </c>
    </row>
    <row r="2213" spans="4:12" s="348" customFormat="1" ht="12.95" hidden="1" customHeight="1" outlineLevel="2" x14ac:dyDescent="0.2">
      <c r="D2213" s="785" t="str">
        <f>Price_List_BA!D106</f>
        <v>Cryotherapy Unit with cryotips (TZ)</v>
      </c>
      <c r="E2213" s="786"/>
      <c r="F2213" s="786"/>
      <c r="G2213" s="786"/>
      <c r="J2213" s="127">
        <f>Price_List_BA!L106</f>
        <v>1875</v>
      </c>
      <c r="K2213" s="127">
        <f>Price_List_BA!O106</f>
        <v>187.5</v>
      </c>
      <c r="L2213" s="127">
        <f>Price_List_BA!P106</f>
        <v>219.80719988467428</v>
      </c>
    </row>
    <row r="2214" spans="4:12" s="348" customFormat="1" ht="12.95" hidden="1" customHeight="1" outlineLevel="2" x14ac:dyDescent="0.2">
      <c r="D2214" s="785" t="str">
        <f>Price_List_BA!D107</f>
        <v>Digital Camera (ZM)</v>
      </c>
      <c r="E2214" s="786"/>
      <c r="F2214" s="786"/>
      <c r="G2214" s="786"/>
      <c r="J2214" s="127">
        <f>Price_List_BA!L107</f>
        <v>700</v>
      </c>
      <c r="K2214" s="127">
        <f>Price_List_BA!O107</f>
        <v>77.777777777777771</v>
      </c>
      <c r="L2214" s="127">
        <f>Price_List_BA!P107</f>
        <v>89.903699912672408</v>
      </c>
    </row>
    <row r="2215" spans="4:12" s="348" customFormat="1" ht="12.95" hidden="1" customHeight="1" outlineLevel="2" x14ac:dyDescent="0.2">
      <c r="D2215" s="785" t="str">
        <f>Price_List_BA!D108</f>
        <v>Dissecting forceps – 12.5 cm  (TZ)</v>
      </c>
      <c r="E2215" s="786"/>
      <c r="F2215" s="786"/>
      <c r="G2215" s="786"/>
      <c r="J2215" s="127">
        <f>Price_List_BA!L108</f>
        <v>5.8125</v>
      </c>
      <c r="K2215" s="127">
        <f>Price_List_BA!O108</f>
        <v>0.64583333333333337</v>
      </c>
      <c r="L2215" s="127">
        <f>Price_List_BA!P108</f>
        <v>0.74652179391772622</v>
      </c>
    </row>
    <row r="2216" spans="4:12" s="348" customFormat="1" ht="12.95" hidden="1" customHeight="1" outlineLevel="2" x14ac:dyDescent="0.2">
      <c r="D2216" s="785" t="str">
        <f>Price_List_BA!D109</f>
        <v>Doctor's Stool (ZM)</v>
      </c>
      <c r="E2216" s="786"/>
      <c r="F2216" s="786"/>
      <c r="G2216" s="786"/>
      <c r="J2216" s="127">
        <f>Price_List_BA!L109</f>
        <v>100</v>
      </c>
      <c r="K2216" s="127">
        <f>Price_List_BA!O109</f>
        <v>16.666666666666668</v>
      </c>
      <c r="L2216" s="127">
        <f>Price_List_BA!P109</f>
        <v>18.459750045017728</v>
      </c>
    </row>
    <row r="2217" spans="4:12" s="348" customFormat="1" ht="12.95" hidden="1" customHeight="1" outlineLevel="2" x14ac:dyDescent="0.2">
      <c r="D2217" s="785" t="str">
        <f>Price_List_BA!D110</f>
        <v>Endocervical speculum  (UG)</v>
      </c>
      <c r="E2217" s="786"/>
      <c r="F2217" s="786"/>
      <c r="G2217" s="786"/>
      <c r="J2217" s="127">
        <f>Price_List_BA!L110</f>
        <v>100</v>
      </c>
      <c r="K2217" s="127">
        <f>Price_List_BA!O110</f>
        <v>50</v>
      </c>
      <c r="L2217" s="127">
        <f>Price_List_BA!P110</f>
        <v>52.261083743842391</v>
      </c>
    </row>
    <row r="2218" spans="4:12" s="348" customFormat="1" ht="12.95" hidden="1" customHeight="1" outlineLevel="2" x14ac:dyDescent="0.2">
      <c r="D2218" s="785" t="str">
        <f>Price_List_BA!D111</f>
        <v>Examination bed (UG)</v>
      </c>
      <c r="E2218" s="786"/>
      <c r="F2218" s="786"/>
      <c r="G2218" s="786"/>
      <c r="J2218" s="127">
        <f>Price_List_BA!L111</f>
        <v>197.1369</v>
      </c>
      <c r="K2218" s="127">
        <f>Price_List_BA!O111</f>
        <v>39.427379999999999</v>
      </c>
      <c r="L2218" s="127">
        <f>Price_List_BA!P111</f>
        <v>43.045743306738252</v>
      </c>
    </row>
    <row r="2219" spans="4:12" s="348" customFormat="1" ht="12.95" hidden="1" customHeight="1" outlineLevel="2" x14ac:dyDescent="0.2">
      <c r="D2219" s="785" t="str">
        <f>Price_List_BA!D112</f>
        <v>Examination couch (with Stirrups) (ZM)</v>
      </c>
      <c r="E2219" s="786"/>
      <c r="F2219" s="786"/>
      <c r="G2219" s="786"/>
      <c r="J2219" s="127">
        <f>Price_List_BA!L112</f>
        <v>446.5</v>
      </c>
      <c r="K2219" s="127">
        <f>Price_List_BA!O112</f>
        <v>89.3</v>
      </c>
      <c r="L2219" s="127">
        <f>Price_List_BA!P112</f>
        <v>97.495316130357267</v>
      </c>
    </row>
    <row r="2220" spans="4:12" s="348" customFormat="1" ht="12.95" hidden="1" customHeight="1" outlineLevel="2" x14ac:dyDescent="0.2">
      <c r="D2220" s="785" t="str">
        <f>Price_List_BA!D113</f>
        <v>Examination light (Halogen, no bulb) (ZM)</v>
      </c>
      <c r="E2220" s="786"/>
      <c r="F2220" s="786"/>
      <c r="G2220" s="786"/>
      <c r="J2220" s="127">
        <f>Price_List_BA!L113</f>
        <v>370</v>
      </c>
      <c r="K2220" s="127">
        <f>Price_List_BA!O113</f>
        <v>61.666666666666664</v>
      </c>
      <c r="L2220" s="127">
        <f>Price_List_BA!P113</f>
        <v>68.301075166565596</v>
      </c>
    </row>
    <row r="2221" spans="4:12" s="348" customFormat="1" ht="12.75" hidden="1" customHeight="1" outlineLevel="2" x14ac:dyDescent="0.2">
      <c r="D2221" s="785" t="str">
        <f>Price_List_BA!D114</f>
        <v>Examination light source  (TZ)</v>
      </c>
      <c r="E2221" s="786"/>
      <c r="F2221" s="786"/>
      <c r="G2221" s="786"/>
      <c r="J2221" s="127">
        <f>Price_List_BA!L114</f>
        <v>40.625</v>
      </c>
      <c r="K2221" s="127">
        <f>Price_List_BA!O114</f>
        <v>8.125</v>
      </c>
      <c r="L2221" s="127">
        <f>Price_List_BA!P114</f>
        <v>8.8706544631484086</v>
      </c>
    </row>
    <row r="2222" spans="4:12" s="348" customFormat="1" ht="12.75" hidden="1" customHeight="1" outlineLevel="2" x14ac:dyDescent="0.2">
      <c r="D2222" s="785" t="str">
        <f>Price_List_BA!D115</f>
        <v>Examination light source (Halogen) with bulb (set) (ZM)</v>
      </c>
      <c r="E2222" s="786"/>
      <c r="F2222" s="786"/>
      <c r="G2222" s="786"/>
      <c r="J2222" s="127">
        <f>Price_List_BA!L115</f>
        <v>430</v>
      </c>
      <c r="K2222" s="127">
        <f>Price_List_BA!O115</f>
        <v>86</v>
      </c>
      <c r="L2222" s="127">
        <f>Price_List_BA!P115</f>
        <v>93.892465702247762</v>
      </c>
    </row>
    <row r="2223" spans="4:12" s="348" customFormat="1" ht="12.75" hidden="1" customHeight="1" outlineLevel="2" x14ac:dyDescent="0.2">
      <c r="D2223" s="785" t="str">
        <f>Price_List_BA!D116</f>
        <v>Examination table (UG)</v>
      </c>
      <c r="E2223" s="786"/>
      <c r="F2223" s="786"/>
      <c r="G2223" s="786"/>
      <c r="J2223" s="127">
        <f>Price_List_BA!L116</f>
        <v>197.1369</v>
      </c>
      <c r="K2223" s="127">
        <f>Price_List_BA!O116</f>
        <v>39.427379999999999</v>
      </c>
      <c r="L2223" s="127">
        <f>Price_List_BA!P116</f>
        <v>43.045743306738252</v>
      </c>
    </row>
    <row r="2224" spans="4:12" s="348" customFormat="1" ht="12.75" hidden="1" customHeight="1" outlineLevel="2" x14ac:dyDescent="0.2">
      <c r="D2224" s="785" t="str">
        <f>Price_List_BA!D117</f>
        <v>Filing Cabinet (ZM)</v>
      </c>
      <c r="E2224" s="786"/>
      <c r="F2224" s="786"/>
      <c r="G2224" s="786"/>
      <c r="J2224" s="127">
        <f>Price_List_BA!L117</f>
        <v>354</v>
      </c>
      <c r="K2224" s="127">
        <f>Price_List_BA!O117</f>
        <v>35.4</v>
      </c>
      <c r="L2224" s="127">
        <f>Price_List_BA!P117</f>
        <v>41.499599338226503</v>
      </c>
    </row>
    <row r="2225" spans="4:12" s="348" customFormat="1" ht="12.75" hidden="1" customHeight="1" outlineLevel="2" x14ac:dyDescent="0.2">
      <c r="D2225" s="785" t="str">
        <f>Price_List_BA!D118</f>
        <v>Forceps (UG)</v>
      </c>
      <c r="E2225" s="786"/>
      <c r="F2225" s="786"/>
      <c r="G2225" s="786"/>
      <c r="J2225" s="127">
        <f>Price_List_BA!L118</f>
        <v>8.1560000000000006</v>
      </c>
      <c r="K2225" s="127">
        <f>Price_List_BA!O118</f>
        <v>1.6312000000000002</v>
      </c>
      <c r="L2225" s="127">
        <f>Price_List_BA!P118</f>
        <v>1.7808998843430996</v>
      </c>
    </row>
    <row r="2226" spans="4:12" s="348" customFormat="1" ht="12.75" hidden="1" customHeight="1" outlineLevel="2" x14ac:dyDescent="0.2">
      <c r="D2226" s="785" t="str">
        <f>Price_List_BA!D119</f>
        <v>Forceps Babcocks  (ZM)</v>
      </c>
      <c r="E2226" s="786"/>
      <c r="F2226" s="786"/>
      <c r="G2226" s="786"/>
      <c r="J2226" s="127">
        <f>Price_List_BA!L119</f>
        <v>13</v>
      </c>
      <c r="K2226" s="127">
        <f>Price_List_BA!O119</f>
        <v>1.4444444444444444</v>
      </c>
      <c r="L2226" s="127">
        <f>Price_List_BA!P119</f>
        <v>1.6696401412353445</v>
      </c>
    </row>
    <row r="2227" spans="4:12" s="348" customFormat="1" ht="12.75" hidden="1" customHeight="1" outlineLevel="2" x14ac:dyDescent="0.2">
      <c r="D2227" s="785" t="str">
        <f>Price_List_BA!D120</f>
        <v>Forceps tissue - babcocks  (TZ)</v>
      </c>
      <c r="E2227" s="786"/>
      <c r="F2227" s="786"/>
      <c r="G2227" s="786"/>
      <c r="J2227" s="127">
        <f>Price_List_BA!L120</f>
        <v>3.75</v>
      </c>
      <c r="K2227" s="127">
        <f>Price_List_BA!O120</f>
        <v>0.75</v>
      </c>
      <c r="L2227" s="127">
        <f>Price_List_BA!P120</f>
        <v>0.81882964275216075</v>
      </c>
    </row>
    <row r="2228" spans="4:12" s="348" customFormat="1" ht="12.75" hidden="1" customHeight="1" outlineLevel="2" x14ac:dyDescent="0.2">
      <c r="D2228" s="785" t="str">
        <f>Price_List_BA!D121</f>
        <v>Forceps tissue - long  (TZ)</v>
      </c>
      <c r="E2228" s="786"/>
      <c r="F2228" s="786"/>
      <c r="G2228" s="786"/>
      <c r="J2228" s="127">
        <f>Price_List_BA!L121</f>
        <v>8.75</v>
      </c>
      <c r="K2228" s="127">
        <f>Price_List_BA!O121</f>
        <v>1.75</v>
      </c>
      <c r="L2228" s="127">
        <f>Price_List_BA!P121</f>
        <v>1.9106024997550417</v>
      </c>
    </row>
    <row r="2229" spans="4:12" s="348" customFormat="1" ht="12.75" hidden="1" customHeight="1" outlineLevel="2" x14ac:dyDescent="0.2">
      <c r="D2229" s="785" t="str">
        <f>Price_List_BA!D122</f>
        <v>Forceps tissue- litlewoods 19 cm  (TZ)</v>
      </c>
      <c r="E2229" s="786"/>
      <c r="F2229" s="786"/>
      <c r="G2229" s="786"/>
      <c r="J2229" s="127">
        <f>Price_List_BA!L122</f>
        <v>10.625</v>
      </c>
      <c r="K2229" s="127">
        <f>Price_List_BA!O122</f>
        <v>2.125</v>
      </c>
      <c r="L2229" s="127">
        <f>Price_List_BA!P122</f>
        <v>2.3200173211311221</v>
      </c>
    </row>
    <row r="2230" spans="4:12" s="348" customFormat="1" ht="12.75" hidden="1" customHeight="1" outlineLevel="2" x14ac:dyDescent="0.2">
      <c r="D2230" s="785" t="str">
        <f>Price_List_BA!D123</f>
        <v>Forceps, Cheetal (ZM)</v>
      </c>
      <c r="E2230" s="786"/>
      <c r="F2230" s="786"/>
      <c r="G2230" s="786"/>
      <c r="J2230" s="127">
        <f>Price_List_BA!L123</f>
        <v>15</v>
      </c>
      <c r="K2230" s="127">
        <f>Price_List_BA!O123</f>
        <v>3.75</v>
      </c>
      <c r="L2230" s="127">
        <f>Price_List_BA!P123</f>
        <v>4.0354056778962386</v>
      </c>
    </row>
    <row r="2231" spans="4:12" s="348" customFormat="1" ht="12.75" hidden="1" customHeight="1" outlineLevel="2" x14ac:dyDescent="0.2">
      <c r="D2231" s="785" t="str">
        <f>Price_List_BA!D124</f>
        <v>Forceps, Dissecting - 12.5 cm (ZM)</v>
      </c>
      <c r="E2231" s="786"/>
      <c r="F2231" s="786"/>
      <c r="G2231" s="786"/>
      <c r="J2231" s="127">
        <f>Price_List_BA!L124</f>
        <v>16.899999999999999</v>
      </c>
      <c r="K2231" s="127">
        <f>Price_List_BA!O124</f>
        <v>1.8777777777777775</v>
      </c>
      <c r="L2231" s="127">
        <f>Price_List_BA!P124</f>
        <v>2.1705321836059479</v>
      </c>
    </row>
    <row r="2232" spans="4:12" s="348" customFormat="1" ht="12.75" hidden="1" customHeight="1" outlineLevel="2" x14ac:dyDescent="0.2">
      <c r="D2232" s="785" t="str">
        <f>Price_List_BA!D125</f>
        <v>Forceps, Littlewoods 19 cm (ZM)</v>
      </c>
      <c r="E2232" s="786"/>
      <c r="F2232" s="786"/>
      <c r="G2232" s="786"/>
      <c r="J2232" s="127">
        <f>Price_List_BA!L125</f>
        <v>17</v>
      </c>
      <c r="K2232" s="127">
        <f>Price_List_BA!O125</f>
        <v>8.5</v>
      </c>
      <c r="L2232" s="127">
        <f>Price_List_BA!P125</f>
        <v>8.884384236453208</v>
      </c>
    </row>
    <row r="2233" spans="4:12" s="348" customFormat="1" ht="12.75" hidden="1" customHeight="1" outlineLevel="2" x14ac:dyDescent="0.2">
      <c r="D2233" s="785" t="str">
        <f>Price_List_BA!D126</f>
        <v>Forceps, Long  (ZM)</v>
      </c>
      <c r="E2233" s="786"/>
      <c r="F2233" s="786"/>
      <c r="G2233" s="786"/>
      <c r="J2233" s="127">
        <f>Price_List_BA!L126</f>
        <v>15</v>
      </c>
      <c r="K2233" s="127">
        <f>Price_List_BA!O126</f>
        <v>2.5</v>
      </c>
      <c r="L2233" s="127">
        <f>Price_List_BA!P126</f>
        <v>2.7689625067526591</v>
      </c>
    </row>
    <row r="2234" spans="4:12" s="348" customFormat="1" ht="12.75" hidden="1" customHeight="1" outlineLevel="2" x14ac:dyDescent="0.2">
      <c r="D2234" s="785" t="str">
        <f>Price_List_BA!D127</f>
        <v>Forceps, ovum (ZM)</v>
      </c>
      <c r="E2234" s="786"/>
      <c r="F2234" s="786"/>
      <c r="G2234" s="786"/>
      <c r="J2234" s="127">
        <f>Price_List_BA!L127</f>
        <v>15</v>
      </c>
      <c r="K2234" s="127">
        <f>Price_List_BA!O127</f>
        <v>2.5</v>
      </c>
      <c r="L2234" s="127">
        <f>Price_List_BA!P127</f>
        <v>2.7689625067526591</v>
      </c>
    </row>
    <row r="2235" spans="4:12" s="348" customFormat="1" ht="12.75" hidden="1" customHeight="1" outlineLevel="2" x14ac:dyDescent="0.2">
      <c r="D2235" s="785" t="str">
        <f>Price_List_BA!D128</f>
        <v>Forceps, ovum  (TZ)</v>
      </c>
      <c r="E2235" s="786"/>
      <c r="F2235" s="786"/>
      <c r="G2235" s="786"/>
      <c r="J2235" s="127">
        <f>Price_List_BA!L128</f>
        <v>3.4375</v>
      </c>
      <c r="K2235" s="127">
        <f>Price_List_BA!O128</f>
        <v>0.6875</v>
      </c>
      <c r="L2235" s="127">
        <f>Price_List_BA!P128</f>
        <v>0.75059383918948064</v>
      </c>
    </row>
    <row r="2236" spans="4:12" s="348" customFormat="1" ht="12.75" hidden="1" customHeight="1" outlineLevel="2" x14ac:dyDescent="0.2">
      <c r="D2236" s="785" t="str">
        <f>Price_List_BA!D129</f>
        <v>Forceps, Punch biopsy (ZM)</v>
      </c>
      <c r="E2236" s="786"/>
      <c r="F2236" s="786"/>
      <c r="G2236" s="786"/>
      <c r="J2236" s="127">
        <f>Price_List_BA!L129</f>
        <v>15</v>
      </c>
      <c r="K2236" s="127">
        <f>Price_List_BA!O129</f>
        <v>3.75</v>
      </c>
      <c r="L2236" s="127">
        <f>Price_List_BA!P129</f>
        <v>4.0354056778962386</v>
      </c>
    </row>
    <row r="2237" spans="4:12" s="348" customFormat="1" ht="12.75" hidden="1" customHeight="1" outlineLevel="2" x14ac:dyDescent="0.2">
      <c r="D2237" s="785" t="str">
        <f>Price_List_BA!D130</f>
        <v>Forceps, punch biopsy (TZ)</v>
      </c>
      <c r="E2237" s="786"/>
      <c r="F2237" s="786"/>
      <c r="G2237" s="786"/>
      <c r="J2237" s="127">
        <f>Price_List_BA!L130</f>
        <v>37.5</v>
      </c>
      <c r="K2237" s="127">
        <f>Price_List_BA!O130</f>
        <v>7.5</v>
      </c>
      <c r="L2237" s="127">
        <f>Price_List_BA!P130</f>
        <v>8.1882964275216068</v>
      </c>
    </row>
    <row r="2238" spans="4:12" s="348" customFormat="1" ht="12.75" hidden="1" customHeight="1" outlineLevel="2" x14ac:dyDescent="0.2">
      <c r="D2238" s="785" t="str">
        <f>Price_List_BA!D131</f>
        <v>Forceps, Sponge holder (ZM)</v>
      </c>
      <c r="E2238" s="786"/>
      <c r="F2238" s="786"/>
      <c r="G2238" s="786"/>
      <c r="J2238" s="127">
        <f>Price_List_BA!L131</f>
        <v>12</v>
      </c>
      <c r="K2238" s="127">
        <f>Price_List_BA!O131</f>
        <v>1.5</v>
      </c>
      <c r="L2238" s="127">
        <f>Price_List_BA!P131</f>
        <v>1.709476665926871</v>
      </c>
    </row>
    <row r="2239" spans="4:12" s="348" customFormat="1" ht="12.75" hidden="1" customHeight="1" outlineLevel="2" x14ac:dyDescent="0.2">
      <c r="D2239" s="785" t="str">
        <f>Price_List_BA!D132</f>
        <v>Forceps, sponge holder  (TZ)</v>
      </c>
      <c r="E2239" s="786"/>
      <c r="F2239" s="786"/>
      <c r="G2239" s="786"/>
      <c r="J2239" s="127">
        <f>Price_List_BA!L132</f>
        <v>3.4375</v>
      </c>
      <c r="K2239" s="127">
        <f>Price_List_BA!O132</f>
        <v>0.6875</v>
      </c>
      <c r="L2239" s="127">
        <f>Price_List_BA!P132</f>
        <v>0.75059383918948064</v>
      </c>
    </row>
    <row r="2240" spans="4:12" s="348" customFormat="1" ht="12.75" hidden="1" customHeight="1" outlineLevel="2" x14ac:dyDescent="0.2">
      <c r="D2240" s="785" t="str">
        <f>Price_List_BA!D133</f>
        <v>Gallipot (ZM)</v>
      </c>
      <c r="E2240" s="786"/>
      <c r="F2240" s="786"/>
      <c r="G2240" s="786"/>
      <c r="J2240" s="127">
        <f>Price_List_BA!L133</f>
        <v>10</v>
      </c>
      <c r="K2240" s="127">
        <f>Price_List_BA!O133</f>
        <v>1.1111111111111112</v>
      </c>
      <c r="L2240" s="127">
        <f>Price_List_BA!P133</f>
        <v>1.2843385701810344</v>
      </c>
    </row>
    <row r="2241" spans="4:12" s="348" customFormat="1" ht="12.75" hidden="1" customHeight="1" outlineLevel="2" x14ac:dyDescent="0.2">
      <c r="D2241" s="785" t="str">
        <f>Price_List_BA!D134</f>
        <v>Gallipot (UG)</v>
      </c>
      <c r="E2241" s="786"/>
      <c r="F2241" s="786"/>
      <c r="G2241" s="786"/>
      <c r="J2241" s="127">
        <f>Price_List_BA!L134</f>
        <v>3.9441999999999999</v>
      </c>
      <c r="K2241" s="127">
        <f>Price_List_BA!O134</f>
        <v>0.78883999999999999</v>
      </c>
      <c r="L2241" s="127">
        <f>Price_List_BA!P134</f>
        <v>0.86123410051815263</v>
      </c>
    </row>
    <row r="2242" spans="4:12" s="348" customFormat="1" ht="12.75" hidden="1" customHeight="1" outlineLevel="2" x14ac:dyDescent="0.2">
      <c r="D2242" s="785" t="str">
        <f>Price_List_BA!D135</f>
        <v>Gas cylinder adaptor (ZM)</v>
      </c>
      <c r="E2242" s="786"/>
      <c r="F2242" s="786"/>
      <c r="G2242" s="786"/>
      <c r="J2242" s="127">
        <f>Price_List_BA!L135</f>
        <v>15</v>
      </c>
      <c r="K2242" s="127">
        <f>Price_List_BA!O135</f>
        <v>1.875</v>
      </c>
      <c r="L2242" s="127">
        <f>Price_List_BA!P135</f>
        <v>2.1368458324085888</v>
      </c>
    </row>
    <row r="2243" spans="4:12" s="348" customFormat="1" ht="12.75" hidden="1" customHeight="1" outlineLevel="2" x14ac:dyDescent="0.2">
      <c r="D2243" s="785" t="str">
        <f>Price_List_BA!D136</f>
        <v>Gas cylinder adaptor  (TZ)</v>
      </c>
      <c r="E2243" s="786"/>
      <c r="F2243" s="786"/>
      <c r="G2243" s="786"/>
      <c r="J2243" s="127">
        <f>Price_List_BA!L136</f>
        <v>82.5</v>
      </c>
      <c r="K2243" s="127">
        <f>Price_List_BA!O136</f>
        <v>8.25</v>
      </c>
      <c r="L2243" s="127">
        <f>Price_List_BA!P136</f>
        <v>9.6715167949256688</v>
      </c>
    </row>
    <row r="2244" spans="4:12" s="348" customFormat="1" ht="12.75" hidden="1" customHeight="1" outlineLevel="2" x14ac:dyDescent="0.2">
      <c r="D2244" s="785" t="str">
        <f>Price_List_BA!D137</f>
        <v>Gynecological examination bed  (TZ)</v>
      </c>
      <c r="E2244" s="786"/>
      <c r="F2244" s="786"/>
      <c r="G2244" s="786"/>
      <c r="J2244" s="127">
        <f>Price_List_BA!L137</f>
        <v>346.875</v>
      </c>
      <c r="K2244" s="127">
        <f>Price_List_BA!O137</f>
        <v>173.4375</v>
      </c>
      <c r="L2244" s="127">
        <f>Price_List_BA!P137</f>
        <v>181.2806342364533</v>
      </c>
    </row>
    <row r="2245" spans="4:12" s="348" customFormat="1" ht="12.75" hidden="1" customHeight="1" outlineLevel="2" x14ac:dyDescent="0.2">
      <c r="D2245" s="785" t="str">
        <f>Price_List_BA!D138</f>
        <v>Halogen Bulbs (ZM)</v>
      </c>
      <c r="E2245" s="786"/>
      <c r="F2245" s="786"/>
      <c r="G2245" s="786"/>
      <c r="J2245" s="127">
        <f>Price_List_BA!L138</f>
        <v>50</v>
      </c>
      <c r="K2245" s="127">
        <f>Price_List_BA!O138</f>
        <v>5</v>
      </c>
      <c r="L2245" s="127">
        <f>Price_List_BA!P138</f>
        <v>5.8615253302579804</v>
      </c>
    </row>
    <row r="2246" spans="4:12" s="348" customFormat="1" ht="12.75" hidden="1" customHeight="1" outlineLevel="2" x14ac:dyDescent="0.2">
      <c r="D2246" s="785" t="str">
        <f>Price_List_BA!D139</f>
        <v>Hysterectomy Set (ZM)</v>
      </c>
      <c r="E2246" s="786"/>
      <c r="F2246" s="786"/>
      <c r="G2246" s="786"/>
      <c r="J2246" s="127">
        <f>Price_List_BA!L139</f>
        <v>120</v>
      </c>
      <c r="K2246" s="127">
        <f>Price_List_BA!O139</f>
        <v>24</v>
      </c>
      <c r="L2246" s="127">
        <f>Price_List_BA!P139</f>
        <v>26.202548568069144</v>
      </c>
    </row>
    <row r="2247" spans="4:12" s="348" customFormat="1" ht="12.75" hidden="1" customHeight="1" outlineLevel="2" x14ac:dyDescent="0.2">
      <c r="D2247" s="785" t="str">
        <f>Price_List_BA!D140</f>
        <v>Instrument tray (ZM)</v>
      </c>
      <c r="E2247" s="786"/>
      <c r="F2247" s="786"/>
      <c r="G2247" s="786"/>
      <c r="J2247" s="127">
        <f>Price_List_BA!L140</f>
        <v>20</v>
      </c>
      <c r="K2247" s="127">
        <f>Price_List_BA!O140</f>
        <v>5</v>
      </c>
      <c r="L2247" s="127">
        <f>Price_List_BA!P140</f>
        <v>5.3805409038616512</v>
      </c>
    </row>
    <row r="2248" spans="4:12" s="348" customFormat="1" ht="12.75" hidden="1" customHeight="1" outlineLevel="2" x14ac:dyDescent="0.2">
      <c r="D2248" s="785" t="str">
        <f>Price_List_BA!D141</f>
        <v>Instrument tray  (TZ)</v>
      </c>
      <c r="E2248" s="786"/>
      <c r="F2248" s="786"/>
      <c r="G2248" s="786"/>
      <c r="J2248" s="127">
        <f>Price_List_BA!L141</f>
        <v>7.5</v>
      </c>
      <c r="K2248" s="127">
        <f>Price_List_BA!O141</f>
        <v>3.75</v>
      </c>
      <c r="L2248" s="127">
        <f>Price_List_BA!P141</f>
        <v>3.9195812807881798</v>
      </c>
    </row>
    <row r="2249" spans="4:12" s="348" customFormat="1" ht="12.75" hidden="1" customHeight="1" outlineLevel="2" x14ac:dyDescent="0.2">
      <c r="D2249" s="785" t="str">
        <f>Price_List_BA!D142</f>
        <v>Kidney Dish (ZM)</v>
      </c>
      <c r="E2249" s="786"/>
      <c r="F2249" s="786"/>
      <c r="G2249" s="786"/>
      <c r="J2249" s="127">
        <f>Price_List_BA!L142</f>
        <v>20</v>
      </c>
      <c r="K2249" s="127">
        <f>Price_List_BA!O142</f>
        <v>2.5</v>
      </c>
      <c r="L2249" s="127">
        <f>Price_List_BA!P142</f>
        <v>2.8491277765447851</v>
      </c>
    </row>
    <row r="2250" spans="4:12" s="348" customFormat="1" ht="12.75" hidden="1" customHeight="1" outlineLevel="2" x14ac:dyDescent="0.2">
      <c r="D2250" s="785" t="str">
        <f>Price_List_BA!D143</f>
        <v>Kidney Dish (UG)</v>
      </c>
      <c r="E2250" s="786"/>
      <c r="F2250" s="786"/>
      <c r="G2250" s="786"/>
      <c r="J2250" s="127">
        <f>Price_List_BA!L143</f>
        <v>4.1161000000000003</v>
      </c>
      <c r="K2250" s="127">
        <f>Price_List_BA!O143</f>
        <v>0.41161000000000003</v>
      </c>
      <c r="L2250" s="127">
        <f>Price_List_BA!P143</f>
        <v>0.4825324882374975</v>
      </c>
    </row>
    <row r="2251" spans="4:12" s="348" customFormat="1" ht="12.75" hidden="1" customHeight="1" outlineLevel="2" x14ac:dyDescent="0.2">
      <c r="D2251" s="785" t="str">
        <f>Price_List_BA!D144</f>
        <v>Lamp (UG)</v>
      </c>
      <c r="E2251" s="786"/>
      <c r="F2251" s="786"/>
      <c r="G2251" s="786"/>
      <c r="J2251" s="127">
        <f>Price_List_BA!L144</f>
        <v>49.744300000000003</v>
      </c>
      <c r="K2251" s="127">
        <f>Price_List_BA!O144</f>
        <v>4.9744299999999999</v>
      </c>
      <c r="L2251" s="127">
        <f>Price_List_BA!P144</f>
        <v>5.8315494897190421</v>
      </c>
    </row>
    <row r="2252" spans="4:12" s="348" customFormat="1" ht="12.95" hidden="1" customHeight="1" outlineLevel="2" x14ac:dyDescent="0.2">
      <c r="D2252" s="785" t="str">
        <f>Price_List_BA!D145</f>
        <v>Laptop / Desktop Computer (ZM)</v>
      </c>
      <c r="E2252" s="786"/>
      <c r="F2252" s="786"/>
      <c r="G2252" s="786"/>
      <c r="J2252" s="127">
        <f>Price_List_BA!L145</f>
        <v>1100</v>
      </c>
      <c r="K2252" s="127">
        <f>Price_List_BA!O145</f>
        <v>220</v>
      </c>
      <c r="L2252" s="127">
        <f>Price_List_BA!P145</f>
        <v>240.19002854063382</v>
      </c>
    </row>
    <row r="2253" spans="4:12" s="348" customFormat="1" ht="12.75" hidden="1" customHeight="1" outlineLevel="2" x14ac:dyDescent="0.2">
      <c r="D2253" s="785" t="str">
        <f>Price_List_BA!D146</f>
        <v>LEEP Equipment  (TZ)</v>
      </c>
      <c r="E2253" s="786"/>
      <c r="F2253" s="786"/>
      <c r="G2253" s="786"/>
      <c r="J2253" s="127">
        <f>Price_List_BA!L146</f>
        <v>11838.75</v>
      </c>
      <c r="K2253" s="127">
        <f>Price_List_BA!O146</f>
        <v>1479.84375</v>
      </c>
      <c r="L2253" s="127">
        <f>Price_List_BA!P146</f>
        <v>1686.5055732284786</v>
      </c>
    </row>
    <row r="2254" spans="4:12" s="348" customFormat="1" ht="12.75" hidden="1" customHeight="1" outlineLevel="2" x14ac:dyDescent="0.2">
      <c r="D2254" s="785" t="str">
        <f>Price_List_BA!D147</f>
        <v>LEEP machine plus smoke evacuator system plus accessories (ZM)</v>
      </c>
      <c r="E2254" s="786"/>
      <c r="F2254" s="786"/>
      <c r="G2254" s="786"/>
      <c r="J2254" s="127">
        <f>Price_List_BA!L147</f>
        <v>6000</v>
      </c>
      <c r="K2254" s="127">
        <f>Price_List_BA!O147</f>
        <v>666.66666666666663</v>
      </c>
      <c r="L2254" s="127">
        <f>Price_List_BA!P147</f>
        <v>770.60314210862055</v>
      </c>
    </row>
    <row r="2255" spans="4:12" s="348" customFormat="1" ht="12.75" hidden="1" customHeight="1" outlineLevel="2" x14ac:dyDescent="0.2">
      <c r="D2255" s="785" t="str">
        <f>Price_List_BA!D148</f>
        <v>LEEP machine  with coated speculums (UG)</v>
      </c>
      <c r="E2255" s="786"/>
      <c r="F2255" s="786"/>
      <c r="G2255" s="786"/>
      <c r="J2255" s="127">
        <f>Price_List_BA!L148</f>
        <v>5055</v>
      </c>
      <c r="K2255" s="127">
        <f>Price_List_BA!O148</f>
        <v>842.5</v>
      </c>
      <c r="L2255" s="127">
        <f>Price_List_BA!P148</f>
        <v>933.14036477564616</v>
      </c>
    </row>
    <row r="2256" spans="4:12" s="348" customFormat="1" ht="12.75" hidden="1" customHeight="1" outlineLevel="2" x14ac:dyDescent="0.2">
      <c r="D2256" s="785" t="str">
        <f>Price_List_BA!D149</f>
        <v>Lensmate SX 40 Filter Adapter 58mm (ZM)</v>
      </c>
      <c r="E2256" s="786"/>
      <c r="F2256" s="786"/>
      <c r="G2256" s="786"/>
      <c r="J2256" s="127">
        <f>Price_List_BA!L149</f>
        <v>100</v>
      </c>
      <c r="K2256" s="127">
        <f>Price_List_BA!O149</f>
        <v>25</v>
      </c>
      <c r="L2256" s="127">
        <f>Price_List_BA!P149</f>
        <v>26.902704519308259</v>
      </c>
    </row>
    <row r="2257" spans="4:12" s="348" customFormat="1" hidden="1" outlineLevel="2" x14ac:dyDescent="0.2">
      <c r="D2257" s="785" t="str">
        <f>Price_List_BA!D150</f>
        <v>Loop Electrodes - 5 mm x 5mm (Ellman) (ZM)</v>
      </c>
      <c r="E2257" s="786"/>
      <c r="F2257" s="786"/>
      <c r="G2257" s="786"/>
      <c r="J2257" s="127">
        <f>Price_List_BA!L150</f>
        <v>37.200000000000003</v>
      </c>
      <c r="K2257" s="127">
        <f>Price_List_BA!O150</f>
        <v>37.200000000000003</v>
      </c>
      <c r="L2257" s="127">
        <f>Price_List_BA!P150</f>
        <v>38.315999999999967</v>
      </c>
    </row>
    <row r="2258" spans="4:12" s="348" customFormat="1" hidden="1" outlineLevel="2" x14ac:dyDescent="0.2">
      <c r="D2258" s="785" t="str">
        <f>Price_List_BA!D151</f>
        <v>Loop Electrodes - 10 mm x 10mm (Ellman) (ZM)</v>
      </c>
      <c r="E2258" s="786"/>
      <c r="F2258" s="786"/>
      <c r="G2258" s="786"/>
      <c r="J2258" s="127">
        <f>Price_List_BA!L151</f>
        <v>37.200000000000003</v>
      </c>
      <c r="K2258" s="127">
        <f>Price_List_BA!O151</f>
        <v>37.200000000000003</v>
      </c>
      <c r="L2258" s="127">
        <f>Price_List_BA!P151</f>
        <v>38.315999999999967</v>
      </c>
    </row>
    <row r="2259" spans="4:12" s="348" customFormat="1" hidden="1" outlineLevel="2" x14ac:dyDescent="0.2">
      <c r="D2259" s="785" t="str">
        <f>Price_List_BA!D152</f>
        <v>Loop Electrodes - 20 mm x 8mm (Ellman) (ZM)</v>
      </c>
      <c r="E2259" s="786"/>
      <c r="F2259" s="786"/>
      <c r="G2259" s="786"/>
      <c r="J2259" s="127">
        <f>Price_List_BA!L152</f>
        <v>37.200000000000003</v>
      </c>
      <c r="K2259" s="127">
        <f>Price_List_BA!O152</f>
        <v>37.200000000000003</v>
      </c>
      <c r="L2259" s="127">
        <f>Price_List_BA!P152</f>
        <v>38.315999999999967</v>
      </c>
    </row>
    <row r="2260" spans="4:12" s="348" customFormat="1" hidden="1" outlineLevel="2" x14ac:dyDescent="0.2">
      <c r="D2260" s="785" t="str">
        <f>Price_List_BA!D153</f>
        <v>Loop Electrodes - 20 mm x 15mm (Ellman) (ZM)</v>
      </c>
      <c r="E2260" s="786"/>
      <c r="F2260" s="786"/>
      <c r="G2260" s="786"/>
      <c r="J2260" s="127">
        <f>Price_List_BA!L153</f>
        <v>37.200000000000003</v>
      </c>
      <c r="K2260" s="127">
        <f>Price_List_BA!O153</f>
        <v>37.200000000000003</v>
      </c>
      <c r="L2260" s="127">
        <f>Price_List_BA!P153</f>
        <v>38.315999999999967</v>
      </c>
    </row>
    <row r="2261" spans="4:12" s="348" customFormat="1" ht="12.75" hidden="1" customHeight="1" outlineLevel="2" x14ac:dyDescent="0.2">
      <c r="D2261" s="785" t="str">
        <f>Price_List_BA!D154</f>
        <v>Mackintosh (Plastic sheet for exam couch) (ZM)</v>
      </c>
      <c r="E2261" s="786"/>
      <c r="F2261" s="786"/>
      <c r="G2261" s="786"/>
      <c r="J2261" s="127">
        <f>Price_List_BA!L154</f>
        <v>20</v>
      </c>
      <c r="K2261" s="127">
        <f>Price_List_BA!O154</f>
        <v>10</v>
      </c>
      <c r="L2261" s="127">
        <f>Price_List_BA!P154</f>
        <v>10.452216748768478</v>
      </c>
    </row>
    <row r="2262" spans="4:12" s="348" customFormat="1" ht="12.75" hidden="1" customHeight="1" outlineLevel="2" x14ac:dyDescent="0.2">
      <c r="D2262" s="785" t="str">
        <f>Price_List_BA!D155</f>
        <v>Magnification Lens (ZM)</v>
      </c>
      <c r="E2262" s="786"/>
      <c r="F2262" s="786"/>
      <c r="G2262" s="786"/>
      <c r="J2262" s="127">
        <f>Price_List_BA!L155</f>
        <v>150</v>
      </c>
      <c r="K2262" s="127">
        <f>Price_List_BA!O155</f>
        <v>15</v>
      </c>
      <c r="L2262" s="127">
        <f>Price_List_BA!P155</f>
        <v>17.584575990773942</v>
      </c>
    </row>
    <row r="2263" spans="4:12" s="348" customFormat="1" ht="12.75" hidden="1" customHeight="1" outlineLevel="2" x14ac:dyDescent="0.2">
      <c r="D2263" s="785" t="str">
        <f>Price_List_BA!D156</f>
        <v>Medical Rubber Mackintosh Sheet (ZM)</v>
      </c>
      <c r="E2263" s="786"/>
      <c r="F2263" s="786"/>
      <c r="G2263" s="786"/>
      <c r="J2263" s="127">
        <f>Price_List_BA!L156</f>
        <v>30</v>
      </c>
      <c r="K2263" s="127">
        <f>Price_List_BA!O156</f>
        <v>3.3333333333333335</v>
      </c>
      <c r="L2263" s="127">
        <f>Price_List_BA!P156</f>
        <v>3.8530157105431031</v>
      </c>
    </row>
    <row r="2264" spans="4:12" s="348" customFormat="1" ht="12.75" hidden="1" customHeight="1" outlineLevel="2" x14ac:dyDescent="0.2">
      <c r="D2264" s="785" t="str">
        <f>Price_List_BA!D157</f>
        <v>Medical Rubber Mackintosh Sheet   (TZ)</v>
      </c>
      <c r="E2264" s="786"/>
      <c r="F2264" s="786"/>
      <c r="G2264" s="786"/>
      <c r="J2264" s="127">
        <f>Price_List_BA!L157</f>
        <v>46.875</v>
      </c>
      <c r="K2264" s="127">
        <f>Price_List_BA!O157</f>
        <v>9.375</v>
      </c>
      <c r="L2264" s="127">
        <f>Price_List_BA!P157</f>
        <v>10.235370534402009</v>
      </c>
    </row>
    <row r="2265" spans="4:12" s="348" customFormat="1" ht="12.75" hidden="1" customHeight="1" outlineLevel="2" x14ac:dyDescent="0.2">
      <c r="D2265" s="785" t="str">
        <f>Price_List_BA!D158</f>
        <v>Memory Card (ZM)</v>
      </c>
      <c r="E2265" s="786"/>
      <c r="F2265" s="786"/>
      <c r="G2265" s="786"/>
      <c r="J2265" s="127">
        <f>Price_List_BA!L158</f>
        <v>36</v>
      </c>
      <c r="K2265" s="127">
        <f>Price_List_BA!O158</f>
        <v>4.5</v>
      </c>
      <c r="L2265" s="127">
        <f>Price_List_BA!P158</f>
        <v>5.1284299977806134</v>
      </c>
    </row>
    <row r="2266" spans="4:12" s="348" customFormat="1" ht="12.75" hidden="1" customHeight="1" outlineLevel="2" x14ac:dyDescent="0.2">
      <c r="D2266" s="785" t="str">
        <f>Price_List_BA!D159</f>
        <v>Multi-Tip Cryo-Probe System with British adapter for NO2 includes gun, regulator, hose(2/3Tips included) (set) (ZM)</v>
      </c>
      <c r="E2266" s="786"/>
      <c r="F2266" s="786"/>
      <c r="G2266" s="786"/>
      <c r="J2266" s="127">
        <f>Price_List_BA!L159</f>
        <v>1800</v>
      </c>
      <c r="K2266" s="127">
        <f>Price_List_BA!O159</f>
        <v>360</v>
      </c>
      <c r="L2266" s="127">
        <f>Price_List_BA!P159</f>
        <v>393.03822852103718</v>
      </c>
    </row>
    <row r="2267" spans="4:12" s="348" customFormat="1" ht="12.75" hidden="1" customHeight="1" outlineLevel="2" x14ac:dyDescent="0.2">
      <c r="D2267" s="785" t="str">
        <f>Price_List_BA!D160</f>
        <v>Non-conducting speculum  Pederson  (ZM)</v>
      </c>
      <c r="E2267" s="786"/>
      <c r="F2267" s="786"/>
      <c r="G2267" s="786"/>
      <c r="J2267" s="127">
        <f>Price_List_BA!L160</f>
        <v>40</v>
      </c>
      <c r="K2267" s="127">
        <f>Price_List_BA!O160</f>
        <v>4.4444444444444446</v>
      </c>
      <c r="L2267" s="127">
        <f>Price_List_BA!P160</f>
        <v>5.1373542807241375</v>
      </c>
    </row>
    <row r="2268" spans="4:12" s="348" customFormat="1" ht="12.75" hidden="1" customHeight="1" outlineLevel="2" x14ac:dyDescent="0.2">
      <c r="D2268" s="785" t="str">
        <f>Price_List_BA!D161</f>
        <v>Non-conducting speculum (UG)</v>
      </c>
      <c r="E2268" s="786"/>
      <c r="F2268" s="786"/>
      <c r="G2268" s="786"/>
      <c r="J2268" s="127">
        <f>Price_List_BA!L161</f>
        <v>90</v>
      </c>
      <c r="K2268" s="127">
        <f>Price_List_BA!O161</f>
        <v>18</v>
      </c>
      <c r="L2268" s="127">
        <f>Price_List_BA!P161</f>
        <v>19.651911426051857</v>
      </c>
    </row>
    <row r="2269" spans="4:12" s="348" customFormat="1" ht="12.75" hidden="1" customHeight="1" outlineLevel="2" x14ac:dyDescent="0.2">
      <c r="D2269" s="785" t="str">
        <f>Price_List_BA!D162</f>
        <v>Nurses Table (ZM)</v>
      </c>
      <c r="E2269" s="786"/>
      <c r="F2269" s="786"/>
      <c r="G2269" s="786"/>
      <c r="J2269" s="127">
        <f>Price_List_BA!L162</f>
        <v>160</v>
      </c>
      <c r="K2269" s="127">
        <f>Price_List_BA!O162</f>
        <v>16</v>
      </c>
      <c r="L2269" s="127">
        <f>Price_List_BA!P162</f>
        <v>18.756881056825538</v>
      </c>
    </row>
    <row r="2270" spans="4:12" s="348" customFormat="1" ht="12.75" hidden="1" customHeight="1" outlineLevel="2" x14ac:dyDescent="0.2">
      <c r="D2270" s="785" t="str">
        <f>Price_List_BA!D163</f>
        <v>Pillow (ZM)</v>
      </c>
      <c r="E2270" s="786"/>
      <c r="F2270" s="786"/>
      <c r="G2270" s="786"/>
      <c r="J2270" s="127">
        <f>Price_List_BA!L163</f>
        <v>16</v>
      </c>
      <c r="K2270" s="127">
        <f>Price_List_BA!O163</f>
        <v>8</v>
      </c>
      <c r="L2270" s="127">
        <f>Price_List_BA!P163</f>
        <v>8.3617733990147833</v>
      </c>
    </row>
    <row r="2271" spans="4:12" s="348" customFormat="1" ht="12.75" hidden="1" customHeight="1" outlineLevel="2" x14ac:dyDescent="0.2">
      <c r="D2271" s="785" t="str">
        <f>Price_List_BA!D164</f>
        <v>Plastic apron (ZM)</v>
      </c>
      <c r="E2271" s="786"/>
      <c r="F2271" s="786"/>
      <c r="G2271" s="786"/>
      <c r="J2271" s="127">
        <f>Price_List_BA!L164</f>
        <v>5</v>
      </c>
      <c r="K2271" s="127">
        <f>Price_List_BA!O164</f>
        <v>1.6666666666666667</v>
      </c>
      <c r="L2271" s="127">
        <f>Price_List_BA!P164</f>
        <v>1.7676518166229902</v>
      </c>
    </row>
    <row r="2272" spans="4:12" s="348" customFormat="1" ht="12.75" hidden="1" customHeight="1" outlineLevel="2" x14ac:dyDescent="0.2">
      <c r="D2272" s="785" t="str">
        <f>Price_List_BA!D165</f>
        <v>Plastic apron  (TZ)</v>
      </c>
      <c r="E2272" s="786"/>
      <c r="F2272" s="786"/>
      <c r="G2272" s="786"/>
      <c r="J2272" s="127">
        <f>Price_List_BA!L165</f>
        <v>10.625</v>
      </c>
      <c r="K2272" s="127">
        <f>Price_List_BA!O165</f>
        <v>1.1805555555555556</v>
      </c>
      <c r="L2272" s="127">
        <f>Price_List_BA!P165</f>
        <v>1.364609730817349</v>
      </c>
    </row>
    <row r="2273" spans="4:12" s="348" customFormat="1" ht="12.75" hidden="1" customHeight="1" outlineLevel="2" x14ac:dyDescent="0.2">
      <c r="D2273" s="785" t="str">
        <f>Price_List_BA!D166</f>
        <v>Privacy screen (portable) (ZM)</v>
      </c>
      <c r="E2273" s="786"/>
      <c r="F2273" s="786"/>
      <c r="G2273" s="786"/>
      <c r="J2273" s="127">
        <f>Price_List_BA!L166</f>
        <v>18</v>
      </c>
      <c r="K2273" s="127">
        <f>Price_List_BA!O166</f>
        <v>2.5714285714285716</v>
      </c>
      <c r="L2273" s="127">
        <f>Price_List_BA!P166</f>
        <v>2.8891143675768967</v>
      </c>
    </row>
    <row r="2274" spans="4:12" s="348" customFormat="1" ht="12.75" hidden="1" customHeight="1" outlineLevel="2" x14ac:dyDescent="0.2">
      <c r="D2274" s="785" t="str">
        <f>Price_List_BA!D167</f>
        <v>Privacy screen (portable) (TZ)</v>
      </c>
      <c r="E2274" s="786"/>
      <c r="F2274" s="786"/>
      <c r="G2274" s="786"/>
      <c r="J2274" s="127">
        <f>Price_List_BA!L167</f>
        <v>106.25</v>
      </c>
      <c r="K2274" s="127">
        <f>Price_List_BA!O167</f>
        <v>53.125</v>
      </c>
      <c r="L2274" s="127">
        <f>Price_List_BA!P167</f>
        <v>55.527401477832541</v>
      </c>
    </row>
    <row r="2275" spans="4:12" s="348" customFormat="1" ht="12.75" hidden="1" customHeight="1" outlineLevel="2" x14ac:dyDescent="0.2">
      <c r="D2275" s="785" t="str">
        <f>Price_List_BA!D168</f>
        <v>Punch Biopsy Forceps  Titanium 10" (ZM)</v>
      </c>
      <c r="E2275" s="786"/>
      <c r="F2275" s="786"/>
      <c r="G2275" s="786"/>
      <c r="J2275" s="127">
        <f>Price_List_BA!L168</f>
        <v>215</v>
      </c>
      <c r="K2275" s="127">
        <f>Price_List_BA!O168</f>
        <v>53.75</v>
      </c>
      <c r="L2275" s="127">
        <f>Price_List_BA!P168</f>
        <v>57.840814716512753</v>
      </c>
    </row>
    <row r="2276" spans="4:12" s="348" customFormat="1" ht="12.75" hidden="1" customHeight="1" outlineLevel="2" x14ac:dyDescent="0.2">
      <c r="D2276" s="785" t="str">
        <f>Price_List_BA!D169</f>
        <v>Punch Biopsy Forceps (UG)</v>
      </c>
      <c r="E2276" s="786"/>
      <c r="F2276" s="786"/>
      <c r="G2276" s="786"/>
      <c r="J2276" s="127">
        <f>Price_List_BA!L169</f>
        <v>195</v>
      </c>
      <c r="K2276" s="127">
        <f>Price_List_BA!O169</f>
        <v>48.75</v>
      </c>
      <c r="L2276" s="127">
        <f>Price_List_BA!P169</f>
        <v>52.460273812651103</v>
      </c>
    </row>
    <row r="2277" spans="4:12" s="348" customFormat="1" ht="12.75" hidden="1" customHeight="1" outlineLevel="2" x14ac:dyDescent="0.2">
      <c r="D2277" s="785" t="str">
        <f>Price_List_BA!D170</f>
        <v>Radiotherapy Machine - intra-cavity ( internal)  (TZ)</v>
      </c>
      <c r="E2277" s="786"/>
      <c r="F2277" s="786"/>
      <c r="G2277" s="786"/>
      <c r="J2277" s="127">
        <f>Price_List_BA!L170</f>
        <v>125000</v>
      </c>
      <c r="K2277" s="127">
        <f>Price_List_BA!O170</f>
        <v>31250</v>
      </c>
      <c r="L2277" s="127">
        <f>Price_List_BA!P170</f>
        <v>33628.380649135324</v>
      </c>
    </row>
    <row r="2278" spans="4:12" s="348" customFormat="1" ht="12.75" hidden="1" customHeight="1" outlineLevel="2" x14ac:dyDescent="0.2">
      <c r="D2278" s="785" t="str">
        <f>Price_List_BA!D171</f>
        <v>Radiotherapy Machine - teletherapy (external) Cobalt-60  (TZ)</v>
      </c>
      <c r="E2278" s="786"/>
      <c r="F2278" s="786"/>
      <c r="G2278" s="786"/>
      <c r="J2278" s="127">
        <f>Price_List_BA!L171</f>
        <v>625000</v>
      </c>
      <c r="K2278" s="127">
        <f>Price_List_BA!O171</f>
        <v>78125</v>
      </c>
      <c r="L2278" s="127">
        <f>Price_List_BA!P171</f>
        <v>89035.243017024535</v>
      </c>
    </row>
    <row r="2279" spans="4:12" s="348" customFormat="1" ht="12.75" hidden="1" customHeight="1" outlineLevel="2" x14ac:dyDescent="0.2">
      <c r="D2279" s="785" t="str">
        <f>Price_List_BA!D172</f>
        <v>Radiotherapy Treatment Couch  (TZ)</v>
      </c>
      <c r="E2279" s="786"/>
      <c r="F2279" s="786"/>
      <c r="G2279" s="786"/>
      <c r="J2279" s="127">
        <f>Price_List_BA!L172</f>
        <v>93750</v>
      </c>
      <c r="K2279" s="127">
        <f>Price_List_BA!O172</f>
        <v>18750</v>
      </c>
      <c r="L2279" s="127">
        <f>Price_List_BA!P172</f>
        <v>20470.741068804018</v>
      </c>
    </row>
    <row r="2280" spans="4:12" s="348" customFormat="1" ht="12.75" hidden="1" customHeight="1" outlineLevel="2" x14ac:dyDescent="0.2">
      <c r="D2280" s="785" t="str">
        <f>Price_List_BA!D173</f>
        <v>Registration book, patient  (TZ)</v>
      </c>
      <c r="E2280" s="786"/>
      <c r="F2280" s="786"/>
      <c r="G2280" s="786"/>
      <c r="J2280" s="127">
        <f>Price_List_BA!L173</f>
        <v>2.1875</v>
      </c>
      <c r="K2280" s="127">
        <f>Price_List_BA!O173</f>
        <v>0.24305555555555555</v>
      </c>
      <c r="L2280" s="127">
        <f>Price_List_BA!P173</f>
        <v>0.28094906222710125</v>
      </c>
    </row>
    <row r="2281" spans="4:12" s="348" customFormat="1" hidden="1" outlineLevel="2" x14ac:dyDescent="0.2">
      <c r="D2281" s="785" t="str">
        <f>Price_List_BA!D174</f>
        <v>Retractor 3.5" Coated Lateral Wall (ZM)</v>
      </c>
      <c r="E2281" s="786"/>
      <c r="F2281" s="786"/>
      <c r="G2281" s="786"/>
      <c r="J2281" s="127">
        <f>Price_List_BA!L174</f>
        <v>165</v>
      </c>
      <c r="K2281" s="127">
        <f>Price_List_BA!O174</f>
        <v>33</v>
      </c>
      <c r="L2281" s="127">
        <f>Price_List_BA!P174</f>
        <v>36.028504281095074</v>
      </c>
    </row>
    <row r="2282" spans="4:12" s="348" customFormat="1" hidden="1" outlineLevel="2" x14ac:dyDescent="0.2">
      <c r="D2282" s="785" t="str">
        <f>Price_List_BA!D175</f>
        <v>Smoke evacuator (UG)</v>
      </c>
      <c r="E2282" s="786"/>
      <c r="F2282" s="786"/>
      <c r="G2282" s="786"/>
      <c r="J2282" s="127">
        <f>Price_List_BA!L175</f>
        <v>1990</v>
      </c>
      <c r="K2282" s="127">
        <f>Price_List_BA!O175</f>
        <v>497.5</v>
      </c>
      <c r="L2282" s="127">
        <f>Price_List_BA!P175</f>
        <v>535.36381993423436</v>
      </c>
    </row>
    <row r="2283" spans="4:12" s="348" customFormat="1" hidden="1" outlineLevel="2" x14ac:dyDescent="0.2">
      <c r="D2283" s="785" t="str">
        <f>Price_List_BA!D176</f>
        <v>Specimen Tube rack  (TZ)</v>
      </c>
      <c r="E2283" s="786"/>
      <c r="F2283" s="786"/>
      <c r="G2283" s="786"/>
      <c r="J2283" s="127">
        <f>Price_List_BA!L176</f>
        <v>10</v>
      </c>
      <c r="K2283" s="127">
        <f>Price_List_BA!O176</f>
        <v>5</v>
      </c>
      <c r="L2283" s="127">
        <f>Price_List_BA!P176</f>
        <v>5.2261083743842391</v>
      </c>
    </row>
    <row r="2284" spans="4:12" s="348" customFormat="1" hidden="1" outlineLevel="2" x14ac:dyDescent="0.2">
      <c r="D2284" s="785" t="str">
        <f>Price_List_BA!D177</f>
        <v>Speculum  (TZ)</v>
      </c>
      <c r="E2284" s="786"/>
      <c r="F2284" s="786"/>
      <c r="G2284" s="786"/>
      <c r="J2284" s="127">
        <f>Price_List_BA!L177</f>
        <v>18.75</v>
      </c>
      <c r="K2284" s="127">
        <f>Price_List_BA!O177</f>
        <v>1.875</v>
      </c>
      <c r="L2284" s="127">
        <f>Price_List_BA!P177</f>
        <v>2.1980719988467428</v>
      </c>
    </row>
    <row r="2285" spans="4:12" s="348" customFormat="1" hidden="1" outlineLevel="2" x14ac:dyDescent="0.2">
      <c r="D2285" s="785" t="str">
        <f>Price_List_BA!D178</f>
        <v>Speculum (reusable) (UG)</v>
      </c>
      <c r="E2285" s="786"/>
      <c r="F2285" s="786"/>
      <c r="G2285" s="786"/>
      <c r="J2285" s="127">
        <f>Price_List_BA!L178</f>
        <v>8.4809000000000001</v>
      </c>
      <c r="K2285" s="127">
        <f>Price_List_BA!O178</f>
        <v>0.94232222222222228</v>
      </c>
      <c r="L2285" s="127">
        <f>Price_List_BA!P178</f>
        <v>1.0892346979848335</v>
      </c>
    </row>
    <row r="2286" spans="4:12" s="348" customFormat="1" hidden="1" outlineLevel="2" x14ac:dyDescent="0.2">
      <c r="D2286" s="785" t="str">
        <f>Price_List_BA!D179</f>
        <v>Speculum (UG)</v>
      </c>
      <c r="E2286" s="786"/>
      <c r="F2286" s="786"/>
      <c r="G2286" s="786"/>
      <c r="J2286" s="127">
        <f>Price_List_BA!L179</f>
        <v>8.4809000000000001</v>
      </c>
      <c r="K2286" s="127">
        <f>Price_List_BA!O179</f>
        <v>1.0601125</v>
      </c>
      <c r="L2286" s="127">
        <f>Price_List_BA!P179</f>
        <v>1.2081583880049334</v>
      </c>
    </row>
    <row r="2287" spans="4:12" s="348" customFormat="1" hidden="1" outlineLevel="2" x14ac:dyDescent="0.2">
      <c r="D2287" s="785" t="str">
        <f>Price_List_BA!D180</f>
        <v>Speculum Graves' large  (ZM)</v>
      </c>
      <c r="E2287" s="786"/>
      <c r="F2287" s="786"/>
      <c r="G2287" s="786"/>
      <c r="J2287" s="127">
        <f>Price_List_BA!L180</f>
        <v>14</v>
      </c>
      <c r="K2287" s="127">
        <f>Price_List_BA!O180</f>
        <v>2.3333333333333335</v>
      </c>
      <c r="L2287" s="127">
        <f>Price_List_BA!P180</f>
        <v>2.5843650063024817</v>
      </c>
    </row>
    <row r="2288" spans="4:12" s="348" customFormat="1" hidden="1" outlineLevel="2" x14ac:dyDescent="0.2">
      <c r="D2288" s="785" t="str">
        <f>Price_List_BA!D181</f>
        <v>Speculum Graves' Medium (ZM)</v>
      </c>
      <c r="E2288" s="786"/>
      <c r="F2288" s="786"/>
      <c r="G2288" s="786"/>
      <c r="J2288" s="127">
        <f>Price_List_BA!L181</f>
        <v>14</v>
      </c>
      <c r="K2288" s="127">
        <f>Price_List_BA!O181</f>
        <v>2.3333333333333335</v>
      </c>
      <c r="L2288" s="127">
        <f>Price_List_BA!P181</f>
        <v>2.5843650063024817</v>
      </c>
    </row>
    <row r="2289" spans="4:12" s="348" customFormat="1" hidden="1" outlineLevel="2" x14ac:dyDescent="0.2">
      <c r="D2289" s="785" t="str">
        <f>Price_List_BA!D182</f>
        <v>Speculum  Graves'  Small (ZM)</v>
      </c>
      <c r="E2289" s="786"/>
      <c r="F2289" s="786"/>
      <c r="G2289" s="786"/>
      <c r="J2289" s="127">
        <f>Price_List_BA!L182</f>
        <v>14</v>
      </c>
      <c r="K2289" s="127">
        <f>Price_List_BA!O182</f>
        <v>4.666666666666667</v>
      </c>
      <c r="L2289" s="127">
        <f>Price_List_BA!P182</f>
        <v>4.9494250865443723</v>
      </c>
    </row>
    <row r="2290" spans="4:12" s="348" customFormat="1" ht="12.75" hidden="1" customHeight="1" outlineLevel="2" x14ac:dyDescent="0.2">
      <c r="D2290" s="785" t="str">
        <f>Price_List_BA!D183</f>
        <v>Speculum, endocervical (ZM)</v>
      </c>
      <c r="E2290" s="786"/>
      <c r="F2290" s="786"/>
      <c r="G2290" s="786"/>
      <c r="J2290" s="127">
        <f>Price_List_BA!L183</f>
        <v>50</v>
      </c>
      <c r="K2290" s="127">
        <f>Price_List_BA!O183</f>
        <v>16.666666666666668</v>
      </c>
      <c r="L2290" s="127">
        <f>Price_List_BA!P183</f>
        <v>17.676518166229901</v>
      </c>
    </row>
    <row r="2291" spans="4:12" s="348" customFormat="1" ht="12.75" hidden="1" customHeight="1" outlineLevel="2" x14ac:dyDescent="0.2">
      <c r="D2291" s="785" t="str">
        <f>Price_List_BA!D184</f>
        <v>Sponge holding forceps (UG)</v>
      </c>
      <c r="E2291" s="786"/>
      <c r="F2291" s="786"/>
      <c r="G2291" s="786"/>
      <c r="J2291" s="127">
        <f>Price_List_BA!L184</f>
        <v>8.1560000000000006</v>
      </c>
      <c r="K2291" s="127">
        <f>Price_List_BA!O184</f>
        <v>2.718666666666667</v>
      </c>
      <c r="L2291" s="127">
        <f>Price_List_BA!P184</f>
        <v>2.8833936432754217</v>
      </c>
    </row>
    <row r="2292" spans="4:12" s="348" customFormat="1" ht="12.75" hidden="1" customHeight="1" outlineLevel="2" x14ac:dyDescent="0.2">
      <c r="D2292" s="785" t="str">
        <f>Price_List_BA!D185</f>
        <v>Steel trolley (Two/three shelves) (ZM)</v>
      </c>
      <c r="E2292" s="786"/>
      <c r="F2292" s="786"/>
      <c r="G2292" s="786"/>
      <c r="J2292" s="127">
        <f>Price_List_BA!L185</f>
        <v>220</v>
      </c>
      <c r="K2292" s="127">
        <f>Price_List_BA!O185</f>
        <v>55</v>
      </c>
      <c r="L2292" s="127">
        <f>Price_List_BA!P185</f>
        <v>59.185949942478167</v>
      </c>
    </row>
    <row r="2293" spans="4:12" s="348" customFormat="1" ht="12.75" hidden="1" customHeight="1" outlineLevel="2" x14ac:dyDescent="0.2">
      <c r="D2293" s="785" t="str">
        <f>Price_List_BA!D186</f>
        <v>Step-on stool (ZM)</v>
      </c>
      <c r="E2293" s="786"/>
      <c r="F2293" s="786"/>
      <c r="G2293" s="786"/>
      <c r="J2293" s="127">
        <f>Price_List_BA!L186</f>
        <v>120</v>
      </c>
      <c r="K2293" s="127">
        <f>Price_List_BA!O186</f>
        <v>13.333333333333334</v>
      </c>
      <c r="L2293" s="127">
        <f>Price_List_BA!P186</f>
        <v>15.412062842172412</v>
      </c>
    </row>
    <row r="2294" spans="4:12" s="348" customFormat="1" ht="12.75" hidden="1" customHeight="1" outlineLevel="2" x14ac:dyDescent="0.2">
      <c r="D2294" s="785" t="str">
        <f>Price_List_BA!D187</f>
        <v>Sterilising Drum (ZM)</v>
      </c>
      <c r="E2294" s="786"/>
      <c r="F2294" s="786"/>
      <c r="G2294" s="786"/>
      <c r="J2294" s="127">
        <f>Price_List_BA!L187</f>
        <v>40</v>
      </c>
      <c r="K2294" s="127">
        <f>Price_List_BA!O187</f>
        <v>10</v>
      </c>
      <c r="L2294" s="127">
        <f>Price_List_BA!P187</f>
        <v>10.761081807723302</v>
      </c>
    </row>
    <row r="2295" spans="4:12" s="348" customFormat="1" ht="12.75" hidden="1" customHeight="1" outlineLevel="2" x14ac:dyDescent="0.2">
      <c r="D2295" s="785" t="str">
        <f>Price_List_BA!D188</f>
        <v>Sterilizer (UG)</v>
      </c>
      <c r="E2295" s="786"/>
      <c r="F2295" s="786"/>
      <c r="G2295" s="786"/>
      <c r="J2295" s="127">
        <f>Price_List_BA!L188</f>
        <v>1189.78</v>
      </c>
      <c r="K2295" s="127">
        <f>Price_List_BA!O188</f>
        <v>198.29666666666665</v>
      </c>
      <c r="L2295" s="127">
        <f>Price_List_BA!P188</f>
        <v>219.6304140856119</v>
      </c>
    </row>
    <row r="2296" spans="4:12" s="348" customFormat="1" ht="12.75" hidden="1" customHeight="1" outlineLevel="2" x14ac:dyDescent="0.2">
      <c r="D2296" s="785" t="str">
        <f>Price_List_BA!D189</f>
        <v>Television set (ZM)</v>
      </c>
      <c r="E2296" s="786"/>
      <c r="F2296" s="786"/>
      <c r="G2296" s="786"/>
      <c r="J2296" s="127">
        <f>Price_List_BA!L189</f>
        <v>200</v>
      </c>
      <c r="K2296" s="127">
        <f>Price_List_BA!O189</f>
        <v>66.666666666666671</v>
      </c>
      <c r="L2296" s="127">
        <f>Price_List_BA!P189</f>
        <v>70.706072664919603</v>
      </c>
    </row>
    <row r="2297" spans="4:12" s="348" customFormat="1" ht="12.75" hidden="1" customHeight="1" outlineLevel="2" x14ac:dyDescent="0.2">
      <c r="D2297" s="785" t="str">
        <f>Price_List_BA!D190</f>
        <v>Timer / wall clock (UG)</v>
      </c>
      <c r="E2297" s="786"/>
      <c r="F2297" s="786"/>
      <c r="G2297" s="786"/>
      <c r="J2297" s="127">
        <f>Price_List_BA!L190</f>
        <v>4.9939999999999998</v>
      </c>
      <c r="K2297" s="127">
        <f>Price_List_BA!O190</f>
        <v>1.2484999999999999</v>
      </c>
      <c r="L2297" s="127">
        <f>Price_List_BA!P190</f>
        <v>1.3435210636942543</v>
      </c>
    </row>
    <row r="2298" spans="4:12" s="348" customFormat="1" ht="12.75" hidden="1" customHeight="1" outlineLevel="2" x14ac:dyDescent="0.2">
      <c r="D2298" s="785" t="str">
        <f>Price_List_BA!D191</f>
        <v>Torch (UG)</v>
      </c>
      <c r="E2298" s="786"/>
      <c r="F2298" s="786"/>
      <c r="G2298" s="786"/>
      <c r="J2298" s="127">
        <f>Price_List_BA!L191</f>
        <v>39.595100000000002</v>
      </c>
      <c r="K2298" s="127">
        <f>Price_List_BA!O191</f>
        <v>4.3994555555555559</v>
      </c>
      <c r="L2298" s="127">
        <f>Price_List_BA!P191</f>
        <v>5.0853514120175074</v>
      </c>
    </row>
    <row r="2299" spans="4:12" s="348" customFormat="1" ht="12.75" hidden="1" customHeight="1" outlineLevel="2" x14ac:dyDescent="0.2">
      <c r="D2299" s="785" t="str">
        <f>Price_List_BA!D192</f>
        <v>Uterine Cervical Dilator (ZM)</v>
      </c>
      <c r="E2299" s="786"/>
      <c r="F2299" s="786"/>
      <c r="G2299" s="786"/>
      <c r="J2299" s="127">
        <f>Price_List_BA!L192</f>
        <v>30</v>
      </c>
      <c r="K2299" s="127">
        <f>Price_List_BA!O192</f>
        <v>4.2857142857142856</v>
      </c>
      <c r="L2299" s="127">
        <f>Price_List_BA!P192</f>
        <v>4.8151906126281609</v>
      </c>
    </row>
    <row r="2300" spans="4:12" s="348" customFormat="1" ht="12.75" hidden="1" customHeight="1" outlineLevel="2" x14ac:dyDescent="0.2">
      <c r="D2300" s="785" t="str">
        <f>Price_List_BA!D193</f>
        <v>Uterine Cervical Dilator  (TZ)</v>
      </c>
      <c r="E2300" s="786"/>
      <c r="F2300" s="786"/>
      <c r="G2300" s="786"/>
      <c r="J2300" s="127">
        <f>Price_List_BA!L193</f>
        <v>875</v>
      </c>
      <c r="K2300" s="127">
        <f>Price_List_BA!O193</f>
        <v>291.66666666666669</v>
      </c>
      <c r="L2300" s="127">
        <f>Price_List_BA!P193</f>
        <v>309.3390679090233</v>
      </c>
    </row>
    <row r="2301" spans="4:12" s="348" customFormat="1" ht="12.75" hidden="1" customHeight="1" outlineLevel="2" x14ac:dyDescent="0.2">
      <c r="D2301" s="785" t="str">
        <f>Price_List_BA!D194</f>
        <v>Uterine Probe (ZM)</v>
      </c>
      <c r="E2301" s="786"/>
      <c r="F2301" s="786"/>
      <c r="G2301" s="786"/>
      <c r="J2301" s="127">
        <f>Price_List_BA!L194</f>
        <v>46</v>
      </c>
      <c r="K2301" s="127">
        <f>Price_List_BA!O194</f>
        <v>5.1111111111111107</v>
      </c>
      <c r="L2301" s="127">
        <f>Price_List_BA!P194</f>
        <v>5.9079574228327578</v>
      </c>
    </row>
    <row r="2302" spans="4:12" s="348" customFormat="1" ht="12.75" hidden="1" customHeight="1" outlineLevel="2" x14ac:dyDescent="0.2">
      <c r="D2302" s="785" t="str">
        <f>Price_List_BA!D195</f>
        <v>Uterine Probe  (TZ)</v>
      </c>
      <c r="E2302" s="786"/>
      <c r="F2302" s="786"/>
      <c r="G2302" s="786"/>
      <c r="J2302" s="127">
        <f>Price_List_BA!L195</f>
        <v>43.75</v>
      </c>
      <c r="K2302" s="127">
        <f>Price_List_BA!O195</f>
        <v>4.8611111111111107</v>
      </c>
      <c r="L2302" s="127">
        <f>Price_List_BA!P195</f>
        <v>5.6189812445420255</v>
      </c>
    </row>
    <row r="2303" spans="4:12" s="348" customFormat="1" ht="12.75" hidden="1" customHeight="1" outlineLevel="2" x14ac:dyDescent="0.2">
      <c r="D2303" s="785" t="str">
        <f>Price_List_BA!D196</f>
        <v>Equipment Category 113</v>
      </c>
      <c r="E2303" s="786"/>
      <c r="F2303" s="786"/>
      <c r="G2303" s="786"/>
      <c r="J2303" s="127">
        <f>Price_List_BA!L196</f>
        <v>0</v>
      </c>
      <c r="K2303" s="127">
        <f>Price_List_BA!O196</f>
        <v>0</v>
      </c>
      <c r="L2303" s="127">
        <f>Price_List_BA!P196</f>
        <v>0</v>
      </c>
    </row>
    <row r="2304" spans="4:12" s="348" customFormat="1" ht="12.75" hidden="1" customHeight="1" outlineLevel="2" x14ac:dyDescent="0.2">
      <c r="D2304" s="785" t="str">
        <f>Price_List_BA!D197</f>
        <v>Equipment Category 114</v>
      </c>
      <c r="E2304" s="786"/>
      <c r="F2304" s="786"/>
      <c r="G2304" s="786"/>
      <c r="J2304" s="127">
        <f>Price_List_BA!L197</f>
        <v>0</v>
      </c>
      <c r="K2304" s="127">
        <f>Price_List_BA!O197</f>
        <v>0</v>
      </c>
      <c r="L2304" s="127">
        <f>Price_List_BA!P197</f>
        <v>0</v>
      </c>
    </row>
    <row r="2305" spans="4:12" s="348" customFormat="1" ht="12.75" hidden="1" customHeight="1" outlineLevel="2" x14ac:dyDescent="0.2">
      <c r="D2305" s="785" t="str">
        <f>Price_List_BA!D198</f>
        <v>Equipment Category 115</v>
      </c>
      <c r="E2305" s="786"/>
      <c r="F2305" s="786"/>
      <c r="G2305" s="786"/>
      <c r="J2305" s="127">
        <f>Price_List_BA!L198</f>
        <v>0</v>
      </c>
      <c r="K2305" s="127">
        <f>Price_List_BA!O198</f>
        <v>0</v>
      </c>
      <c r="L2305" s="127">
        <f>Price_List_BA!P198</f>
        <v>0</v>
      </c>
    </row>
    <row r="2306" spans="4:12" s="348" customFormat="1" ht="12.75" hidden="1" customHeight="1" outlineLevel="2" x14ac:dyDescent="0.2">
      <c r="D2306" s="785" t="str">
        <f>Price_List_BA!D199</f>
        <v>Equipment Category 116</v>
      </c>
      <c r="E2306" s="786"/>
      <c r="F2306" s="786"/>
      <c r="G2306" s="786"/>
      <c r="J2306" s="127">
        <f>Price_List_BA!L199</f>
        <v>0</v>
      </c>
      <c r="K2306" s="127">
        <f>Price_List_BA!O199</f>
        <v>0</v>
      </c>
      <c r="L2306" s="127">
        <f>Price_List_BA!P199</f>
        <v>0</v>
      </c>
    </row>
    <row r="2307" spans="4:12" s="348" customFormat="1" ht="12.75" hidden="1" customHeight="1" outlineLevel="2" x14ac:dyDescent="0.2">
      <c r="D2307" s="785" t="str">
        <f>Price_List_BA!D200</f>
        <v>Equipment Category 117</v>
      </c>
      <c r="E2307" s="786"/>
      <c r="F2307" s="786"/>
      <c r="G2307" s="786"/>
      <c r="J2307" s="127">
        <f>Price_List_BA!L200</f>
        <v>0</v>
      </c>
      <c r="K2307" s="127">
        <f>Price_List_BA!O200</f>
        <v>0</v>
      </c>
      <c r="L2307" s="127">
        <f>Price_List_BA!P200</f>
        <v>0</v>
      </c>
    </row>
    <row r="2308" spans="4:12" s="348" customFormat="1" ht="12.75" hidden="1" customHeight="1" outlineLevel="2" x14ac:dyDescent="0.2">
      <c r="D2308" s="785" t="str">
        <f>Price_List_BA!D201</f>
        <v>Equipment Category 118</v>
      </c>
      <c r="E2308" s="786"/>
      <c r="F2308" s="786"/>
      <c r="G2308" s="786"/>
      <c r="J2308" s="127">
        <f>Price_List_BA!L201</f>
        <v>0</v>
      </c>
      <c r="K2308" s="127">
        <f>Price_List_BA!O201</f>
        <v>0</v>
      </c>
      <c r="L2308" s="127">
        <f>Price_List_BA!P201</f>
        <v>0</v>
      </c>
    </row>
    <row r="2309" spans="4:12" s="348" customFormat="1" ht="12.75" hidden="1" customHeight="1" outlineLevel="2" x14ac:dyDescent="0.2">
      <c r="D2309" s="785" t="str">
        <f>Price_List_BA!D202</f>
        <v>Equipment Category 119</v>
      </c>
      <c r="E2309" s="786"/>
      <c r="F2309" s="786"/>
      <c r="G2309" s="786"/>
      <c r="J2309" s="127">
        <f>Price_List_BA!L202</f>
        <v>0</v>
      </c>
      <c r="K2309" s="127">
        <f>Price_List_BA!O202</f>
        <v>0</v>
      </c>
      <c r="L2309" s="127">
        <f>Price_List_BA!P202</f>
        <v>0</v>
      </c>
    </row>
    <row r="2310" spans="4:12" s="348" customFormat="1" ht="12.75" hidden="1" customHeight="1" outlineLevel="2" x14ac:dyDescent="0.2">
      <c r="D2310" s="785" t="str">
        <f>Price_List_BA!D203</f>
        <v>Equipment Category 120</v>
      </c>
      <c r="E2310" s="786"/>
      <c r="F2310" s="786"/>
      <c r="G2310" s="786"/>
      <c r="J2310" s="127">
        <f>Price_List_BA!L203</f>
        <v>0</v>
      </c>
      <c r="K2310" s="127">
        <f>Price_List_BA!O203</f>
        <v>0</v>
      </c>
      <c r="L2310" s="127">
        <f>Price_List_BA!P203</f>
        <v>0</v>
      </c>
    </row>
    <row r="2311" spans="4:12" s="348" customFormat="1" ht="12.75" hidden="1" customHeight="1" outlineLevel="2" x14ac:dyDescent="0.2">
      <c r="D2311" s="785" t="str">
        <f>Price_List_BA!D204</f>
        <v>Equipment Category 121</v>
      </c>
      <c r="E2311" s="786"/>
      <c r="F2311" s="786"/>
      <c r="G2311" s="786"/>
      <c r="J2311" s="127">
        <f>Price_List_BA!L204</f>
        <v>0</v>
      </c>
      <c r="K2311" s="127">
        <f>Price_List_BA!O204</f>
        <v>0</v>
      </c>
      <c r="L2311" s="127">
        <f>Price_List_BA!P204</f>
        <v>0</v>
      </c>
    </row>
    <row r="2312" spans="4:12" s="348" customFormat="1" ht="12.75" hidden="1" customHeight="1" outlineLevel="2" x14ac:dyDescent="0.2">
      <c r="D2312" s="785" t="str">
        <f>Price_List_BA!D205</f>
        <v>Equipment Category 122</v>
      </c>
      <c r="E2312" s="786"/>
      <c r="F2312" s="786"/>
      <c r="G2312" s="786"/>
      <c r="J2312" s="127">
        <f>Price_List_BA!L205</f>
        <v>0</v>
      </c>
      <c r="K2312" s="127">
        <f>Price_List_BA!O205</f>
        <v>0</v>
      </c>
      <c r="L2312" s="127">
        <f>Price_List_BA!P205</f>
        <v>0</v>
      </c>
    </row>
    <row r="2313" spans="4:12" s="348" customFormat="1" ht="12.75" hidden="1" customHeight="1" outlineLevel="2" x14ac:dyDescent="0.2">
      <c r="D2313" s="785" t="str">
        <f>Price_List_BA!D206</f>
        <v>Equipment Category 123</v>
      </c>
      <c r="E2313" s="786"/>
      <c r="F2313" s="786"/>
      <c r="G2313" s="786"/>
      <c r="J2313" s="127">
        <f>Price_List_BA!L206</f>
        <v>0</v>
      </c>
      <c r="K2313" s="127">
        <f>Price_List_BA!O206</f>
        <v>0</v>
      </c>
      <c r="L2313" s="127">
        <f>Price_List_BA!P206</f>
        <v>0</v>
      </c>
    </row>
    <row r="2314" spans="4:12" s="348" customFormat="1" hidden="1" outlineLevel="2" x14ac:dyDescent="0.2"/>
    <row r="2315" spans="4:12" s="348" customFormat="1" ht="25.5" hidden="1" outlineLevel="2" x14ac:dyDescent="0.2">
      <c r="D2315" s="667" t="s">
        <v>186</v>
      </c>
      <c r="L2315" s="312" t="str">
        <f>"Cost per Unit ("&amp;$I$1953&amp;"/Unit)"</f>
        <v>Cost per Unit (USD/Unit)</v>
      </c>
    </row>
    <row r="2316" spans="4:12" s="348" customFormat="1" ht="12.95" hidden="1" customHeight="1" outlineLevel="2" x14ac:dyDescent="0.2">
      <c r="D2316" s="785" t="str">
        <f>Price_List_BA!D381</f>
        <v>_Not Applicable</v>
      </c>
      <c r="E2316" s="786"/>
      <c r="F2316" s="786"/>
      <c r="G2316" s="786"/>
      <c r="L2316" s="127">
        <f>Price_List_BA!L381</f>
        <v>0</v>
      </c>
    </row>
    <row r="2317" spans="4:12" s="348" customFormat="1" ht="12.95" hidden="1" customHeight="1" outlineLevel="2" x14ac:dyDescent="0.2">
      <c r="D2317" s="785" t="str">
        <f>Price_List_BA!D382</f>
        <v>Biopsy Pathology (ZM)</v>
      </c>
      <c r="E2317" s="786"/>
      <c r="F2317" s="786"/>
      <c r="G2317" s="786"/>
      <c r="L2317" s="127">
        <f>Price_List_BA!L382</f>
        <v>10.45</v>
      </c>
    </row>
    <row r="2318" spans="4:12" s="348" customFormat="1" ht="12.95" hidden="1" customHeight="1" outlineLevel="2" x14ac:dyDescent="0.2">
      <c r="D2318" s="785" t="str">
        <f>Price_List_BA!D383</f>
        <v>Blood chemistry (TZ)</v>
      </c>
      <c r="E2318" s="786"/>
      <c r="F2318" s="786"/>
      <c r="G2318" s="786"/>
      <c r="L2318" s="127">
        <f>Price_List_BA!L383</f>
        <v>21.875</v>
      </c>
    </row>
    <row r="2319" spans="4:12" s="348" customFormat="1" ht="12.95" hidden="1" customHeight="1" outlineLevel="2" x14ac:dyDescent="0.2">
      <c r="D2319" s="785" t="str">
        <f>Price_List_BA!D384</f>
        <v>Blood slide for malaria (TZ)</v>
      </c>
      <c r="E2319" s="786"/>
      <c r="F2319" s="786"/>
      <c r="G2319" s="786"/>
      <c r="L2319" s="127">
        <f>Price_List_BA!L384</f>
        <v>1.25</v>
      </c>
    </row>
    <row r="2320" spans="4:12" s="348" customFormat="1" ht="12.95" hidden="1" customHeight="1" outlineLevel="2" x14ac:dyDescent="0.2">
      <c r="D2320" s="785" t="str">
        <f>Price_List_BA!D385</f>
        <v>CareHPV test (TZ)</v>
      </c>
      <c r="E2320" s="786"/>
      <c r="F2320" s="786"/>
      <c r="G2320" s="786"/>
      <c r="L2320" s="127">
        <f>Price_List_BA!L385</f>
        <v>5</v>
      </c>
    </row>
    <row r="2321" spans="4:12" s="348" customFormat="1" ht="12.95" hidden="1" customHeight="1" outlineLevel="2" x14ac:dyDescent="0.2">
      <c r="D2321" s="785" t="str">
        <f>Price_List_BA!D386</f>
        <v>Chest X-ray (ZM)</v>
      </c>
      <c r="E2321" s="786"/>
      <c r="F2321" s="786"/>
      <c r="G2321" s="786"/>
      <c r="L2321" s="127">
        <f>Price_List_BA!L386</f>
        <v>1.67</v>
      </c>
    </row>
    <row r="2322" spans="4:12" s="348" customFormat="1" ht="12.95" hidden="1" customHeight="1" outlineLevel="2" x14ac:dyDescent="0.2">
      <c r="D2322" s="785" t="str">
        <f>Price_List_BA!D387</f>
        <v>Chest x-ray (TZ)</v>
      </c>
      <c r="E2322" s="786"/>
      <c r="F2322" s="786"/>
      <c r="G2322" s="786"/>
      <c r="L2322" s="127">
        <f>Price_List_BA!L387</f>
        <v>3.75</v>
      </c>
    </row>
    <row r="2323" spans="4:12" s="348" customFormat="1" ht="12.95" hidden="1" customHeight="1" outlineLevel="2" x14ac:dyDescent="0.2">
      <c r="D2323" s="785" t="str">
        <f>Price_List_BA!D388</f>
        <v>Full Blood Count (ZM)</v>
      </c>
      <c r="E2323" s="786"/>
      <c r="F2323" s="786"/>
      <c r="G2323" s="786"/>
      <c r="L2323" s="127">
        <f>Price_List_BA!L388</f>
        <v>2.5</v>
      </c>
    </row>
    <row r="2324" spans="4:12" s="348" customFormat="1" ht="12.95" hidden="1" customHeight="1" outlineLevel="2" x14ac:dyDescent="0.2">
      <c r="D2324" s="785" t="str">
        <f>Price_List_BA!D389</f>
        <v>Full blood picture (TZ)</v>
      </c>
      <c r="E2324" s="786"/>
      <c r="F2324" s="786"/>
      <c r="G2324" s="786"/>
      <c r="L2324" s="127">
        <f>Price_List_BA!L389</f>
        <v>6.25</v>
      </c>
    </row>
    <row r="2325" spans="4:12" s="348" customFormat="1" ht="12.75" hidden="1" customHeight="1" outlineLevel="2" x14ac:dyDescent="0.2">
      <c r="D2325" s="785" t="str">
        <f>Price_List_BA!D390</f>
        <v>Grouping, X matching (TZ)</v>
      </c>
      <c r="E2325" s="786"/>
      <c r="F2325" s="786"/>
      <c r="G2325" s="786"/>
      <c r="L2325" s="127">
        <f>Price_List_BA!L390</f>
        <v>1.875</v>
      </c>
    </row>
    <row r="2326" spans="4:12" s="348" customFormat="1" ht="12.75" hidden="1" customHeight="1" outlineLevel="2" x14ac:dyDescent="0.2">
      <c r="D2326" s="785" t="str">
        <f>Price_List_BA!D391</f>
        <v>Haemoglobin (TZ)</v>
      </c>
      <c r="E2326" s="786"/>
      <c r="F2326" s="786"/>
      <c r="G2326" s="786"/>
      <c r="L2326" s="127">
        <f>Price_List_BA!L391</f>
        <v>0.625</v>
      </c>
    </row>
    <row r="2327" spans="4:12" s="348" customFormat="1" ht="12.75" hidden="1" customHeight="1" outlineLevel="2" x14ac:dyDescent="0.2">
      <c r="D2327" s="785" t="str">
        <f>Price_List_BA!D392</f>
        <v>Histopathology (TZ)</v>
      </c>
      <c r="E2327" s="786"/>
      <c r="F2327" s="786"/>
      <c r="G2327" s="786"/>
      <c r="L2327" s="127">
        <f>Price_List_BA!L392</f>
        <v>31.25</v>
      </c>
    </row>
    <row r="2328" spans="4:12" s="348" customFormat="1" ht="12.75" hidden="1" customHeight="1" outlineLevel="2" x14ac:dyDescent="0.2">
      <c r="D2328" s="785" t="str">
        <f>Price_List_BA!D393</f>
        <v>Home Care (Day) (TZ)</v>
      </c>
      <c r="E2328" s="786"/>
      <c r="F2328" s="786"/>
      <c r="G2328" s="786"/>
      <c r="L2328" s="127">
        <f>Price_List_BA!L393</f>
        <v>12.5</v>
      </c>
    </row>
    <row r="2329" spans="4:12" s="348" customFormat="1" ht="12.75" hidden="1" customHeight="1" outlineLevel="2" x14ac:dyDescent="0.2">
      <c r="D2329" s="785" t="str">
        <f>Price_List_BA!D394</f>
        <v>Hospital Stay (Bed Day) (TZ)</v>
      </c>
      <c r="E2329" s="786"/>
      <c r="F2329" s="786"/>
      <c r="G2329" s="786"/>
      <c r="L2329" s="127">
        <f>Price_List_BA!L394</f>
        <v>18.75</v>
      </c>
    </row>
    <row r="2330" spans="4:12" s="348" customFormat="1" ht="12.75" hidden="1" customHeight="1" outlineLevel="2" x14ac:dyDescent="0.2">
      <c r="D2330" s="785" t="str">
        <f>Price_List_BA!D395</f>
        <v>Hysterectomy Pathology (ZM)</v>
      </c>
      <c r="E2330" s="786"/>
      <c r="F2330" s="786"/>
      <c r="G2330" s="786"/>
      <c r="L2330" s="127">
        <f>Price_List_BA!L395</f>
        <v>135.77000000000001</v>
      </c>
    </row>
    <row r="2331" spans="4:12" s="348" customFormat="1" ht="12.75" hidden="1" customHeight="1" outlineLevel="2" x14ac:dyDescent="0.2">
      <c r="D2331" s="785" t="str">
        <f>Price_List_BA!D396</f>
        <v>LEEP Pathology (ZM)</v>
      </c>
      <c r="E2331" s="786"/>
      <c r="F2331" s="786"/>
      <c r="G2331" s="786"/>
      <c r="L2331" s="127">
        <f>Price_List_BA!L396</f>
        <v>62.66</v>
      </c>
    </row>
    <row r="2332" spans="4:12" s="348" customFormat="1" ht="12.75" hidden="1" customHeight="1" outlineLevel="2" x14ac:dyDescent="0.2">
      <c r="D2332" s="785" t="str">
        <f>Price_List_BA!D397</f>
        <v>Liver Function (ZM)</v>
      </c>
      <c r="E2332" s="786"/>
      <c r="F2332" s="786"/>
      <c r="G2332" s="786"/>
      <c r="L2332" s="127">
        <f>Price_List_BA!L397</f>
        <v>6.67</v>
      </c>
    </row>
    <row r="2333" spans="4:12" s="348" customFormat="1" ht="12.75" hidden="1" customHeight="1" outlineLevel="2" x14ac:dyDescent="0.2">
      <c r="D2333" s="785" t="str">
        <f>Price_List_BA!D398</f>
        <v>Planning x-ray (TZ)</v>
      </c>
      <c r="E2333" s="786"/>
      <c r="F2333" s="786"/>
      <c r="G2333" s="786"/>
      <c r="L2333" s="127">
        <f>Price_List_BA!L398</f>
        <v>3.75</v>
      </c>
    </row>
    <row r="2334" spans="4:12" s="348" customFormat="1" ht="12.75" hidden="1" customHeight="1" outlineLevel="2" x14ac:dyDescent="0.2">
      <c r="D2334" s="785" t="str">
        <f>Price_List_BA!D399</f>
        <v>Renal Function (ZM)</v>
      </c>
      <c r="E2334" s="786"/>
      <c r="F2334" s="786"/>
      <c r="G2334" s="786"/>
      <c r="L2334" s="127">
        <f>Price_List_BA!L399</f>
        <v>3.33</v>
      </c>
    </row>
    <row r="2335" spans="4:12" s="348" customFormat="1" ht="12.75" hidden="1" customHeight="1" outlineLevel="2" x14ac:dyDescent="0.2">
      <c r="D2335" s="785" t="str">
        <f>Price_List_BA!D400</f>
        <v>Ultrasound (ZM)</v>
      </c>
      <c r="E2335" s="786"/>
      <c r="F2335" s="786"/>
      <c r="G2335" s="786"/>
      <c r="L2335" s="127">
        <f>Price_List_BA!L400</f>
        <v>4.17</v>
      </c>
    </row>
    <row r="2336" spans="4:12" s="348" customFormat="1" ht="12.75" hidden="1" customHeight="1" outlineLevel="2" x14ac:dyDescent="0.2">
      <c r="D2336" s="785" t="str">
        <f>Price_List_BA!D401</f>
        <v>ultrasound (abdominal &amp; pelvic) (TZ)</v>
      </c>
      <c r="E2336" s="786"/>
      <c r="F2336" s="786"/>
      <c r="G2336" s="786"/>
      <c r="L2336" s="127">
        <f>Price_List_BA!L401</f>
        <v>15.625</v>
      </c>
    </row>
    <row r="2337" spans="3:12" s="348" customFormat="1" ht="12.75" hidden="1" customHeight="1" outlineLevel="2" x14ac:dyDescent="0.2">
      <c r="D2337" s="785" t="str">
        <f>Price_List_BA!D402</f>
        <v>Urine/stool test (TZ)</v>
      </c>
      <c r="E2337" s="786"/>
      <c r="F2337" s="786"/>
      <c r="G2337" s="786"/>
      <c r="L2337" s="127">
        <f>Price_List_BA!L402</f>
        <v>2.5</v>
      </c>
    </row>
    <row r="2338" spans="3:12" s="348" customFormat="1" ht="12.75" hidden="1" customHeight="1" outlineLevel="2" x14ac:dyDescent="0.2">
      <c r="D2338" s="785" t="str">
        <f>Price_List_BA!D403</f>
        <v>Lab Tests &amp; Other Direct Costs Category 23</v>
      </c>
      <c r="E2338" s="786"/>
      <c r="F2338" s="786"/>
      <c r="G2338" s="786"/>
      <c r="L2338" s="127">
        <f>Price_List_BA!L403</f>
        <v>0</v>
      </c>
    </row>
    <row r="2339" spans="3:12" s="348" customFormat="1" ht="12.95" hidden="1" customHeight="1" outlineLevel="2" x14ac:dyDescent="0.2">
      <c r="D2339" s="785" t="str">
        <f>Price_List_BA!D404</f>
        <v>Lab Tests &amp; Other Direct Costs Category 24</v>
      </c>
      <c r="E2339" s="786"/>
      <c r="F2339" s="786"/>
      <c r="G2339" s="786"/>
      <c r="L2339" s="127">
        <f>Price_List_BA!L404</f>
        <v>0</v>
      </c>
    </row>
    <row r="2340" spans="3:12" s="348" customFormat="1" ht="12.95" hidden="1" customHeight="1" outlineLevel="2" x14ac:dyDescent="0.2">
      <c r="D2340" s="785" t="str">
        <f>Price_List_BA!D405</f>
        <v>Lab Tests &amp; Other Direct Costs Category 25</v>
      </c>
      <c r="E2340" s="786"/>
      <c r="F2340" s="786"/>
      <c r="G2340" s="786"/>
      <c r="L2340" s="127">
        <f>Price_List_BA!L405</f>
        <v>0</v>
      </c>
    </row>
    <row r="2341" spans="3:12" s="348" customFormat="1" ht="12.95" hidden="1" customHeight="1" outlineLevel="2" x14ac:dyDescent="0.2">
      <c r="D2341" s="785" t="str">
        <f>Price_List_BA!D406</f>
        <v>Lab Tests &amp; Other Direct Costs Category 26</v>
      </c>
      <c r="E2341" s="786"/>
      <c r="F2341" s="786"/>
      <c r="G2341" s="786"/>
      <c r="L2341" s="127">
        <f>Price_List_BA!L406</f>
        <v>0</v>
      </c>
    </row>
    <row r="2342" spans="3:12" s="348" customFormat="1" ht="12.95" hidden="1" customHeight="1" outlineLevel="2" x14ac:dyDescent="0.2">
      <c r="D2342" s="785" t="str">
        <f>Price_List_BA!D407</f>
        <v>Lab Tests &amp; Other Direct Costs Category 27</v>
      </c>
      <c r="E2342" s="786"/>
      <c r="F2342" s="786"/>
      <c r="G2342" s="786"/>
      <c r="L2342" s="127">
        <f>Price_List_BA!L407</f>
        <v>0</v>
      </c>
    </row>
    <row r="2343" spans="3:12" s="348" customFormat="1" ht="12.95" hidden="1" customHeight="1" outlineLevel="2" x14ac:dyDescent="0.2">
      <c r="D2343" s="785" t="str">
        <f>Price_List_BA!D408</f>
        <v>Lab Tests &amp; Other Direct Costs Category 28</v>
      </c>
      <c r="E2343" s="786"/>
      <c r="F2343" s="786"/>
      <c r="G2343" s="786"/>
      <c r="L2343" s="127">
        <f>Price_List_BA!L408</f>
        <v>0</v>
      </c>
    </row>
    <row r="2344" spans="3:12" s="348" customFormat="1" ht="12.95" hidden="1" customHeight="1" outlineLevel="2" x14ac:dyDescent="0.2">
      <c r="D2344" s="785" t="str">
        <f>Price_List_BA!D409</f>
        <v>Lab Tests &amp; Other Direct Costs Category 29</v>
      </c>
      <c r="E2344" s="786"/>
      <c r="F2344" s="786"/>
      <c r="G2344" s="786"/>
      <c r="L2344" s="127">
        <f>Price_List_BA!L409</f>
        <v>0</v>
      </c>
    </row>
    <row r="2345" spans="3:12" s="348" customFormat="1" ht="12.95" hidden="1" customHeight="1" outlineLevel="2" x14ac:dyDescent="0.2">
      <c r="D2345" s="785" t="str">
        <f>Price_List_BA!D410</f>
        <v>Lab Tests &amp; Other Direct Costs Category 30</v>
      </c>
      <c r="E2345" s="786"/>
      <c r="F2345" s="786"/>
      <c r="G2345" s="786"/>
      <c r="L2345" s="127">
        <f>Price_List_BA!L410</f>
        <v>0</v>
      </c>
    </row>
    <row r="2346" spans="3:12" s="348" customFormat="1" ht="12.95" hidden="1" customHeight="1" outlineLevel="2" x14ac:dyDescent="0.2">
      <c r="D2346" s="785" t="str">
        <f>Price_List_BA!D411</f>
        <v>Lab Tests &amp; Other Direct Costs Category 31</v>
      </c>
      <c r="E2346" s="786"/>
      <c r="F2346" s="786"/>
      <c r="G2346" s="786"/>
      <c r="L2346" s="127">
        <f>Price_List_BA!L411</f>
        <v>0</v>
      </c>
    </row>
    <row r="2347" spans="3:12" s="348" customFormat="1" ht="12.75" hidden="1" customHeight="1" outlineLevel="2" x14ac:dyDescent="0.2">
      <c r="D2347" s="785" t="str">
        <f>Price_List_BA!D412</f>
        <v>Lab Tests &amp; Other Direct Costs Category 32</v>
      </c>
      <c r="E2347" s="786"/>
      <c r="F2347" s="786"/>
      <c r="G2347" s="786"/>
      <c r="L2347" s="127">
        <f>Price_List_BA!L412</f>
        <v>0</v>
      </c>
    </row>
    <row r="2348" spans="3:12" s="348" customFormat="1" ht="12.75" hidden="1" customHeight="1" outlineLevel="2" x14ac:dyDescent="0.2">
      <c r="D2348" s="785" t="str">
        <f>Price_List_BA!D413</f>
        <v>Last ODC Row</v>
      </c>
      <c r="E2348" s="786"/>
      <c r="F2348" s="786"/>
      <c r="G2348" s="786"/>
      <c r="L2348" s="127">
        <f>Price_List_BA!L413</f>
        <v>0</v>
      </c>
    </row>
    <row r="2349" spans="3:12" s="348" customFormat="1" hidden="1" outlineLevel="2" collapsed="1" x14ac:dyDescent="0.2"/>
    <row r="2350" spans="3:12" s="348" customFormat="1" hidden="1" outlineLevel="2" x14ac:dyDescent="0.2">
      <c r="D2350" s="671" t="s">
        <v>312</v>
      </c>
      <c r="I2350" s="130">
        <f>IF(ISERROR(SUM(U$1845:U$1856,U$1868:U$1870,U$1883:U$1889,U$1902:U$1910,U$1923:U$1926,U1953)),1,MIN(SUM(U$1845:U$1856,U$1868:U$1870,U$1883:U$1889,U$1902:U$1910,U$1923:U$1926,U1953),1))</f>
        <v>0</v>
      </c>
    </row>
    <row r="2351" spans="3:12" s="348" customFormat="1" collapsed="1" x14ac:dyDescent="0.2">
      <c r="C2351" s="671" t="s">
        <v>23</v>
      </c>
      <c r="I2351" s="131">
        <f>IF(ISERROR(SUM(I2350)),1,MIN(SUM(I2350),1))</f>
        <v>0</v>
      </c>
    </row>
    <row r="2352" spans="3:12" s="348" customFormat="1" x14ac:dyDescent="0.2"/>
    <row r="2353" spans="2:14" s="348" customFormat="1" x14ac:dyDescent="0.2">
      <c r="C2353" s="722" t="str">
        <f>"Go to "&amp;HL_Intv_4_Ann_Ass</f>
        <v>Go to Intervention Services - Annual Assumptions</v>
      </c>
      <c r="D2353" s="777"/>
      <c r="E2353" s="777"/>
      <c r="F2353" s="777"/>
      <c r="G2353" s="777"/>
      <c r="H2353" s="777"/>
      <c r="I2353" s="777"/>
    </row>
    <row r="2354" spans="2:14" s="348" customFormat="1" x14ac:dyDescent="0.2">
      <c r="C2354" s="722" t="str">
        <f>"Go to "&amp;HL_Intv_4_Out</f>
        <v>Go to Radiotherapy</v>
      </c>
      <c r="D2354" s="777"/>
      <c r="E2354" s="777"/>
      <c r="F2354" s="777"/>
      <c r="G2354" s="777"/>
      <c r="H2354" s="777"/>
      <c r="I2354" s="777"/>
    </row>
    <row r="2355" spans="2:14" s="348" customFormat="1" x14ac:dyDescent="0.2"/>
    <row r="2356" spans="2:14" s="348" customFormat="1" x14ac:dyDescent="0.2"/>
    <row r="2357" spans="2:14" s="348" customFormat="1" ht="18.75" x14ac:dyDescent="0.2">
      <c r="B2357" s="424" t="str">
        <f>G2359</f>
        <v>Surgery (Radical Hysterectomy plus Stump Removal)</v>
      </c>
    </row>
    <row r="2358" spans="2:14" s="348" customFormat="1" x14ac:dyDescent="0.2"/>
    <row r="2359" spans="2:14" s="348" customFormat="1" x14ac:dyDescent="0.2">
      <c r="C2359" s="671" t="s">
        <v>77</v>
      </c>
      <c r="G2359" s="723" t="s">
        <v>190</v>
      </c>
      <c r="H2359" s="723"/>
      <c r="I2359" s="723"/>
      <c r="J2359" s="723"/>
    </row>
    <row r="2360" spans="2:14" s="348" customFormat="1" x14ac:dyDescent="0.2">
      <c r="C2360" s="671" t="s">
        <v>79</v>
      </c>
      <c r="G2360" s="723" t="s">
        <v>300</v>
      </c>
      <c r="H2360" s="723"/>
      <c r="I2360" s="723"/>
      <c r="J2360" s="723"/>
    </row>
    <row r="2361" spans="2:14" s="348" customFormat="1" x14ac:dyDescent="0.2">
      <c r="L2361" s="671" t="s">
        <v>1712</v>
      </c>
    </row>
    <row r="2362" spans="2:14" s="348" customFormat="1" x14ac:dyDescent="0.2">
      <c r="C2362" s="802" t="s">
        <v>815</v>
      </c>
      <c r="D2362" s="803"/>
      <c r="E2362" s="803"/>
      <c r="F2362" s="803"/>
      <c r="G2362" s="803"/>
      <c r="H2362" s="803"/>
      <c r="I2362" s="803"/>
      <c r="J2362" s="313">
        <f>IFERROR(INDEX($J$2366:$J$2372,MATCH($G$2360,$C$2366:$C$2372,0))+INDEX($J$2376:$J$2381,MATCH($G$2360,$C$2376:$C$2381,0)),0)</f>
        <v>7.1599999999999997E-3</v>
      </c>
    </row>
    <row r="2363" spans="2:14" s="348" customFormat="1" x14ac:dyDescent="0.2">
      <c r="C2363" s="671" t="s">
        <v>142</v>
      </c>
      <c r="J2363" s="413">
        <v>0.9</v>
      </c>
      <c r="L2363" s="721"/>
      <c r="M2363" s="721"/>
      <c r="N2363" s="721"/>
    </row>
    <row r="2364" spans="2:14" s="348" customFormat="1" hidden="1" outlineLevel="1" x14ac:dyDescent="0.2"/>
    <row r="2365" spans="2:14" s="348" customFormat="1" ht="15" hidden="1" outlineLevel="1" x14ac:dyDescent="0.2">
      <c r="C2365" s="667" t="s">
        <v>270</v>
      </c>
      <c r="J2365" s="671" t="s">
        <v>779</v>
      </c>
    </row>
    <row r="2366" spans="2:14" s="348" customFormat="1" hidden="1" outlineLevel="1" x14ac:dyDescent="0.2">
      <c r="C2366" s="668" t="str">
        <f>Reg_Pop_Ann_TA!D57</f>
        <v>BIOP-H</v>
      </c>
      <c r="J2366" s="303">
        <f>Reg_Pop_Ann_TA!H57</f>
        <v>0.01</v>
      </c>
    </row>
    <row r="2367" spans="2:14" s="348" customFormat="1" hidden="1" outlineLevel="1" x14ac:dyDescent="0.2">
      <c r="C2367" s="668" t="str">
        <f>Reg_Pop_Ann_TA!D58</f>
        <v>Cryo -SV</v>
      </c>
      <c r="J2367" s="303">
        <f>Reg_Pop_Ann_TA!H58</f>
        <v>0.106</v>
      </c>
    </row>
    <row r="2368" spans="2:14" s="348" customFormat="1" hidden="1" outlineLevel="1" x14ac:dyDescent="0.2">
      <c r="C2368" s="668" t="str">
        <f>Reg_Pop_Ann_TA!D59</f>
        <v>LEEP with BIOP-H</v>
      </c>
      <c r="J2368" s="303">
        <f>Reg_Pop_Ann_TA!H59</f>
        <v>6.3E-2</v>
      </c>
    </row>
    <row r="2369" spans="3:10" s="348" customFormat="1" hidden="1" outlineLevel="1" x14ac:dyDescent="0.2">
      <c r="C2369" s="668" t="str">
        <f>Reg_Pop_Ann_TA!D60</f>
        <v>SURG</v>
      </c>
      <c r="J2369" s="303">
        <f>Reg_Pop_Ann_TA!H60</f>
        <v>0</v>
      </c>
    </row>
    <row r="2370" spans="3:10" s="348" customFormat="1" hidden="1" outlineLevel="1" x14ac:dyDescent="0.2">
      <c r="C2370" s="668" t="str">
        <f>Reg_Pop_Ann_TA!D61</f>
        <v>Chemo</v>
      </c>
      <c r="J2370" s="303">
        <f>Reg_Pop_Ann_TA!H61</f>
        <v>0</v>
      </c>
    </row>
    <row r="2371" spans="3:10" s="348" customFormat="1" hidden="1" outlineLevel="1" x14ac:dyDescent="0.2">
      <c r="C2371" s="668" t="str">
        <f>Reg_Pop_Ann_TA!D62</f>
        <v>RADIO</v>
      </c>
      <c r="J2371" s="303">
        <f>Reg_Pop_Ann_TA!H62</f>
        <v>0</v>
      </c>
    </row>
    <row r="2372" spans="3:10" s="348" customFormat="1" hidden="1" outlineLevel="1" x14ac:dyDescent="0.2">
      <c r="C2372" s="668" t="str">
        <f>Reg_Pop_Ann_TA!D63</f>
        <v>PALL</v>
      </c>
      <c r="J2372" s="303">
        <f>Reg_Pop_Ann_TA!H63</f>
        <v>0</v>
      </c>
    </row>
    <row r="2373" spans="3:10" s="348" customFormat="1" ht="15" hidden="1" outlineLevel="1" x14ac:dyDescent="0.2">
      <c r="C2373" s="667" t="s">
        <v>781</v>
      </c>
      <c r="J2373" s="303">
        <f>SUM(J2366:J2372)</f>
        <v>0.17899999999999999</v>
      </c>
    </row>
    <row r="2374" spans="3:10" s="348" customFormat="1" hidden="1" outlineLevel="1" x14ac:dyDescent="0.2"/>
    <row r="2375" spans="3:10" s="348" customFormat="1" ht="15" hidden="1" outlineLevel="1" x14ac:dyDescent="0.2">
      <c r="C2375" s="667" t="s">
        <v>270</v>
      </c>
      <c r="J2375" s="671" t="s">
        <v>780</v>
      </c>
    </row>
    <row r="2376" spans="3:10" s="348" customFormat="1" hidden="1" outlineLevel="1" x14ac:dyDescent="0.2">
      <c r="C2376" s="668" t="str">
        <f>Reg_Pop_Ann_TA!D80</f>
        <v>Cryo -SV</v>
      </c>
      <c r="J2376" s="313">
        <f>Reg_Pop_Ann_TA!I80</f>
        <v>0</v>
      </c>
    </row>
    <row r="2377" spans="3:10" s="348" customFormat="1" hidden="1" outlineLevel="1" x14ac:dyDescent="0.2">
      <c r="C2377" s="668" t="str">
        <f>Reg_Pop_Ann_TA!D81</f>
        <v>LEEP with BIOP-H</v>
      </c>
      <c r="J2377" s="313">
        <f>Reg_Pop_Ann_TA!I81</f>
        <v>0</v>
      </c>
    </row>
    <row r="2378" spans="3:10" s="348" customFormat="1" hidden="1" outlineLevel="1" x14ac:dyDescent="0.2">
      <c r="C2378" s="668" t="str">
        <f>Reg_Pop_Ann_TA!D82</f>
        <v>SURG</v>
      </c>
      <c r="J2378" s="313">
        <f>Reg_Pop_Ann_TA!I82</f>
        <v>7.1599999999999997E-3</v>
      </c>
    </row>
    <row r="2379" spans="3:10" s="348" customFormat="1" hidden="1" outlineLevel="1" x14ac:dyDescent="0.2">
      <c r="C2379" s="668" t="str">
        <f>Reg_Pop_Ann_TA!D83</f>
        <v>Chemo</v>
      </c>
      <c r="J2379" s="313">
        <f>Reg_Pop_Ann_TA!I83</f>
        <v>8.9499999999999996E-3</v>
      </c>
    </row>
    <row r="2380" spans="3:10" s="348" customFormat="1" hidden="1" outlineLevel="1" x14ac:dyDescent="0.2">
      <c r="C2380" s="668" t="str">
        <f>Reg_Pop_Ann_TA!D84</f>
        <v>RADIO</v>
      </c>
      <c r="J2380" s="313">
        <f>Reg_Pop_Ann_TA!I84</f>
        <v>8.9499999999999996E-3</v>
      </c>
    </row>
    <row r="2381" spans="3:10" s="348" customFormat="1" hidden="1" outlineLevel="1" x14ac:dyDescent="0.2">
      <c r="C2381" s="668" t="str">
        <f>Reg_Pop_Ann_TA!D85</f>
        <v>PALL</v>
      </c>
      <c r="J2381" s="313">
        <f>Reg_Pop_Ann_TA!I85</f>
        <v>5.3699999999999998E-3</v>
      </c>
    </row>
    <row r="2382" spans="3:10" s="348" customFormat="1" ht="15" hidden="1" outlineLevel="1" x14ac:dyDescent="0.2">
      <c r="C2382" s="667" t="s">
        <v>782</v>
      </c>
      <c r="J2382" s="304">
        <f>SUM(J2376:J2381)</f>
        <v>3.0429999999999999E-2</v>
      </c>
    </row>
    <row r="2383" spans="3:10" s="348" customFormat="1" hidden="1" outlineLevel="1" x14ac:dyDescent="0.2"/>
    <row r="2384" spans="3:10" s="348" customFormat="1" collapsed="1" x14ac:dyDescent="0.2"/>
    <row r="2385" spans="2:16" s="348" customFormat="1" ht="15.75" x14ac:dyDescent="0.2">
      <c r="B2385" s="124" t="str">
        <f>"Annual Capacity per Service Unit - "&amp;Intv_5_Short_Code</f>
        <v>Annual Capacity per Service Unit - SURG</v>
      </c>
    </row>
    <row r="2386" spans="2:16" s="348" customFormat="1" x14ac:dyDescent="0.2"/>
    <row r="2387" spans="2:16" s="348" customFormat="1" ht="38.25" x14ac:dyDescent="0.2">
      <c r="C2387" s="671" t="s">
        <v>1752</v>
      </c>
      <c r="H2387" s="676" t="s">
        <v>1746</v>
      </c>
      <c r="I2387" s="676" t="s">
        <v>1747</v>
      </c>
      <c r="J2387" s="676" t="s">
        <v>1749</v>
      </c>
      <c r="K2387" s="676" t="s">
        <v>1748</v>
      </c>
      <c r="L2387" s="676" t="s">
        <v>1750</v>
      </c>
      <c r="N2387" s="800" t="s">
        <v>1759</v>
      </c>
      <c r="O2387" s="801"/>
      <c r="P2387" s="801"/>
    </row>
    <row r="2388" spans="2:16" s="348" customFormat="1" x14ac:dyDescent="0.2">
      <c r="D2388" s="668" t="str">
        <f>Labels_BA!D16</f>
        <v>Central Referral Hospital</v>
      </c>
      <c r="H2388" s="494">
        <v>0</v>
      </c>
      <c r="I2388" s="494">
        <v>0</v>
      </c>
      <c r="J2388" s="494">
        <v>0</v>
      </c>
      <c r="K2388" s="494">
        <v>0</v>
      </c>
      <c r="L2388" s="487">
        <f>IFERROR((H2388*I2388*J2388)/K2388,0)</f>
        <v>0</v>
      </c>
      <c r="N2388" s="721"/>
      <c r="O2388" s="721"/>
      <c r="P2388" s="721"/>
    </row>
    <row r="2389" spans="2:16" s="348" customFormat="1" x14ac:dyDescent="0.2">
      <c r="D2389" s="668" t="str">
        <f>Labels_BA!E16</f>
        <v>Provincial Hospital</v>
      </c>
      <c r="H2389" s="494">
        <v>0</v>
      </c>
      <c r="I2389" s="494">
        <v>0</v>
      </c>
      <c r="J2389" s="494">
        <v>0</v>
      </c>
      <c r="K2389" s="494">
        <v>0</v>
      </c>
      <c r="L2389" s="487">
        <f>IFERROR((H2389*I2389*J2389)/K2389,0)</f>
        <v>0</v>
      </c>
      <c r="N2389" s="721"/>
      <c r="O2389" s="721"/>
      <c r="P2389" s="721"/>
    </row>
    <row r="2390" spans="2:16" s="348" customFormat="1" x14ac:dyDescent="0.2">
      <c r="D2390" s="668" t="str">
        <f>Labels_BA!F16</f>
        <v>District Hospital</v>
      </c>
      <c r="H2390" s="494">
        <v>0</v>
      </c>
      <c r="I2390" s="494">
        <v>0</v>
      </c>
      <c r="J2390" s="494">
        <v>0</v>
      </c>
      <c r="K2390" s="494">
        <v>0</v>
      </c>
      <c r="L2390" s="487">
        <f>IFERROR((H2390*I2390*J2390)/K2390,0)</f>
        <v>0</v>
      </c>
      <c r="N2390" s="721"/>
      <c r="O2390" s="721"/>
      <c r="P2390" s="721"/>
    </row>
    <row r="2391" spans="2:16" s="348" customFormat="1" x14ac:dyDescent="0.2"/>
    <row r="2392" spans="2:16" s="348" customFormat="1" x14ac:dyDescent="0.2">
      <c r="C2392" s="671" t="s">
        <v>1751</v>
      </c>
    </row>
    <row r="2393" spans="2:16" s="348" customFormat="1" x14ac:dyDescent="0.2">
      <c r="D2393" s="668" t="str">
        <f>Labels_BA!G16</f>
        <v>Fixed Health Clinic</v>
      </c>
      <c r="H2393" s="494">
        <v>0</v>
      </c>
      <c r="I2393" s="494">
        <v>0</v>
      </c>
      <c r="J2393" s="494">
        <v>0</v>
      </c>
      <c r="K2393" s="494">
        <v>0</v>
      </c>
      <c r="L2393" s="487">
        <f t="shared" ref="L2393:L2399" si="43">IFERROR((H2393*I2393*J2393)/K2393,0)</f>
        <v>0</v>
      </c>
      <c r="N2393" s="721"/>
      <c r="O2393" s="721"/>
      <c r="P2393" s="721"/>
    </row>
    <row r="2394" spans="2:16" s="348" customFormat="1" x14ac:dyDescent="0.2">
      <c r="D2394" s="668" t="str">
        <f>Labels_BA!H16</f>
        <v>PCI Mobile Health Team</v>
      </c>
      <c r="H2394" s="494">
        <v>0</v>
      </c>
      <c r="I2394" s="494">
        <v>0</v>
      </c>
      <c r="J2394" s="494">
        <v>0</v>
      </c>
      <c r="K2394" s="494">
        <v>0</v>
      </c>
      <c r="L2394" s="487">
        <f t="shared" si="43"/>
        <v>0</v>
      </c>
      <c r="N2394" s="721"/>
      <c r="O2394" s="721"/>
      <c r="P2394" s="721"/>
    </row>
    <row r="2395" spans="2:16" s="348" customFormat="1" x14ac:dyDescent="0.2">
      <c r="D2395" s="668" t="str">
        <f>Labels_BA!I16</f>
        <v>Gov't Mobile Health Team (Hospital)</v>
      </c>
      <c r="H2395" s="494">
        <v>0</v>
      </c>
      <c r="I2395" s="494">
        <v>0</v>
      </c>
      <c r="J2395" s="494">
        <v>0</v>
      </c>
      <c r="K2395" s="494">
        <v>0</v>
      </c>
      <c r="L2395" s="487">
        <f t="shared" si="43"/>
        <v>0</v>
      </c>
      <c r="N2395" s="721"/>
      <c r="O2395" s="721"/>
      <c r="P2395" s="721"/>
    </row>
    <row r="2396" spans="2:16" s="348" customFormat="1" x14ac:dyDescent="0.2">
      <c r="D2396" s="668" t="str">
        <f>Labels_BA!J16</f>
        <v>CIDRZ Mobile Health Team</v>
      </c>
      <c r="H2396" s="494">
        <v>0</v>
      </c>
      <c r="I2396" s="494">
        <v>0</v>
      </c>
      <c r="J2396" s="494">
        <v>0</v>
      </c>
      <c r="K2396" s="494">
        <v>0</v>
      </c>
      <c r="L2396" s="487">
        <f t="shared" si="43"/>
        <v>0</v>
      </c>
      <c r="N2396" s="721"/>
      <c r="O2396" s="721"/>
      <c r="P2396" s="721"/>
    </row>
    <row r="2397" spans="2:16" s="348" customFormat="1" x14ac:dyDescent="0.2">
      <c r="D2397" s="668" t="str">
        <f>Labels_BA!K16</f>
        <v>Facility Type 8</v>
      </c>
      <c r="H2397" s="494">
        <v>0</v>
      </c>
      <c r="I2397" s="494">
        <v>0</v>
      </c>
      <c r="J2397" s="494">
        <v>0</v>
      </c>
      <c r="K2397" s="494">
        <v>0</v>
      </c>
      <c r="L2397" s="487">
        <f t="shared" si="43"/>
        <v>0</v>
      </c>
      <c r="N2397" s="721"/>
      <c r="O2397" s="721"/>
      <c r="P2397" s="721"/>
    </row>
    <row r="2398" spans="2:16" s="348" customFormat="1" x14ac:dyDescent="0.2">
      <c r="D2398" s="668" t="str">
        <f>Labels_BA!L16</f>
        <v>Facility Type 9</v>
      </c>
      <c r="H2398" s="494">
        <v>0</v>
      </c>
      <c r="I2398" s="494">
        <v>0</v>
      </c>
      <c r="J2398" s="494">
        <v>0</v>
      </c>
      <c r="K2398" s="494">
        <v>0</v>
      </c>
      <c r="L2398" s="487">
        <f t="shared" si="43"/>
        <v>0</v>
      </c>
      <c r="N2398" s="721"/>
      <c r="O2398" s="721"/>
      <c r="P2398" s="721"/>
    </row>
    <row r="2399" spans="2:16" s="348" customFormat="1" x14ac:dyDescent="0.2">
      <c r="D2399" s="668" t="str">
        <f>Labels_BA!M16</f>
        <v>Facility Type 10</v>
      </c>
      <c r="H2399" s="494">
        <v>0</v>
      </c>
      <c r="I2399" s="494">
        <v>0</v>
      </c>
      <c r="J2399" s="494">
        <v>0</v>
      </c>
      <c r="K2399" s="494">
        <v>0</v>
      </c>
      <c r="L2399" s="487">
        <f t="shared" si="43"/>
        <v>0</v>
      </c>
      <c r="N2399" s="721"/>
      <c r="O2399" s="721"/>
      <c r="P2399" s="721"/>
    </row>
    <row r="2400" spans="2:16" s="348" customFormat="1" x14ac:dyDescent="0.2"/>
    <row r="2401" spans="2:14" s="348" customFormat="1" x14ac:dyDescent="0.2">
      <c r="D2401" s="671" t="s">
        <v>1754</v>
      </c>
    </row>
    <row r="2402" spans="2:14" s="348" customFormat="1" x14ac:dyDescent="0.2">
      <c r="E2402" s="721"/>
      <c r="F2402" s="721"/>
      <c r="G2402" s="721"/>
      <c r="H2402" s="721"/>
      <c r="I2402" s="721"/>
      <c r="J2402" s="721"/>
      <c r="K2402" s="721"/>
      <c r="L2402" s="721"/>
    </row>
    <row r="2403" spans="2:14" s="348" customFormat="1" x14ac:dyDescent="0.2">
      <c r="E2403" s="721"/>
      <c r="F2403" s="721"/>
      <c r="G2403" s="721"/>
      <c r="H2403" s="721"/>
      <c r="I2403" s="721"/>
      <c r="J2403" s="721"/>
      <c r="K2403" s="721"/>
      <c r="L2403" s="721"/>
    </row>
    <row r="2404" spans="2:14" s="348" customFormat="1" x14ac:dyDescent="0.2">
      <c r="E2404" s="721"/>
      <c r="F2404" s="721"/>
      <c r="G2404" s="721"/>
      <c r="H2404" s="721"/>
      <c r="I2404" s="721"/>
      <c r="J2404" s="721"/>
      <c r="K2404" s="721"/>
      <c r="L2404" s="721"/>
    </row>
    <row r="2405" spans="2:14" s="348" customFormat="1" x14ac:dyDescent="0.2">
      <c r="E2405" s="721"/>
      <c r="F2405" s="721"/>
      <c r="G2405" s="721"/>
      <c r="H2405" s="721"/>
      <c r="I2405" s="721"/>
      <c r="J2405" s="721"/>
      <c r="K2405" s="721"/>
      <c r="L2405" s="721"/>
    </row>
    <row r="2406" spans="2:14" s="348" customFormat="1" x14ac:dyDescent="0.2">
      <c r="E2406" s="721"/>
      <c r="F2406" s="721"/>
      <c r="G2406" s="721"/>
      <c r="H2406" s="721"/>
      <c r="I2406" s="721"/>
      <c r="J2406" s="721"/>
      <c r="K2406" s="721"/>
      <c r="L2406" s="721"/>
    </row>
    <row r="2407" spans="2:14" s="348" customFormat="1" x14ac:dyDescent="0.2">
      <c r="E2407" s="721"/>
      <c r="F2407" s="721"/>
      <c r="G2407" s="721"/>
      <c r="H2407" s="721"/>
      <c r="I2407" s="721"/>
      <c r="J2407" s="721"/>
      <c r="K2407" s="721"/>
      <c r="L2407" s="721"/>
    </row>
    <row r="2408" spans="2:14" s="348" customFormat="1" x14ac:dyDescent="0.2"/>
    <row r="2409" spans="2:14" s="348" customFormat="1" ht="15.75" x14ac:dyDescent="0.2">
      <c r="B2409" s="124" t="str">
        <f>"Pre-existing Equipment and Supplies per Service Unit - "&amp;Intv_5_Short_Code</f>
        <v>Pre-existing Equipment and Supplies per Service Unit - SURG</v>
      </c>
    </row>
    <row r="2410" spans="2:14" s="348" customFormat="1" x14ac:dyDescent="0.2"/>
    <row r="2411" spans="2:14" s="348" customFormat="1" x14ac:dyDescent="0.2">
      <c r="D2411" s="671" t="s">
        <v>846</v>
      </c>
      <c r="K2411" s="671" t="s">
        <v>847</v>
      </c>
    </row>
    <row r="2412" spans="2:14" s="348" customFormat="1" x14ac:dyDescent="0.2">
      <c r="D2412" s="737" t="s">
        <v>975</v>
      </c>
      <c r="E2412" s="738"/>
      <c r="F2412" s="738"/>
      <c r="G2412" s="738"/>
      <c r="H2412" s="738"/>
      <c r="I2412" s="739"/>
      <c r="J2412" s="372">
        <v>0</v>
      </c>
      <c r="K2412" s="737" t="s">
        <v>975</v>
      </c>
      <c r="L2412" s="738"/>
      <c r="M2412" s="738"/>
      <c r="N2412" s="739"/>
    </row>
    <row r="2413" spans="2:14" s="348" customFormat="1" x14ac:dyDescent="0.2">
      <c r="D2413" s="737"/>
      <c r="E2413" s="738"/>
      <c r="F2413" s="738"/>
      <c r="G2413" s="738"/>
      <c r="H2413" s="738"/>
      <c r="I2413" s="739"/>
      <c r="J2413" s="372">
        <v>0</v>
      </c>
      <c r="K2413" s="737"/>
      <c r="L2413" s="738"/>
      <c r="M2413" s="738"/>
      <c r="N2413" s="739"/>
    </row>
    <row r="2414" spans="2:14" s="348" customFormat="1" x14ac:dyDescent="0.2">
      <c r="D2414" s="737"/>
      <c r="E2414" s="738"/>
      <c r="F2414" s="738"/>
      <c r="G2414" s="738"/>
      <c r="H2414" s="738"/>
      <c r="I2414" s="739"/>
      <c r="J2414" s="372">
        <v>0</v>
      </c>
      <c r="K2414" s="737"/>
      <c r="L2414" s="738"/>
      <c r="M2414" s="738"/>
      <c r="N2414" s="739"/>
    </row>
    <row r="2415" spans="2:14" s="348" customFormat="1" x14ac:dyDescent="0.2">
      <c r="D2415" s="737"/>
      <c r="E2415" s="738"/>
      <c r="F2415" s="738"/>
      <c r="G2415" s="738"/>
      <c r="H2415" s="738"/>
      <c r="I2415" s="739"/>
      <c r="J2415" s="372">
        <v>0</v>
      </c>
      <c r="K2415" s="737"/>
      <c r="L2415" s="738"/>
      <c r="M2415" s="738"/>
      <c r="N2415" s="739"/>
    </row>
    <row r="2416" spans="2:14" s="348" customFormat="1" x14ac:dyDescent="0.2">
      <c r="D2416" s="737"/>
      <c r="E2416" s="738"/>
      <c r="F2416" s="738"/>
      <c r="G2416" s="738"/>
      <c r="H2416" s="738"/>
      <c r="I2416" s="739"/>
      <c r="J2416" s="372">
        <v>0</v>
      </c>
      <c r="K2416" s="737"/>
      <c r="L2416" s="738"/>
      <c r="M2416" s="738"/>
      <c r="N2416" s="739"/>
    </row>
    <row r="2417" spans="4:14" s="348" customFormat="1" x14ac:dyDescent="0.2">
      <c r="D2417" s="737"/>
      <c r="E2417" s="738"/>
      <c r="F2417" s="738"/>
      <c r="G2417" s="738"/>
      <c r="H2417" s="738"/>
      <c r="I2417" s="739"/>
      <c r="J2417" s="372">
        <v>0</v>
      </c>
      <c r="K2417" s="737"/>
      <c r="L2417" s="738"/>
      <c r="M2417" s="738"/>
      <c r="N2417" s="739"/>
    </row>
    <row r="2418" spans="4:14" s="348" customFormat="1" x14ac:dyDescent="0.2">
      <c r="D2418" s="737"/>
      <c r="E2418" s="738"/>
      <c r="F2418" s="738"/>
      <c r="G2418" s="738"/>
      <c r="H2418" s="738"/>
      <c r="I2418" s="739"/>
      <c r="J2418" s="372">
        <v>0</v>
      </c>
      <c r="K2418" s="737"/>
      <c r="L2418" s="738"/>
      <c r="M2418" s="738"/>
      <c r="N2418" s="739"/>
    </row>
    <row r="2419" spans="4:14" s="348" customFormat="1" x14ac:dyDescent="0.2">
      <c r="D2419" s="737"/>
      <c r="E2419" s="738"/>
      <c r="F2419" s="738"/>
      <c r="G2419" s="738"/>
      <c r="H2419" s="738"/>
      <c r="I2419" s="739"/>
      <c r="J2419" s="372">
        <v>0</v>
      </c>
      <c r="K2419" s="737"/>
      <c r="L2419" s="738"/>
      <c r="M2419" s="738"/>
      <c r="N2419" s="739"/>
    </row>
    <row r="2420" spans="4:14" s="348" customFormat="1" x14ac:dyDescent="0.2">
      <c r="D2420" s="737"/>
      <c r="E2420" s="738"/>
      <c r="F2420" s="738"/>
      <c r="G2420" s="738"/>
      <c r="H2420" s="738"/>
      <c r="I2420" s="739"/>
      <c r="J2420" s="372">
        <v>0</v>
      </c>
      <c r="K2420" s="737"/>
      <c r="L2420" s="738"/>
      <c r="M2420" s="738"/>
      <c r="N2420" s="739"/>
    </row>
    <row r="2421" spans="4:14" s="348" customFormat="1" x14ac:dyDescent="0.2">
      <c r="D2421" s="737"/>
      <c r="E2421" s="738"/>
      <c r="F2421" s="738"/>
      <c r="G2421" s="738"/>
      <c r="H2421" s="738"/>
      <c r="I2421" s="739"/>
      <c r="J2421" s="372">
        <v>0</v>
      </c>
      <c r="K2421" s="737"/>
      <c r="L2421" s="738"/>
      <c r="M2421" s="738"/>
      <c r="N2421" s="739"/>
    </row>
    <row r="2422" spans="4:14" s="348" customFormat="1" x14ac:dyDescent="0.2">
      <c r="D2422" s="737"/>
      <c r="E2422" s="738"/>
      <c r="F2422" s="738"/>
      <c r="G2422" s="738"/>
      <c r="H2422" s="738"/>
      <c r="I2422" s="739"/>
      <c r="J2422" s="372">
        <v>0</v>
      </c>
      <c r="K2422" s="737"/>
      <c r="L2422" s="738"/>
      <c r="M2422" s="738"/>
      <c r="N2422" s="739"/>
    </row>
    <row r="2423" spans="4:14" s="348" customFormat="1" x14ac:dyDescent="0.2">
      <c r="D2423" s="737"/>
      <c r="E2423" s="738"/>
      <c r="F2423" s="738"/>
      <c r="G2423" s="738"/>
      <c r="H2423" s="738"/>
      <c r="I2423" s="739"/>
      <c r="J2423" s="372">
        <v>0</v>
      </c>
      <c r="K2423" s="737"/>
      <c r="L2423" s="738"/>
      <c r="M2423" s="738"/>
      <c r="N2423" s="739"/>
    </row>
    <row r="2424" spans="4:14" s="348" customFormat="1" x14ac:dyDescent="0.2">
      <c r="D2424" s="737"/>
      <c r="E2424" s="738"/>
      <c r="F2424" s="738"/>
      <c r="G2424" s="738"/>
      <c r="H2424" s="738"/>
      <c r="I2424" s="739"/>
      <c r="J2424" s="372">
        <v>0</v>
      </c>
      <c r="K2424" s="737"/>
      <c r="L2424" s="738"/>
      <c r="M2424" s="738"/>
      <c r="N2424" s="739"/>
    </row>
    <row r="2425" spans="4:14" s="348" customFormat="1" x14ac:dyDescent="0.2">
      <c r="D2425" s="737"/>
      <c r="E2425" s="738"/>
      <c r="F2425" s="738"/>
      <c r="G2425" s="738"/>
      <c r="H2425" s="738"/>
      <c r="I2425" s="739"/>
      <c r="J2425" s="372">
        <v>0</v>
      </c>
      <c r="K2425" s="737"/>
      <c r="L2425" s="738"/>
      <c r="M2425" s="738"/>
      <c r="N2425" s="739"/>
    </row>
    <row r="2426" spans="4:14" s="348" customFormat="1" x14ac:dyDescent="0.2">
      <c r="D2426" s="737"/>
      <c r="E2426" s="738"/>
      <c r="F2426" s="738"/>
      <c r="G2426" s="738"/>
      <c r="H2426" s="738"/>
      <c r="I2426" s="739"/>
      <c r="J2426" s="372">
        <v>0</v>
      </c>
      <c r="K2426" s="737"/>
      <c r="L2426" s="738"/>
      <c r="M2426" s="738"/>
      <c r="N2426" s="739"/>
    </row>
    <row r="2427" spans="4:14" s="348" customFormat="1" x14ac:dyDescent="0.2">
      <c r="D2427" s="737"/>
      <c r="E2427" s="738"/>
      <c r="F2427" s="738"/>
      <c r="G2427" s="738"/>
      <c r="H2427" s="738"/>
      <c r="I2427" s="739"/>
      <c r="J2427" s="372">
        <v>0</v>
      </c>
      <c r="K2427" s="737"/>
      <c r="L2427" s="738"/>
      <c r="M2427" s="738"/>
      <c r="N2427" s="739"/>
    </row>
    <row r="2428" spans="4:14" s="348" customFormat="1" x14ac:dyDescent="0.2">
      <c r="D2428" s="737"/>
      <c r="E2428" s="738"/>
      <c r="F2428" s="738"/>
      <c r="G2428" s="738"/>
      <c r="H2428" s="738"/>
      <c r="I2428" s="739"/>
      <c r="J2428" s="372">
        <v>0</v>
      </c>
      <c r="K2428" s="737"/>
      <c r="L2428" s="738"/>
      <c r="M2428" s="738"/>
      <c r="N2428" s="739"/>
    </row>
    <row r="2429" spans="4:14" s="348" customFormat="1" x14ac:dyDescent="0.2">
      <c r="D2429" s="737"/>
      <c r="E2429" s="738"/>
      <c r="F2429" s="738"/>
      <c r="G2429" s="738"/>
      <c r="H2429" s="738"/>
      <c r="I2429" s="739"/>
      <c r="J2429" s="372">
        <v>0</v>
      </c>
      <c r="K2429" s="737"/>
      <c r="L2429" s="738"/>
      <c r="M2429" s="738"/>
      <c r="N2429" s="739"/>
    </row>
    <row r="2430" spans="4:14" s="348" customFormat="1" x14ac:dyDescent="0.2">
      <c r="D2430" s="737"/>
      <c r="E2430" s="738"/>
      <c r="F2430" s="738"/>
      <c r="G2430" s="738"/>
      <c r="H2430" s="738"/>
      <c r="I2430" s="739"/>
      <c r="J2430" s="372">
        <v>0</v>
      </c>
      <c r="K2430" s="737"/>
      <c r="L2430" s="738"/>
      <c r="M2430" s="738"/>
      <c r="N2430" s="739"/>
    </row>
    <row r="2431" spans="4:14" s="348" customFormat="1" x14ac:dyDescent="0.2"/>
    <row r="2432" spans="4:14" s="348" customFormat="1" x14ac:dyDescent="0.2"/>
    <row r="2433" spans="3:21" s="348" customFormat="1" ht="15.75" x14ac:dyDescent="0.2">
      <c r="C2433" s="124" t="str">
        <f>"Personnel Required for "&amp;G2360</f>
        <v>Personnel Required for SURG</v>
      </c>
    </row>
    <row r="2434" spans="3:21" s="348" customFormat="1" x14ac:dyDescent="0.2"/>
    <row r="2435" spans="3:21" s="348" customFormat="1" ht="15" x14ac:dyDescent="0.2">
      <c r="J2435" s="849" t="str">
        <f>"Cost Per Minute ("&amp;$I$2545&amp;")"</f>
        <v>Cost Per Minute (USD)</v>
      </c>
      <c r="K2435" s="873" t="s">
        <v>112</v>
      </c>
      <c r="L2435" s="874"/>
      <c r="M2435" s="874"/>
      <c r="N2435" s="875" t="s">
        <v>183</v>
      </c>
      <c r="O2435" s="898" t="str">
        <f>"Cost ("&amp;$I$2545&amp;")"</f>
        <v>Cost (USD)</v>
      </c>
    </row>
    <row r="2436" spans="3:21" s="348" customFormat="1" ht="30" x14ac:dyDescent="0.2">
      <c r="D2436" s="508" t="str">
        <f>C2387</f>
        <v>Fixed Hospital Sites</v>
      </c>
      <c r="H2436" s="880" t="s">
        <v>385</v>
      </c>
      <c r="I2436" s="890"/>
      <c r="J2436" s="895"/>
      <c r="K2436" s="675" t="s">
        <v>109</v>
      </c>
      <c r="L2436" s="319" t="s">
        <v>110</v>
      </c>
      <c r="M2436" s="133" t="s">
        <v>111</v>
      </c>
      <c r="N2436" s="876"/>
      <c r="O2436" s="899"/>
      <c r="U2436" s="671" t="s">
        <v>312</v>
      </c>
    </row>
    <row r="2437" spans="3:21" s="348" customFormat="1" x14ac:dyDescent="0.2">
      <c r="D2437" s="723" t="s">
        <v>1260</v>
      </c>
      <c r="E2437" s="723"/>
      <c r="F2437" s="723"/>
      <c r="G2437" s="723"/>
      <c r="H2437" s="721" t="s">
        <v>1598</v>
      </c>
      <c r="I2437" s="894"/>
      <c r="J2437" s="144">
        <f t="shared" ref="J2437:J2443" si="44">IFERROR(INDEX($L$2548:$L$2578,MATCH(D2437,LU_Intv_5_Pers_Hosp,0)),0)</f>
        <v>0.39408430337975103</v>
      </c>
      <c r="K2437" s="468">
        <v>0</v>
      </c>
      <c r="L2437" s="469">
        <v>240</v>
      </c>
      <c r="M2437" s="470">
        <v>25</v>
      </c>
      <c r="N2437" s="475">
        <v>0</v>
      </c>
      <c r="O2437" s="134">
        <f t="shared" ref="O2437:O2443" si="45">J2437*SUM(K2437:M2437)*N2437</f>
        <v>0</v>
      </c>
      <c r="U2437" s="119">
        <f t="shared" ref="U2437:U2443" si="46">IF(AND(ISERROR(MATCH(D2437,LU_Intv_5_Pers_Hosp,0)),SUM(K2437:M2437),N2437),1,0)</f>
        <v>0</v>
      </c>
    </row>
    <row r="2438" spans="3:21" s="348" customFormat="1" x14ac:dyDescent="0.2">
      <c r="D2438" s="723" t="s">
        <v>1260</v>
      </c>
      <c r="E2438" s="723"/>
      <c r="F2438" s="723"/>
      <c r="G2438" s="723"/>
      <c r="H2438" s="721" t="s">
        <v>1599</v>
      </c>
      <c r="I2438" s="894"/>
      <c r="J2438" s="147">
        <f t="shared" si="44"/>
        <v>0.39408430337975103</v>
      </c>
      <c r="K2438" s="471">
        <v>0</v>
      </c>
      <c r="L2438" s="472">
        <v>0</v>
      </c>
      <c r="M2438" s="473">
        <v>70</v>
      </c>
      <c r="N2438" s="476">
        <v>0</v>
      </c>
      <c r="O2438" s="135">
        <f t="shared" si="45"/>
        <v>0</v>
      </c>
      <c r="U2438" s="119">
        <f t="shared" si="46"/>
        <v>0</v>
      </c>
    </row>
    <row r="2439" spans="3:21" s="348" customFormat="1" x14ac:dyDescent="0.2">
      <c r="D2439" s="723" t="s">
        <v>1260</v>
      </c>
      <c r="E2439" s="723"/>
      <c r="F2439" s="723"/>
      <c r="G2439" s="723"/>
      <c r="H2439" s="721" t="s">
        <v>1600</v>
      </c>
      <c r="I2439" s="894"/>
      <c r="J2439" s="147">
        <f t="shared" si="44"/>
        <v>0.39408430337975103</v>
      </c>
      <c r="K2439" s="480">
        <v>0</v>
      </c>
      <c r="L2439" s="481">
        <v>720</v>
      </c>
      <c r="M2439" s="482">
        <v>20</v>
      </c>
      <c r="N2439" s="476">
        <v>0</v>
      </c>
      <c r="O2439" s="135">
        <f t="shared" si="45"/>
        <v>0</v>
      </c>
      <c r="U2439" s="119">
        <f t="shared" si="46"/>
        <v>0</v>
      </c>
    </row>
    <row r="2440" spans="3:21" s="348" customFormat="1" x14ac:dyDescent="0.2">
      <c r="D2440" s="877" t="s">
        <v>1260</v>
      </c>
      <c r="E2440" s="878"/>
      <c r="F2440" s="878"/>
      <c r="G2440" s="879"/>
      <c r="H2440" s="805" t="s">
        <v>1601</v>
      </c>
      <c r="I2440" s="806"/>
      <c r="J2440" s="147">
        <f t="shared" si="44"/>
        <v>0.39408430337975103</v>
      </c>
      <c r="K2440" s="480">
        <v>0</v>
      </c>
      <c r="L2440" s="481">
        <v>0</v>
      </c>
      <c r="M2440" s="482">
        <v>0</v>
      </c>
      <c r="N2440" s="476">
        <v>0</v>
      </c>
      <c r="O2440" s="135">
        <f t="shared" si="45"/>
        <v>0</v>
      </c>
      <c r="U2440" s="119">
        <f t="shared" si="46"/>
        <v>0</v>
      </c>
    </row>
    <row r="2441" spans="3:21" s="348" customFormat="1" x14ac:dyDescent="0.2">
      <c r="D2441" s="877" t="s">
        <v>1276</v>
      </c>
      <c r="E2441" s="878"/>
      <c r="F2441" s="878"/>
      <c r="G2441" s="879"/>
      <c r="H2441" s="805" t="s">
        <v>1602</v>
      </c>
      <c r="I2441" s="806"/>
      <c r="J2441" s="147">
        <f t="shared" si="44"/>
        <v>5.7114882506527402E-2</v>
      </c>
      <c r="K2441" s="480">
        <v>0</v>
      </c>
      <c r="L2441" s="481">
        <v>0</v>
      </c>
      <c r="M2441" s="482">
        <v>0</v>
      </c>
      <c r="N2441" s="476">
        <v>0</v>
      </c>
      <c r="O2441" s="135">
        <f t="shared" si="45"/>
        <v>0</v>
      </c>
      <c r="U2441" s="119">
        <f t="shared" si="46"/>
        <v>0</v>
      </c>
    </row>
    <row r="2442" spans="3:21" s="348" customFormat="1" x14ac:dyDescent="0.2">
      <c r="D2442" s="877" t="s">
        <v>1276</v>
      </c>
      <c r="E2442" s="878"/>
      <c r="F2442" s="878"/>
      <c r="G2442" s="879"/>
      <c r="H2442" s="805" t="s">
        <v>1603</v>
      </c>
      <c r="I2442" s="806"/>
      <c r="J2442" s="147">
        <f t="shared" si="44"/>
        <v>5.7114882506527402E-2</v>
      </c>
      <c r="K2442" s="480">
        <v>0</v>
      </c>
      <c r="L2442" s="481">
        <v>0</v>
      </c>
      <c r="M2442" s="482">
        <v>0</v>
      </c>
      <c r="N2442" s="476">
        <v>0</v>
      </c>
      <c r="O2442" s="135">
        <f t="shared" si="45"/>
        <v>0</v>
      </c>
      <c r="U2442" s="119">
        <f t="shared" si="46"/>
        <v>0</v>
      </c>
    </row>
    <row r="2443" spans="3:21" s="348" customFormat="1" x14ac:dyDescent="0.2">
      <c r="D2443" s="877" t="s">
        <v>1597</v>
      </c>
      <c r="E2443" s="900"/>
      <c r="F2443" s="900"/>
      <c r="G2443" s="902"/>
      <c r="H2443" s="805"/>
      <c r="I2443" s="806"/>
      <c r="J2443" s="149">
        <f t="shared" si="44"/>
        <v>0</v>
      </c>
      <c r="K2443" s="483">
        <v>0</v>
      </c>
      <c r="L2443" s="484">
        <v>0</v>
      </c>
      <c r="M2443" s="485">
        <v>0</v>
      </c>
      <c r="N2443" s="486">
        <v>0</v>
      </c>
      <c r="O2443" s="135">
        <f t="shared" si="45"/>
        <v>0</v>
      </c>
      <c r="U2443" s="119">
        <f t="shared" si="46"/>
        <v>0</v>
      </c>
    </row>
    <row r="2444" spans="3:21" s="348" customFormat="1" ht="15" x14ac:dyDescent="0.2">
      <c r="D2444" s="782" t="s">
        <v>113</v>
      </c>
      <c r="E2444" s="783"/>
      <c r="F2444" s="783"/>
      <c r="G2444" s="783"/>
      <c r="H2444" s="669"/>
      <c r="I2444" s="669"/>
      <c r="J2444" s="119"/>
      <c r="K2444" s="883"/>
      <c r="L2444" s="884"/>
      <c r="M2444" s="884"/>
      <c r="N2444" s="119"/>
      <c r="O2444" s="136">
        <f>SUM(O2437:O2443)</f>
        <v>0</v>
      </c>
      <c r="U2444" s="672"/>
    </row>
    <row r="2445" spans="3:21" s="348" customFormat="1" x14ac:dyDescent="0.2"/>
    <row r="2446" spans="3:21" s="348" customFormat="1" ht="15" x14ac:dyDescent="0.2">
      <c r="D2446" s="667" t="s">
        <v>949</v>
      </c>
      <c r="K2446" s="671" t="s">
        <v>950</v>
      </c>
    </row>
    <row r="2447" spans="3:21" s="348" customFormat="1" x14ac:dyDescent="0.2">
      <c r="D2447" s="788"/>
      <c r="E2447" s="788"/>
      <c r="F2447" s="788"/>
      <c r="G2447" s="788"/>
      <c r="H2447" s="788"/>
      <c r="I2447" s="788"/>
      <c r="K2447" s="721"/>
      <c r="L2447" s="721"/>
      <c r="M2447" s="721"/>
      <c r="N2447" s="721"/>
      <c r="O2447" s="721"/>
      <c r="P2447" s="721"/>
    </row>
    <row r="2448" spans="3:21" s="348" customFormat="1" x14ac:dyDescent="0.2">
      <c r="D2448" s="721"/>
      <c r="E2448" s="721"/>
      <c r="F2448" s="721"/>
      <c r="G2448" s="721"/>
      <c r="H2448" s="721"/>
      <c r="I2448" s="721"/>
      <c r="K2448" s="721"/>
      <c r="L2448" s="721"/>
      <c r="M2448" s="721"/>
      <c r="N2448" s="721"/>
      <c r="O2448" s="721"/>
      <c r="P2448" s="721"/>
    </row>
    <row r="2449" spans="4:21" s="348" customFormat="1" x14ac:dyDescent="0.2">
      <c r="D2449" s="721"/>
      <c r="E2449" s="721"/>
      <c r="F2449" s="721"/>
      <c r="G2449" s="721"/>
      <c r="H2449" s="721"/>
      <c r="I2449" s="721"/>
      <c r="K2449" s="721"/>
      <c r="L2449" s="721"/>
      <c r="M2449" s="721"/>
      <c r="N2449" s="721"/>
      <c r="O2449" s="721"/>
      <c r="P2449" s="721"/>
    </row>
    <row r="2450" spans="4:21" s="348" customFormat="1" x14ac:dyDescent="0.2">
      <c r="D2450" s="721"/>
      <c r="E2450" s="721"/>
      <c r="F2450" s="721"/>
      <c r="G2450" s="721"/>
      <c r="H2450" s="721"/>
      <c r="I2450" s="721"/>
      <c r="K2450" s="721"/>
      <c r="L2450" s="721"/>
      <c r="M2450" s="721"/>
      <c r="N2450" s="721"/>
      <c r="O2450" s="721"/>
      <c r="P2450" s="721"/>
    </row>
    <row r="2451" spans="4:21" s="348" customFormat="1" x14ac:dyDescent="0.2">
      <c r="D2451" s="721"/>
      <c r="E2451" s="721"/>
      <c r="F2451" s="721"/>
      <c r="G2451" s="721"/>
      <c r="H2451" s="721"/>
      <c r="I2451" s="721"/>
      <c r="K2451" s="721"/>
      <c r="L2451" s="721"/>
      <c r="M2451" s="721"/>
      <c r="N2451" s="721"/>
      <c r="O2451" s="721"/>
      <c r="P2451" s="721"/>
    </row>
    <row r="2452" spans="4:21" s="348" customFormat="1" x14ac:dyDescent="0.2"/>
    <row r="2453" spans="4:21" s="348" customFormat="1" ht="15" x14ac:dyDescent="0.2">
      <c r="J2453" s="849" t="str">
        <f>"Cost Per Minute ("&amp;$I$2545&amp;")"</f>
        <v>Cost Per Minute (USD)</v>
      </c>
      <c r="K2453" s="891" t="s">
        <v>112</v>
      </c>
      <c r="L2453" s="892"/>
      <c r="M2453" s="892"/>
      <c r="N2453" s="896" t="s">
        <v>183</v>
      </c>
      <c r="O2453" s="888" t="str">
        <f>"Cost ("&amp;$I$2545&amp;")"</f>
        <v>Cost (USD)</v>
      </c>
    </row>
    <row r="2454" spans="4:21" s="348" customFormat="1" ht="30" x14ac:dyDescent="0.2">
      <c r="D2454" s="669" t="str">
        <f>C2392</f>
        <v>Other Facility Types</v>
      </c>
      <c r="H2454" s="880" t="s">
        <v>385</v>
      </c>
      <c r="I2454" s="881"/>
      <c r="J2454" s="850"/>
      <c r="K2454" s="159" t="s">
        <v>109</v>
      </c>
      <c r="L2454" s="305" t="s">
        <v>110</v>
      </c>
      <c r="M2454" s="159" t="s">
        <v>111</v>
      </c>
      <c r="N2454" s="897"/>
      <c r="O2454" s="889"/>
      <c r="U2454" s="671" t="s">
        <v>312</v>
      </c>
    </row>
    <row r="2455" spans="4:21" s="348" customFormat="1" x14ac:dyDescent="0.2">
      <c r="D2455" s="721"/>
      <c r="E2455" s="721"/>
      <c r="F2455" s="721"/>
      <c r="G2455" s="721"/>
      <c r="H2455" s="721"/>
      <c r="I2455" s="721"/>
      <c r="J2455" s="147">
        <f>IFERROR(INDEX($L$2581:$L$2611,MATCH(D2455,LU_Intv_5_Pers_Oth,0)),0)</f>
        <v>0</v>
      </c>
      <c r="K2455" s="187">
        <v>0</v>
      </c>
      <c r="L2455" s="188">
        <v>0</v>
      </c>
      <c r="M2455" s="217">
        <v>0</v>
      </c>
      <c r="N2455" s="218">
        <v>1</v>
      </c>
      <c r="O2455" s="134">
        <f>J2455*SUM(K2455:M2455)*N2455</f>
        <v>0</v>
      </c>
      <c r="U2455" s="119">
        <f>IF(AND(ISERROR(MATCH(D2455,LU_Intv_5_Pers_Oth,0)),SUM(K2455:M2455),N2455),1,0)</f>
        <v>0</v>
      </c>
    </row>
    <row r="2456" spans="4:21" s="348" customFormat="1" x14ac:dyDescent="0.2">
      <c r="D2456" s="721"/>
      <c r="E2456" s="721"/>
      <c r="F2456" s="721"/>
      <c r="G2456" s="721"/>
      <c r="H2456" s="721"/>
      <c r="I2456" s="721"/>
      <c r="J2456" s="147">
        <f>IFERROR(INDEX($L$2581:$L$2611,MATCH(D2456,LU_Intv_5_Pers_Oth,0)),0)</f>
        <v>0</v>
      </c>
      <c r="K2456" s="221">
        <v>0</v>
      </c>
      <c r="L2456" s="182">
        <v>0</v>
      </c>
      <c r="M2456" s="222">
        <v>0</v>
      </c>
      <c r="N2456" s="223">
        <v>1</v>
      </c>
      <c r="O2456" s="135">
        <f>J2456*SUM(K2456:M2456)*N2456</f>
        <v>0</v>
      </c>
      <c r="U2456" s="119">
        <f>IF(AND(ISERROR(MATCH(D2456,LU_Intv_5_Pers_Oth,0)),SUM(K2456:M2456),N2456),1,0)</f>
        <v>0</v>
      </c>
    </row>
    <row r="2457" spans="4:21" s="348" customFormat="1" x14ac:dyDescent="0.2">
      <c r="D2457" s="721"/>
      <c r="E2457" s="721"/>
      <c r="F2457" s="721"/>
      <c r="G2457" s="721"/>
      <c r="H2457" s="721"/>
      <c r="I2457" s="721"/>
      <c r="J2457" s="149">
        <f>IFERROR(INDEX($L$2581:$L$2611,MATCH(D2457,LU_Intv_5_Pers_Oth,0)),0)</f>
        <v>0</v>
      </c>
      <c r="K2457" s="224">
        <v>0</v>
      </c>
      <c r="L2457" s="225">
        <v>0</v>
      </c>
      <c r="M2457" s="226">
        <v>0</v>
      </c>
      <c r="N2457" s="219">
        <v>1</v>
      </c>
      <c r="O2457" s="135">
        <f>J2457*SUM(K2457:M2457)*N2457</f>
        <v>0</v>
      </c>
      <c r="U2457" s="119">
        <f>IF(AND(ISERROR(MATCH(D2457,LU_Intv_5_Pers_Oth,0)),SUM(K2457:M2457),N2457),1,0)</f>
        <v>0</v>
      </c>
    </row>
    <row r="2458" spans="4:21" s="348" customFormat="1" ht="15" x14ac:dyDescent="0.2">
      <c r="D2458" s="782" t="s">
        <v>287</v>
      </c>
      <c r="E2458" s="783"/>
      <c r="F2458" s="783"/>
      <c r="G2458" s="783"/>
      <c r="H2458" s="669"/>
      <c r="I2458" s="669"/>
      <c r="J2458" s="119"/>
      <c r="K2458" s="883"/>
      <c r="L2458" s="884"/>
      <c r="M2458" s="884"/>
      <c r="N2458" s="119"/>
      <c r="O2458" s="136">
        <f>SUM(O2455:O2457)</f>
        <v>0</v>
      </c>
      <c r="U2458" s="672"/>
    </row>
    <row r="2459" spans="4:21" s="348" customFormat="1" x14ac:dyDescent="0.2"/>
    <row r="2460" spans="4:21" s="348" customFormat="1" ht="15" x14ac:dyDescent="0.2">
      <c r="D2460" s="667" t="s">
        <v>949</v>
      </c>
      <c r="K2460" s="671" t="s">
        <v>950</v>
      </c>
    </row>
    <row r="2461" spans="4:21" s="348" customFormat="1" x14ac:dyDescent="0.2">
      <c r="D2461" s="721" t="s">
        <v>976</v>
      </c>
      <c r="E2461" s="721"/>
      <c r="F2461" s="721"/>
      <c r="G2461" s="721"/>
      <c r="H2461" s="721"/>
      <c r="I2461" s="721"/>
      <c r="K2461" s="721" t="s">
        <v>976</v>
      </c>
      <c r="L2461" s="721"/>
      <c r="M2461" s="721"/>
      <c r="N2461" s="721"/>
      <c r="O2461" s="721"/>
      <c r="P2461" s="721"/>
    </row>
    <row r="2462" spans="4:21" s="348" customFormat="1" x14ac:dyDescent="0.2">
      <c r="D2462" s="721"/>
      <c r="E2462" s="721"/>
      <c r="F2462" s="721"/>
      <c r="G2462" s="721"/>
      <c r="H2462" s="721"/>
      <c r="I2462" s="721"/>
      <c r="K2462" s="721"/>
      <c r="L2462" s="721"/>
      <c r="M2462" s="721"/>
      <c r="N2462" s="721"/>
      <c r="O2462" s="721"/>
      <c r="P2462" s="721"/>
    </row>
    <row r="2463" spans="4:21" s="348" customFormat="1" x14ac:dyDescent="0.2">
      <c r="D2463" s="721"/>
      <c r="E2463" s="721"/>
      <c r="F2463" s="721"/>
      <c r="G2463" s="721"/>
      <c r="H2463" s="721"/>
      <c r="I2463" s="721"/>
      <c r="K2463" s="721"/>
      <c r="L2463" s="721"/>
      <c r="M2463" s="721"/>
      <c r="N2463" s="721"/>
      <c r="O2463" s="721"/>
      <c r="P2463" s="721"/>
    </row>
    <row r="2464" spans="4:21" s="348" customFormat="1" x14ac:dyDescent="0.2">
      <c r="D2464" s="721"/>
      <c r="E2464" s="721"/>
      <c r="F2464" s="721"/>
      <c r="G2464" s="721"/>
      <c r="H2464" s="721"/>
      <c r="I2464" s="721"/>
      <c r="K2464" s="721"/>
      <c r="L2464" s="721"/>
      <c r="M2464" s="721"/>
      <c r="N2464" s="721"/>
      <c r="O2464" s="721"/>
      <c r="P2464" s="721"/>
    </row>
    <row r="2465" spans="3:21" s="348" customFormat="1" x14ac:dyDescent="0.2"/>
    <row r="2466" spans="3:21" s="348" customFormat="1" x14ac:dyDescent="0.2"/>
    <row r="2467" spans="3:21" s="348" customFormat="1" ht="15.75" x14ac:dyDescent="0.2">
      <c r="C2467" s="124" t="str">
        <f>"Supplies Required for "&amp;G2360</f>
        <v>Supplies Required for SURG</v>
      </c>
    </row>
    <row r="2468" spans="3:21" s="348" customFormat="1" x14ac:dyDescent="0.2"/>
    <row r="2469" spans="3:21" s="348" customFormat="1" ht="30" x14ac:dyDescent="0.2">
      <c r="D2469" s="667" t="s">
        <v>106</v>
      </c>
      <c r="H2469" s="671" t="s">
        <v>951</v>
      </c>
      <c r="J2469" s="132" t="str">
        <f>"Cost per Unit ("&amp;$I$2545&amp;")"</f>
        <v>Cost per Unit (USD)</v>
      </c>
      <c r="K2469" s="366" t="s">
        <v>107</v>
      </c>
      <c r="L2469" s="307" t="s">
        <v>183</v>
      </c>
      <c r="M2469" s="132" t="str">
        <f>"Total Cost ("&amp;$I$2545&amp;")"</f>
        <v>Total Cost (USD)</v>
      </c>
      <c r="N2469" s="725" t="s">
        <v>74</v>
      </c>
      <c r="O2469" s="726"/>
      <c r="P2469" s="726"/>
      <c r="U2469" s="671" t="s">
        <v>312</v>
      </c>
    </row>
    <row r="2470" spans="3:21" s="348" customFormat="1" x14ac:dyDescent="0.2">
      <c r="D2470" s="723" t="s">
        <v>898</v>
      </c>
      <c r="E2470" s="723"/>
      <c r="F2470" s="723"/>
      <c r="G2470" s="723"/>
      <c r="H2470" s="668" t="str">
        <f t="shared" ref="H2470:H2481" si="47">IFERROR(INDEX($J$2614:$J$2780,MATCH(D2470,LU_Intv_5_Supplies,0)),0)</f>
        <v>1/100 of roll</v>
      </c>
      <c r="J2470" s="674">
        <f t="shared" ref="J2470:J2481" si="48">IFERROR(INDEX($L$2614:$L$2780,MATCH(D2470,LU_Intv_5_Supplies,0)),0)</f>
        <v>0.125</v>
      </c>
      <c r="K2470" s="462">
        <v>54</v>
      </c>
      <c r="L2470" s="458">
        <v>0</v>
      </c>
      <c r="M2470" s="137">
        <f t="shared" ref="M2470:M2481" si="49">J2470*K2470*L2470</f>
        <v>0</v>
      </c>
      <c r="N2470" s="723" t="s">
        <v>968</v>
      </c>
      <c r="O2470" s="723"/>
      <c r="P2470" s="723"/>
      <c r="U2470" s="119">
        <f t="shared" ref="U2470:U2481" si="50">IF(AND(ISERROR(MATCH(D2470,LU_Intv_5_Supplies,0)),L2470),1,0)</f>
        <v>0</v>
      </c>
    </row>
    <row r="2471" spans="3:21" s="348" customFormat="1" x14ac:dyDescent="0.2">
      <c r="D2471" s="723" t="s">
        <v>892</v>
      </c>
      <c r="E2471" s="723"/>
      <c r="F2471" s="723"/>
      <c r="G2471" s="723"/>
      <c r="H2471" s="668" t="str">
        <f t="shared" si="47"/>
        <v>each</v>
      </c>
      <c r="J2471" s="674">
        <f t="shared" si="48"/>
        <v>2.75E-2</v>
      </c>
      <c r="K2471" s="462">
        <v>5</v>
      </c>
      <c r="L2471" s="458">
        <v>0</v>
      </c>
      <c r="M2471" s="137">
        <f t="shared" si="49"/>
        <v>0</v>
      </c>
      <c r="N2471" s="723" t="s">
        <v>968</v>
      </c>
      <c r="O2471" s="723" t="s">
        <v>968</v>
      </c>
      <c r="P2471" s="723" t="s">
        <v>968</v>
      </c>
      <c r="U2471" s="119">
        <f t="shared" si="50"/>
        <v>0</v>
      </c>
    </row>
    <row r="2472" spans="3:21" s="348" customFormat="1" x14ac:dyDescent="0.2">
      <c r="D2472" s="723" t="s">
        <v>898</v>
      </c>
      <c r="E2472" s="723"/>
      <c r="F2472" s="723"/>
      <c r="G2472" s="723"/>
      <c r="H2472" s="668" t="str">
        <f t="shared" si="47"/>
        <v>1/100 of roll</v>
      </c>
      <c r="J2472" s="674">
        <f t="shared" si="48"/>
        <v>0.125</v>
      </c>
      <c r="K2472" s="462">
        <v>4</v>
      </c>
      <c r="L2472" s="458">
        <v>0</v>
      </c>
      <c r="M2472" s="137">
        <f t="shared" si="49"/>
        <v>0</v>
      </c>
      <c r="N2472" s="723" t="s">
        <v>968</v>
      </c>
      <c r="O2472" s="723" t="s">
        <v>968</v>
      </c>
      <c r="P2472" s="723" t="s">
        <v>968</v>
      </c>
      <c r="U2472" s="119">
        <f t="shared" si="50"/>
        <v>0</v>
      </c>
    </row>
    <row r="2473" spans="3:21" s="348" customFormat="1" x14ac:dyDescent="0.2">
      <c r="D2473" s="723" t="s">
        <v>885</v>
      </c>
      <c r="E2473" s="723"/>
      <c r="F2473" s="723"/>
      <c r="G2473" s="723"/>
      <c r="H2473" s="668" t="str">
        <f t="shared" si="47"/>
        <v>each</v>
      </c>
      <c r="J2473" s="674">
        <f t="shared" si="48"/>
        <v>0.3125</v>
      </c>
      <c r="K2473" s="462">
        <v>6</v>
      </c>
      <c r="L2473" s="458">
        <v>0</v>
      </c>
      <c r="M2473" s="137">
        <f t="shared" si="49"/>
        <v>0</v>
      </c>
      <c r="N2473" s="723" t="s">
        <v>968</v>
      </c>
      <c r="O2473" s="723" t="s">
        <v>968</v>
      </c>
      <c r="P2473" s="723" t="s">
        <v>968</v>
      </c>
      <c r="U2473" s="119">
        <f t="shared" si="50"/>
        <v>0</v>
      </c>
    </row>
    <row r="2474" spans="3:21" s="348" customFormat="1" x14ac:dyDescent="0.2">
      <c r="D2474" s="723" t="s">
        <v>911</v>
      </c>
      <c r="E2474" s="723"/>
      <c r="F2474" s="723"/>
      <c r="G2474" s="723"/>
      <c r="H2474" s="668" t="str">
        <f t="shared" si="47"/>
        <v>cup with lid</v>
      </c>
      <c r="J2474" s="674">
        <f t="shared" si="48"/>
        <v>6.25E-2</v>
      </c>
      <c r="K2474" s="462">
        <v>3</v>
      </c>
      <c r="L2474" s="458">
        <v>0</v>
      </c>
      <c r="M2474" s="137">
        <f t="shared" si="49"/>
        <v>0</v>
      </c>
      <c r="N2474" s="723" t="s">
        <v>968</v>
      </c>
      <c r="O2474" s="723" t="s">
        <v>968</v>
      </c>
      <c r="P2474" s="723" t="s">
        <v>968</v>
      </c>
      <c r="U2474" s="119">
        <f t="shared" si="50"/>
        <v>0</v>
      </c>
    </row>
    <row r="2475" spans="3:21" s="348" customFormat="1" x14ac:dyDescent="0.2">
      <c r="D2475" s="723" t="s">
        <v>896</v>
      </c>
      <c r="E2475" s="723"/>
      <c r="F2475" s="723"/>
      <c r="G2475" s="723"/>
      <c r="H2475" s="668" t="str">
        <f t="shared" si="47"/>
        <v>centilitre</v>
      </c>
      <c r="J2475" s="674">
        <f t="shared" si="48"/>
        <v>0.03</v>
      </c>
      <c r="K2475" s="462">
        <v>50</v>
      </c>
      <c r="L2475" s="458">
        <v>0</v>
      </c>
      <c r="M2475" s="137">
        <f t="shared" si="49"/>
        <v>0</v>
      </c>
      <c r="N2475" s="723" t="s">
        <v>968</v>
      </c>
      <c r="O2475" s="723" t="s">
        <v>968</v>
      </c>
      <c r="P2475" s="723" t="s">
        <v>968</v>
      </c>
      <c r="U2475" s="119">
        <f t="shared" si="50"/>
        <v>0</v>
      </c>
    </row>
    <row r="2476" spans="3:21" s="348" customFormat="1" x14ac:dyDescent="0.2">
      <c r="D2476" s="723" t="s">
        <v>888</v>
      </c>
      <c r="E2476" s="723"/>
      <c r="F2476" s="723"/>
      <c r="G2476" s="723"/>
      <c r="H2476" s="668" t="str">
        <f t="shared" si="47"/>
        <v>centilitre</v>
      </c>
      <c r="J2476" s="674">
        <f t="shared" si="48"/>
        <v>0.140625</v>
      </c>
      <c r="K2476" s="462">
        <v>100</v>
      </c>
      <c r="L2476" s="458">
        <v>0</v>
      </c>
      <c r="M2476" s="137">
        <f t="shared" si="49"/>
        <v>0</v>
      </c>
      <c r="N2476" s="723" t="s">
        <v>968</v>
      </c>
      <c r="O2476" s="723" t="s">
        <v>968</v>
      </c>
      <c r="P2476" s="723" t="s">
        <v>968</v>
      </c>
      <c r="U2476" s="119">
        <f t="shared" si="50"/>
        <v>0</v>
      </c>
    </row>
    <row r="2477" spans="3:21" s="348" customFormat="1" x14ac:dyDescent="0.2">
      <c r="D2477" s="723" t="s">
        <v>904</v>
      </c>
      <c r="E2477" s="723"/>
      <c r="F2477" s="723"/>
      <c r="G2477" s="723"/>
      <c r="H2477" s="668" t="str">
        <f t="shared" si="47"/>
        <v>centilitre</v>
      </c>
      <c r="J2477" s="674">
        <f t="shared" si="48"/>
        <v>0.13750000000000001</v>
      </c>
      <c r="K2477" s="462">
        <v>1</v>
      </c>
      <c r="L2477" s="458">
        <v>0</v>
      </c>
      <c r="M2477" s="137">
        <f t="shared" si="49"/>
        <v>0</v>
      </c>
      <c r="N2477" s="723"/>
      <c r="O2477" s="723"/>
      <c r="P2477" s="723"/>
      <c r="U2477" s="119">
        <f t="shared" si="50"/>
        <v>0</v>
      </c>
    </row>
    <row r="2478" spans="3:21" s="348" customFormat="1" x14ac:dyDescent="0.2">
      <c r="D2478" s="723" t="s">
        <v>922</v>
      </c>
      <c r="E2478" s="723"/>
      <c r="F2478" s="723"/>
      <c r="G2478" s="723"/>
      <c r="H2478" s="668" t="str">
        <f t="shared" si="47"/>
        <v>one piece</v>
      </c>
      <c r="J2478" s="674">
        <f t="shared" si="48"/>
        <v>0.91249999999999998</v>
      </c>
      <c r="K2478" s="462">
        <v>1</v>
      </c>
      <c r="L2478" s="458">
        <v>0</v>
      </c>
      <c r="M2478" s="137">
        <f t="shared" si="49"/>
        <v>0</v>
      </c>
      <c r="N2478" s="723"/>
      <c r="O2478" s="723"/>
      <c r="P2478" s="723"/>
      <c r="U2478" s="119">
        <f t="shared" si="50"/>
        <v>0</v>
      </c>
    </row>
    <row r="2479" spans="3:21" s="348" customFormat="1" x14ac:dyDescent="0.2">
      <c r="D2479" s="723" t="s">
        <v>910</v>
      </c>
      <c r="E2479" s="723"/>
      <c r="F2479" s="723"/>
      <c r="G2479" s="723"/>
      <c r="H2479" s="668" t="str">
        <f t="shared" si="47"/>
        <v>one piece</v>
      </c>
      <c r="J2479" s="674">
        <f t="shared" si="48"/>
        <v>6.25E-2</v>
      </c>
      <c r="K2479" s="462">
        <v>10</v>
      </c>
      <c r="L2479" s="458">
        <v>0</v>
      </c>
      <c r="M2479" s="137">
        <f t="shared" si="49"/>
        <v>0</v>
      </c>
      <c r="N2479" s="723" t="s">
        <v>968</v>
      </c>
      <c r="O2479" s="723" t="s">
        <v>968</v>
      </c>
      <c r="P2479" s="723" t="s">
        <v>968</v>
      </c>
      <c r="U2479" s="119">
        <f t="shared" si="50"/>
        <v>0</v>
      </c>
    </row>
    <row r="2480" spans="3:21" s="348" customFormat="1" x14ac:dyDescent="0.2">
      <c r="D2480" s="723" t="s">
        <v>909</v>
      </c>
      <c r="E2480" s="723"/>
      <c r="F2480" s="723"/>
      <c r="G2480" s="723"/>
      <c r="H2480" s="668" t="str">
        <f t="shared" si="47"/>
        <v>1 syringe with needle</v>
      </c>
      <c r="J2480" s="674">
        <f t="shared" si="48"/>
        <v>4.3749999999999997E-2</v>
      </c>
      <c r="K2480" s="462">
        <v>10</v>
      </c>
      <c r="L2480" s="458">
        <v>0</v>
      </c>
      <c r="M2480" s="137">
        <f t="shared" si="49"/>
        <v>0</v>
      </c>
      <c r="N2480" s="723" t="s">
        <v>968</v>
      </c>
      <c r="O2480" s="723" t="s">
        <v>968</v>
      </c>
      <c r="P2480" s="723" t="s">
        <v>968</v>
      </c>
      <c r="U2480" s="119">
        <f t="shared" si="50"/>
        <v>0</v>
      </c>
    </row>
    <row r="2481" spans="3:21" s="348" customFormat="1" x14ac:dyDescent="0.2">
      <c r="D2481" s="723" t="s">
        <v>923</v>
      </c>
      <c r="E2481" s="723"/>
      <c r="F2481" s="723"/>
      <c r="G2481" s="723"/>
      <c r="H2481" s="668" t="str">
        <f t="shared" si="47"/>
        <v>one piece</v>
      </c>
      <c r="J2481" s="674">
        <f t="shared" si="48"/>
        <v>8.8541666666666671E-2</v>
      </c>
      <c r="K2481" s="462">
        <v>10</v>
      </c>
      <c r="L2481" s="458">
        <v>0</v>
      </c>
      <c r="M2481" s="137">
        <f t="shared" si="49"/>
        <v>0</v>
      </c>
      <c r="N2481" s="723" t="s">
        <v>968</v>
      </c>
      <c r="O2481" s="723" t="s">
        <v>968</v>
      </c>
      <c r="P2481" s="723" t="s">
        <v>968</v>
      </c>
      <c r="U2481" s="119">
        <f t="shared" si="50"/>
        <v>0</v>
      </c>
    </row>
    <row r="2482" spans="3:21" s="348" customFormat="1" ht="15" x14ac:dyDescent="0.2">
      <c r="D2482" s="782" t="s">
        <v>108</v>
      </c>
      <c r="E2482" s="783"/>
      <c r="F2482" s="783"/>
      <c r="G2482" s="783"/>
      <c r="H2482" s="669"/>
      <c r="J2482" s="308"/>
      <c r="K2482" s="119"/>
      <c r="L2482" s="674"/>
      <c r="M2482" s="309">
        <f>SUM(M2470:M2481)</f>
        <v>0</v>
      </c>
      <c r="N2482" s="669"/>
      <c r="O2482" s="669"/>
      <c r="P2482" s="669"/>
      <c r="U2482" s="672"/>
    </row>
    <row r="2483" spans="3:21" s="348" customFormat="1" x14ac:dyDescent="0.2"/>
    <row r="2484" spans="3:21" s="348" customFormat="1" ht="15" x14ac:dyDescent="0.2">
      <c r="D2484" s="667" t="s">
        <v>962</v>
      </c>
      <c r="K2484" s="671" t="s">
        <v>963</v>
      </c>
    </row>
    <row r="2485" spans="3:21" s="348" customFormat="1" x14ac:dyDescent="0.2">
      <c r="D2485" s="721" t="s">
        <v>968</v>
      </c>
      <c r="E2485" s="721"/>
      <c r="F2485" s="721"/>
      <c r="G2485" s="721"/>
      <c r="H2485" s="721"/>
      <c r="I2485" s="721"/>
      <c r="K2485" s="721" t="s">
        <v>968</v>
      </c>
      <c r="L2485" s="721"/>
      <c r="M2485" s="721"/>
      <c r="N2485" s="721"/>
      <c r="O2485" s="721"/>
      <c r="P2485" s="721"/>
    </row>
    <row r="2486" spans="3:21" s="348" customFormat="1" x14ac:dyDescent="0.2">
      <c r="D2486" s="721"/>
      <c r="E2486" s="721"/>
      <c r="F2486" s="721"/>
      <c r="G2486" s="721"/>
      <c r="H2486" s="721"/>
      <c r="I2486" s="721"/>
      <c r="K2486" s="721"/>
      <c r="L2486" s="721"/>
      <c r="M2486" s="721"/>
      <c r="N2486" s="721"/>
      <c r="O2486" s="721"/>
      <c r="P2486" s="721"/>
    </row>
    <row r="2487" spans="3:21" s="348" customFormat="1" x14ac:dyDescent="0.2">
      <c r="D2487" s="721"/>
      <c r="E2487" s="721"/>
      <c r="F2487" s="721"/>
      <c r="G2487" s="721"/>
      <c r="H2487" s="721"/>
      <c r="I2487" s="721"/>
      <c r="K2487" s="737"/>
      <c r="L2487" s="738"/>
      <c r="M2487" s="738"/>
      <c r="N2487" s="738"/>
      <c r="O2487" s="738"/>
      <c r="P2487" s="739"/>
    </row>
    <row r="2488" spans="3:21" s="348" customFormat="1" x14ac:dyDescent="0.2">
      <c r="D2488" s="721"/>
      <c r="E2488" s="721"/>
      <c r="F2488" s="721"/>
      <c r="G2488" s="721"/>
      <c r="H2488" s="721"/>
      <c r="I2488" s="721"/>
      <c r="K2488" s="721"/>
      <c r="L2488" s="721"/>
      <c r="M2488" s="721"/>
      <c r="N2488" s="721"/>
      <c r="O2488" s="721"/>
      <c r="P2488" s="721"/>
    </row>
    <row r="2489" spans="3:21" s="348" customFormat="1" x14ac:dyDescent="0.2"/>
    <row r="2490" spans="3:21" s="348" customFormat="1" ht="15.75" x14ac:dyDescent="0.2">
      <c r="C2490" s="124" t="str">
        <f>"Equipment Required to Outfit a Health Facility for "&amp;G2360&amp;""</f>
        <v>Equipment Required to Outfit a Health Facility for SURG</v>
      </c>
    </row>
    <row r="2491" spans="3:21" s="348" customFormat="1" x14ac:dyDescent="0.2"/>
    <row r="2492" spans="3:21" s="348" customFormat="1" ht="30" x14ac:dyDescent="0.2">
      <c r="J2492" s="141" t="str">
        <f>"Cost per Unit ("&amp;$I$2545&amp;")"</f>
        <v>Cost per Unit (USD)</v>
      </c>
      <c r="L2492" s="885" t="str">
        <f>"Total Cost per Site ("&amp;$I$2545&amp;")"</f>
        <v>Total Cost per Site (USD)</v>
      </c>
      <c r="M2492" s="886"/>
      <c r="N2492" s="887"/>
    </row>
    <row r="2493" spans="3:21" s="348" customFormat="1" ht="30" x14ac:dyDescent="0.2">
      <c r="D2493" s="667" t="s">
        <v>106</v>
      </c>
      <c r="J2493" s="142" t="s">
        <v>117</v>
      </c>
      <c r="K2493" s="675" t="s">
        <v>116</v>
      </c>
      <c r="L2493" s="310" t="str">
        <f>J2493</f>
        <v>Facility</v>
      </c>
      <c r="M2493" s="159" t="s">
        <v>632</v>
      </c>
      <c r="N2493" s="288" t="s">
        <v>633</v>
      </c>
      <c r="O2493" s="870" t="s">
        <v>74</v>
      </c>
      <c r="P2493" s="871"/>
      <c r="Q2493" s="872"/>
      <c r="U2493" s="671" t="s">
        <v>312</v>
      </c>
    </row>
    <row r="2494" spans="3:21" s="348" customFormat="1" x14ac:dyDescent="0.2">
      <c r="D2494" s="723" t="s">
        <v>1257</v>
      </c>
      <c r="E2494" s="723"/>
      <c r="F2494" s="723"/>
      <c r="G2494" s="723"/>
      <c r="J2494" s="311">
        <f t="shared" ref="J2494:J2500" si="51">IFERROR(INDEX($J$2783:$J$2905,MATCH(D2494,LU_Intv_5_Equip,0)),0)</f>
        <v>0</v>
      </c>
      <c r="K2494" s="463"/>
      <c r="L2494" s="153">
        <f t="shared" ref="L2494:L2500" si="52">J2494*K2494</f>
        <v>0</v>
      </c>
      <c r="M2494" s="163">
        <f t="shared" ref="M2494:M2500" si="53">IFERROR(INDEX($K$2783:$K$2905,MATCH(D2494,LU_Intv_5_Equip,0)),0)*K2494</f>
        <v>0</v>
      </c>
      <c r="N2494" s="146">
        <f t="shared" ref="N2494:N2500" si="54">IFERROR(INDEX($L$2783:$L$2905,MATCH(D2494,LU_Intv_5_Equip,0)),0)*K2494</f>
        <v>0</v>
      </c>
      <c r="O2494" s="865"/>
      <c r="P2494" s="865"/>
      <c r="Q2494" s="866"/>
      <c r="U2494" s="119">
        <f t="shared" ref="U2494:U2500" si="55">IF(AND(ISERROR(MATCH(D2494,LU_Intv_5_Equip,0)),K2494),1,0)</f>
        <v>0</v>
      </c>
    </row>
    <row r="2495" spans="3:21" s="348" customFormat="1" x14ac:dyDescent="0.2">
      <c r="D2495" s="723" t="s">
        <v>1257</v>
      </c>
      <c r="E2495" s="723"/>
      <c r="F2495" s="723"/>
      <c r="G2495" s="723"/>
      <c r="J2495" s="297">
        <f t="shared" si="51"/>
        <v>0</v>
      </c>
      <c r="K2495" s="460"/>
      <c r="L2495" s="153">
        <f t="shared" si="52"/>
        <v>0</v>
      </c>
      <c r="M2495" s="153">
        <f t="shared" si="53"/>
        <v>0</v>
      </c>
      <c r="N2495" s="146">
        <f t="shared" si="54"/>
        <v>0</v>
      </c>
      <c r="O2495" s="868"/>
      <c r="P2495" s="868"/>
      <c r="Q2495" s="869"/>
      <c r="U2495" s="119">
        <f t="shared" si="55"/>
        <v>0</v>
      </c>
    </row>
    <row r="2496" spans="3:21" s="348" customFormat="1" x14ac:dyDescent="0.2">
      <c r="D2496" s="723" t="s">
        <v>1257</v>
      </c>
      <c r="E2496" s="723"/>
      <c r="F2496" s="723"/>
      <c r="G2496" s="723"/>
      <c r="J2496" s="297">
        <f t="shared" si="51"/>
        <v>0</v>
      </c>
      <c r="K2496" s="461"/>
      <c r="L2496" s="153">
        <f t="shared" si="52"/>
        <v>0</v>
      </c>
      <c r="M2496" s="153">
        <f t="shared" si="53"/>
        <v>0</v>
      </c>
      <c r="N2496" s="146">
        <f t="shared" si="54"/>
        <v>0</v>
      </c>
      <c r="O2496" s="868"/>
      <c r="P2496" s="868"/>
      <c r="Q2496" s="869"/>
      <c r="U2496" s="119">
        <f t="shared" si="55"/>
        <v>0</v>
      </c>
    </row>
    <row r="2497" spans="3:21" s="348" customFormat="1" x14ac:dyDescent="0.2">
      <c r="D2497" s="723" t="s">
        <v>1257</v>
      </c>
      <c r="E2497" s="723"/>
      <c r="F2497" s="723"/>
      <c r="G2497" s="723"/>
      <c r="J2497" s="297">
        <f t="shared" si="51"/>
        <v>0</v>
      </c>
      <c r="K2497" s="461"/>
      <c r="L2497" s="153">
        <f t="shared" si="52"/>
        <v>0</v>
      </c>
      <c r="M2497" s="153">
        <f t="shared" si="53"/>
        <v>0</v>
      </c>
      <c r="N2497" s="146">
        <f t="shared" si="54"/>
        <v>0</v>
      </c>
      <c r="O2497" s="868"/>
      <c r="P2497" s="868"/>
      <c r="Q2497" s="869"/>
      <c r="U2497" s="119">
        <f t="shared" si="55"/>
        <v>0</v>
      </c>
    </row>
    <row r="2498" spans="3:21" s="348" customFormat="1" x14ac:dyDescent="0.2">
      <c r="D2498" s="723" t="s">
        <v>1257</v>
      </c>
      <c r="E2498" s="723"/>
      <c r="F2498" s="723"/>
      <c r="G2498" s="723"/>
      <c r="J2498" s="297">
        <f t="shared" si="51"/>
        <v>0</v>
      </c>
      <c r="K2498" s="461"/>
      <c r="L2498" s="153">
        <f t="shared" si="52"/>
        <v>0</v>
      </c>
      <c r="M2498" s="153">
        <f t="shared" si="53"/>
        <v>0</v>
      </c>
      <c r="N2498" s="146">
        <f t="shared" si="54"/>
        <v>0</v>
      </c>
      <c r="O2498" s="868"/>
      <c r="P2498" s="868"/>
      <c r="Q2498" s="869"/>
      <c r="U2498" s="119">
        <f t="shared" si="55"/>
        <v>0</v>
      </c>
    </row>
    <row r="2499" spans="3:21" s="348" customFormat="1" x14ac:dyDescent="0.2">
      <c r="D2499" s="723" t="s">
        <v>1257</v>
      </c>
      <c r="E2499" s="723"/>
      <c r="F2499" s="723"/>
      <c r="G2499" s="723"/>
      <c r="J2499" s="297">
        <f t="shared" si="51"/>
        <v>0</v>
      </c>
      <c r="K2499" s="461"/>
      <c r="L2499" s="153">
        <f t="shared" si="52"/>
        <v>0</v>
      </c>
      <c r="M2499" s="153">
        <f t="shared" si="53"/>
        <v>0</v>
      </c>
      <c r="N2499" s="146">
        <f t="shared" si="54"/>
        <v>0</v>
      </c>
      <c r="O2499" s="868"/>
      <c r="P2499" s="868"/>
      <c r="Q2499" s="869"/>
      <c r="U2499" s="119">
        <f t="shared" si="55"/>
        <v>0</v>
      </c>
    </row>
    <row r="2500" spans="3:21" s="348" customFormat="1" x14ac:dyDescent="0.2">
      <c r="D2500" s="723" t="s">
        <v>1257</v>
      </c>
      <c r="E2500" s="723"/>
      <c r="F2500" s="723"/>
      <c r="G2500" s="723"/>
      <c r="J2500" s="306">
        <f t="shared" si="51"/>
        <v>0</v>
      </c>
      <c r="K2500" s="464"/>
      <c r="L2500" s="153">
        <f t="shared" si="52"/>
        <v>0</v>
      </c>
      <c r="M2500" s="153">
        <f t="shared" si="53"/>
        <v>0</v>
      </c>
      <c r="N2500" s="146">
        <f t="shared" si="54"/>
        <v>0</v>
      </c>
      <c r="O2500" s="860"/>
      <c r="P2500" s="860"/>
      <c r="Q2500" s="861"/>
      <c r="U2500" s="119">
        <f t="shared" si="55"/>
        <v>0</v>
      </c>
    </row>
    <row r="2501" spans="3:21" s="348" customFormat="1" x14ac:dyDescent="0.2">
      <c r="D2501" s="671" t="s">
        <v>191</v>
      </c>
      <c r="L2501" s="150">
        <f>SUM(L2494:L2500)</f>
        <v>0</v>
      </c>
      <c r="M2501" s="151">
        <f>SUM(M2494:M2500)</f>
        <v>0</v>
      </c>
      <c r="N2501" s="152">
        <f>SUM(N2494:N2500)</f>
        <v>0</v>
      </c>
    </row>
    <row r="2502" spans="3:21" s="348" customFormat="1" x14ac:dyDescent="0.2">
      <c r="D2502" s="671" t="s">
        <v>120</v>
      </c>
      <c r="I2502" s="239">
        <v>0.15</v>
      </c>
      <c r="M2502" s="153">
        <f>M2501*$I$2502</f>
        <v>0</v>
      </c>
      <c r="N2502" s="154">
        <f>N2501*$I$2502</f>
        <v>0</v>
      </c>
    </row>
    <row r="2503" spans="3:21" s="348" customFormat="1" ht="15" x14ac:dyDescent="0.2">
      <c r="D2503" s="667" t="s">
        <v>121</v>
      </c>
      <c r="M2503" s="155">
        <f>SUM(M2501:M2502)</f>
        <v>0</v>
      </c>
      <c r="N2503" s="156">
        <f>SUM(N2501:N2502)</f>
        <v>0</v>
      </c>
    </row>
    <row r="2504" spans="3:21" s="348" customFormat="1" x14ac:dyDescent="0.2"/>
    <row r="2505" spans="3:21" s="348" customFormat="1" ht="15" x14ac:dyDescent="0.2">
      <c r="D2505" s="667" t="s">
        <v>964</v>
      </c>
      <c r="K2505" s="671" t="s">
        <v>965</v>
      </c>
    </row>
    <row r="2506" spans="3:21" s="348" customFormat="1" x14ac:dyDescent="0.2">
      <c r="D2506" s="721"/>
      <c r="E2506" s="721"/>
      <c r="F2506" s="721"/>
      <c r="G2506" s="721"/>
      <c r="H2506" s="721"/>
      <c r="I2506" s="721"/>
      <c r="K2506" s="721"/>
      <c r="L2506" s="721"/>
      <c r="M2506" s="721"/>
      <c r="N2506" s="721"/>
      <c r="O2506" s="721"/>
      <c r="P2506" s="721"/>
    </row>
    <row r="2507" spans="3:21" s="348" customFormat="1" x14ac:dyDescent="0.2">
      <c r="D2507" s="721"/>
      <c r="E2507" s="721"/>
      <c r="F2507" s="721"/>
      <c r="G2507" s="721"/>
      <c r="H2507" s="721"/>
      <c r="I2507" s="721"/>
      <c r="K2507" s="721"/>
      <c r="L2507" s="721"/>
      <c r="M2507" s="721"/>
      <c r="N2507" s="721"/>
      <c r="O2507" s="721"/>
      <c r="P2507" s="721"/>
    </row>
    <row r="2508" spans="3:21" s="348" customFormat="1" x14ac:dyDescent="0.2">
      <c r="D2508" s="721"/>
      <c r="E2508" s="721"/>
      <c r="F2508" s="721"/>
      <c r="G2508" s="721"/>
      <c r="H2508" s="721"/>
      <c r="I2508" s="721"/>
      <c r="K2508" s="721"/>
      <c r="L2508" s="721"/>
      <c r="M2508" s="721"/>
      <c r="N2508" s="721"/>
      <c r="O2508" s="721"/>
      <c r="P2508" s="721"/>
    </row>
    <row r="2509" spans="3:21" s="348" customFormat="1" x14ac:dyDescent="0.2">
      <c r="D2509" s="721"/>
      <c r="E2509" s="721"/>
      <c r="F2509" s="721"/>
      <c r="G2509" s="721"/>
      <c r="H2509" s="721"/>
      <c r="I2509" s="721"/>
      <c r="K2509" s="721"/>
      <c r="L2509" s="721"/>
      <c r="M2509" s="721"/>
      <c r="N2509" s="721"/>
      <c r="O2509" s="721"/>
      <c r="P2509" s="721"/>
    </row>
    <row r="2510" spans="3:21" s="348" customFormat="1" ht="15.75" x14ac:dyDescent="0.2">
      <c r="C2510" s="124" t="str">
        <f>"Lab Tests &amp; Other Direct Costs for "&amp;G2360&amp;""</f>
        <v>Lab Tests &amp; Other Direct Costs for SURG</v>
      </c>
    </row>
    <row r="2511" spans="3:21" s="348" customFormat="1" x14ac:dyDescent="0.2"/>
    <row r="2512" spans="3:21" s="348" customFormat="1" ht="30" x14ac:dyDescent="0.2">
      <c r="D2512" s="667" t="s">
        <v>106</v>
      </c>
      <c r="J2512" s="132" t="str">
        <f>"Cost per Unit ("&amp;$I$2545&amp;")"</f>
        <v>Cost per Unit (USD)</v>
      </c>
      <c r="K2512" s="366" t="s">
        <v>107</v>
      </c>
      <c r="L2512" s="307" t="s">
        <v>183</v>
      </c>
      <c r="M2512" s="132" t="str">
        <f>"Total Cost ("&amp;$I$2545&amp;")"</f>
        <v>Total Cost (USD)</v>
      </c>
      <c r="N2512" s="725" t="s">
        <v>74</v>
      </c>
      <c r="O2512" s="726"/>
      <c r="P2512" s="726"/>
      <c r="U2512" s="671" t="s">
        <v>312</v>
      </c>
    </row>
    <row r="2513" spans="3:21" s="348" customFormat="1" x14ac:dyDescent="0.2">
      <c r="D2513" s="723" t="s">
        <v>931</v>
      </c>
      <c r="E2513" s="723"/>
      <c r="F2513" s="723"/>
      <c r="G2513" s="723"/>
      <c r="H2513" s="672"/>
      <c r="J2513" s="674">
        <f t="shared" ref="J2513:J2518" si="56">IFERROR(INDEX($L$2908:$L$2940,MATCH(D2513,LU_Intv_5_Lab_Oth,0)),0)</f>
        <v>31.25</v>
      </c>
      <c r="K2513" s="458">
        <v>1</v>
      </c>
      <c r="L2513" s="458">
        <v>0</v>
      </c>
      <c r="M2513" s="161">
        <f t="shared" ref="M2513:M2518" si="57">J2513*K2513*L2513</f>
        <v>0</v>
      </c>
      <c r="N2513" s="723" t="s">
        <v>968</v>
      </c>
      <c r="O2513" s="723"/>
      <c r="P2513" s="723"/>
      <c r="U2513" s="119">
        <f t="shared" ref="U2513:U2518" si="58">IF(AND(ISERROR(MATCH(D2513,LU_Intv_5_Lab_Oth,0)),L2513),1,0)</f>
        <v>0</v>
      </c>
    </row>
    <row r="2514" spans="3:21" s="348" customFormat="1" x14ac:dyDescent="0.2">
      <c r="D2514" s="723" t="s">
        <v>933</v>
      </c>
      <c r="E2514" s="723"/>
      <c r="F2514" s="723"/>
      <c r="G2514" s="723"/>
      <c r="H2514" s="672"/>
      <c r="J2514" s="674">
        <f t="shared" si="56"/>
        <v>6.25</v>
      </c>
      <c r="K2514" s="458">
        <v>1</v>
      </c>
      <c r="L2514" s="458">
        <v>0</v>
      </c>
      <c r="M2514" s="161">
        <f t="shared" si="57"/>
        <v>0</v>
      </c>
      <c r="N2514" s="723" t="s">
        <v>968</v>
      </c>
      <c r="O2514" s="723"/>
      <c r="P2514" s="723"/>
      <c r="U2514" s="119">
        <f t="shared" si="58"/>
        <v>0</v>
      </c>
    </row>
    <row r="2515" spans="3:21" s="348" customFormat="1" x14ac:dyDescent="0.2">
      <c r="D2515" s="723" t="s">
        <v>934</v>
      </c>
      <c r="E2515" s="723"/>
      <c r="F2515" s="723"/>
      <c r="G2515" s="723"/>
      <c r="H2515" s="672"/>
      <c r="J2515" s="674">
        <f t="shared" si="56"/>
        <v>15.625</v>
      </c>
      <c r="K2515" s="458">
        <v>1</v>
      </c>
      <c r="L2515" s="458">
        <v>0</v>
      </c>
      <c r="M2515" s="161">
        <f t="shared" si="57"/>
        <v>0</v>
      </c>
      <c r="N2515" s="723" t="s">
        <v>968</v>
      </c>
      <c r="O2515" s="723"/>
      <c r="P2515" s="723"/>
      <c r="U2515" s="119">
        <f t="shared" si="58"/>
        <v>0</v>
      </c>
    </row>
    <row r="2516" spans="3:21" s="348" customFormat="1" x14ac:dyDescent="0.2">
      <c r="D2516" s="877" t="s">
        <v>935</v>
      </c>
      <c r="E2516" s="878"/>
      <c r="F2516" s="878"/>
      <c r="G2516" s="879"/>
      <c r="H2516" s="672"/>
      <c r="J2516" s="674">
        <f t="shared" si="56"/>
        <v>3.75</v>
      </c>
      <c r="K2516" s="458">
        <v>1</v>
      </c>
      <c r="L2516" s="458">
        <v>0</v>
      </c>
      <c r="M2516" s="161">
        <f t="shared" si="57"/>
        <v>0</v>
      </c>
      <c r="N2516" s="877" t="s">
        <v>968</v>
      </c>
      <c r="O2516" s="878"/>
      <c r="P2516" s="879"/>
      <c r="U2516" s="119">
        <f t="shared" si="58"/>
        <v>0</v>
      </c>
    </row>
    <row r="2517" spans="3:21" s="348" customFormat="1" x14ac:dyDescent="0.2">
      <c r="D2517" s="877" t="s">
        <v>938</v>
      </c>
      <c r="E2517" s="878"/>
      <c r="F2517" s="878"/>
      <c r="G2517" s="879"/>
      <c r="H2517" s="672"/>
      <c r="J2517" s="674">
        <f t="shared" si="56"/>
        <v>0.625</v>
      </c>
      <c r="K2517" s="458">
        <v>1</v>
      </c>
      <c r="L2517" s="458">
        <v>0</v>
      </c>
      <c r="M2517" s="161">
        <f t="shared" si="57"/>
        <v>0</v>
      </c>
      <c r="N2517" s="877" t="s">
        <v>968</v>
      </c>
      <c r="O2517" s="878"/>
      <c r="P2517" s="879"/>
      <c r="U2517" s="119">
        <f t="shared" si="58"/>
        <v>0</v>
      </c>
    </row>
    <row r="2518" spans="3:21" s="348" customFormat="1" x14ac:dyDescent="0.2">
      <c r="D2518" s="877" t="s">
        <v>940</v>
      </c>
      <c r="E2518" s="878"/>
      <c r="F2518" s="878"/>
      <c r="G2518" s="879"/>
      <c r="H2518" s="672"/>
      <c r="J2518" s="674">
        <f t="shared" si="56"/>
        <v>2.5</v>
      </c>
      <c r="K2518" s="458">
        <v>1</v>
      </c>
      <c r="L2518" s="458">
        <v>0</v>
      </c>
      <c r="M2518" s="161">
        <f t="shared" si="57"/>
        <v>0</v>
      </c>
      <c r="N2518" s="877" t="s">
        <v>968</v>
      </c>
      <c r="O2518" s="878"/>
      <c r="P2518" s="879"/>
      <c r="U2518" s="119">
        <f t="shared" si="58"/>
        <v>0</v>
      </c>
    </row>
    <row r="2519" spans="3:21" s="348" customFormat="1" ht="15" x14ac:dyDescent="0.2">
      <c r="D2519" s="782" t="s">
        <v>108</v>
      </c>
      <c r="E2519" s="783"/>
      <c r="F2519" s="783"/>
      <c r="G2519" s="783"/>
      <c r="H2519" s="672"/>
      <c r="J2519" s="308"/>
      <c r="K2519" s="119"/>
      <c r="L2519" s="674"/>
      <c r="M2519" s="162">
        <f>SUM(M2513:M2518)</f>
        <v>0</v>
      </c>
      <c r="N2519" s="669"/>
      <c r="O2519" s="669"/>
      <c r="P2519" s="669"/>
      <c r="U2519" s="672"/>
    </row>
    <row r="2520" spans="3:21" s="348" customFormat="1" x14ac:dyDescent="0.2"/>
    <row r="2521" spans="3:21" s="348" customFormat="1" ht="15" x14ac:dyDescent="0.2">
      <c r="D2521" s="667" t="s">
        <v>966</v>
      </c>
      <c r="K2521" s="671" t="s">
        <v>967</v>
      </c>
    </row>
    <row r="2522" spans="3:21" s="348" customFormat="1" x14ac:dyDescent="0.2">
      <c r="D2522" s="721"/>
      <c r="E2522" s="721"/>
      <c r="F2522" s="721"/>
      <c r="G2522" s="721"/>
      <c r="H2522" s="721"/>
      <c r="I2522" s="721"/>
      <c r="K2522" s="721"/>
      <c r="L2522" s="721"/>
      <c r="M2522" s="721"/>
      <c r="N2522" s="721"/>
      <c r="O2522" s="721"/>
      <c r="P2522" s="721"/>
    </row>
    <row r="2523" spans="3:21" s="348" customFormat="1" x14ac:dyDescent="0.2">
      <c r="D2523" s="721"/>
      <c r="E2523" s="721"/>
      <c r="F2523" s="721"/>
      <c r="G2523" s="721"/>
      <c r="H2523" s="721"/>
      <c r="I2523" s="721"/>
      <c r="K2523" s="721"/>
      <c r="L2523" s="721"/>
      <c r="M2523" s="721"/>
      <c r="N2523" s="721"/>
      <c r="O2523" s="721"/>
      <c r="P2523" s="721"/>
    </row>
    <row r="2524" spans="3:21" s="348" customFormat="1" x14ac:dyDescent="0.2">
      <c r="D2524" s="721"/>
      <c r="E2524" s="721"/>
      <c r="F2524" s="721"/>
      <c r="G2524" s="721"/>
      <c r="H2524" s="721"/>
      <c r="I2524" s="721"/>
      <c r="K2524" s="721"/>
      <c r="L2524" s="721"/>
      <c r="M2524" s="721"/>
      <c r="N2524" s="721"/>
      <c r="O2524" s="721"/>
      <c r="P2524" s="721"/>
    </row>
    <row r="2525" spans="3:21" s="348" customFormat="1" x14ac:dyDescent="0.2">
      <c r="D2525" s="721"/>
      <c r="E2525" s="721"/>
      <c r="F2525" s="721"/>
      <c r="G2525" s="721"/>
      <c r="H2525" s="721"/>
      <c r="I2525" s="721"/>
      <c r="K2525" s="721"/>
      <c r="L2525" s="721"/>
      <c r="M2525" s="721"/>
      <c r="N2525" s="721"/>
      <c r="O2525" s="721"/>
      <c r="P2525" s="721"/>
    </row>
    <row r="2526" spans="3:21" s="348" customFormat="1" outlineLevel="2" x14ac:dyDescent="0.2"/>
    <row r="2527" spans="3:21" s="348" customFormat="1" x14ac:dyDescent="0.2"/>
    <row r="2528" spans="3:21" s="348" customFormat="1" ht="15.75" x14ac:dyDescent="0.2">
      <c r="C2528" s="664" t="s">
        <v>1870</v>
      </c>
    </row>
    <row r="2529" spans="3:21" s="348" customFormat="1" hidden="1" outlineLevel="1" x14ac:dyDescent="0.2">
      <c r="D2529" s="668" t="str">
        <f>Plac_Start_Facs_BA!C10</f>
        <v>Central</v>
      </c>
    </row>
    <row r="2530" spans="3:21" s="348" customFormat="1" hidden="1" outlineLevel="1" x14ac:dyDescent="0.2">
      <c r="D2530" s="668" t="str">
        <f>Plac_Start_Facs_BA!C11</f>
        <v>Copperbelt</v>
      </c>
    </row>
    <row r="2531" spans="3:21" s="348" customFormat="1" hidden="1" outlineLevel="1" x14ac:dyDescent="0.2">
      <c r="D2531" s="668" t="str">
        <f>Plac_Start_Facs_BA!C12</f>
        <v>Eastern</v>
      </c>
    </row>
    <row r="2532" spans="3:21" s="348" customFormat="1" hidden="1" outlineLevel="1" x14ac:dyDescent="0.2">
      <c r="D2532" s="668" t="str">
        <f>Plac_Start_Facs_BA!C13</f>
        <v>Luapula</v>
      </c>
    </row>
    <row r="2533" spans="3:21" s="348" customFormat="1" hidden="1" outlineLevel="1" x14ac:dyDescent="0.2">
      <c r="D2533" s="668" t="str">
        <f>Plac_Start_Facs_BA!C14</f>
        <v>Lusaka</v>
      </c>
    </row>
    <row r="2534" spans="3:21" s="348" customFormat="1" hidden="1" outlineLevel="1" x14ac:dyDescent="0.2">
      <c r="D2534" s="668" t="str">
        <f>Plac_Start_Facs_BA!C15</f>
        <v>Muchinga</v>
      </c>
    </row>
    <row r="2535" spans="3:21" s="348" customFormat="1" hidden="1" outlineLevel="1" x14ac:dyDescent="0.2">
      <c r="D2535" s="668" t="str">
        <f>Plac_Start_Facs_BA!C16</f>
        <v>Northern</v>
      </c>
    </row>
    <row r="2536" spans="3:21" s="348" customFormat="1" hidden="1" outlineLevel="1" x14ac:dyDescent="0.2">
      <c r="D2536" s="668" t="str">
        <f>Plac_Start_Facs_BA!C17</f>
        <v>North-Western</v>
      </c>
    </row>
    <row r="2537" spans="3:21" s="348" customFormat="1" hidden="1" outlineLevel="1" x14ac:dyDescent="0.2">
      <c r="D2537" s="668" t="str">
        <f>Plac_Start_Facs_BA!C18</f>
        <v>Southern</v>
      </c>
    </row>
    <row r="2538" spans="3:21" s="348" customFormat="1" hidden="1" outlineLevel="1" x14ac:dyDescent="0.2">
      <c r="D2538" s="668" t="str">
        <f>Plac_Start_Facs_BA!C19</f>
        <v>Western</v>
      </c>
    </row>
    <row r="2539" spans="3:21" s="348" customFormat="1" collapsed="1" x14ac:dyDescent="0.2"/>
    <row r="2540" spans="3:21" s="348" customFormat="1" x14ac:dyDescent="0.2"/>
    <row r="2541" spans="3:21" s="348" customFormat="1" x14ac:dyDescent="0.2"/>
    <row r="2542" spans="3:21" s="348" customFormat="1" x14ac:dyDescent="0.2"/>
    <row r="2543" spans="3:21" s="348" customFormat="1" ht="15.75" hidden="1" outlineLevel="2" x14ac:dyDescent="0.2">
      <c r="C2543" s="664" t="s">
        <v>303</v>
      </c>
    </row>
    <row r="2544" spans="3:21" s="348" customFormat="1" hidden="1" outlineLevel="2" x14ac:dyDescent="0.2">
      <c r="U2544" s="671" t="s">
        <v>312</v>
      </c>
    </row>
    <row r="2545" spans="4:21" s="348" customFormat="1" ht="15" hidden="1" customHeight="1" outlineLevel="2" x14ac:dyDescent="0.2">
      <c r="D2545" s="667" t="s">
        <v>302</v>
      </c>
      <c r="I2545" s="785" t="str">
        <f>Price_List_BA!G10</f>
        <v>USD</v>
      </c>
      <c r="J2545" s="786"/>
      <c r="U2545" s="119">
        <f>IF(ISERROR(MATCH(I2545,LU_Intv_5_Curr,0)),1,0)</f>
        <v>0</v>
      </c>
    </row>
    <row r="2546" spans="4:21" s="348" customFormat="1" hidden="1" outlineLevel="2" x14ac:dyDescent="0.2"/>
    <row r="2547" spans="4:21" s="348" customFormat="1" ht="25.5" hidden="1" outlineLevel="2" x14ac:dyDescent="0.2">
      <c r="D2547" s="359" t="str">
        <f>"Personnel - "&amp;D2436</f>
        <v>Personnel - Fixed Hospital Sites</v>
      </c>
      <c r="L2547" s="312" t="str">
        <f>"Cost per Unit ("&amp;$I$2545&amp;"/Unit)"</f>
        <v>Cost per Unit (USD/Unit)</v>
      </c>
    </row>
    <row r="2548" spans="4:21" s="348" customFormat="1" ht="12.75" hidden="1" customHeight="1" outlineLevel="2" x14ac:dyDescent="0.2">
      <c r="D2548" s="785" t="str">
        <f>Price_List_BA!D14</f>
        <v>_Not Applicable</v>
      </c>
      <c r="E2548" s="786"/>
      <c r="F2548" s="786"/>
      <c r="G2548" s="786"/>
      <c r="L2548" s="137">
        <f>Price_List_BA!L14</f>
        <v>0</v>
      </c>
    </row>
    <row r="2549" spans="4:21" s="348" customFormat="1" ht="12.95" hidden="1" customHeight="1" outlineLevel="2" x14ac:dyDescent="0.2">
      <c r="D2549" s="785" t="str">
        <f>Price_List_BA!D15</f>
        <v>Biomedical scientist (ZM)</v>
      </c>
      <c r="E2549" s="786"/>
      <c r="F2549" s="786"/>
      <c r="G2549" s="786"/>
      <c r="L2549" s="137">
        <f>Price_List_BA!L15</f>
        <v>9.6099869451697087E-2</v>
      </c>
    </row>
    <row r="2550" spans="4:21" s="348" customFormat="1" ht="12.95" hidden="1" customHeight="1" outlineLevel="2" x14ac:dyDescent="0.2">
      <c r="D2550" s="785" t="str">
        <f>Price_List_BA!D16</f>
        <v>Clinical officer  (ZM)</v>
      </c>
      <c r="E2550" s="786"/>
      <c r="F2550" s="786"/>
      <c r="G2550" s="786"/>
      <c r="L2550" s="137">
        <f>Price_List_BA!L16</f>
        <v>5.4314893385552607E-2</v>
      </c>
    </row>
    <row r="2551" spans="4:21" s="348" customFormat="1" ht="12.75" hidden="1" customHeight="1" outlineLevel="2" x14ac:dyDescent="0.2">
      <c r="D2551" s="785" t="str">
        <f>Price_List_BA!D17</f>
        <v>Consultant  (ZM)</v>
      </c>
      <c r="E2551" s="786"/>
      <c r="F2551" s="786"/>
      <c r="G2551" s="786"/>
      <c r="L2551" s="137">
        <f>Price_List_BA!L17</f>
        <v>0.39408430337975103</v>
      </c>
    </row>
    <row r="2552" spans="4:21" s="348" customFormat="1" hidden="1" outlineLevel="2" x14ac:dyDescent="0.2">
      <c r="D2552" s="785" t="str">
        <f>Price_List_BA!D18</f>
        <v>General Medical Doctor</v>
      </c>
      <c r="E2552" s="786"/>
      <c r="F2552" s="786"/>
      <c r="G2552" s="786"/>
      <c r="L2552" s="137">
        <f>Price_List_BA!L18</f>
        <v>0.33333333333333331</v>
      </c>
    </row>
    <row r="2553" spans="4:21" s="348" customFormat="1" ht="12.75" hidden="1" customHeight="1" outlineLevel="2" x14ac:dyDescent="0.2">
      <c r="D2553" s="785" t="str">
        <f>Price_List_BA!D19</f>
        <v>Junior Resident Medical officer  (ZM)</v>
      </c>
      <c r="E2553" s="786"/>
      <c r="F2553" s="786"/>
      <c r="G2553" s="786"/>
      <c r="L2553" s="137">
        <f>Price_List_BA!L19</f>
        <v>0.30300363087467391</v>
      </c>
    </row>
    <row r="2554" spans="4:21" s="348" customFormat="1" ht="12.95" hidden="1" customHeight="1" outlineLevel="2" x14ac:dyDescent="0.2">
      <c r="D2554" s="785" t="str">
        <f>Price_List_BA!D20</f>
        <v>Lab Scientist (ZM)</v>
      </c>
      <c r="E2554" s="786"/>
      <c r="F2554" s="786"/>
      <c r="G2554" s="786"/>
      <c r="L2554" s="137">
        <f>Price_List_BA!L20</f>
        <v>9.6099869451697087E-2</v>
      </c>
    </row>
    <row r="2555" spans="4:21" s="348" customFormat="1" ht="12.95" hidden="1" customHeight="1" outlineLevel="2" x14ac:dyDescent="0.2">
      <c r="D2555" s="785" t="str">
        <f>Price_List_BA!D21</f>
        <v>Lab Technician (ZM)</v>
      </c>
      <c r="E2555" s="786"/>
      <c r="F2555" s="786"/>
      <c r="G2555" s="786"/>
      <c r="L2555" s="137">
        <f>Price_List_BA!L21</f>
        <v>4.7519582245430833E-2</v>
      </c>
    </row>
    <row r="2556" spans="4:21" s="348" customFormat="1" ht="12.75" hidden="1" customHeight="1" outlineLevel="2" x14ac:dyDescent="0.2">
      <c r="D2556" s="785" t="str">
        <f>Price_List_BA!D22</f>
        <v>Lab Technologist (ZM)</v>
      </c>
      <c r="E2556" s="786"/>
      <c r="F2556" s="786"/>
      <c r="G2556" s="786"/>
      <c r="L2556" s="137">
        <f>Price_List_BA!L22</f>
        <v>5.4308093994778019E-2</v>
      </c>
    </row>
    <row r="2557" spans="4:21" s="348" customFormat="1" ht="12.75" hidden="1" customHeight="1" outlineLevel="2" x14ac:dyDescent="0.2">
      <c r="D2557" s="785" t="str">
        <f>Price_List_BA!D23</f>
        <v>Medical Physicist (ZM)</v>
      </c>
      <c r="E2557" s="786"/>
      <c r="F2557" s="786"/>
      <c r="G2557" s="786"/>
      <c r="L2557" s="137">
        <f>Price_List_BA!L23</f>
        <v>0.15991895126196667</v>
      </c>
    </row>
    <row r="2558" spans="4:21" s="348" customFormat="1" ht="12.95" hidden="1" customHeight="1" outlineLevel="2" x14ac:dyDescent="0.2">
      <c r="D2558" s="785" t="str">
        <f>Price_List_BA!D24</f>
        <v>Nursing Officer (ZM)</v>
      </c>
      <c r="E2558" s="786"/>
      <c r="F2558" s="786"/>
      <c r="G2558" s="786"/>
      <c r="L2558" s="137">
        <f>Price_List_BA!L24</f>
        <v>9.6099869451697087E-2</v>
      </c>
    </row>
    <row r="2559" spans="4:21" s="348" customFormat="1" ht="12.95" hidden="1" customHeight="1" outlineLevel="2" x14ac:dyDescent="0.2">
      <c r="D2559" s="785" t="str">
        <f>Price_List_BA!D25</f>
        <v>Pathologist (ZM)</v>
      </c>
      <c r="E2559" s="786"/>
      <c r="F2559" s="786"/>
      <c r="G2559" s="786"/>
      <c r="L2559" s="137">
        <f>Price_List_BA!L25</f>
        <v>0.39408430337975103</v>
      </c>
    </row>
    <row r="2560" spans="4:21" s="348" customFormat="1" ht="12.95" hidden="1" customHeight="1" outlineLevel="2" x14ac:dyDescent="0.2">
      <c r="D2560" s="785" t="str">
        <f>Price_List_BA!D26</f>
        <v>Pharmacy Technologist (ZM)</v>
      </c>
      <c r="E2560" s="786"/>
      <c r="F2560" s="786"/>
      <c r="G2560" s="786"/>
      <c r="L2560" s="137">
        <f>Price_List_BA!L26</f>
        <v>5.4312173629242816E-2</v>
      </c>
    </row>
    <row r="2561" spans="4:12" s="348" customFormat="1" ht="12.95" hidden="1" customHeight="1" outlineLevel="2" x14ac:dyDescent="0.2">
      <c r="D2561" s="785" t="str">
        <f>Price_List_BA!D27</f>
        <v>Principal Nursing Officer (ZM)</v>
      </c>
      <c r="E2561" s="786"/>
      <c r="F2561" s="786"/>
      <c r="G2561" s="786"/>
      <c r="L2561" s="137">
        <f>Price_List_BA!L27</f>
        <v>0.15919413620539585</v>
      </c>
    </row>
    <row r="2562" spans="4:12" s="348" customFormat="1" ht="12.95" hidden="1" customHeight="1" outlineLevel="2" x14ac:dyDescent="0.2">
      <c r="D2562" s="785" t="str">
        <f>Price_List_BA!D28</f>
        <v>Principal Pharmacist (ZM)</v>
      </c>
      <c r="E2562" s="786"/>
      <c r="F2562" s="786"/>
      <c r="G2562" s="786"/>
      <c r="L2562" s="137">
        <f>Price_List_BA!L28</f>
        <v>0.15919560940673019</v>
      </c>
    </row>
    <row r="2563" spans="4:12" s="348" customFormat="1" ht="12.75" hidden="1" customHeight="1" outlineLevel="2" x14ac:dyDescent="0.2">
      <c r="D2563" s="785" t="str">
        <f>Price_List_BA!D29</f>
        <v>Principal Radiographer (ZM)</v>
      </c>
      <c r="E2563" s="786"/>
      <c r="F2563" s="786"/>
      <c r="G2563" s="786"/>
      <c r="L2563" s="137">
        <f>Price_List_BA!L29</f>
        <v>0.15919855580939896</v>
      </c>
    </row>
    <row r="2564" spans="4:12" s="348" customFormat="1" ht="12.75" hidden="1" customHeight="1" outlineLevel="2" x14ac:dyDescent="0.2">
      <c r="D2564" s="785" t="str">
        <f>Price_List_BA!D30</f>
        <v>Principal Therapist - Radiation (ZM)</v>
      </c>
      <c r="E2564" s="786"/>
      <c r="F2564" s="786"/>
      <c r="G2564" s="786"/>
      <c r="L2564" s="137">
        <f>Price_List_BA!L30</f>
        <v>0.15919708260806459</v>
      </c>
    </row>
    <row r="2565" spans="4:12" s="348" customFormat="1" ht="12.75" hidden="1" customHeight="1" outlineLevel="2" x14ac:dyDescent="0.2">
      <c r="D2565" s="785" t="str">
        <f>Price_List_BA!D31</f>
        <v>Radiation Lab Scientist (ZM)</v>
      </c>
      <c r="E2565" s="786"/>
      <c r="F2565" s="786"/>
      <c r="G2565" s="786"/>
      <c r="L2565" s="137">
        <f>Price_List_BA!L31</f>
        <v>9.6099869451697087E-2</v>
      </c>
    </row>
    <row r="2566" spans="4:12" s="348" customFormat="1" ht="12.95" hidden="1" customHeight="1" outlineLevel="2" x14ac:dyDescent="0.2">
      <c r="D2566" s="785" t="str">
        <f>Price_List_BA!D32</f>
        <v>Radiation Protection Officer (ZM)</v>
      </c>
      <c r="E2566" s="786"/>
      <c r="F2566" s="786"/>
      <c r="G2566" s="786"/>
      <c r="L2566" s="137">
        <f>Price_List_BA!L32</f>
        <v>9.6099869451697087E-2</v>
      </c>
    </row>
    <row r="2567" spans="4:12" s="348" customFormat="1" ht="12.95" hidden="1" customHeight="1" outlineLevel="2" x14ac:dyDescent="0.2">
      <c r="D2567" s="785" t="str">
        <f>Price_List_BA!D33</f>
        <v>Radiographer (ZM)</v>
      </c>
      <c r="E2567" s="786"/>
      <c r="F2567" s="786"/>
      <c r="G2567" s="786"/>
      <c r="L2567" s="137">
        <f>Price_List_BA!L33</f>
        <v>9.6099869451697087E-2</v>
      </c>
    </row>
    <row r="2568" spans="4:12" s="348" customFormat="1" ht="12.95" hidden="1" customHeight="1" outlineLevel="2" x14ac:dyDescent="0.2">
      <c r="D2568" s="785" t="str">
        <f>Price_List_BA!D34</f>
        <v>Registered Nurse (ZM)</v>
      </c>
      <c r="E2568" s="786"/>
      <c r="F2568" s="786"/>
      <c r="G2568" s="786"/>
      <c r="L2568" s="137">
        <f>Price_List_BA!L34</f>
        <v>5.7114882506527402E-2</v>
      </c>
    </row>
    <row r="2569" spans="4:12" s="348" customFormat="1" ht="12.95" hidden="1" customHeight="1" outlineLevel="2" x14ac:dyDescent="0.2">
      <c r="D2569" s="785" t="str">
        <f>Price_List_BA!D35</f>
        <v>Senior Enrolled Nurse (ZM)</v>
      </c>
      <c r="E2569" s="786"/>
      <c r="F2569" s="786"/>
      <c r="G2569" s="786"/>
      <c r="L2569" s="137">
        <f>Price_List_BA!L35</f>
        <v>5.4313533507397704E-2</v>
      </c>
    </row>
    <row r="2570" spans="4:12" s="348" customFormat="1" ht="12.75" hidden="1" customHeight="1" outlineLevel="2" x14ac:dyDescent="0.2">
      <c r="D2570" s="785" t="str">
        <f>Price_List_BA!D36</f>
        <v>Senior Nursing Officer (ZM)</v>
      </c>
      <c r="E2570" s="786"/>
      <c r="F2570" s="786"/>
      <c r="G2570" s="786"/>
      <c r="L2570" s="137">
        <f>Price_List_BA!L36</f>
        <v>0.12206946257615311</v>
      </c>
    </row>
    <row r="2571" spans="4:12" s="348" customFormat="1" ht="12.75" hidden="1" customHeight="1" outlineLevel="2" x14ac:dyDescent="0.2">
      <c r="D2571" s="785" t="str">
        <f>Price_List_BA!D37</f>
        <v>Senior Radiation protection Officer (ZM)</v>
      </c>
      <c r="E2571" s="786"/>
      <c r="F2571" s="786"/>
      <c r="G2571" s="786"/>
      <c r="L2571" s="137">
        <f>Price_List_BA!L37</f>
        <v>0.12207093577748751</v>
      </c>
    </row>
    <row r="2572" spans="4:12" s="348" customFormat="1" ht="12.75" hidden="1" customHeight="1" outlineLevel="2" x14ac:dyDescent="0.2">
      <c r="D2572" s="785" t="str">
        <f>Price_List_BA!D38</f>
        <v>Senior Radiographer (ZM)</v>
      </c>
      <c r="E2572" s="786"/>
      <c r="F2572" s="786"/>
      <c r="G2572" s="786"/>
      <c r="L2572" s="137">
        <f>Price_List_BA!L38</f>
        <v>0.12207240897882186</v>
      </c>
    </row>
    <row r="2573" spans="4:12" s="348" customFormat="1" ht="12.75" hidden="1" customHeight="1" outlineLevel="2" x14ac:dyDescent="0.2">
      <c r="D2573" s="785" t="str">
        <f>Price_List_BA!D39</f>
        <v>Zambia Enrolled Nurse (ZEN) (ZM)</v>
      </c>
      <c r="E2573" s="786"/>
      <c r="F2573" s="786"/>
      <c r="G2573" s="786"/>
      <c r="L2573" s="137">
        <f>Price_List_BA!L39</f>
        <v>5.4309453872933025E-2</v>
      </c>
    </row>
    <row r="2574" spans="4:12" s="348" customFormat="1" hidden="1" outlineLevel="2" x14ac:dyDescent="0.2">
      <c r="D2574" s="785" t="str">
        <f>Price_List_BA!D40</f>
        <v>Personnel - Hospital Cadre - Other 27</v>
      </c>
      <c r="E2574" s="786"/>
      <c r="F2574" s="786"/>
      <c r="G2574" s="786"/>
      <c r="L2574" s="137">
        <f>Price_List_BA!L40</f>
        <v>0</v>
      </c>
    </row>
    <row r="2575" spans="4:12" s="348" customFormat="1" hidden="1" outlineLevel="2" x14ac:dyDescent="0.2">
      <c r="D2575" s="785" t="str">
        <f>Price_List_BA!D41</f>
        <v>Personnel - Hospital Cadre - Other 28</v>
      </c>
      <c r="E2575" s="786"/>
      <c r="F2575" s="786"/>
      <c r="G2575" s="786"/>
      <c r="L2575" s="137">
        <f>Price_List_BA!L41</f>
        <v>0</v>
      </c>
    </row>
    <row r="2576" spans="4:12" s="348" customFormat="1" hidden="1" outlineLevel="2" x14ac:dyDescent="0.2">
      <c r="D2576" s="785" t="str">
        <f>Price_List_BA!D42</f>
        <v>Personnel - Hospital Cadre - Other 29</v>
      </c>
      <c r="E2576" s="786"/>
      <c r="F2576" s="786"/>
      <c r="G2576" s="786"/>
      <c r="L2576" s="137">
        <f>Price_List_BA!L42</f>
        <v>0</v>
      </c>
    </row>
    <row r="2577" spans="4:12" s="348" customFormat="1" hidden="1" outlineLevel="2" x14ac:dyDescent="0.2">
      <c r="D2577" s="785" t="str">
        <f>Price_List_BA!D43</f>
        <v>Personnel - Hospital Cadre - Other 30</v>
      </c>
      <c r="E2577" s="786"/>
      <c r="F2577" s="786"/>
      <c r="G2577" s="786"/>
      <c r="L2577" s="137">
        <f>Price_List_BA!L43</f>
        <v>0</v>
      </c>
    </row>
    <row r="2578" spans="4:12" s="348" customFormat="1" hidden="1" outlineLevel="2" x14ac:dyDescent="0.2">
      <c r="D2578" s="785" t="str">
        <f>Price_List_BA!D44</f>
        <v>Personnel - Hospital Cadre - Other 31</v>
      </c>
      <c r="E2578" s="786"/>
      <c r="F2578" s="786"/>
      <c r="G2578" s="786"/>
      <c r="L2578" s="137">
        <f>Price_List_BA!L44</f>
        <v>0</v>
      </c>
    </row>
    <row r="2579" spans="4:12" s="348" customFormat="1" hidden="1" outlineLevel="2" x14ac:dyDescent="0.2"/>
    <row r="2580" spans="4:12" s="348" customFormat="1" ht="25.5" hidden="1" outlineLevel="2" x14ac:dyDescent="0.2">
      <c r="D2580" s="359" t="str">
        <f>"Personnel - "&amp;D2454</f>
        <v>Personnel - Other Facility Types</v>
      </c>
      <c r="L2580" s="312" t="str">
        <f>"Cost per Unit ("&amp;$I$2545&amp;"/Unit)"</f>
        <v>Cost per Unit (USD/Unit)</v>
      </c>
    </row>
    <row r="2581" spans="4:12" s="348" customFormat="1" ht="12.75" hidden="1" customHeight="1" outlineLevel="2" x14ac:dyDescent="0.2">
      <c r="D2581" s="785" t="str">
        <f>Price_List_BA!D47</f>
        <v>_Not Applicable</v>
      </c>
      <c r="E2581" s="786"/>
      <c r="F2581" s="786"/>
      <c r="G2581" s="786"/>
      <c r="L2581" s="127">
        <f>Price_List_BA!L47</f>
        <v>0</v>
      </c>
    </row>
    <row r="2582" spans="4:12" s="348" customFormat="1" ht="12.95" hidden="1" customHeight="1" outlineLevel="2" x14ac:dyDescent="0.2">
      <c r="D2582" s="785" t="str">
        <f>Price_List_BA!D48</f>
        <v>Biomedical scientist (ZM)</v>
      </c>
      <c r="E2582" s="786"/>
      <c r="F2582" s="786"/>
      <c r="G2582" s="786"/>
      <c r="L2582" s="127">
        <f>Price_List_BA!L48</f>
        <v>9.6099869451697087E-2</v>
      </c>
    </row>
    <row r="2583" spans="4:12" s="348" customFormat="1" ht="12.75" hidden="1" customHeight="1" outlineLevel="2" x14ac:dyDescent="0.2">
      <c r="D2583" s="785" t="str">
        <f>Price_List_BA!D49</f>
        <v>Clinical officer  (ZM)</v>
      </c>
      <c r="E2583" s="786"/>
      <c r="F2583" s="786"/>
      <c r="G2583" s="786"/>
      <c r="L2583" s="127">
        <f>Price_List_BA!L49</f>
        <v>5.4314893385552607E-2</v>
      </c>
    </row>
    <row r="2584" spans="4:12" s="348" customFormat="1" ht="12.75" hidden="1" customHeight="1" outlineLevel="2" x14ac:dyDescent="0.2">
      <c r="D2584" s="785" t="str">
        <f>Price_List_BA!D50</f>
        <v>Consultant  (ZM)</v>
      </c>
      <c r="E2584" s="786"/>
      <c r="F2584" s="786"/>
      <c r="G2584" s="786"/>
      <c r="L2584" s="127">
        <f>Price_List_BA!L50</f>
        <v>0.39408430337975103</v>
      </c>
    </row>
    <row r="2585" spans="4:12" s="348" customFormat="1" hidden="1" outlineLevel="2" x14ac:dyDescent="0.2">
      <c r="D2585" s="785" t="str">
        <f>Price_List_BA!D51</f>
        <v>General Medical Doctor</v>
      </c>
      <c r="E2585" s="786"/>
      <c r="F2585" s="786"/>
      <c r="G2585" s="786"/>
      <c r="L2585" s="127">
        <f>Price_List_BA!L51</f>
        <v>0.3125</v>
      </c>
    </row>
    <row r="2586" spans="4:12" s="348" customFormat="1" ht="12.75" hidden="1" customHeight="1" outlineLevel="2" x14ac:dyDescent="0.2">
      <c r="D2586" s="785" t="str">
        <f>Price_List_BA!D52</f>
        <v>Junior Resident Medical officer  (ZM)</v>
      </c>
      <c r="E2586" s="786"/>
      <c r="F2586" s="786"/>
      <c r="G2586" s="786"/>
      <c r="L2586" s="127">
        <f>Price_List_BA!L52</f>
        <v>0.30300363087467391</v>
      </c>
    </row>
    <row r="2587" spans="4:12" s="348" customFormat="1" ht="12.95" hidden="1" customHeight="1" outlineLevel="2" x14ac:dyDescent="0.2">
      <c r="D2587" s="785" t="str">
        <f>Price_List_BA!D53</f>
        <v>Lab Scientist (ZM)</v>
      </c>
      <c r="E2587" s="786"/>
      <c r="F2587" s="786"/>
      <c r="G2587" s="786"/>
      <c r="L2587" s="127">
        <f>Price_List_BA!L53</f>
        <v>9.6099869451697087E-2</v>
      </c>
    </row>
    <row r="2588" spans="4:12" s="348" customFormat="1" ht="12.75" hidden="1" customHeight="1" outlineLevel="2" x14ac:dyDescent="0.2">
      <c r="D2588" s="785" t="str">
        <f>Price_List_BA!D54</f>
        <v>Lab Technician (ZM)</v>
      </c>
      <c r="E2588" s="786"/>
      <c r="F2588" s="786"/>
      <c r="G2588" s="786"/>
      <c r="L2588" s="127">
        <f>Price_List_BA!L54</f>
        <v>4.7519582245430833E-2</v>
      </c>
    </row>
    <row r="2589" spans="4:12" s="348" customFormat="1" ht="12.75" hidden="1" customHeight="1" outlineLevel="2" x14ac:dyDescent="0.2">
      <c r="D2589" s="785" t="str">
        <f>Price_List_BA!D55</f>
        <v>Lab Technologist (ZM)</v>
      </c>
      <c r="E2589" s="786"/>
      <c r="F2589" s="786"/>
      <c r="G2589" s="786"/>
      <c r="L2589" s="127">
        <f>Price_List_BA!L55</f>
        <v>5.4308093994778019E-2</v>
      </c>
    </row>
    <row r="2590" spans="4:12" s="348" customFormat="1" ht="12.75" hidden="1" customHeight="1" outlineLevel="2" x14ac:dyDescent="0.2">
      <c r="D2590" s="785" t="str">
        <f>Price_List_BA!D56</f>
        <v>Medical Physicist (ZM)</v>
      </c>
      <c r="E2590" s="786"/>
      <c r="F2590" s="786"/>
      <c r="G2590" s="786"/>
      <c r="L2590" s="127">
        <f>Price_List_BA!L56</f>
        <v>0.15991895126196667</v>
      </c>
    </row>
    <row r="2591" spans="4:12" s="348" customFormat="1" ht="12.75" hidden="1" customHeight="1" outlineLevel="2" x14ac:dyDescent="0.2">
      <c r="D2591" s="785" t="str">
        <f>Price_List_BA!D57</f>
        <v>Nursing Officer (ZM)</v>
      </c>
      <c r="E2591" s="786"/>
      <c r="F2591" s="786"/>
      <c r="G2591" s="786"/>
      <c r="L2591" s="127">
        <f>Price_List_BA!L57</f>
        <v>9.6099869451697087E-2</v>
      </c>
    </row>
    <row r="2592" spans="4:12" s="348" customFormat="1" ht="12.75" hidden="1" customHeight="1" outlineLevel="2" x14ac:dyDescent="0.2">
      <c r="D2592" s="785" t="str">
        <f>Price_List_BA!D58</f>
        <v>Pathologist (ZM)</v>
      </c>
      <c r="E2592" s="786"/>
      <c r="F2592" s="786"/>
      <c r="G2592" s="786"/>
      <c r="L2592" s="127">
        <f>Price_List_BA!L58</f>
        <v>0.39408430337975103</v>
      </c>
    </row>
    <row r="2593" spans="4:12" s="348" customFormat="1" ht="12.75" hidden="1" customHeight="1" outlineLevel="2" x14ac:dyDescent="0.2">
      <c r="D2593" s="785" t="str">
        <f>Price_List_BA!D59</f>
        <v>Pharmacy Technologist (ZM)</v>
      </c>
      <c r="E2593" s="786"/>
      <c r="F2593" s="786"/>
      <c r="G2593" s="786"/>
      <c r="L2593" s="127">
        <f>Price_List_BA!L59</f>
        <v>5.4312173629242816E-2</v>
      </c>
    </row>
    <row r="2594" spans="4:12" s="348" customFormat="1" ht="12.75" hidden="1" customHeight="1" outlineLevel="2" x14ac:dyDescent="0.2">
      <c r="D2594" s="785" t="str">
        <f>Price_List_BA!D60</f>
        <v>Principal Nursing Officer (ZM)</v>
      </c>
      <c r="E2594" s="786"/>
      <c r="F2594" s="786"/>
      <c r="G2594" s="786"/>
      <c r="L2594" s="127">
        <f>Price_List_BA!L60</f>
        <v>0.15919413620539585</v>
      </c>
    </row>
    <row r="2595" spans="4:12" s="348" customFormat="1" ht="12.75" hidden="1" customHeight="1" outlineLevel="2" x14ac:dyDescent="0.2">
      <c r="D2595" s="785" t="str">
        <f>Price_List_BA!D61</f>
        <v>Principal Pharmacist (ZM)</v>
      </c>
      <c r="E2595" s="786"/>
      <c r="F2595" s="786"/>
      <c r="G2595" s="786"/>
      <c r="L2595" s="127">
        <f>Price_List_BA!L61</f>
        <v>0.15919560940673019</v>
      </c>
    </row>
    <row r="2596" spans="4:12" s="348" customFormat="1" ht="12.75" hidden="1" customHeight="1" outlineLevel="2" x14ac:dyDescent="0.2">
      <c r="D2596" s="785" t="str">
        <f>Price_List_BA!D62</f>
        <v>Principal Radiographer (ZM)</v>
      </c>
      <c r="E2596" s="786"/>
      <c r="F2596" s="786"/>
      <c r="G2596" s="786"/>
      <c r="L2596" s="127">
        <f>Price_List_BA!L62</f>
        <v>0.15919855580939896</v>
      </c>
    </row>
    <row r="2597" spans="4:12" s="348" customFormat="1" ht="12.95" hidden="1" customHeight="1" outlineLevel="2" x14ac:dyDescent="0.2">
      <c r="D2597" s="785" t="str">
        <f>Price_List_BA!D63</f>
        <v>Principal Therapist - Radiation (ZM)</v>
      </c>
      <c r="E2597" s="786"/>
      <c r="F2597" s="786"/>
      <c r="G2597" s="786"/>
      <c r="L2597" s="127">
        <f>Price_List_BA!L63</f>
        <v>0.15919708260806459</v>
      </c>
    </row>
    <row r="2598" spans="4:12" s="348" customFormat="1" ht="12.95" hidden="1" customHeight="1" outlineLevel="2" x14ac:dyDescent="0.2">
      <c r="D2598" s="785" t="str">
        <f>Price_List_BA!D64</f>
        <v>Radiation Lab Scientist (ZM)</v>
      </c>
      <c r="E2598" s="786"/>
      <c r="F2598" s="786"/>
      <c r="G2598" s="786"/>
      <c r="L2598" s="127">
        <f>Price_List_BA!L64</f>
        <v>9.6099869451697087E-2</v>
      </c>
    </row>
    <row r="2599" spans="4:12" s="348" customFormat="1" ht="12.95" hidden="1" customHeight="1" outlineLevel="2" x14ac:dyDescent="0.2">
      <c r="D2599" s="785" t="str">
        <f>Price_List_BA!D65</f>
        <v>Radiation Protection Officer (ZM)</v>
      </c>
      <c r="E2599" s="786"/>
      <c r="F2599" s="786"/>
      <c r="G2599" s="786"/>
      <c r="L2599" s="127">
        <f>Price_List_BA!L65</f>
        <v>9.6099869451697087E-2</v>
      </c>
    </row>
    <row r="2600" spans="4:12" s="348" customFormat="1" ht="12.95" hidden="1" customHeight="1" outlineLevel="2" x14ac:dyDescent="0.2">
      <c r="D2600" s="785" t="str">
        <f>Price_List_BA!D66</f>
        <v>Radiographer (ZM)</v>
      </c>
      <c r="E2600" s="786"/>
      <c r="F2600" s="786"/>
      <c r="G2600" s="786"/>
      <c r="L2600" s="127">
        <f>Price_List_BA!L66</f>
        <v>9.6099869451697087E-2</v>
      </c>
    </row>
    <row r="2601" spans="4:12" s="348" customFormat="1" ht="12.95" hidden="1" customHeight="1" outlineLevel="2" x14ac:dyDescent="0.2">
      <c r="D2601" s="785" t="str">
        <f>Price_List_BA!D67</f>
        <v>Registered Nurse (ZM)</v>
      </c>
      <c r="E2601" s="786"/>
      <c r="F2601" s="786"/>
      <c r="G2601" s="786"/>
      <c r="L2601" s="127">
        <f>Price_List_BA!L67</f>
        <v>5.7114882506527402E-2</v>
      </c>
    </row>
    <row r="2602" spans="4:12" s="348" customFormat="1" ht="12.75" hidden="1" customHeight="1" outlineLevel="2" x14ac:dyDescent="0.2">
      <c r="D2602" s="785" t="str">
        <f>Price_List_BA!D68</f>
        <v>Senior Enrolled Nurse (ZM)</v>
      </c>
      <c r="E2602" s="786"/>
      <c r="F2602" s="786"/>
      <c r="G2602" s="786"/>
      <c r="L2602" s="127">
        <f>Price_List_BA!L68</f>
        <v>5.4313533507397704E-2</v>
      </c>
    </row>
    <row r="2603" spans="4:12" s="348" customFormat="1" ht="12.75" hidden="1" customHeight="1" outlineLevel="2" x14ac:dyDescent="0.2">
      <c r="D2603" s="785" t="str">
        <f>Price_List_BA!D69</f>
        <v>Senior Nursing Officer (ZM)</v>
      </c>
      <c r="E2603" s="786"/>
      <c r="F2603" s="786"/>
      <c r="G2603" s="786"/>
      <c r="L2603" s="127">
        <f>Price_List_BA!L69</f>
        <v>0.12206946257615311</v>
      </c>
    </row>
    <row r="2604" spans="4:12" s="348" customFormat="1" ht="12.75" hidden="1" customHeight="1" outlineLevel="2" x14ac:dyDescent="0.2">
      <c r="D2604" s="785" t="str">
        <f>Price_List_BA!D70</f>
        <v>Senior Radiation protection Officer (ZM)</v>
      </c>
      <c r="E2604" s="786"/>
      <c r="F2604" s="786"/>
      <c r="G2604" s="786"/>
      <c r="L2604" s="127">
        <f>Price_List_BA!L70</f>
        <v>0.12207093577748751</v>
      </c>
    </row>
    <row r="2605" spans="4:12" s="348" customFormat="1" hidden="1" outlineLevel="2" x14ac:dyDescent="0.2">
      <c r="D2605" s="785" t="str">
        <f>Price_List_BA!D71</f>
        <v>Senior Radiographer (ZM)</v>
      </c>
      <c r="E2605" s="786"/>
      <c r="F2605" s="786"/>
      <c r="G2605" s="786"/>
      <c r="L2605" s="127">
        <f>Price_List_BA!L71</f>
        <v>0.12207240897882186</v>
      </c>
    </row>
    <row r="2606" spans="4:12" s="348" customFormat="1" hidden="1" outlineLevel="2" x14ac:dyDescent="0.2">
      <c r="D2606" s="785" t="str">
        <f>Price_List_BA!D72</f>
        <v>Zambia Enrolled Nurse (ZEN) (ZM)</v>
      </c>
      <c r="E2606" s="786"/>
      <c r="F2606" s="786"/>
      <c r="G2606" s="786"/>
      <c r="L2606" s="127">
        <f>Price_List_BA!L72</f>
        <v>5.4309453872933025E-2</v>
      </c>
    </row>
    <row r="2607" spans="4:12" s="348" customFormat="1" hidden="1" outlineLevel="2" x14ac:dyDescent="0.2">
      <c r="D2607" s="785" t="str">
        <f>Price_List_BA!D73</f>
        <v>Personnel - Other Category 27</v>
      </c>
      <c r="E2607" s="786"/>
      <c r="F2607" s="786"/>
      <c r="G2607" s="786"/>
      <c r="L2607" s="127">
        <f>Price_List_BA!L73</f>
        <v>0</v>
      </c>
    </row>
    <row r="2608" spans="4:12" s="348" customFormat="1" hidden="1" outlineLevel="2" x14ac:dyDescent="0.2">
      <c r="D2608" s="785" t="str">
        <f>Price_List_BA!D74</f>
        <v>Personnel - Other Category 28</v>
      </c>
      <c r="E2608" s="786"/>
      <c r="F2608" s="786"/>
      <c r="G2608" s="786"/>
      <c r="L2608" s="127">
        <f>Price_List_BA!L74</f>
        <v>0</v>
      </c>
    </row>
    <row r="2609" spans="4:12" s="348" customFormat="1" hidden="1" outlineLevel="2" x14ac:dyDescent="0.2">
      <c r="D2609" s="785" t="str">
        <f>Price_List_BA!D75</f>
        <v>Personnel - Other Category 29</v>
      </c>
      <c r="E2609" s="786"/>
      <c r="F2609" s="786"/>
      <c r="G2609" s="786"/>
      <c r="L2609" s="127">
        <f>Price_List_BA!L75</f>
        <v>0</v>
      </c>
    </row>
    <row r="2610" spans="4:12" s="348" customFormat="1" hidden="1" outlineLevel="2" x14ac:dyDescent="0.2">
      <c r="D2610" s="785" t="str">
        <f>Price_List_BA!D76</f>
        <v>Personnel - Other Category 30</v>
      </c>
      <c r="E2610" s="786"/>
      <c r="F2610" s="786"/>
      <c r="G2610" s="786"/>
      <c r="L2610" s="127">
        <f>Price_List_BA!L76</f>
        <v>0</v>
      </c>
    </row>
    <row r="2611" spans="4:12" s="348" customFormat="1" ht="12.95" hidden="1" customHeight="1" outlineLevel="2" x14ac:dyDescent="0.2">
      <c r="D2611" s="785">
        <f>Price_List_BA!D77</f>
        <v>0</v>
      </c>
      <c r="E2611" s="786"/>
      <c r="F2611" s="786"/>
      <c r="G2611" s="786"/>
      <c r="L2611" s="127">
        <f>Price_List_BA!L77</f>
        <v>0</v>
      </c>
    </row>
    <row r="2612" spans="4:12" s="348" customFormat="1" hidden="1" outlineLevel="2" x14ac:dyDescent="0.2"/>
    <row r="2613" spans="4:12" s="348" customFormat="1" ht="25.5" hidden="1" outlineLevel="2" x14ac:dyDescent="0.2">
      <c r="D2613" s="667" t="s">
        <v>316</v>
      </c>
      <c r="J2613" s="671" t="s">
        <v>951</v>
      </c>
      <c r="L2613" s="312" t="str">
        <f>"Cost per Unit ("&amp;$I$2545&amp;"/Unit)"</f>
        <v>Cost per Unit (USD/Unit)</v>
      </c>
    </row>
    <row r="2614" spans="4:12" s="348" customFormat="1" ht="12.75" hidden="1" customHeight="1" outlineLevel="2" x14ac:dyDescent="0.2">
      <c r="D2614" s="785" t="str">
        <f>Price_List_BA!D210</f>
        <v>_Not Applicable</v>
      </c>
      <c r="E2614" s="786"/>
      <c r="F2614" s="786"/>
      <c r="G2614" s="786"/>
      <c r="J2614" s="668" t="str">
        <f>Price_List_BA!J210</f>
        <v>SU</v>
      </c>
      <c r="L2614" s="127">
        <f>Price_List_BA!L210</f>
        <v>0</v>
      </c>
    </row>
    <row r="2615" spans="4:12" s="348" customFormat="1" ht="12.75" hidden="1" customHeight="1" outlineLevel="2" x14ac:dyDescent="0.2">
      <c r="D2615" s="785" t="str">
        <f>Price_List_BA!D211</f>
        <v>10 ml syringes with long 27-gauge needle (UG)</v>
      </c>
      <c r="E2615" s="786"/>
      <c r="F2615" s="786"/>
      <c r="G2615" s="786"/>
      <c r="J2615" s="668" t="str">
        <f>Price_List_BA!J211</f>
        <v>each</v>
      </c>
      <c r="L2615" s="127">
        <f>Price_List_BA!L211</f>
        <v>0.18578</v>
      </c>
    </row>
    <row r="2616" spans="4:12" s="348" customFormat="1" ht="12.75" hidden="1" customHeight="1" outlineLevel="2" x14ac:dyDescent="0.2">
      <c r="D2616" s="785" t="str">
        <f>Price_List_BA!D212</f>
        <v>100% alcohol (UG)</v>
      </c>
      <c r="E2616" s="786"/>
      <c r="F2616" s="786"/>
      <c r="G2616" s="786"/>
      <c r="J2616" s="668" t="str">
        <f>Price_List_BA!J212</f>
        <v>mililiter</v>
      </c>
      <c r="L2616" s="127">
        <f>Price_List_BA!L212</f>
        <v>1.9224106655010398E-2</v>
      </c>
    </row>
    <row r="2617" spans="4:12" s="348" customFormat="1" ht="12.75" hidden="1" customHeight="1" outlineLevel="2" x14ac:dyDescent="0.2">
      <c r="D2617" s="785" t="str">
        <f>Price_List_BA!D213</f>
        <v>100% Ethanol (UG)</v>
      </c>
      <c r="E2617" s="786"/>
      <c r="F2617" s="786"/>
      <c r="G2617" s="786"/>
      <c r="J2617" s="668" t="str">
        <f>Price_List_BA!J213</f>
        <v>mililiter</v>
      </c>
      <c r="L2617" s="127">
        <f>Price_List_BA!L213</f>
        <v>1.9224106655010398E-2</v>
      </c>
    </row>
    <row r="2618" spans="4:12" s="348" customFormat="1" ht="12.75" hidden="1" customHeight="1" outlineLevel="2" x14ac:dyDescent="0.2">
      <c r="D2618" s="785" t="str">
        <f>Price_List_BA!D214</f>
        <v>5% acetic acid (UG)</v>
      </c>
      <c r="E2618" s="786"/>
      <c r="F2618" s="786"/>
      <c r="G2618" s="786"/>
      <c r="J2618" s="668" t="str">
        <f>Price_List_BA!J214</f>
        <v>mililiter</v>
      </c>
      <c r="L2618" s="127">
        <f>Price_List_BA!L214</f>
        <v>1.52988744399519E-2</v>
      </c>
    </row>
    <row r="2619" spans="4:12" s="348" customFormat="1" ht="12.75" hidden="1" customHeight="1" outlineLevel="2" x14ac:dyDescent="0.2">
      <c r="D2619" s="785" t="str">
        <f>Price_List_BA!D215</f>
        <v>Acetic acid (UG)</v>
      </c>
      <c r="E2619" s="786"/>
      <c r="F2619" s="786"/>
      <c r="G2619" s="786"/>
      <c r="J2619" s="668" t="str">
        <f>Price_List_BA!J215</f>
        <v>mililiter</v>
      </c>
      <c r="L2619" s="127">
        <f>Price_List_BA!L215</f>
        <v>1.47739525734892E-2</v>
      </c>
    </row>
    <row r="2620" spans="4:12" s="348" customFormat="1" ht="12.75" hidden="1" customHeight="1" outlineLevel="2" x14ac:dyDescent="0.2">
      <c r="D2620" s="785" t="str">
        <f>Price_List_BA!D216</f>
        <v>Acetic acid, 3–5% dilution (ZM)</v>
      </c>
      <c r="E2620" s="786"/>
      <c r="F2620" s="786"/>
      <c r="G2620" s="786"/>
      <c r="J2620" s="668" t="str">
        <f>Price_List_BA!J216</f>
        <v>centilitre</v>
      </c>
      <c r="L2620" s="127">
        <f>Price_List_BA!L216</f>
        <v>3.4000000000000002E-2</v>
      </c>
    </row>
    <row r="2621" spans="4:12" s="348" customFormat="1" ht="12.75" hidden="1" customHeight="1" outlineLevel="2" x14ac:dyDescent="0.2">
      <c r="D2621" s="785" t="str">
        <f>Price_List_BA!D217</f>
        <v>Acetic acid, 3–5% dilution (TZ)</v>
      </c>
      <c r="E2621" s="786"/>
      <c r="F2621" s="786"/>
      <c r="G2621" s="786"/>
      <c r="J2621" s="668" t="str">
        <f>Price_List_BA!J217</f>
        <v>centilitre</v>
      </c>
      <c r="L2621" s="127">
        <f>Price_List_BA!L217</f>
        <v>3.5000000000000003E-2</v>
      </c>
    </row>
    <row r="2622" spans="4:12" s="348" customFormat="1" ht="12.75" hidden="1" customHeight="1" outlineLevel="2" x14ac:dyDescent="0.2">
      <c r="D2622" s="785" t="str">
        <f>Price_List_BA!D218</f>
        <v>Alcohol, 60-90% isopropyl or ethyl (TZ)</v>
      </c>
      <c r="E2622" s="786"/>
      <c r="F2622" s="786"/>
      <c r="G2622" s="786"/>
      <c r="J2622" s="668" t="str">
        <f>Price_List_BA!J218</f>
        <v>centilitre</v>
      </c>
      <c r="L2622" s="127">
        <f>Price_List_BA!L218</f>
        <v>8.2500000000000004E-2</v>
      </c>
    </row>
    <row r="2623" spans="4:12" s="348" customFormat="1" ht="12.75" hidden="1" customHeight="1" outlineLevel="2" x14ac:dyDescent="0.2">
      <c r="D2623" s="785" t="str">
        <f>Price_List_BA!D219</f>
        <v>Alcohol, 60-90% isopropyl or ethyl 95% (ZM)</v>
      </c>
      <c r="E2623" s="786"/>
      <c r="F2623" s="786"/>
      <c r="G2623" s="786"/>
      <c r="J2623" s="668" t="str">
        <f>Price_List_BA!J219</f>
        <v>centilitre</v>
      </c>
      <c r="L2623" s="127">
        <f>Price_List_BA!L219</f>
        <v>4.4125300000000006E-2</v>
      </c>
    </row>
    <row r="2624" spans="4:12" s="348" customFormat="1" ht="12.75" hidden="1" customHeight="1" outlineLevel="2" x14ac:dyDescent="0.2">
      <c r="D2624" s="785" t="str">
        <f>Price_List_BA!D220</f>
        <v>Amitriptyline hydrochloride( 25mg) (ZM)</v>
      </c>
      <c r="E2624" s="786"/>
      <c r="F2624" s="786"/>
      <c r="G2624" s="786"/>
      <c r="J2624" s="668" t="str">
        <f>Price_List_BA!J220</f>
        <v>25 mg</v>
      </c>
      <c r="L2624" s="127">
        <f>Price_List_BA!L220</f>
        <v>7.3106999999999998E-3</v>
      </c>
    </row>
    <row r="2625" spans="4:12" s="348" customFormat="1" ht="12.75" hidden="1" customHeight="1" outlineLevel="2" x14ac:dyDescent="0.2">
      <c r="D2625" s="785" t="str">
        <f>Price_List_BA!D221</f>
        <v>Amitriptyline hydrochloride( 25mg) (TZ)</v>
      </c>
      <c r="E2625" s="786"/>
      <c r="F2625" s="786"/>
      <c r="G2625" s="786"/>
      <c r="J2625" s="668" t="str">
        <f>Price_List_BA!J221</f>
        <v>each</v>
      </c>
      <c r="L2625" s="127">
        <f>Price_List_BA!L221</f>
        <v>1.8749999999999999E-3</v>
      </c>
    </row>
    <row r="2626" spans="4:12" s="348" customFormat="1" ht="12.75" hidden="1" customHeight="1" outlineLevel="2" x14ac:dyDescent="0.2">
      <c r="D2626" s="785" t="str">
        <f>Price_List_BA!D222</f>
        <v>Anticeptic solution (UG)</v>
      </c>
      <c r="E2626" s="786"/>
      <c r="F2626" s="786"/>
      <c r="G2626" s="786"/>
      <c r="J2626" s="668" t="str">
        <f>Price_List_BA!J222</f>
        <v>mililiter</v>
      </c>
      <c r="L2626" s="127">
        <f>Price_List_BA!L222</f>
        <v>1.9869626497533474E-2</v>
      </c>
    </row>
    <row r="2627" spans="4:12" s="348" customFormat="1" ht="12.95" hidden="1" customHeight="1" outlineLevel="2" x14ac:dyDescent="0.2">
      <c r="D2627" s="785" t="str">
        <f>Price_List_BA!D223</f>
        <v>Arithromycin (250g) (ZM)</v>
      </c>
      <c r="E2627" s="786"/>
      <c r="F2627" s="786"/>
      <c r="G2627" s="786"/>
      <c r="J2627" s="668" t="str">
        <f>Price_List_BA!J223</f>
        <v>tablet</v>
      </c>
      <c r="L2627" s="127">
        <f>Price_List_BA!L223</f>
        <v>1.0514359999999998</v>
      </c>
    </row>
    <row r="2628" spans="4:12" s="348" customFormat="1" ht="12.95" hidden="1" customHeight="1" outlineLevel="2" x14ac:dyDescent="0.2">
      <c r="D2628" s="785" t="str">
        <f>Price_List_BA!D224</f>
        <v>Arithromycin (250g) (UG)</v>
      </c>
      <c r="E2628" s="786"/>
      <c r="F2628" s="786"/>
      <c r="G2628" s="786"/>
      <c r="J2628" s="668" t="str">
        <f>Price_List_BA!J224</f>
        <v>tablet</v>
      </c>
      <c r="L2628" s="127">
        <f>Price_List_BA!L224</f>
        <v>3.8652518850398859E-2</v>
      </c>
    </row>
    <row r="2629" spans="4:12" s="348" customFormat="1" ht="12.95" hidden="1" customHeight="1" outlineLevel="2" x14ac:dyDescent="0.2">
      <c r="D2629" s="785" t="str">
        <f>Price_List_BA!D225</f>
        <v>Arithromycin (5g) (UG)</v>
      </c>
      <c r="E2629" s="786"/>
      <c r="F2629" s="786"/>
      <c r="G2629" s="786"/>
      <c r="J2629" s="668" t="str">
        <f>Price_List_BA!J225</f>
        <v>tablet</v>
      </c>
      <c r="L2629" s="127">
        <f>Price_List_BA!L225</f>
        <v>0.77305037700797719</v>
      </c>
    </row>
    <row r="2630" spans="4:12" s="348" customFormat="1" ht="12.95" hidden="1" customHeight="1" outlineLevel="2" x14ac:dyDescent="0.2">
      <c r="D2630" s="785" t="str">
        <f>Price_List_BA!D226</f>
        <v>Atropine (ZM)</v>
      </c>
      <c r="E2630" s="786"/>
      <c r="F2630" s="786"/>
      <c r="G2630" s="786"/>
      <c r="J2630" s="668" t="str">
        <f>Price_List_BA!J226</f>
        <v>SU</v>
      </c>
      <c r="L2630" s="127">
        <f>Price_List_BA!L226</f>
        <v>0</v>
      </c>
    </row>
    <row r="2631" spans="4:12" s="348" customFormat="1" ht="12.95" hidden="1" customHeight="1" outlineLevel="2" x14ac:dyDescent="0.2">
      <c r="D2631" s="785" t="str">
        <f>Price_List_BA!D227</f>
        <v>Ball electrode (UG)</v>
      </c>
      <c r="E2631" s="786"/>
      <c r="F2631" s="786"/>
      <c r="G2631" s="786"/>
      <c r="J2631" s="668" t="str">
        <f>Price_List_BA!J227</f>
        <v>each</v>
      </c>
      <c r="L2631" s="127">
        <f>Price_List_BA!L227</f>
        <v>9</v>
      </c>
    </row>
    <row r="2632" spans="4:12" s="348" customFormat="1" ht="12.95" hidden="1" customHeight="1" outlineLevel="2" x14ac:dyDescent="0.2">
      <c r="D2632" s="785" t="str">
        <f>Price_List_BA!D228</f>
        <v>Bed linen sheet (100 uses) (ZM)</v>
      </c>
      <c r="E2632" s="786"/>
      <c r="F2632" s="786"/>
      <c r="G2632" s="786"/>
      <c r="J2632" s="668" t="str">
        <f>Price_List_BA!J228</f>
        <v>sheet use</v>
      </c>
      <c r="L2632" s="127">
        <f>Price_List_BA!L228</f>
        <v>4.3299999999999998E-2</v>
      </c>
    </row>
    <row r="2633" spans="4:12" s="348" customFormat="1" ht="12.95" hidden="1" customHeight="1" outlineLevel="2" x14ac:dyDescent="0.2">
      <c r="D2633" s="785" t="str">
        <f>Price_List_BA!D229</f>
        <v>Bed linen sheet (TZ)</v>
      </c>
      <c r="E2633" s="786"/>
      <c r="F2633" s="786"/>
      <c r="G2633" s="786"/>
      <c r="J2633" s="668" t="str">
        <f>Price_List_BA!J229</f>
        <v>1 use</v>
      </c>
      <c r="L2633" s="127">
        <f>Price_List_BA!L229</f>
        <v>6.25E-2</v>
      </c>
    </row>
    <row r="2634" spans="4:12" s="348" customFormat="1" ht="12.95" hidden="1" customHeight="1" outlineLevel="2" x14ac:dyDescent="0.2">
      <c r="D2634" s="785" t="str">
        <f>Price_List_BA!D230</f>
        <v>Bin Liner (ZM)</v>
      </c>
      <c r="E2634" s="786"/>
      <c r="F2634" s="786"/>
      <c r="G2634" s="786"/>
      <c r="J2634" s="668" t="str">
        <f>Price_List_BA!J230</f>
        <v>liner</v>
      </c>
      <c r="L2634" s="127">
        <f>Price_List_BA!L230</f>
        <v>0.234987</v>
      </c>
    </row>
    <row r="2635" spans="4:12" s="348" customFormat="1" ht="12.95" hidden="1" customHeight="1" outlineLevel="2" x14ac:dyDescent="0.2">
      <c r="D2635" s="785" t="str">
        <f>Price_List_BA!D231</f>
        <v>Bleach (JIK)</v>
      </c>
      <c r="E2635" s="786"/>
      <c r="F2635" s="786"/>
      <c r="G2635" s="786"/>
      <c r="J2635" s="668" t="str">
        <f>Price_List_BA!J231</f>
        <v>mililiter</v>
      </c>
      <c r="L2635" s="127">
        <f>Price_List_BA!L231</f>
        <v>2.2666666666666664E-3</v>
      </c>
    </row>
    <row r="2636" spans="4:12" s="348" customFormat="1" ht="12.95" hidden="1" customHeight="1" outlineLevel="2" x14ac:dyDescent="0.2">
      <c r="D2636" s="785" t="str">
        <f>Price_List_BA!D232</f>
        <v>Bleach (UG)</v>
      </c>
      <c r="E2636" s="786"/>
      <c r="F2636" s="786"/>
      <c r="G2636" s="786"/>
      <c r="J2636" s="668" t="str">
        <f>Price_List_BA!J232</f>
        <v>mililiter</v>
      </c>
      <c r="L2636" s="127">
        <f>Price_List_BA!L232</f>
        <v>1.5735985138236267E-3</v>
      </c>
    </row>
    <row r="2637" spans="4:12" s="348" customFormat="1" ht="12.95" hidden="1" customHeight="1" outlineLevel="2" x14ac:dyDescent="0.2">
      <c r="D2637" s="785" t="str">
        <f>Price_List_BA!D233</f>
        <v>careHPV DCM tube (UG)</v>
      </c>
      <c r="E2637" s="786"/>
      <c r="F2637" s="786"/>
      <c r="G2637" s="786"/>
      <c r="J2637" s="668" t="str">
        <f>Price_List_BA!J233</f>
        <v>tube</v>
      </c>
      <c r="L2637" s="127">
        <f>Price_List_BA!L233</f>
        <v>0.22799999999999998</v>
      </c>
    </row>
    <row r="2638" spans="4:12" s="348" customFormat="1" ht="12.95" hidden="1" customHeight="1" outlineLevel="2" x14ac:dyDescent="0.2">
      <c r="D2638" s="785" t="str">
        <f>Price_List_BA!D234</f>
        <v>Catheter -Urine (TZ)</v>
      </c>
      <c r="E2638" s="786"/>
      <c r="F2638" s="786"/>
      <c r="G2638" s="786"/>
      <c r="J2638" s="668" t="str">
        <f>Price_List_BA!J234</f>
        <v>1 catheter set</v>
      </c>
      <c r="L2638" s="127">
        <f>Price_List_BA!L234</f>
        <v>0.875</v>
      </c>
    </row>
    <row r="2639" spans="4:12" s="348" customFormat="1" ht="12.95" hidden="1" customHeight="1" outlineLevel="2" x14ac:dyDescent="0.2">
      <c r="D2639" s="785" t="str">
        <f>Price_List_BA!D235</f>
        <v>Cervical brush (UG)</v>
      </c>
      <c r="E2639" s="786"/>
      <c r="F2639" s="786"/>
      <c r="G2639" s="786"/>
      <c r="J2639" s="668" t="str">
        <f>Price_List_BA!J235</f>
        <v>brush</v>
      </c>
      <c r="L2639" s="127">
        <f>Price_List_BA!L235</f>
        <v>1.1399999999999999E-2</v>
      </c>
    </row>
    <row r="2640" spans="4:12" s="348" customFormat="1" ht="12.95" hidden="1" customHeight="1" outlineLevel="2" x14ac:dyDescent="0.2">
      <c r="D2640" s="785" t="str">
        <f>Price_List_BA!D236</f>
        <v>Chlorine 0.5% (Jik-diluted) (ZM)</v>
      </c>
      <c r="E2640" s="786"/>
      <c r="F2640" s="786"/>
      <c r="G2640" s="786"/>
      <c r="J2640" s="668" t="str">
        <f>Price_List_BA!J236</f>
        <v>mililiter</v>
      </c>
      <c r="L2640" s="127">
        <f>Price_List_BA!L236</f>
        <v>4.5999999999999999E-3</v>
      </c>
    </row>
    <row r="2641" spans="4:12" s="348" customFormat="1" ht="12.75" hidden="1" customHeight="1" outlineLevel="2" x14ac:dyDescent="0.2">
      <c r="D2641" s="785" t="str">
        <f>Price_List_BA!D237</f>
        <v>Chlorine 0.5% (Jik-diluted)  (TZ)</v>
      </c>
      <c r="E2641" s="786"/>
      <c r="F2641" s="786"/>
      <c r="G2641" s="786"/>
      <c r="J2641" s="668" t="str">
        <f>Price_List_BA!J237</f>
        <v>centilitre</v>
      </c>
      <c r="L2641" s="127">
        <f>Price_List_BA!L237</f>
        <v>1.375E-2</v>
      </c>
    </row>
    <row r="2642" spans="4:12" s="348" customFormat="1" ht="12.75" hidden="1" customHeight="1" outlineLevel="2" x14ac:dyDescent="0.2">
      <c r="D2642" s="785" t="str">
        <f>Price_List_BA!D238</f>
        <v>Cidex (2-4% glutaraldehyde) (ZM)</v>
      </c>
      <c r="E2642" s="786"/>
      <c r="F2642" s="786"/>
      <c r="G2642" s="786"/>
      <c r="J2642" s="668" t="str">
        <f>Price_List_BA!J238</f>
        <v>mililiter</v>
      </c>
      <c r="L2642" s="127">
        <f>Price_List_BA!L238</f>
        <v>1.9321200000000001E-3</v>
      </c>
    </row>
    <row r="2643" spans="4:12" s="348" customFormat="1" ht="12.75" hidden="1" customHeight="1" outlineLevel="2" x14ac:dyDescent="0.2">
      <c r="D2643" s="785" t="str">
        <f>Price_List_BA!D239</f>
        <v>Cidex (2-4% glutaraldehyde) (TZ)</v>
      </c>
      <c r="E2643" s="786"/>
      <c r="F2643" s="786"/>
      <c r="G2643" s="786"/>
      <c r="J2643" s="668" t="str">
        <f>Price_List_BA!J239</f>
        <v>centilitre</v>
      </c>
      <c r="L2643" s="127">
        <f>Price_List_BA!L239</f>
        <v>0.140625</v>
      </c>
    </row>
    <row r="2644" spans="4:12" s="348" customFormat="1" ht="12.75" hidden="1" customHeight="1" outlineLevel="2" x14ac:dyDescent="0.2">
      <c r="D2644" s="785" t="str">
        <f>Price_List_BA!D240</f>
        <v>Ciprofloxacin (500mg) (UG)</v>
      </c>
      <c r="E2644" s="786"/>
      <c r="F2644" s="786"/>
      <c r="G2644" s="786"/>
      <c r="J2644" s="668" t="str">
        <f>Price_List_BA!J240</f>
        <v>tablet</v>
      </c>
      <c r="L2644" s="127">
        <f>Price_List_BA!L240</f>
        <v>3.4291683968965141E-2</v>
      </c>
    </row>
    <row r="2645" spans="4:12" s="348" customFormat="1" ht="12.75" hidden="1" customHeight="1" outlineLevel="2" x14ac:dyDescent="0.2">
      <c r="D2645" s="785" t="str">
        <f>Price_List_BA!D241</f>
        <v>Ciprofloxacin (500mg) 250MG (ZM)</v>
      </c>
      <c r="E2645" s="786"/>
      <c r="F2645" s="786"/>
      <c r="G2645" s="786"/>
      <c r="J2645" s="668" t="str">
        <f>Price_List_BA!J241</f>
        <v>tablet</v>
      </c>
      <c r="L2645" s="127">
        <f>Price_List_BA!L241</f>
        <v>4.9088000000000005E-3</v>
      </c>
    </row>
    <row r="2646" spans="4:12" s="348" customFormat="1" ht="12.75" hidden="1" customHeight="1" outlineLevel="2" x14ac:dyDescent="0.2">
      <c r="D2646" s="785" t="str">
        <f>Price_List_BA!D242</f>
        <v>Cisplatin (50 mg) (ZM)</v>
      </c>
      <c r="E2646" s="786"/>
      <c r="F2646" s="786"/>
      <c r="G2646" s="786"/>
      <c r="J2646" s="668" t="str">
        <f>Price_List_BA!J242</f>
        <v>vial</v>
      </c>
      <c r="L2646" s="127">
        <f>Price_List_BA!L242</f>
        <v>14</v>
      </c>
    </row>
    <row r="2647" spans="4:12" s="348" customFormat="1" ht="12.75" hidden="1" customHeight="1" outlineLevel="2" x14ac:dyDescent="0.2">
      <c r="D2647" s="785" t="str">
        <f>Price_List_BA!D243</f>
        <v>Cisplatin (50 mg) (TZ)</v>
      </c>
      <c r="E2647" s="786"/>
      <c r="F2647" s="786"/>
      <c r="G2647" s="786"/>
      <c r="J2647" s="668" t="str">
        <f>Price_List_BA!J243</f>
        <v>50 mg vial</v>
      </c>
      <c r="L2647" s="127">
        <f>Price_List_BA!L243</f>
        <v>15.63</v>
      </c>
    </row>
    <row r="2648" spans="4:12" s="348" customFormat="1" ht="12.75" hidden="1" customHeight="1" outlineLevel="2" x14ac:dyDescent="0.2">
      <c r="D2648" s="785" t="str">
        <f>Price_List_BA!D244</f>
        <v>Citokit (UG)</v>
      </c>
      <c r="E2648" s="786"/>
      <c r="F2648" s="786"/>
      <c r="G2648" s="786"/>
      <c r="J2648" s="668" t="str">
        <f>Price_List_BA!J244</f>
        <v>kit</v>
      </c>
      <c r="L2648" s="127">
        <f>Price_List_BA!L244</f>
        <v>2.0981313517648346</v>
      </c>
    </row>
    <row r="2649" spans="4:12" s="348" customFormat="1" ht="12.75" hidden="1" customHeight="1" outlineLevel="2" x14ac:dyDescent="0.2">
      <c r="D2649" s="785" t="str">
        <f>Price_List_BA!D245</f>
        <v>Colostomy Bag (TZ)</v>
      </c>
      <c r="E2649" s="786"/>
      <c r="F2649" s="786"/>
      <c r="G2649" s="786"/>
      <c r="J2649" s="668" t="str">
        <f>Price_List_BA!J245</f>
        <v>each</v>
      </c>
      <c r="L2649" s="127">
        <f>Price_List_BA!L245</f>
        <v>2.5</v>
      </c>
    </row>
    <row r="2650" spans="4:12" s="348" customFormat="1" ht="12.75" hidden="1" customHeight="1" outlineLevel="2" x14ac:dyDescent="0.2">
      <c r="D2650" s="785" t="str">
        <f>Price_List_BA!D246</f>
        <v>Condom  (TZ)</v>
      </c>
      <c r="E2650" s="786"/>
      <c r="F2650" s="786"/>
      <c r="G2650" s="786"/>
      <c r="J2650" s="668" t="str">
        <f>Price_List_BA!J246</f>
        <v>each</v>
      </c>
      <c r="L2650" s="127">
        <f>Price_List_BA!L246</f>
        <v>0.3125</v>
      </c>
    </row>
    <row r="2651" spans="4:12" s="348" customFormat="1" ht="12.75" hidden="1" customHeight="1" outlineLevel="2" x14ac:dyDescent="0.2">
      <c r="D2651" s="785" t="str">
        <f>Price_List_BA!D247</f>
        <v>Condom MALE (ZM)</v>
      </c>
      <c r="E2651" s="786"/>
      <c r="F2651" s="786"/>
      <c r="G2651" s="786"/>
      <c r="J2651" s="668" t="str">
        <f>Price_List_BA!J247</f>
        <v>each</v>
      </c>
      <c r="L2651" s="127">
        <f>Price_List_BA!L247</f>
        <v>1.2946041666666666E-2</v>
      </c>
    </row>
    <row r="2652" spans="4:12" s="348" customFormat="1" ht="12.75" hidden="1" customHeight="1" outlineLevel="2" x14ac:dyDescent="0.2">
      <c r="D2652" s="785" t="str">
        <f>Price_List_BA!D248</f>
        <v>Cotton swab (ZM)</v>
      </c>
      <c r="E2652" s="786"/>
      <c r="F2652" s="786"/>
      <c r="G2652" s="786"/>
      <c r="J2652" s="668" t="str">
        <f>Price_List_BA!J248</f>
        <v>swab</v>
      </c>
      <c r="L2652" s="127">
        <f>Price_List_BA!L248</f>
        <v>1.0200000000000001E-2</v>
      </c>
    </row>
    <row r="2653" spans="4:12" s="348" customFormat="1" ht="12.75" hidden="1" customHeight="1" outlineLevel="2" x14ac:dyDescent="0.2">
      <c r="D2653" s="785" t="str">
        <f>Price_List_BA!D249</f>
        <v>Cotton swab (TZ)</v>
      </c>
      <c r="E2653" s="786"/>
      <c r="F2653" s="786"/>
      <c r="G2653" s="786"/>
      <c r="J2653" s="668" t="str">
        <f>Price_List_BA!J249</f>
        <v>each</v>
      </c>
      <c r="L2653" s="127">
        <f>Price_List_BA!L249</f>
        <v>2.75E-2</v>
      </c>
    </row>
    <row r="2654" spans="4:12" s="348" customFormat="1" ht="12.75" hidden="1" customHeight="1" outlineLevel="2" x14ac:dyDescent="0.2">
      <c r="D2654" s="785" t="str">
        <f>Price_List_BA!D250</f>
        <v>Cotton swabs (UG)</v>
      </c>
      <c r="E2654" s="786"/>
      <c r="F2654" s="786"/>
      <c r="G2654" s="786"/>
      <c r="J2654" s="668" t="str">
        <f>Price_List_BA!J250</f>
        <v>swab</v>
      </c>
      <c r="L2654" s="127">
        <f>Price_List_BA!L250</f>
        <v>6.9238334608239596E-3</v>
      </c>
    </row>
    <row r="2655" spans="4:12" s="348" customFormat="1" ht="12.75" hidden="1" customHeight="1" outlineLevel="2" x14ac:dyDescent="0.2">
      <c r="D2655" s="785" t="str">
        <f>Price_List_BA!D251</f>
        <v>Cotton Wool, roll, non-sterile (ZM)</v>
      </c>
      <c r="E2655" s="786"/>
      <c r="F2655" s="786"/>
      <c r="G2655" s="786"/>
      <c r="J2655" s="668" t="str">
        <f>Price_List_BA!J251</f>
        <v>1/100 roll</v>
      </c>
      <c r="L2655" s="127">
        <f>Price_List_BA!L251</f>
        <v>7.1200000000000005E-3</v>
      </c>
    </row>
    <row r="2656" spans="4:12" s="348" customFormat="1" ht="12.75" hidden="1" customHeight="1" outlineLevel="2" x14ac:dyDescent="0.2">
      <c r="D2656" s="785" t="str">
        <f>Price_List_BA!D252</f>
        <v>Cotton Wool, roll, non-sterile (TZ)</v>
      </c>
      <c r="E2656" s="786"/>
      <c r="F2656" s="786"/>
      <c r="G2656" s="786"/>
      <c r="J2656" s="668" t="str">
        <f>Price_List_BA!J252</f>
        <v>1 gram</v>
      </c>
      <c r="L2656" s="127">
        <f>Price_List_BA!L252</f>
        <v>3.0000000000000001E-3</v>
      </c>
    </row>
    <row r="2657" spans="4:12" s="348" customFormat="1" ht="12.75" hidden="1" customHeight="1" outlineLevel="2" x14ac:dyDescent="0.2">
      <c r="D2657" s="785" t="str">
        <f>Price_List_BA!D253</f>
        <v xml:space="preserve">Dexamethasone (ZM) </v>
      </c>
      <c r="E2657" s="786"/>
      <c r="F2657" s="786"/>
      <c r="G2657" s="786"/>
      <c r="J2657" s="668" t="str">
        <f>Price_List_BA!J253</f>
        <v>4mg</v>
      </c>
      <c r="L2657" s="127">
        <f>Price_List_BA!L253</f>
        <v>0.25</v>
      </c>
    </row>
    <row r="2658" spans="4:12" s="348" customFormat="1" ht="12.75" hidden="1" customHeight="1" outlineLevel="2" x14ac:dyDescent="0.2">
      <c r="D2658" s="785" t="str">
        <f>Price_List_BA!D254</f>
        <v>Diclofenac (50mg) (ZM)</v>
      </c>
      <c r="E2658" s="786"/>
      <c r="F2658" s="786"/>
      <c r="G2658" s="786"/>
      <c r="J2658" s="668" t="str">
        <f>Price_List_BA!J254</f>
        <v>tablet</v>
      </c>
      <c r="L2658" s="127">
        <f>Price_List_BA!L254</f>
        <v>3.3939999999999999E-3</v>
      </c>
    </row>
    <row r="2659" spans="4:12" s="348" customFormat="1" ht="12.75" hidden="1" customHeight="1" outlineLevel="2" x14ac:dyDescent="0.2">
      <c r="D2659" s="785" t="str">
        <f>Price_List_BA!D255</f>
        <v>Diclofenac (50mg) (TZ)</v>
      </c>
      <c r="E2659" s="786"/>
      <c r="F2659" s="786"/>
      <c r="G2659" s="786"/>
      <c r="J2659" s="668" t="str">
        <f>Price_List_BA!J255</f>
        <v>tablet</v>
      </c>
      <c r="L2659" s="127">
        <f>Price_List_BA!L255</f>
        <v>1.5625</v>
      </c>
    </row>
    <row r="2660" spans="4:12" s="348" customFormat="1" ht="12.75" hidden="1" customHeight="1" outlineLevel="2" x14ac:dyDescent="0.2">
      <c r="D2660" s="785" t="str">
        <f>Price_List_BA!D256</f>
        <v>Distilled water (ZM)</v>
      </c>
      <c r="E2660" s="786"/>
      <c r="F2660" s="786"/>
      <c r="G2660" s="786"/>
      <c r="J2660" s="668" t="str">
        <f>Price_List_BA!J256</f>
        <v>mililiter</v>
      </c>
      <c r="L2660" s="127">
        <f>Price_List_BA!L256</f>
        <v>2.3199999999999997E-4</v>
      </c>
    </row>
    <row r="2661" spans="4:12" s="348" customFormat="1" ht="12.75" hidden="1" customHeight="1" outlineLevel="2" x14ac:dyDescent="0.2">
      <c r="D2661" s="785" t="str">
        <f>Price_List_BA!D257</f>
        <v>Distilled water (UG)</v>
      </c>
      <c r="E2661" s="786"/>
      <c r="F2661" s="786"/>
      <c r="G2661" s="786"/>
      <c r="J2661" s="668" t="str">
        <f>Price_List_BA!J257</f>
        <v>mililiter</v>
      </c>
      <c r="L2661" s="127">
        <f>Price_List_BA!L257</f>
        <v>2.3680472079554149E-4</v>
      </c>
    </row>
    <row r="2662" spans="4:12" s="348" customFormat="1" ht="12.75" hidden="1" customHeight="1" outlineLevel="2" x14ac:dyDescent="0.2">
      <c r="D2662" s="785" t="str">
        <f>Price_List_BA!D258</f>
        <v>Dulcolax (10mg) (ZM)</v>
      </c>
      <c r="E2662" s="786"/>
      <c r="F2662" s="786"/>
      <c r="G2662" s="786"/>
      <c r="J2662" s="668" t="str">
        <f>Price_List_BA!J258</f>
        <v>tablet</v>
      </c>
      <c r="L2662" s="127">
        <f>Price_List_BA!L258</f>
        <v>0.1</v>
      </c>
    </row>
    <row r="2663" spans="4:12" s="348" customFormat="1" ht="12.75" hidden="1" customHeight="1" outlineLevel="2" x14ac:dyDescent="0.2">
      <c r="D2663" s="785" t="str">
        <f>Price_List_BA!D259</f>
        <v>Dulcolax (10mg) (TZ)</v>
      </c>
      <c r="E2663" s="786"/>
      <c r="F2663" s="786"/>
      <c r="G2663" s="786"/>
      <c r="J2663" s="668" t="str">
        <f>Price_List_BA!J259</f>
        <v>tablet</v>
      </c>
      <c r="L2663" s="127">
        <f>Price_List_BA!L259</f>
        <v>0.625</v>
      </c>
    </row>
    <row r="2664" spans="4:12" s="348" customFormat="1" ht="12.75" hidden="1" customHeight="1" outlineLevel="2" x14ac:dyDescent="0.2">
      <c r="D2664" s="785" t="str">
        <f>Price_List_BA!D260</f>
        <v>Emend (ZM)</v>
      </c>
      <c r="E2664" s="786"/>
      <c r="F2664" s="786"/>
      <c r="G2664" s="786"/>
      <c r="J2664" s="668" t="str">
        <f>Price_List_BA!J260</f>
        <v>SU</v>
      </c>
      <c r="L2664" s="127">
        <f>Price_List_BA!L260</f>
        <v>0</v>
      </c>
    </row>
    <row r="2665" spans="4:12" s="348" customFormat="1" ht="12.75" hidden="1" customHeight="1" outlineLevel="2" x14ac:dyDescent="0.2">
      <c r="D2665" s="785" t="str">
        <f>Price_List_BA!D261</f>
        <v>Formalin (UG)</v>
      </c>
      <c r="E2665" s="786"/>
      <c r="F2665" s="786"/>
      <c r="G2665" s="786"/>
      <c r="J2665" s="668" t="str">
        <f>Price_List_BA!J261</f>
        <v>mililiter</v>
      </c>
      <c r="L2665" s="127">
        <f>Price_List_BA!L261</f>
        <v>6.5566604742651096E-3</v>
      </c>
    </row>
    <row r="2666" spans="4:12" s="348" customFormat="1" ht="12.75" hidden="1" customHeight="1" outlineLevel="2" x14ac:dyDescent="0.2">
      <c r="D2666" s="785" t="str">
        <f>Price_List_BA!D262</f>
        <v>Formalin AR 40% (ZM)</v>
      </c>
      <c r="E2666" s="786"/>
      <c r="F2666" s="786"/>
      <c r="G2666" s="786"/>
      <c r="J2666" s="668" t="str">
        <f>Price_List_BA!J262</f>
        <v>mililiter</v>
      </c>
      <c r="L2666" s="127">
        <f>Price_List_BA!L262</f>
        <v>0.34903395999999998</v>
      </c>
    </row>
    <row r="2667" spans="4:12" s="348" customFormat="1" ht="12.75" hidden="1" customHeight="1" outlineLevel="2" x14ac:dyDescent="0.2">
      <c r="D2667" s="785" t="str">
        <f>Price_List_BA!D263</f>
        <v>Formalin AR 40% (TZ)</v>
      </c>
      <c r="E2667" s="786"/>
      <c r="F2667" s="786"/>
      <c r="G2667" s="786"/>
      <c r="J2667" s="668" t="str">
        <f>Price_List_BA!J263</f>
        <v>centilitre</v>
      </c>
      <c r="L2667" s="127">
        <f>Price_List_BA!L263</f>
        <v>0.03</v>
      </c>
    </row>
    <row r="2668" spans="4:12" s="348" customFormat="1" ht="12.75" hidden="1" customHeight="1" outlineLevel="2" x14ac:dyDescent="0.2">
      <c r="D2668" s="785" t="str">
        <f>Price_List_BA!D264</f>
        <v>Frusamide (ZM)</v>
      </c>
      <c r="E2668" s="786"/>
      <c r="F2668" s="786"/>
      <c r="G2668" s="786"/>
      <c r="J2668" s="668" t="str">
        <f>Price_List_BA!J264</f>
        <v>20mg</v>
      </c>
      <c r="L2668" s="127">
        <f>Price_List_BA!L264</f>
        <v>0.5</v>
      </c>
    </row>
    <row r="2669" spans="4:12" s="348" customFormat="1" ht="12.75" hidden="1" customHeight="1" outlineLevel="2" x14ac:dyDescent="0.2">
      <c r="D2669" s="785" t="str">
        <f>Price_List_BA!D265</f>
        <v>Gas - N2O (UG)</v>
      </c>
      <c r="E2669" s="786"/>
      <c r="F2669" s="786"/>
      <c r="G2669" s="786"/>
      <c r="J2669" s="668" t="str">
        <f>Price_List_BA!J265</f>
        <v>litre</v>
      </c>
      <c r="L2669" s="127">
        <f>Price_List_BA!L265</f>
        <v>0.21116458854315942</v>
      </c>
    </row>
    <row r="2670" spans="4:12" s="348" customFormat="1" ht="12.75" hidden="1" customHeight="1" outlineLevel="2" x14ac:dyDescent="0.2">
      <c r="D2670" s="785" t="str">
        <f>Price_List_BA!D266</f>
        <v>Gas Cylinder (Nitrous Oxide) 72 kg. (ZM)</v>
      </c>
      <c r="E2670" s="786"/>
      <c r="F2670" s="786"/>
      <c r="G2670" s="786"/>
      <c r="J2670" s="668" t="str">
        <f>Price_List_BA!J266</f>
        <v>application</v>
      </c>
      <c r="L2670" s="127">
        <f>Price_List_BA!L266</f>
        <v>37.333333333333336</v>
      </c>
    </row>
    <row r="2671" spans="4:12" s="348" customFormat="1" ht="12.75" hidden="1" customHeight="1" outlineLevel="2" x14ac:dyDescent="0.2">
      <c r="D2671" s="785" t="str">
        <f>Price_List_BA!D267</f>
        <v>Gas Cylinder (TZ)</v>
      </c>
      <c r="E2671" s="786"/>
      <c r="F2671" s="786"/>
      <c r="G2671" s="786"/>
      <c r="J2671" s="668" t="str">
        <f>Price_List_BA!J267</f>
        <v>1/15th of a cylinder</v>
      </c>
      <c r="L2671" s="127">
        <f>Price_List_BA!L267</f>
        <v>1.6666666666666667</v>
      </c>
    </row>
    <row r="2672" spans="4:12" s="348" customFormat="1" ht="12.75" hidden="1" customHeight="1" outlineLevel="2" x14ac:dyDescent="0.2">
      <c r="D2672" s="785" t="str">
        <f>Price_List_BA!D268</f>
        <v>Gauze (UG)</v>
      </c>
      <c r="E2672" s="786"/>
      <c r="F2672" s="786"/>
      <c r="G2672" s="786"/>
      <c r="J2672" s="668" t="str">
        <f>Price_List_BA!J268</f>
        <v>piece</v>
      </c>
      <c r="L2672" s="127">
        <f>Price_List_BA!L268</f>
        <v>1.2239099551961501E-2</v>
      </c>
    </row>
    <row r="2673" spans="4:12" s="348" customFormat="1" ht="12.75" hidden="1" customHeight="1" outlineLevel="2" x14ac:dyDescent="0.2">
      <c r="D2673" s="785" t="str">
        <f>Price_List_BA!D269</f>
        <v>Gauze hospital quality 10x4 cm (TZ)</v>
      </c>
      <c r="E2673" s="786"/>
      <c r="F2673" s="786"/>
      <c r="G2673" s="786"/>
      <c r="J2673" s="668" t="str">
        <f>Price_List_BA!J269</f>
        <v>each</v>
      </c>
      <c r="L2673" s="127">
        <f>Price_List_BA!L269</f>
        <v>0.3125</v>
      </c>
    </row>
    <row r="2674" spans="4:12" s="348" customFormat="1" ht="12.75" hidden="1" customHeight="1" outlineLevel="2" x14ac:dyDescent="0.2">
      <c r="D2674" s="785" t="str">
        <f>Price_List_BA!D270</f>
        <v>Gauze, Non-Sterile (ZM)</v>
      </c>
      <c r="E2674" s="786"/>
      <c r="F2674" s="786"/>
      <c r="G2674" s="786"/>
      <c r="J2674" s="668" t="str">
        <f>Price_List_BA!J270</f>
        <v>1/2 roll</v>
      </c>
      <c r="L2674" s="127">
        <f>Price_List_BA!L270</f>
        <v>6.7035000000000003E-3</v>
      </c>
    </row>
    <row r="2675" spans="4:12" s="348" customFormat="1" ht="12.75" hidden="1" customHeight="1" outlineLevel="2" x14ac:dyDescent="0.2">
      <c r="D2675" s="785" t="str">
        <f>Price_List_BA!D271</f>
        <v>Gauze, Non-Sterile (TZ)</v>
      </c>
      <c r="E2675" s="786"/>
      <c r="F2675" s="786"/>
      <c r="G2675" s="786"/>
      <c r="J2675" s="668" t="str">
        <f>Price_List_BA!J271</f>
        <v>1/100 of roll</v>
      </c>
      <c r="L2675" s="127">
        <f>Price_List_BA!L271</f>
        <v>0.125</v>
      </c>
    </row>
    <row r="2676" spans="4:12" s="348" customFormat="1" ht="12.75" hidden="1" customHeight="1" outlineLevel="2" x14ac:dyDescent="0.2">
      <c r="D2676" s="785" t="str">
        <f>Price_List_BA!D272</f>
        <v>Gauze, Sterile (ZM)</v>
      </c>
      <c r="E2676" s="786"/>
      <c r="F2676" s="786"/>
      <c r="G2676" s="786"/>
      <c r="J2676" s="668" t="str">
        <f>Price_List_BA!J272</f>
        <v>roll</v>
      </c>
      <c r="L2676" s="127">
        <f>Price_List_BA!L272</f>
        <v>4.7962999999999999E-2</v>
      </c>
    </row>
    <row r="2677" spans="4:12" s="348" customFormat="1" ht="12.75" hidden="1" customHeight="1" outlineLevel="2" x14ac:dyDescent="0.2">
      <c r="D2677" s="785" t="str">
        <f>Price_List_BA!D273</f>
        <v>Gauze, Sterile (TZ)</v>
      </c>
      <c r="E2677" s="786"/>
      <c r="F2677" s="786"/>
      <c r="G2677" s="786"/>
      <c r="J2677" s="668" t="str">
        <f>Price_List_BA!J273</f>
        <v>1/100 of roll</v>
      </c>
      <c r="L2677" s="127">
        <f>Price_List_BA!L273</f>
        <v>0.125</v>
      </c>
    </row>
    <row r="2678" spans="4:12" s="348" customFormat="1" ht="12.75" hidden="1" customHeight="1" outlineLevel="2" x14ac:dyDescent="0.2">
      <c r="D2678" s="785" t="str">
        <f>Price_List_BA!D274</f>
        <v>Gloves (UG)</v>
      </c>
      <c r="E2678" s="786"/>
      <c r="F2678" s="786"/>
      <c r="G2678" s="786"/>
      <c r="J2678" s="668" t="str">
        <f>Price_List_BA!J274</f>
        <v>pair</v>
      </c>
      <c r="L2678" s="127">
        <f>Price_List_BA!L274</f>
        <v>0.10490656758824179</v>
      </c>
    </row>
    <row r="2679" spans="4:12" s="348" customFormat="1" ht="12.75" hidden="1" customHeight="1" outlineLevel="2" x14ac:dyDescent="0.2">
      <c r="D2679" s="785" t="str">
        <f>Price_List_BA!D275</f>
        <v>Gloves, Non-Sterile, Examination, latex, assorted sizes, disp. (ZM)</v>
      </c>
      <c r="E2679" s="786"/>
      <c r="F2679" s="786"/>
      <c r="G2679" s="786"/>
      <c r="J2679" s="668" t="str">
        <f>Price_List_BA!J275</f>
        <v>each</v>
      </c>
      <c r="L2679" s="127">
        <f>Price_List_BA!L275</f>
        <v>7.2000000000000008E-2</v>
      </c>
    </row>
    <row r="2680" spans="4:12" s="348" customFormat="1" ht="12.75" hidden="1" customHeight="1" outlineLevel="2" x14ac:dyDescent="0.2">
      <c r="D2680" s="785" t="str">
        <f>Price_List_BA!D276</f>
        <v>Gloves, Non-Sterile, Examination, latex, medium, disp. (TZ)</v>
      </c>
      <c r="E2680" s="786"/>
      <c r="F2680" s="786"/>
      <c r="G2680" s="786"/>
      <c r="J2680" s="668" t="str">
        <f>Price_List_BA!J276</f>
        <v>each</v>
      </c>
      <c r="L2680" s="127">
        <f>Price_List_BA!L276</f>
        <v>4.2699999999999995E-2</v>
      </c>
    </row>
    <row r="2681" spans="4:12" s="348" customFormat="1" ht="12.75" hidden="1" customHeight="1" outlineLevel="2" x14ac:dyDescent="0.2">
      <c r="D2681" s="785" t="str">
        <f>Price_List_BA!D277</f>
        <v>Gloves, Sterile (TZ)</v>
      </c>
      <c r="E2681" s="786"/>
      <c r="F2681" s="786"/>
      <c r="G2681" s="786"/>
      <c r="J2681" s="668" t="str">
        <f>Price_List_BA!J277</f>
        <v>each</v>
      </c>
      <c r="L2681" s="127">
        <f>Price_List_BA!L277</f>
        <v>0.92500000000000004</v>
      </c>
    </row>
    <row r="2682" spans="4:12" s="348" customFormat="1" ht="12.75" hidden="1" customHeight="1" outlineLevel="2" x14ac:dyDescent="0.2">
      <c r="D2682" s="785" t="str">
        <f>Price_List_BA!D278</f>
        <v>Gloves, Sterile 7.5 (ZM)</v>
      </c>
      <c r="E2682" s="786"/>
      <c r="F2682" s="786"/>
      <c r="G2682" s="786"/>
      <c r="J2682" s="668" t="str">
        <f>Price_List_BA!J278</f>
        <v>each</v>
      </c>
      <c r="L2682" s="127">
        <f>Price_List_BA!L278</f>
        <v>0.21932200000000002</v>
      </c>
    </row>
    <row r="2683" spans="4:12" s="348" customFormat="1" ht="12.75" hidden="1" customHeight="1" outlineLevel="2" x14ac:dyDescent="0.2">
      <c r="D2683" s="785" t="str">
        <f>Price_List_BA!D279</f>
        <v>Halothane (ZM)</v>
      </c>
      <c r="E2683" s="786"/>
      <c r="F2683" s="786"/>
      <c r="G2683" s="786"/>
      <c r="J2683" s="668" t="str">
        <f>Price_List_BA!J279</f>
        <v>millilitre</v>
      </c>
      <c r="L2683" s="127">
        <f>Price_List_BA!L279</f>
        <v>0</v>
      </c>
    </row>
    <row r="2684" spans="4:12" s="348" customFormat="1" ht="12.75" hidden="1" customHeight="1" outlineLevel="2" x14ac:dyDescent="0.2">
      <c r="D2684" s="785" t="str">
        <f>Price_List_BA!D280</f>
        <v>IV canula 22G  (ZM)</v>
      </c>
      <c r="E2684" s="786"/>
      <c r="F2684" s="786"/>
      <c r="G2684" s="786"/>
      <c r="J2684" s="668" t="str">
        <f>Price_List_BA!J280</f>
        <v>canula</v>
      </c>
      <c r="L2684" s="127">
        <f>Price_List_BA!L280</f>
        <v>0.130548</v>
      </c>
    </row>
    <row r="2685" spans="4:12" s="348" customFormat="1" ht="12.75" hidden="1" customHeight="1" outlineLevel="2" x14ac:dyDescent="0.2">
      <c r="D2685" s="785" t="str">
        <f>Price_List_BA!D281</f>
        <v>IV canula 22G (each) (TZ)</v>
      </c>
      <c r="E2685" s="786"/>
      <c r="F2685" s="786"/>
      <c r="G2685" s="786"/>
      <c r="J2685" s="668" t="str">
        <f>Price_List_BA!J281</f>
        <v>each</v>
      </c>
      <c r="L2685" s="127">
        <f>Price_List_BA!L281</f>
        <v>0.16250000000000001</v>
      </c>
    </row>
    <row r="2686" spans="4:12" s="348" customFormat="1" ht="12.75" hidden="1" customHeight="1" outlineLevel="2" x14ac:dyDescent="0.2">
      <c r="D2686" s="785" t="str">
        <f>Price_List_BA!D282</f>
        <v>IV giving set (each) (TZ)</v>
      </c>
      <c r="E2686" s="786"/>
      <c r="F2686" s="786"/>
      <c r="G2686" s="786"/>
      <c r="J2686" s="668" t="str">
        <f>Price_List_BA!J282</f>
        <v>set</v>
      </c>
      <c r="L2686" s="127">
        <f>Price_List_BA!L282</f>
        <v>0.15</v>
      </c>
    </row>
    <row r="2687" spans="4:12" s="348" customFormat="1" ht="12.75" hidden="1" customHeight="1" outlineLevel="2" x14ac:dyDescent="0.2">
      <c r="D2687" s="785" t="str">
        <f>Price_List_BA!D283</f>
        <v>IV giving set (closed system) (ZM)</v>
      </c>
      <c r="E2687" s="786"/>
      <c r="F2687" s="786"/>
      <c r="G2687" s="786"/>
      <c r="J2687" s="668" t="str">
        <f>Price_List_BA!J283</f>
        <v>SU</v>
      </c>
      <c r="L2687" s="127">
        <f>Price_List_BA!L283</f>
        <v>0</v>
      </c>
    </row>
    <row r="2688" spans="4:12" s="348" customFormat="1" ht="12.75" hidden="1" customHeight="1" outlineLevel="2" x14ac:dyDescent="0.2">
      <c r="D2688" s="785" t="str">
        <f>Price_List_BA!D284</f>
        <v>IV line (set) (ZM)</v>
      </c>
      <c r="E2688" s="786"/>
      <c r="F2688" s="786"/>
      <c r="G2688" s="786"/>
      <c r="J2688" s="668" t="str">
        <f>Price_List_BA!J284</f>
        <v>set</v>
      </c>
      <c r="L2688" s="127">
        <f>Price_List_BA!L284</f>
        <v>0.120104</v>
      </c>
    </row>
    <row r="2689" spans="4:12" s="348" customFormat="1" ht="12.75" hidden="1" customHeight="1" outlineLevel="2" x14ac:dyDescent="0.2">
      <c r="D2689" s="785" t="str">
        <f>Price_List_BA!D285</f>
        <v>IV line (set) (TZ)</v>
      </c>
      <c r="E2689" s="786"/>
      <c r="F2689" s="786"/>
      <c r="G2689" s="786"/>
      <c r="J2689" s="668" t="str">
        <f>Price_List_BA!J285</f>
        <v>set</v>
      </c>
      <c r="L2689" s="127">
        <f>Price_List_BA!L285</f>
        <v>0.9375</v>
      </c>
    </row>
    <row r="2690" spans="4:12" s="348" customFormat="1" ht="12.75" hidden="1" customHeight="1" outlineLevel="2" x14ac:dyDescent="0.2">
      <c r="D2690" s="785" t="str">
        <f>Price_List_BA!D286</f>
        <v>Ketamine (ZM)</v>
      </c>
      <c r="E2690" s="786"/>
      <c r="F2690" s="786"/>
      <c r="G2690" s="786"/>
      <c r="J2690" s="668" t="str">
        <f>Price_List_BA!J286</f>
        <v>SU</v>
      </c>
      <c r="L2690" s="127">
        <f>Price_List_BA!L286</f>
        <v>0</v>
      </c>
    </row>
    <row r="2691" spans="4:12" s="348" customFormat="1" ht="12.75" hidden="1" customHeight="1" outlineLevel="2" x14ac:dyDescent="0.2">
      <c r="D2691" s="785" t="str">
        <f>Price_List_BA!D287</f>
        <v>Kitchen Towel (ZM)</v>
      </c>
      <c r="E2691" s="786"/>
      <c r="F2691" s="786"/>
      <c r="G2691" s="786"/>
      <c r="J2691" s="668" t="str">
        <f>Price_List_BA!J287</f>
        <v>application</v>
      </c>
      <c r="L2691" s="127">
        <f>Price_List_BA!L287</f>
        <v>1.3999999999999999E-2</v>
      </c>
    </row>
    <row r="2692" spans="4:12" s="348" customFormat="1" ht="12.75" hidden="1" customHeight="1" outlineLevel="2" x14ac:dyDescent="0.2">
      <c r="D2692" s="785" t="str">
        <f>Price_List_BA!D288</f>
        <v>K-Y jelly  (TZ)</v>
      </c>
      <c r="E2692" s="786"/>
      <c r="F2692" s="786"/>
      <c r="G2692" s="786"/>
      <c r="J2692" s="668" t="str">
        <f>Price_List_BA!J288</f>
        <v>1/100 of tube</v>
      </c>
      <c r="L2692" s="127">
        <f>Price_List_BA!L288</f>
        <v>8.4375000000000006E-2</v>
      </c>
    </row>
    <row r="2693" spans="4:12" s="348" customFormat="1" ht="12.75" hidden="1" customHeight="1" outlineLevel="2" x14ac:dyDescent="0.2">
      <c r="D2693" s="785" t="str">
        <f>Price_List_BA!D289</f>
        <v>K-Y jelly Tube w/ 100 applcations ea) (ZM)</v>
      </c>
      <c r="E2693" s="786"/>
      <c r="F2693" s="786"/>
      <c r="G2693" s="786"/>
      <c r="J2693" s="668" t="str">
        <f>Price_List_BA!J289</f>
        <v>1 application</v>
      </c>
      <c r="L2693" s="127">
        <f>Price_List_BA!L289</f>
        <v>4.4999999999999998E-2</v>
      </c>
    </row>
    <row r="2694" spans="4:12" s="348" customFormat="1" ht="12.75" hidden="1" customHeight="1" outlineLevel="2" x14ac:dyDescent="0.2">
      <c r="D2694" s="785" t="str">
        <f>Price_List_BA!D290</f>
        <v>Label (TZ)</v>
      </c>
      <c r="E2694" s="786"/>
      <c r="F2694" s="786"/>
      <c r="G2694" s="786"/>
      <c r="J2694" s="668" t="str">
        <f>Price_List_BA!J290</f>
        <v>label</v>
      </c>
      <c r="L2694" s="127">
        <f>Price_List_BA!L290</f>
        <v>3.125E-2</v>
      </c>
    </row>
    <row r="2695" spans="4:12" s="348" customFormat="1" ht="12.75" hidden="1" customHeight="1" outlineLevel="2" x14ac:dyDescent="0.2">
      <c r="D2695" s="785" t="str">
        <f>Price_List_BA!D291</f>
        <v>Lidocaine 1% or 2% without epinephrine (UG)</v>
      </c>
      <c r="E2695" s="786"/>
      <c r="F2695" s="786"/>
      <c r="G2695" s="786"/>
      <c r="J2695" s="668" t="str">
        <f>Price_List_BA!J291</f>
        <v>mililitre</v>
      </c>
      <c r="L2695" s="127">
        <f>Price_List_BA!L291</f>
        <v>6.6747459294066225E-2</v>
      </c>
    </row>
    <row r="2696" spans="4:12" s="348" customFormat="1" ht="12.75" hidden="1" customHeight="1" outlineLevel="2" x14ac:dyDescent="0.2">
      <c r="D2696" s="785" t="str">
        <f>Price_List_BA!D292</f>
        <v>Lidocaine 2% with epinephrine 1:80000 (ZM)</v>
      </c>
      <c r="E2696" s="786"/>
      <c r="F2696" s="786"/>
      <c r="G2696" s="786"/>
      <c r="J2696" s="668" t="str">
        <f>Price_List_BA!J292</f>
        <v>unknown</v>
      </c>
      <c r="L2696" s="127">
        <f>Price_List_BA!L292</f>
        <v>0.9</v>
      </c>
    </row>
    <row r="2697" spans="4:12" s="348" customFormat="1" ht="12.75" hidden="1" customHeight="1" outlineLevel="2" x14ac:dyDescent="0.2">
      <c r="D2697" s="785" t="str">
        <f>Price_List_BA!D293</f>
        <v>Lidocaine: 2% with adrenalin 1:80000 (TZ)</v>
      </c>
      <c r="E2697" s="786"/>
      <c r="F2697" s="786"/>
      <c r="G2697" s="786"/>
      <c r="J2697" s="668" t="str">
        <f>Price_List_BA!J293</f>
        <v>centilitre</v>
      </c>
      <c r="L2697" s="127">
        <f>Price_List_BA!L293</f>
        <v>0.13750000000000001</v>
      </c>
    </row>
    <row r="2698" spans="4:12" s="348" customFormat="1" ht="12.75" hidden="1" customHeight="1" outlineLevel="2" x14ac:dyDescent="0.2">
      <c r="D2698" s="785" t="str">
        <f>Price_List_BA!D294</f>
        <v>Liquid soap (UG)</v>
      </c>
      <c r="E2698" s="786"/>
      <c r="F2698" s="786"/>
      <c r="G2698" s="786"/>
      <c r="J2698" s="668" t="str">
        <f>Price_List_BA!J294</f>
        <v>mililiter</v>
      </c>
      <c r="L2698" s="127">
        <f>Price_List_BA!L294</f>
        <v>5.4194295705387399E-4</v>
      </c>
    </row>
    <row r="2699" spans="4:12" s="348" customFormat="1" ht="12.75" hidden="1" customHeight="1" outlineLevel="2" x14ac:dyDescent="0.2">
      <c r="D2699" s="785" t="str">
        <f>Price_List_BA!D295</f>
        <v>Lugol's iodine (UG)</v>
      </c>
      <c r="E2699" s="786"/>
      <c r="F2699" s="786"/>
      <c r="G2699" s="786"/>
      <c r="J2699" s="668" t="str">
        <f>Price_List_BA!J295</f>
        <v>mililiter</v>
      </c>
      <c r="L2699" s="127">
        <f>Price_List_BA!L295</f>
        <v>1.2621571412960299E-2</v>
      </c>
    </row>
    <row r="2700" spans="4:12" s="348" customFormat="1" ht="12.75" hidden="1" customHeight="1" outlineLevel="2" x14ac:dyDescent="0.2">
      <c r="D2700" s="785" t="str">
        <f>Price_List_BA!D296</f>
        <v>Mannitol (ZM)</v>
      </c>
      <c r="E2700" s="786"/>
      <c r="F2700" s="786"/>
      <c r="G2700" s="786"/>
      <c r="J2700" s="668" t="str">
        <f>Price_List_BA!J296</f>
        <v>SU</v>
      </c>
      <c r="L2700" s="127">
        <f>Price_List_BA!L296</f>
        <v>0</v>
      </c>
    </row>
    <row r="2701" spans="4:12" s="348" customFormat="1" ht="12.75" hidden="1" customHeight="1" outlineLevel="2" x14ac:dyDescent="0.2">
      <c r="D2701" s="785" t="str">
        <f>Price_List_BA!D297</f>
        <v>Metronizadol (200mg) (ZM)</v>
      </c>
      <c r="E2701" s="786"/>
      <c r="F2701" s="786"/>
      <c r="G2701" s="786"/>
      <c r="J2701" s="668" t="str">
        <f>Price_List_BA!J297</f>
        <v>tablet</v>
      </c>
      <c r="L2701" s="127">
        <f>Price_List_BA!L297</f>
        <v>3.7859E-3</v>
      </c>
    </row>
    <row r="2702" spans="4:12" s="348" customFormat="1" ht="12.75" hidden="1" customHeight="1" outlineLevel="2" x14ac:dyDescent="0.2">
      <c r="D2702" s="785" t="str">
        <f>Price_List_BA!D298</f>
        <v>Metronizadol (200mg) (UG)</v>
      </c>
      <c r="E2702" s="786"/>
      <c r="F2702" s="786"/>
      <c r="G2702" s="786"/>
      <c r="J2702" s="668" t="str">
        <f>Price_List_BA!J298</f>
        <v>tablet</v>
      </c>
      <c r="L2702" s="127">
        <f>Price_List_BA!L298</f>
        <v>3.9235056278002405E-3</v>
      </c>
    </row>
    <row r="2703" spans="4:12" s="348" customFormat="1" ht="12.75" hidden="1" customHeight="1" outlineLevel="2" x14ac:dyDescent="0.2">
      <c r="D2703" s="785" t="str">
        <f>Price_List_BA!D299</f>
        <v>Metronizadol (400mg) (UG)</v>
      </c>
      <c r="E2703" s="786"/>
      <c r="F2703" s="786"/>
      <c r="G2703" s="786"/>
      <c r="J2703" s="668" t="str">
        <f>Price_List_BA!J299</f>
        <v>tablet</v>
      </c>
      <c r="L2703" s="127">
        <f>Price_List_BA!L299</f>
        <v>7.847011255600481E-3</v>
      </c>
    </row>
    <row r="2704" spans="4:12" s="348" customFormat="1" ht="12.75" hidden="1" customHeight="1" outlineLevel="2" x14ac:dyDescent="0.2">
      <c r="D2704" s="785" t="str">
        <f>Price_List_BA!D300</f>
        <v>Mictomycin  C (10mg) (TZ)</v>
      </c>
      <c r="E2704" s="786"/>
      <c r="F2704" s="786"/>
      <c r="G2704" s="786"/>
      <c r="J2704" s="668" t="str">
        <f>Price_List_BA!J300</f>
        <v>10mg</v>
      </c>
      <c r="L2704" s="127">
        <f>Price_List_BA!L300</f>
        <v>18.75</v>
      </c>
    </row>
    <row r="2705" spans="4:12" s="348" customFormat="1" ht="12.75" hidden="1" customHeight="1" outlineLevel="2" x14ac:dyDescent="0.2">
      <c r="D2705" s="785" t="str">
        <f>Price_List_BA!D301</f>
        <v>Mitomycin  C (10mg) (ZM)</v>
      </c>
      <c r="E2705" s="786"/>
      <c r="F2705" s="786"/>
      <c r="G2705" s="786"/>
      <c r="J2705" s="668" t="str">
        <f>Price_List_BA!J301</f>
        <v>vial</v>
      </c>
      <c r="L2705" s="127">
        <f>Price_List_BA!L301</f>
        <v>27.5</v>
      </c>
    </row>
    <row r="2706" spans="4:12" s="348" customFormat="1" ht="12.75" hidden="1" customHeight="1" outlineLevel="2" x14ac:dyDescent="0.2">
      <c r="D2706" s="785" t="str">
        <f>Price_List_BA!D302</f>
        <v>Monsel's solution (UG)</v>
      </c>
      <c r="E2706" s="786"/>
      <c r="F2706" s="786"/>
      <c r="G2706" s="786"/>
      <c r="J2706" s="668" t="str">
        <f>Price_List_BA!J302</f>
        <v>mililiter</v>
      </c>
      <c r="L2706" s="127">
        <f>Price_List_BA!L302</f>
        <v>0.41111111111111109</v>
      </c>
    </row>
    <row r="2707" spans="4:12" s="348" customFormat="1" ht="12.75" hidden="1" customHeight="1" outlineLevel="2" x14ac:dyDescent="0.2">
      <c r="D2707" s="785" t="str">
        <f>Price_List_BA!D303</f>
        <v>Monsel's solution (ZM)</v>
      </c>
      <c r="E2707" s="786"/>
      <c r="F2707" s="786"/>
      <c r="G2707" s="786"/>
      <c r="J2707" s="668" t="str">
        <f>Price_List_BA!J303</f>
        <v>application</v>
      </c>
      <c r="L2707" s="127">
        <f>Price_List_BA!L303</f>
        <v>10.126666666666667</v>
      </c>
    </row>
    <row r="2708" spans="4:12" s="348" customFormat="1" ht="12.75" hidden="1" customHeight="1" outlineLevel="2" x14ac:dyDescent="0.2">
      <c r="D2708" s="785" t="str">
        <f>Price_List_BA!D304</f>
        <v>Morphine (10mg) (ZM)</v>
      </c>
      <c r="E2708" s="786"/>
      <c r="F2708" s="786"/>
      <c r="G2708" s="786"/>
      <c r="J2708" s="668" t="str">
        <f>Price_List_BA!J304</f>
        <v>tablet</v>
      </c>
      <c r="L2708" s="127">
        <f>Price_List_BA!L304</f>
        <v>0.22666666666666666</v>
      </c>
    </row>
    <row r="2709" spans="4:12" s="348" customFormat="1" ht="12.75" hidden="1" customHeight="1" outlineLevel="2" x14ac:dyDescent="0.2">
      <c r="D2709" s="785" t="str">
        <f>Price_List_BA!D305</f>
        <v>Morphine (10mg) (TZ)</v>
      </c>
      <c r="E2709" s="786"/>
      <c r="F2709" s="786"/>
      <c r="G2709" s="786"/>
      <c r="J2709" s="668" t="str">
        <f>Price_List_BA!J305</f>
        <v>10mg</v>
      </c>
      <c r="L2709" s="127">
        <f>Price_List_BA!L305</f>
        <v>3.5625</v>
      </c>
    </row>
    <row r="2710" spans="4:12" s="348" customFormat="1" ht="12.75" hidden="1" customHeight="1" outlineLevel="2" x14ac:dyDescent="0.2">
      <c r="D2710" s="785" t="str">
        <f>Price_List_BA!D306</f>
        <v>Mutton Cloth (ZM)</v>
      </c>
      <c r="E2710" s="786"/>
      <c r="F2710" s="786"/>
      <c r="G2710" s="786"/>
      <c r="J2710" s="668" t="str">
        <f>Price_List_BA!J306</f>
        <v>metre</v>
      </c>
      <c r="L2710" s="127">
        <f>Price_List_BA!L306</f>
        <v>6.5000000000000002E-2</v>
      </c>
    </row>
    <row r="2711" spans="4:12" s="348" customFormat="1" ht="12.75" hidden="1" customHeight="1" outlineLevel="2" x14ac:dyDescent="0.2">
      <c r="D2711" s="785" t="str">
        <f>Price_List_BA!D307</f>
        <v>Needle – 18 or 20 gauge (TZ)</v>
      </c>
      <c r="E2711" s="786"/>
      <c r="F2711" s="786"/>
      <c r="G2711" s="786"/>
      <c r="J2711" s="668" t="str">
        <f>Price_List_BA!J307</f>
        <v>one piece</v>
      </c>
      <c r="L2711" s="127">
        <f>Price_List_BA!L307</f>
        <v>8.8541666666666671E-2</v>
      </c>
    </row>
    <row r="2712" spans="4:12" s="348" customFormat="1" ht="12.75" hidden="1" customHeight="1" outlineLevel="2" x14ac:dyDescent="0.2">
      <c r="D2712" s="785" t="str">
        <f>Price_List_BA!D308</f>
        <v>Needle - Spinal 22G (disposable) (ZM)</v>
      </c>
      <c r="E2712" s="786"/>
      <c r="F2712" s="786"/>
      <c r="G2712" s="786"/>
      <c r="J2712" s="668" t="str">
        <f>Price_List_BA!J308</f>
        <v>needle</v>
      </c>
      <c r="L2712" s="127">
        <f>Price_List_BA!L308</f>
        <v>1.240208</v>
      </c>
    </row>
    <row r="2713" spans="4:12" s="348" customFormat="1" ht="12.75" hidden="1" customHeight="1" outlineLevel="2" x14ac:dyDescent="0.2">
      <c r="D2713" s="785" t="str">
        <f>Price_List_BA!D309</f>
        <v>Needle - Spinal 22G (disposable) (TZ)</v>
      </c>
      <c r="E2713" s="786"/>
      <c r="F2713" s="786"/>
      <c r="G2713" s="786"/>
      <c r="J2713" s="668" t="str">
        <f>Price_List_BA!J309</f>
        <v>one piece</v>
      </c>
      <c r="L2713" s="127">
        <f>Price_List_BA!L309</f>
        <v>0.91249999999999998</v>
      </c>
    </row>
    <row r="2714" spans="4:12" s="348" customFormat="1" ht="12.75" hidden="1" customHeight="1" outlineLevel="2" x14ac:dyDescent="0.2">
      <c r="D2714" s="785" t="str">
        <f>Price_List_BA!D310</f>
        <v>Needles - Dental 27G Long (ZM)</v>
      </c>
      <c r="E2714" s="786"/>
      <c r="F2714" s="786"/>
      <c r="G2714" s="786"/>
      <c r="J2714" s="668" t="str">
        <f>Price_List_BA!J310</f>
        <v>needle</v>
      </c>
      <c r="L2714" s="127">
        <f>Price_List_BA!L310</f>
        <v>0.30909999999999999</v>
      </c>
    </row>
    <row r="2715" spans="4:12" s="348" customFormat="1" ht="12.75" hidden="1" customHeight="1" outlineLevel="2" x14ac:dyDescent="0.2">
      <c r="D2715" s="785" t="str">
        <f>Price_List_BA!D311</f>
        <v>Neostymine (ZM)</v>
      </c>
      <c r="E2715" s="786"/>
      <c r="F2715" s="786"/>
      <c r="G2715" s="786"/>
      <c r="J2715" s="668" t="str">
        <f>Price_List_BA!J311</f>
        <v>SU</v>
      </c>
      <c r="L2715" s="127">
        <f>Price_List_BA!L311</f>
        <v>0</v>
      </c>
    </row>
    <row r="2716" spans="4:12" s="348" customFormat="1" ht="12.75" hidden="1" customHeight="1" outlineLevel="2" x14ac:dyDescent="0.2">
      <c r="D2716" s="785" t="str">
        <f>Price_List_BA!D312</f>
        <v>Normal saline (UG)</v>
      </c>
      <c r="E2716" s="786"/>
      <c r="F2716" s="786"/>
      <c r="G2716" s="786"/>
      <c r="J2716" s="668" t="str">
        <f>Price_List_BA!J312</f>
        <v>mililiter</v>
      </c>
      <c r="L2716" s="127">
        <f>Price_List_BA!L312</f>
        <v>8.4106217899683098E-4</v>
      </c>
    </row>
    <row r="2717" spans="4:12" s="348" customFormat="1" ht="12.75" hidden="1" customHeight="1" outlineLevel="2" x14ac:dyDescent="0.2">
      <c r="D2717" s="785" t="str">
        <f>Price_List_BA!D313</f>
        <v>Normal saline (ZM)</v>
      </c>
      <c r="E2717" s="786"/>
      <c r="F2717" s="786"/>
      <c r="G2717" s="786"/>
      <c r="J2717" s="668" t="str">
        <f>Price_List_BA!J313</f>
        <v>1 litre</v>
      </c>
      <c r="L2717" s="127">
        <f>Price_List_BA!L313</f>
        <v>0</v>
      </c>
    </row>
    <row r="2718" spans="4:12" s="348" customFormat="1" ht="12.75" hidden="1" customHeight="1" outlineLevel="2" x14ac:dyDescent="0.2">
      <c r="D2718" s="785" t="str">
        <f>Price_List_BA!D314</f>
        <v>Nystain (200mg) (UG)</v>
      </c>
      <c r="E2718" s="786"/>
      <c r="F2718" s="786"/>
      <c r="G2718" s="786"/>
      <c r="J2718" s="668" t="str">
        <f>Price_List_BA!J314</f>
        <v>tablet</v>
      </c>
      <c r="L2718" s="127">
        <f>Price_List_BA!L314</f>
        <v>2.9588372855425638E-2</v>
      </c>
    </row>
    <row r="2719" spans="4:12" s="348" customFormat="1" ht="12.75" hidden="1" customHeight="1" outlineLevel="2" x14ac:dyDescent="0.2">
      <c r="D2719" s="785" t="str">
        <f>Price_List_BA!D315</f>
        <v>Ondansetron (IV) 4mg vials</v>
      </c>
      <c r="E2719" s="786"/>
      <c r="F2719" s="786"/>
      <c r="G2719" s="786"/>
      <c r="J2719" s="668" t="str">
        <f>Price_List_BA!J315</f>
        <v>SU</v>
      </c>
      <c r="L2719" s="127">
        <f>Price_List_BA!L315</f>
        <v>0</v>
      </c>
    </row>
    <row r="2720" spans="4:12" s="348" customFormat="1" hidden="1" outlineLevel="2" x14ac:dyDescent="0.2">
      <c r="D2720" s="785" t="str">
        <f>Price_List_BA!D316</f>
        <v>Ondasetron (oral) (4mg tablets)</v>
      </c>
      <c r="E2720" s="786"/>
      <c r="F2720" s="786"/>
      <c r="G2720" s="786"/>
      <c r="J2720" s="668" t="str">
        <f>Price_List_BA!J316</f>
        <v>tablet</v>
      </c>
      <c r="L2720" s="127">
        <f>Price_List_BA!L316</f>
        <v>9</v>
      </c>
    </row>
    <row r="2721" spans="4:12" s="348" customFormat="1" ht="12.75" hidden="1" customHeight="1" outlineLevel="2" x14ac:dyDescent="0.2">
      <c r="D2721" s="785" t="str">
        <f>Price_List_BA!D317</f>
        <v>Opiods - Pethidine (ZM)</v>
      </c>
      <c r="E2721" s="786"/>
      <c r="F2721" s="786"/>
      <c r="G2721" s="786"/>
      <c r="J2721" s="668" t="str">
        <f>Price_List_BA!J317</f>
        <v>SU</v>
      </c>
      <c r="L2721" s="127">
        <f>Price_List_BA!L317</f>
        <v>0</v>
      </c>
    </row>
    <row r="2722" spans="4:12" s="348" customFormat="1" ht="12.75" hidden="1" customHeight="1" outlineLevel="2" x14ac:dyDescent="0.2">
      <c r="D2722" s="785" t="str">
        <f>Price_List_BA!D318</f>
        <v>Supplies Category 109</v>
      </c>
      <c r="E2722" s="786"/>
      <c r="F2722" s="786"/>
      <c r="G2722" s="786"/>
      <c r="J2722" s="668" t="str">
        <f>Price_List_BA!J318</f>
        <v>SU</v>
      </c>
      <c r="L2722" s="127">
        <f>Price_List_BA!L318</f>
        <v>0</v>
      </c>
    </row>
    <row r="2723" spans="4:12" s="348" customFormat="1" ht="12.75" hidden="1" customHeight="1" outlineLevel="2" x14ac:dyDescent="0.2">
      <c r="D2723" s="785" t="str">
        <f>Price_List_BA!D319</f>
        <v>Oralpharyngeal airway (ZM)</v>
      </c>
      <c r="E2723" s="786"/>
      <c r="F2723" s="786"/>
      <c r="G2723" s="786"/>
      <c r="J2723" s="668" t="str">
        <f>Price_List_BA!J319</f>
        <v>SU</v>
      </c>
      <c r="L2723" s="127">
        <f>Price_List_BA!L319</f>
        <v>0</v>
      </c>
    </row>
    <row r="2724" spans="4:12" s="348" customFormat="1" ht="12.75" hidden="1" customHeight="1" outlineLevel="2" x14ac:dyDescent="0.2">
      <c r="D2724" s="785" t="str">
        <f>Price_List_BA!D320</f>
        <v>Oxygen Mask (ZM)</v>
      </c>
      <c r="E2724" s="786"/>
      <c r="F2724" s="786"/>
      <c r="G2724" s="786"/>
      <c r="J2724" s="668" t="str">
        <f>Price_List_BA!J320</f>
        <v>SU</v>
      </c>
      <c r="L2724" s="127">
        <f>Price_List_BA!L320</f>
        <v>0</v>
      </c>
    </row>
    <row r="2725" spans="4:12" s="348" customFormat="1" ht="12.75" hidden="1" customHeight="1" outlineLevel="2" x14ac:dyDescent="0.2">
      <c r="D2725" s="785" t="str">
        <f>Price_List_BA!D321</f>
        <v>Pancuronuien (ZM)</v>
      </c>
      <c r="E2725" s="786"/>
      <c r="F2725" s="786"/>
      <c r="G2725" s="786"/>
      <c r="J2725" s="668" t="str">
        <f>Price_List_BA!J321</f>
        <v>SU</v>
      </c>
      <c r="L2725" s="127">
        <f>Price_List_BA!L321</f>
        <v>0</v>
      </c>
    </row>
    <row r="2726" spans="4:12" s="348" customFormat="1" ht="12.75" hidden="1" customHeight="1" outlineLevel="2" x14ac:dyDescent="0.2">
      <c r="D2726" s="785" t="str">
        <f>Price_List_BA!D322</f>
        <v>Paracetamol (1g) (UG)</v>
      </c>
      <c r="E2726" s="786"/>
      <c r="F2726" s="786"/>
      <c r="G2726" s="786"/>
      <c r="J2726" s="668" t="str">
        <f>Price_List_BA!J322</f>
        <v>tablet</v>
      </c>
      <c r="L2726" s="127">
        <f>Price_List_BA!L322</f>
        <v>1.1203409463446619E-2</v>
      </c>
    </row>
    <row r="2727" spans="4:12" s="348" customFormat="1" ht="12.75" hidden="1" customHeight="1" outlineLevel="2" x14ac:dyDescent="0.2">
      <c r="D2727" s="785" t="str">
        <f>Price_List_BA!D323</f>
        <v>Paracetamol (500mg) (ZM)</v>
      </c>
      <c r="E2727" s="786"/>
      <c r="F2727" s="786"/>
      <c r="G2727" s="786"/>
      <c r="J2727" s="668" t="str">
        <f>Price_List_BA!J323</f>
        <v>tablet</v>
      </c>
      <c r="L2727" s="127">
        <f>Price_List_BA!L323</f>
        <v>2.0888E-3</v>
      </c>
    </row>
    <row r="2728" spans="4:12" s="348" customFormat="1" ht="12.95" hidden="1" customHeight="1" outlineLevel="2" x14ac:dyDescent="0.2">
      <c r="D2728" s="785" t="str">
        <f>Price_List_BA!D324</f>
        <v>Paracetamol (500mg) (TZ)</v>
      </c>
      <c r="E2728" s="786"/>
      <c r="F2728" s="786"/>
      <c r="G2728" s="786"/>
      <c r="J2728" s="668" t="str">
        <f>Price_List_BA!J324</f>
        <v>one tablet</v>
      </c>
      <c r="L2728" s="127">
        <f>Price_List_BA!L324</f>
        <v>4.5624999999999997E-3</v>
      </c>
    </row>
    <row r="2729" spans="4:12" s="348" customFormat="1" ht="12.95" hidden="1" customHeight="1" outlineLevel="2" x14ac:dyDescent="0.2">
      <c r="D2729" s="785" t="str">
        <f>Price_List_BA!D325</f>
        <v>Paracetamol (500mg) (UG)</v>
      </c>
      <c r="E2729" s="786"/>
      <c r="F2729" s="786"/>
      <c r="G2729" s="786"/>
      <c r="J2729" s="668" t="str">
        <f>Price_List_BA!J325</f>
        <v>tablet</v>
      </c>
      <c r="L2729" s="127">
        <f>Price_List_BA!L325</f>
        <v>5.6017047317233094E-3</v>
      </c>
    </row>
    <row r="2730" spans="4:12" s="348" customFormat="1" ht="12.95" hidden="1" customHeight="1" outlineLevel="2" x14ac:dyDescent="0.2">
      <c r="D2730" s="785" t="str">
        <f>Price_List_BA!D326</f>
        <v>Pathology form (TZ)</v>
      </c>
      <c r="E2730" s="786"/>
      <c r="F2730" s="786"/>
      <c r="G2730" s="786"/>
      <c r="J2730" s="668">
        <f>Price_List_BA!J326</f>
        <v>1</v>
      </c>
      <c r="L2730" s="127">
        <f>Price_List_BA!L326</f>
        <v>0.31</v>
      </c>
    </row>
    <row r="2731" spans="4:12" s="348" customFormat="1" ht="12.95" hidden="1" customHeight="1" outlineLevel="2" x14ac:dyDescent="0.2">
      <c r="D2731" s="785" t="str">
        <f>Price_List_BA!D327</f>
        <v>Patient card (TZ)</v>
      </c>
      <c r="E2731" s="786"/>
      <c r="F2731" s="786"/>
      <c r="G2731" s="786"/>
      <c r="J2731" s="668" t="str">
        <f>Price_List_BA!J327</f>
        <v>card</v>
      </c>
      <c r="L2731" s="127">
        <f>Price_List_BA!L327</f>
        <v>0.625</v>
      </c>
    </row>
    <row r="2732" spans="4:12" s="348" customFormat="1" ht="12.95" hidden="1" customHeight="1" outlineLevel="2" x14ac:dyDescent="0.2">
      <c r="D2732" s="785" t="str">
        <f>Price_List_BA!D328</f>
        <v>Pencil (TZ)</v>
      </c>
      <c r="E2732" s="786"/>
      <c r="F2732" s="786"/>
      <c r="G2732" s="786"/>
      <c r="J2732" s="668" t="str">
        <f>Price_List_BA!J328</f>
        <v>each</v>
      </c>
      <c r="L2732" s="127">
        <f>Price_List_BA!L328</f>
        <v>0.1875</v>
      </c>
    </row>
    <row r="2733" spans="4:12" s="348" customFormat="1" ht="12.95" hidden="1" customHeight="1" outlineLevel="2" x14ac:dyDescent="0.2">
      <c r="D2733" s="785" t="str">
        <f>Price_List_BA!D329</f>
        <v>Perthodine (TZ)</v>
      </c>
      <c r="E2733" s="786"/>
      <c r="F2733" s="786"/>
      <c r="G2733" s="786"/>
      <c r="J2733" s="668" t="str">
        <f>Price_List_BA!J329</f>
        <v>100ml vial</v>
      </c>
      <c r="L2733" s="127">
        <f>Price_List_BA!L329</f>
        <v>0.5625</v>
      </c>
    </row>
    <row r="2734" spans="4:12" s="348" customFormat="1" ht="12.95" hidden="1" customHeight="1" outlineLevel="2" x14ac:dyDescent="0.2">
      <c r="D2734" s="785" t="str">
        <f>Price_List_BA!D330</f>
        <v>Pipette Tips (TZ)</v>
      </c>
      <c r="E2734" s="786"/>
      <c r="F2734" s="786"/>
      <c r="G2734" s="786"/>
      <c r="J2734" s="668">
        <f>Price_List_BA!J330</f>
        <v>1</v>
      </c>
      <c r="L2734" s="127">
        <f>Price_List_BA!L330</f>
        <v>9.3749999999999997E-3</v>
      </c>
    </row>
    <row r="2735" spans="4:12" s="348" customFormat="1" ht="12.75" hidden="1" customHeight="1" outlineLevel="2" x14ac:dyDescent="0.2">
      <c r="D2735" s="785" t="str">
        <f>Price_List_BA!D331</f>
        <v>Pipette, Fixed, 50 microlitre (TZ)</v>
      </c>
      <c r="E2735" s="786"/>
      <c r="F2735" s="786"/>
      <c r="G2735" s="786"/>
      <c r="J2735" s="668" t="str">
        <f>Price_List_BA!J331</f>
        <v>1 use</v>
      </c>
      <c r="L2735" s="127">
        <f>Price_List_BA!L331</f>
        <v>7.4999999999999997E-2</v>
      </c>
    </row>
    <row r="2736" spans="4:12" s="348" customFormat="1" ht="12.75" hidden="1" customHeight="1" outlineLevel="2" x14ac:dyDescent="0.2">
      <c r="D2736" s="785" t="str">
        <f>Price_List_BA!D332</f>
        <v>Pipette, Repeater (TZ)</v>
      </c>
      <c r="E2736" s="786"/>
      <c r="F2736" s="786"/>
      <c r="G2736" s="786"/>
      <c r="J2736" s="668" t="str">
        <f>Price_List_BA!J332</f>
        <v>1 use</v>
      </c>
      <c r="L2736" s="127">
        <f>Price_List_BA!L332</f>
        <v>6.2500000000000003E-3</v>
      </c>
    </row>
    <row r="2737" spans="4:12" s="348" customFormat="1" ht="12.75" hidden="1" customHeight="1" outlineLevel="2" x14ac:dyDescent="0.2">
      <c r="D2737" s="785" t="str">
        <f>Price_List_BA!D333</f>
        <v>Pregnancy test– urine test strip (ZM)</v>
      </c>
      <c r="E2737" s="786"/>
      <c r="F2737" s="786"/>
      <c r="G2737" s="786"/>
      <c r="J2737" s="668" t="str">
        <f>Price_List_BA!J333</f>
        <v>test</v>
      </c>
      <c r="L2737" s="127">
        <f>Price_List_BA!L333</f>
        <v>0.14374900000000002</v>
      </c>
    </row>
    <row r="2738" spans="4:12" s="348" customFormat="1" ht="12.75" hidden="1" customHeight="1" outlineLevel="2" x14ac:dyDescent="0.2">
      <c r="D2738" s="785" t="str">
        <f>Price_List_BA!D334</f>
        <v>Pregnancy tests – urine test strips (TZ)</v>
      </c>
      <c r="E2738" s="786"/>
      <c r="F2738" s="786"/>
      <c r="G2738" s="786"/>
      <c r="J2738" s="668" t="str">
        <f>Price_List_BA!J334</f>
        <v>one strip</v>
      </c>
      <c r="L2738" s="127">
        <f>Price_List_BA!L334</f>
        <v>0.15</v>
      </c>
    </row>
    <row r="2739" spans="4:12" s="348" customFormat="1" ht="12.75" hidden="1" customHeight="1" outlineLevel="2" x14ac:dyDescent="0.2">
      <c r="D2739" s="785" t="str">
        <f>Price_List_BA!D335</f>
        <v>Profol, 2%, 20 mg/l, 50ml (ZM)</v>
      </c>
      <c r="E2739" s="786"/>
      <c r="F2739" s="786"/>
      <c r="G2739" s="786"/>
      <c r="J2739" s="668" t="str">
        <f>Price_List_BA!J335</f>
        <v>SU</v>
      </c>
      <c r="L2739" s="127">
        <f>Price_List_BA!L335</f>
        <v>0</v>
      </c>
    </row>
    <row r="2740" spans="4:12" s="348" customFormat="1" ht="12.75" hidden="1" customHeight="1" outlineLevel="2" x14ac:dyDescent="0.2">
      <c r="D2740" s="785" t="str">
        <f>Price_List_BA!D336</f>
        <v>Repeater Tips (TZ)</v>
      </c>
      <c r="E2740" s="786"/>
      <c r="F2740" s="786"/>
      <c r="G2740" s="786"/>
      <c r="J2740" s="668">
        <f>Price_List_BA!J336</f>
        <v>1</v>
      </c>
      <c r="L2740" s="127">
        <f>Price_List_BA!L336</f>
        <v>9.3749999999999997E-3</v>
      </c>
    </row>
    <row r="2741" spans="4:12" s="348" customFormat="1" ht="12.75" hidden="1" customHeight="1" outlineLevel="2" x14ac:dyDescent="0.2">
      <c r="D2741" s="785" t="str">
        <f>Price_List_BA!D337</f>
        <v>Return electrode (UG)</v>
      </c>
      <c r="E2741" s="786"/>
      <c r="F2741" s="786"/>
      <c r="G2741" s="786"/>
      <c r="J2741" s="668" t="str">
        <f>Price_List_BA!J337</f>
        <v>piece</v>
      </c>
      <c r="L2741" s="127">
        <f>Price_List_BA!L337</f>
        <v>9</v>
      </c>
    </row>
    <row r="2742" spans="4:12" s="348" customFormat="1" ht="12.75" hidden="1" customHeight="1" outlineLevel="2" x14ac:dyDescent="0.2">
      <c r="D2742" s="785" t="str">
        <f>Price_List_BA!D338</f>
        <v>Saline solution, normal (ZM)</v>
      </c>
      <c r="E2742" s="786"/>
      <c r="F2742" s="786"/>
      <c r="G2742" s="786"/>
      <c r="J2742" s="668" t="str">
        <f>Price_List_BA!J338</f>
        <v>bag</v>
      </c>
      <c r="L2742" s="127">
        <f>Price_List_BA!L338</f>
        <v>0.8224583333333334</v>
      </c>
    </row>
    <row r="2743" spans="4:12" s="348" customFormat="1" ht="12.75" hidden="1" customHeight="1" outlineLevel="2" x14ac:dyDescent="0.2">
      <c r="D2743" s="785" t="str">
        <f>Price_List_BA!D339</f>
        <v>Saline solution, normal (TZ)</v>
      </c>
      <c r="E2743" s="786"/>
      <c r="F2743" s="786"/>
      <c r="G2743" s="786"/>
      <c r="J2743" s="668" t="str">
        <f>Price_List_BA!J339</f>
        <v>mililiter</v>
      </c>
      <c r="L2743" s="127">
        <f>Price_List_BA!L339</f>
        <v>1.8749999999999999E-3</v>
      </c>
    </row>
    <row r="2744" spans="4:12" s="348" customFormat="1" ht="12.75" hidden="1" customHeight="1" outlineLevel="2" x14ac:dyDescent="0.2">
      <c r="D2744" s="785" t="str">
        <f>Price_List_BA!D340</f>
        <v>Sanitary pad (ZM)</v>
      </c>
      <c r="E2744" s="786"/>
      <c r="F2744" s="786"/>
      <c r="G2744" s="786"/>
      <c r="J2744" s="668" t="str">
        <f>Price_List_BA!J340</f>
        <v>pad</v>
      </c>
      <c r="L2744" s="127">
        <f>Price_List_BA!L340</f>
        <v>0.191</v>
      </c>
    </row>
    <row r="2745" spans="4:12" s="348" customFormat="1" ht="12.75" hidden="1" customHeight="1" outlineLevel="2" x14ac:dyDescent="0.2">
      <c r="D2745" s="785" t="str">
        <f>Price_List_BA!D341</f>
        <v>Sanitary pad (UG)</v>
      </c>
      <c r="E2745" s="786"/>
      <c r="F2745" s="786"/>
      <c r="G2745" s="786"/>
      <c r="J2745" s="668" t="str">
        <f>Price_List_BA!J341</f>
        <v>piece</v>
      </c>
      <c r="L2745" s="127">
        <f>Price_List_BA!L341</f>
        <v>1.3890406634369043E-2</v>
      </c>
    </row>
    <row r="2746" spans="4:12" s="348" customFormat="1" ht="12.75" hidden="1" customHeight="1" outlineLevel="2" x14ac:dyDescent="0.2">
      <c r="D2746" s="785" t="str">
        <f>Price_List_BA!D342</f>
        <v>Scouring Powder (Ajax)</v>
      </c>
      <c r="E2746" s="786"/>
      <c r="F2746" s="786"/>
      <c r="G2746" s="786"/>
      <c r="J2746" s="668" t="str">
        <f>Price_List_BA!J342</f>
        <v>1 gram</v>
      </c>
      <c r="L2746" s="127">
        <f>Price_List_BA!L342</f>
        <v>2.6199999999999999E-3</v>
      </c>
    </row>
    <row r="2747" spans="4:12" s="348" customFormat="1" ht="12.75" hidden="1" customHeight="1" outlineLevel="2" x14ac:dyDescent="0.2">
      <c r="D2747" s="785" t="str">
        <f>Price_List_BA!D343</f>
        <v>Soap (or hand sanitizer) (ZM)</v>
      </c>
      <c r="E2747" s="786"/>
      <c r="F2747" s="786"/>
      <c r="G2747" s="786"/>
      <c r="J2747" s="668" t="str">
        <f>Price_List_BA!J343</f>
        <v>uses</v>
      </c>
      <c r="L2747" s="127">
        <f>Price_List_BA!L343</f>
        <v>5.5999999999999999E-3</v>
      </c>
    </row>
    <row r="2748" spans="4:12" s="348" customFormat="1" ht="12.75" hidden="1" customHeight="1" outlineLevel="2" x14ac:dyDescent="0.2">
      <c r="D2748" s="785" t="str">
        <f>Price_List_BA!D344</f>
        <v>Soap (or hand sanitizer) (TZ)</v>
      </c>
      <c r="E2748" s="786"/>
      <c r="F2748" s="786"/>
      <c r="G2748" s="786"/>
      <c r="J2748" s="668" t="str">
        <f>Price_List_BA!J344</f>
        <v>1/25th</v>
      </c>
      <c r="L2748" s="127">
        <f>Price_List_BA!L344</f>
        <v>2.75E-2</v>
      </c>
    </row>
    <row r="2749" spans="4:12" s="348" customFormat="1" ht="12.75" hidden="1" customHeight="1" outlineLevel="2" x14ac:dyDescent="0.2">
      <c r="D2749" s="785" t="str">
        <f>Price_List_BA!D345</f>
        <v>Specimen bottle / recyled syringe bottles (UG)</v>
      </c>
      <c r="E2749" s="786"/>
      <c r="F2749" s="786"/>
      <c r="G2749" s="786"/>
      <c r="J2749" s="668" t="str">
        <f>Price_List_BA!J345</f>
        <v>piece</v>
      </c>
      <c r="L2749" s="127">
        <f>Price_List_BA!L345</f>
        <v>0.32350000000000001</v>
      </c>
    </row>
    <row r="2750" spans="4:12" s="348" customFormat="1" ht="12.75" hidden="1" customHeight="1" outlineLevel="2" x14ac:dyDescent="0.2">
      <c r="D2750" s="785" t="str">
        <f>Price_List_BA!D346</f>
        <v>Specimen cup with lid and label - 100 cc (TZ)</v>
      </c>
      <c r="E2750" s="786"/>
      <c r="F2750" s="786"/>
      <c r="G2750" s="786"/>
      <c r="J2750" s="668" t="str">
        <f>Price_List_BA!J346</f>
        <v>cup with lid</v>
      </c>
      <c r="L2750" s="127">
        <f>Price_List_BA!L346</f>
        <v>6.25E-2</v>
      </c>
    </row>
    <row r="2751" spans="4:12" s="348" customFormat="1" ht="12.75" hidden="1" customHeight="1" outlineLevel="2" x14ac:dyDescent="0.2">
      <c r="D2751" s="785" t="str">
        <f>Price_List_BA!D347</f>
        <v>Surgical Apron (ZM)</v>
      </c>
      <c r="E2751" s="786"/>
      <c r="F2751" s="786"/>
      <c r="G2751" s="786"/>
      <c r="J2751" s="668" t="str">
        <f>Price_List_BA!J347</f>
        <v>apron</v>
      </c>
      <c r="L2751" s="127">
        <f>Price_List_BA!L347</f>
        <v>0.10705000000000001</v>
      </c>
    </row>
    <row r="2752" spans="4:12" s="348" customFormat="1" ht="12.75" hidden="1" customHeight="1" outlineLevel="2" x14ac:dyDescent="0.2">
      <c r="D2752" s="785" t="str">
        <f>Price_List_BA!D348</f>
        <v>Suxamethonium (ZM)</v>
      </c>
      <c r="E2752" s="786"/>
      <c r="F2752" s="786"/>
      <c r="G2752" s="786"/>
      <c r="J2752" s="668" t="str">
        <f>Price_List_BA!J348</f>
        <v>SU</v>
      </c>
      <c r="L2752" s="127">
        <f>Price_List_BA!L348</f>
        <v>0</v>
      </c>
    </row>
    <row r="2753" spans="4:12" s="348" customFormat="1" ht="12.75" hidden="1" customHeight="1" outlineLevel="2" x14ac:dyDescent="0.2">
      <c r="D2753" s="785" t="str">
        <f>Price_List_BA!D349</f>
        <v>Syringe - 2cc (ZM)</v>
      </c>
      <c r="E2753" s="786"/>
      <c r="F2753" s="786"/>
      <c r="G2753" s="786"/>
      <c r="J2753" s="668" t="str">
        <f>Price_List_BA!J349</f>
        <v>syringe</v>
      </c>
      <c r="L2753" s="127">
        <f>Price_List_BA!L349</f>
        <v>1.9598999999999998E-2</v>
      </c>
    </row>
    <row r="2754" spans="4:12" s="348" customFormat="1" ht="12.75" hidden="1" customHeight="1" outlineLevel="2" x14ac:dyDescent="0.2">
      <c r="D2754" s="785" t="str">
        <f>Price_List_BA!D350</f>
        <v>Syringe - 2ml (UG)</v>
      </c>
      <c r="E2754" s="786"/>
      <c r="F2754" s="786"/>
      <c r="G2754" s="786"/>
      <c r="J2754" s="668" t="str">
        <f>Price_List_BA!J350</f>
        <v>syringe</v>
      </c>
      <c r="L2754" s="127">
        <f>Price_List_BA!L350</f>
        <v>6.4910938695224574E-2</v>
      </c>
    </row>
    <row r="2755" spans="4:12" s="348" customFormat="1" ht="12.75" hidden="1" customHeight="1" outlineLevel="2" x14ac:dyDescent="0.2">
      <c r="D2755" s="785" t="str">
        <f>Price_List_BA!D351</f>
        <v>Syringe, 10 cc with needle (ZM)</v>
      </c>
      <c r="E2755" s="786"/>
      <c r="F2755" s="786"/>
      <c r="G2755" s="786"/>
      <c r="J2755" s="668" t="str">
        <f>Price_List_BA!J351</f>
        <v>syringe w/needle</v>
      </c>
      <c r="L2755" s="127">
        <f>Price_List_BA!L351</f>
        <v>2.4021000000000001E-2</v>
      </c>
    </row>
    <row r="2756" spans="4:12" s="348" customFormat="1" ht="12.75" hidden="1" customHeight="1" outlineLevel="2" x14ac:dyDescent="0.2">
      <c r="D2756" s="785" t="str">
        <f>Price_List_BA!D352</f>
        <v>Syringe, 5 cc with needle (ZM)</v>
      </c>
      <c r="E2756" s="786"/>
      <c r="F2756" s="786"/>
      <c r="G2756" s="786"/>
      <c r="J2756" s="668" t="str">
        <f>Price_List_BA!J352</f>
        <v>syringe w/needle</v>
      </c>
      <c r="L2756" s="127">
        <f>Price_List_BA!L352</f>
        <v>1.4752000000000001E-2</v>
      </c>
    </row>
    <row r="2757" spans="4:12" s="348" customFormat="1" ht="12.75" hidden="1" customHeight="1" outlineLevel="2" x14ac:dyDescent="0.2">
      <c r="D2757" s="785" t="str">
        <f>Price_List_BA!D353</f>
        <v>Syringes, 10 cc with needle (TZ)</v>
      </c>
      <c r="E2757" s="786"/>
      <c r="F2757" s="786"/>
      <c r="G2757" s="786"/>
      <c r="J2757" s="668" t="str">
        <f>Price_List_BA!J353</f>
        <v>one piece</v>
      </c>
      <c r="L2757" s="127">
        <f>Price_List_BA!L353</f>
        <v>6.25E-2</v>
      </c>
    </row>
    <row r="2758" spans="4:12" s="348" customFormat="1" ht="12.75" hidden="1" customHeight="1" outlineLevel="2" x14ac:dyDescent="0.2">
      <c r="D2758" s="785" t="str">
        <f>Price_List_BA!D354</f>
        <v>Syringes, 5 cc with needle (TZ)</v>
      </c>
      <c r="E2758" s="786"/>
      <c r="F2758" s="786"/>
      <c r="G2758" s="786"/>
      <c r="J2758" s="668" t="str">
        <f>Price_List_BA!J354</f>
        <v>1 syringe with needle</v>
      </c>
      <c r="L2758" s="127">
        <f>Price_List_BA!L354</f>
        <v>4.3749999999999997E-2</v>
      </c>
    </row>
    <row r="2759" spans="4:12" s="348" customFormat="1" ht="12.75" hidden="1" customHeight="1" outlineLevel="2" x14ac:dyDescent="0.2">
      <c r="D2759" s="785" t="str">
        <f>Price_List_BA!D355</f>
        <v>Syringes, Dental, 25 gauge (ZM)</v>
      </c>
      <c r="E2759" s="786"/>
      <c r="F2759" s="786"/>
      <c r="G2759" s="786"/>
      <c r="J2759" s="668" t="str">
        <f>Price_List_BA!J355</f>
        <v>one syringe</v>
      </c>
      <c r="L2759" s="127">
        <f>Price_List_BA!L355</f>
        <v>0.48200000000000004</v>
      </c>
    </row>
    <row r="2760" spans="4:12" s="348" customFormat="1" ht="12.75" hidden="1" customHeight="1" outlineLevel="2" x14ac:dyDescent="0.2">
      <c r="D2760" s="785" t="str">
        <f>Price_List_BA!D356</f>
        <v>Thiopentone,500mg vial (ZM)</v>
      </c>
      <c r="E2760" s="786"/>
      <c r="F2760" s="786"/>
      <c r="G2760" s="786"/>
      <c r="J2760" s="668" t="str">
        <f>Price_List_BA!J356</f>
        <v>SU</v>
      </c>
      <c r="L2760" s="127">
        <f>Price_List_BA!L356</f>
        <v>0</v>
      </c>
    </row>
    <row r="2761" spans="4:12" s="348" customFormat="1" ht="12.75" hidden="1" customHeight="1" outlineLevel="2" x14ac:dyDescent="0.2">
      <c r="D2761" s="785" t="str">
        <f>Price_List_BA!D357</f>
        <v>Toilet Tissues (roll) – 500 sheets (ZM)</v>
      </c>
      <c r="E2761" s="786"/>
      <c r="F2761" s="786"/>
      <c r="G2761" s="786"/>
      <c r="J2761" s="668" t="str">
        <f>Price_List_BA!J357</f>
        <v>10 sheets</v>
      </c>
      <c r="L2761" s="127">
        <f>Price_List_BA!L357</f>
        <v>8.4000000000000012E-3</v>
      </c>
    </row>
    <row r="2762" spans="4:12" s="348" customFormat="1" ht="12.75" hidden="1" customHeight="1" outlineLevel="2" x14ac:dyDescent="0.2">
      <c r="D2762" s="785" t="str">
        <f>Price_List_BA!D358</f>
        <v>Tramadol (50mg)  (ZM)</v>
      </c>
      <c r="E2762" s="786"/>
      <c r="F2762" s="786"/>
      <c r="G2762" s="786"/>
      <c r="J2762" s="668" t="str">
        <f>Price_List_BA!J358</f>
        <v>tablet</v>
      </c>
      <c r="L2762" s="127">
        <f>Price_List_BA!L358</f>
        <v>1.0829E-2</v>
      </c>
    </row>
    <row r="2763" spans="4:12" s="348" customFormat="1" ht="12.75" hidden="1" customHeight="1" outlineLevel="2" x14ac:dyDescent="0.2">
      <c r="D2763" s="785" t="str">
        <f>Price_List_BA!D359</f>
        <v>Tramadol (50mg) (TZ)</v>
      </c>
      <c r="E2763" s="786"/>
      <c r="F2763" s="786"/>
      <c r="G2763" s="786"/>
      <c r="J2763" s="668" t="str">
        <f>Price_List_BA!J359</f>
        <v>one tablet</v>
      </c>
      <c r="L2763" s="127">
        <f>Price_List_BA!L359</f>
        <v>5.7750000000000003E-2</v>
      </c>
    </row>
    <row r="2764" spans="4:12" s="348" customFormat="1" ht="12.75" hidden="1" customHeight="1" outlineLevel="2" x14ac:dyDescent="0.2">
      <c r="D2764" s="785" t="str">
        <f>Price_List_BA!D360</f>
        <v>Tubes - Endotrach (ZM)</v>
      </c>
      <c r="E2764" s="786"/>
      <c r="F2764" s="786"/>
      <c r="G2764" s="786"/>
      <c r="J2764" s="668" t="str">
        <f>Price_List_BA!J360</f>
        <v>SU</v>
      </c>
      <c r="L2764" s="127">
        <f>Price_List_BA!L360</f>
        <v>0</v>
      </c>
    </row>
    <row r="2765" spans="4:12" s="348" customFormat="1" ht="12.75" hidden="1" customHeight="1" outlineLevel="2" x14ac:dyDescent="0.2">
      <c r="D2765" s="785" t="str">
        <f>Price_List_BA!D361</f>
        <v>Urine Bag (ZM)</v>
      </c>
      <c r="E2765" s="786"/>
      <c r="F2765" s="786"/>
      <c r="G2765" s="786"/>
      <c r="J2765" s="668" t="str">
        <f>Price_List_BA!J361</f>
        <v>bag</v>
      </c>
      <c r="L2765" s="127">
        <f>Price_List_BA!L361</f>
        <v>0.25979099999999999</v>
      </c>
    </row>
    <row r="2766" spans="4:12" s="348" customFormat="1" ht="12.75" hidden="1" customHeight="1" outlineLevel="2" x14ac:dyDescent="0.2">
      <c r="D2766" s="785" t="str">
        <f>Price_List_BA!D362</f>
        <v>Urine Bag (TZ)</v>
      </c>
      <c r="E2766" s="786"/>
      <c r="F2766" s="786"/>
      <c r="G2766" s="786"/>
      <c r="J2766" s="668" t="str">
        <f>Price_List_BA!J362</f>
        <v>one bag</v>
      </c>
      <c r="L2766" s="127">
        <f>Price_List_BA!L362</f>
        <v>0.21249999999999999</v>
      </c>
    </row>
    <row r="2767" spans="4:12" s="348" customFormat="1" ht="12.75" hidden="1" customHeight="1" outlineLevel="2" x14ac:dyDescent="0.2">
      <c r="D2767" s="785" t="str">
        <f>Price_List_BA!D363</f>
        <v>Washing powder (ZM)</v>
      </c>
      <c r="E2767" s="786"/>
      <c r="F2767" s="786"/>
      <c r="G2767" s="786"/>
      <c r="J2767" s="668" t="str">
        <f>Price_List_BA!J363</f>
        <v>gram</v>
      </c>
      <c r="L2767" s="127">
        <f>Price_List_BA!L363</f>
        <v>3.0000000000000001E-3</v>
      </c>
    </row>
    <row r="2768" spans="4:12" s="348" customFormat="1" ht="12.75" hidden="1" customHeight="1" outlineLevel="2" x14ac:dyDescent="0.2">
      <c r="D2768" s="785" t="str">
        <f>Price_List_BA!D364</f>
        <v>Wire electrode (UG)</v>
      </c>
      <c r="E2768" s="786"/>
      <c r="F2768" s="786"/>
      <c r="G2768" s="786"/>
      <c r="J2768" s="668" t="str">
        <f>Price_List_BA!J364</f>
        <v>electrode</v>
      </c>
      <c r="L2768" s="127">
        <f>Price_List_BA!L364</f>
        <v>9</v>
      </c>
    </row>
    <row r="2769" spans="4:12" s="348" customFormat="1" ht="12.75" hidden="1" customHeight="1" outlineLevel="2" x14ac:dyDescent="0.2">
      <c r="D2769" s="785" t="str">
        <f>Price_List_BA!D365</f>
        <v>Wood stick (ZM)</v>
      </c>
      <c r="E2769" s="786"/>
      <c r="F2769" s="786"/>
      <c r="G2769" s="786"/>
      <c r="J2769" s="668" t="str">
        <f>Price_List_BA!J365</f>
        <v>stick</v>
      </c>
      <c r="L2769" s="127">
        <f>Price_List_BA!L365</f>
        <v>2.0052E-3</v>
      </c>
    </row>
    <row r="2770" spans="4:12" s="348" customFormat="1" ht="12.75" hidden="1" customHeight="1" outlineLevel="2" x14ac:dyDescent="0.2">
      <c r="D2770" s="785" t="str">
        <f>Price_List_BA!D366</f>
        <v>Wood stick (TZ)</v>
      </c>
      <c r="E2770" s="786"/>
      <c r="F2770" s="786"/>
      <c r="G2770" s="786"/>
      <c r="J2770" s="668" t="str">
        <f>Price_List_BA!J366</f>
        <v>one stick</v>
      </c>
      <c r="L2770" s="127">
        <f>Price_List_BA!L366</f>
        <v>1.2500000000000001E-2</v>
      </c>
    </row>
    <row r="2771" spans="4:12" s="348" customFormat="1" ht="12.75" hidden="1" customHeight="1" outlineLevel="2" x14ac:dyDescent="0.2">
      <c r="D2771" s="785" t="str">
        <f>Price_List_BA!D367</f>
        <v>Supplies Category 158</v>
      </c>
      <c r="E2771" s="786"/>
      <c r="F2771" s="786"/>
      <c r="G2771" s="786"/>
      <c r="J2771" s="668" t="str">
        <f>Price_List_BA!J367</f>
        <v>SU</v>
      </c>
      <c r="L2771" s="127">
        <f>Price_List_BA!L367</f>
        <v>0</v>
      </c>
    </row>
    <row r="2772" spans="4:12" s="348" customFormat="1" ht="12.75" hidden="1" customHeight="1" outlineLevel="2" x14ac:dyDescent="0.2">
      <c r="D2772" s="785" t="str">
        <f>Price_List_BA!D368</f>
        <v>Supplies Category 159</v>
      </c>
      <c r="E2772" s="786"/>
      <c r="F2772" s="786"/>
      <c r="G2772" s="786"/>
      <c r="J2772" s="668" t="str">
        <f>Price_List_BA!J368</f>
        <v>SU</v>
      </c>
      <c r="L2772" s="127">
        <f>Price_List_BA!L368</f>
        <v>0</v>
      </c>
    </row>
    <row r="2773" spans="4:12" s="348" customFormat="1" ht="12.75" hidden="1" customHeight="1" outlineLevel="2" x14ac:dyDescent="0.2">
      <c r="D2773" s="785" t="str">
        <f>Price_List_BA!D369</f>
        <v>Supplies Category 160</v>
      </c>
      <c r="E2773" s="786"/>
      <c r="F2773" s="786"/>
      <c r="G2773" s="786"/>
      <c r="J2773" s="668" t="str">
        <f>Price_List_BA!J369</f>
        <v>SU</v>
      </c>
      <c r="L2773" s="127">
        <f>Price_List_BA!L369</f>
        <v>0</v>
      </c>
    </row>
    <row r="2774" spans="4:12" s="348" customFormat="1" ht="12.75" hidden="1" customHeight="1" outlineLevel="2" x14ac:dyDescent="0.2">
      <c r="D2774" s="785" t="str">
        <f>Price_List_BA!D370</f>
        <v>Supplies Category 161</v>
      </c>
      <c r="E2774" s="786"/>
      <c r="F2774" s="786"/>
      <c r="G2774" s="786"/>
      <c r="J2774" s="668" t="str">
        <f>Price_List_BA!J370</f>
        <v>SU</v>
      </c>
      <c r="L2774" s="127">
        <f>Price_List_BA!L370</f>
        <v>0</v>
      </c>
    </row>
    <row r="2775" spans="4:12" s="348" customFormat="1" ht="12.75" hidden="1" customHeight="1" outlineLevel="2" x14ac:dyDescent="0.2">
      <c r="D2775" s="785" t="str">
        <f>Price_List_BA!D371</f>
        <v>Supplies Category 162</v>
      </c>
      <c r="E2775" s="786"/>
      <c r="F2775" s="786"/>
      <c r="G2775" s="786"/>
      <c r="J2775" s="668" t="str">
        <f>Price_List_BA!J371</f>
        <v>SU</v>
      </c>
      <c r="L2775" s="127">
        <f>Price_List_BA!L371</f>
        <v>0</v>
      </c>
    </row>
    <row r="2776" spans="4:12" s="348" customFormat="1" ht="12.75" hidden="1" customHeight="1" outlineLevel="2" x14ac:dyDescent="0.2">
      <c r="D2776" s="785" t="str">
        <f>Price_List_BA!D372</f>
        <v>Supplies Category 163</v>
      </c>
      <c r="E2776" s="786"/>
      <c r="F2776" s="786"/>
      <c r="G2776" s="786"/>
      <c r="J2776" s="668" t="str">
        <f>Price_List_BA!J372</f>
        <v>SU</v>
      </c>
      <c r="L2776" s="127">
        <f>Price_List_BA!L372</f>
        <v>0</v>
      </c>
    </row>
    <row r="2777" spans="4:12" s="348" customFormat="1" ht="12.75" hidden="1" customHeight="1" outlineLevel="2" x14ac:dyDescent="0.2">
      <c r="D2777" s="785" t="str">
        <f>Price_List_BA!D373</f>
        <v>Other Supply (Specify)</v>
      </c>
      <c r="E2777" s="786"/>
      <c r="F2777" s="786"/>
      <c r="G2777" s="786"/>
      <c r="J2777" s="668" t="str">
        <f>Price_List_BA!J373</f>
        <v>SU</v>
      </c>
      <c r="L2777" s="127">
        <f>Price_List_BA!L373</f>
        <v>0</v>
      </c>
    </row>
    <row r="2778" spans="4:12" s="348" customFormat="1" ht="12.75" hidden="1" customHeight="1" outlineLevel="2" x14ac:dyDescent="0.2">
      <c r="D2778" s="785" t="str">
        <f>Price_List_BA!D374</f>
        <v>Other Supply (Specify)</v>
      </c>
      <c r="E2778" s="786"/>
      <c r="F2778" s="786"/>
      <c r="G2778" s="786"/>
      <c r="J2778" s="668" t="str">
        <f>Price_List_BA!J374</f>
        <v>SU</v>
      </c>
      <c r="L2778" s="127">
        <f>Price_List_BA!L374</f>
        <v>0</v>
      </c>
    </row>
    <row r="2779" spans="4:12" s="348" customFormat="1" ht="12.75" hidden="1" customHeight="1" outlineLevel="2" x14ac:dyDescent="0.2">
      <c r="D2779" s="785" t="str">
        <f>Price_List_BA!D375</f>
        <v>Other Supply (Specify)</v>
      </c>
      <c r="E2779" s="786"/>
      <c r="F2779" s="786"/>
      <c r="G2779" s="786"/>
      <c r="J2779" s="668" t="str">
        <f>Price_List_BA!J375</f>
        <v>SU</v>
      </c>
      <c r="L2779" s="127">
        <f>Price_List_BA!L375</f>
        <v>0</v>
      </c>
    </row>
    <row r="2780" spans="4:12" s="348" customFormat="1" ht="12.95" hidden="1" customHeight="1" outlineLevel="2" x14ac:dyDescent="0.2">
      <c r="D2780" s="785" t="str">
        <f>Price_List_BA!D376</f>
        <v>Other Supply (Specify)</v>
      </c>
      <c r="E2780" s="786"/>
      <c r="F2780" s="786"/>
      <c r="G2780" s="786"/>
      <c r="J2780" s="668" t="str">
        <f>Price_List_BA!J376</f>
        <v>SU</v>
      </c>
      <c r="L2780" s="127">
        <f>Price_List_BA!L376</f>
        <v>0</v>
      </c>
    </row>
    <row r="2781" spans="4:12" s="348" customFormat="1" hidden="1" outlineLevel="2" x14ac:dyDescent="0.2"/>
    <row r="2782" spans="4:12" s="348" customFormat="1" ht="25.5" hidden="1" outlineLevel="2" x14ac:dyDescent="0.2">
      <c r="D2782" s="667" t="s">
        <v>313</v>
      </c>
      <c r="J2782" s="365" t="str">
        <f>"Cost per Unit ("&amp;$I$2545&amp;"/Unit)"</f>
        <v>Cost per Unit (USD/Unit)</v>
      </c>
      <c r="K2782" s="365" t="str">
        <f>"Annual Financial Cost ("&amp;$I$2545&amp;"/Unit)"</f>
        <v>Annual Financial Cost (USD/Unit)</v>
      </c>
      <c r="L2782" s="312" t="str">
        <f>"Annual Economic Cost ("&amp;$I$2545&amp;"/Unit)"</f>
        <v>Annual Economic Cost (USD/Unit)</v>
      </c>
    </row>
    <row r="2783" spans="4:12" s="348" customFormat="1" ht="12.75" hidden="1" customHeight="1" outlineLevel="2" x14ac:dyDescent="0.2">
      <c r="D2783" s="785" t="str">
        <f>Price_List_BA!D84</f>
        <v>_Not Applicable</v>
      </c>
      <c r="E2783" s="786"/>
      <c r="F2783" s="786"/>
      <c r="G2783" s="786"/>
      <c r="J2783" s="127">
        <f>Price_List_BA!L84</f>
        <v>0</v>
      </c>
      <c r="K2783" s="127">
        <f>Price_List_BA!O84</f>
        <v>0</v>
      </c>
      <c r="L2783" s="127">
        <f>Price_List_BA!P84</f>
        <v>0</v>
      </c>
    </row>
    <row r="2784" spans="4:12" s="348" customFormat="1" ht="12.75" hidden="1" customHeight="1" outlineLevel="2" x14ac:dyDescent="0.2">
      <c r="D2784" s="785" t="str">
        <f>Price_List_BA!D85</f>
        <v>Aluminum pail with lid (TZ)</v>
      </c>
      <c r="E2784" s="786"/>
      <c r="F2784" s="786"/>
      <c r="G2784" s="786"/>
      <c r="J2784" s="127">
        <f>Price_List_BA!L85</f>
        <v>11.25</v>
      </c>
      <c r="K2784" s="127">
        <f>Price_List_BA!O85</f>
        <v>1.125</v>
      </c>
      <c r="L2784" s="127">
        <f>Price_List_BA!P85</f>
        <v>1.3188431993080456</v>
      </c>
    </row>
    <row r="2785" spans="4:12" s="348" customFormat="1" ht="12.75" hidden="1" customHeight="1" outlineLevel="2" x14ac:dyDescent="0.2">
      <c r="D2785" s="785" t="str">
        <f>Price_List_BA!D86</f>
        <v>Autoclaving Machine (ZM)</v>
      </c>
      <c r="E2785" s="786"/>
      <c r="F2785" s="786"/>
      <c r="G2785" s="786"/>
      <c r="J2785" s="127">
        <f>Price_List_BA!L86</f>
        <v>5610</v>
      </c>
      <c r="K2785" s="127">
        <f>Price_List_BA!O86</f>
        <v>2805</v>
      </c>
      <c r="L2785" s="127">
        <f>Price_List_BA!P86</f>
        <v>2931.8467980295582</v>
      </c>
    </row>
    <row r="2786" spans="4:12" s="348" customFormat="1" hidden="1" outlineLevel="2" x14ac:dyDescent="0.2">
      <c r="D2786" s="785" t="str">
        <f>Price_List_BA!D87</f>
        <v>Ball electrode  5mm/Ellman (ZM)</v>
      </c>
      <c r="E2786" s="786"/>
      <c r="F2786" s="786"/>
      <c r="G2786" s="786"/>
      <c r="J2786" s="127">
        <f>Price_List_BA!L87</f>
        <v>37.200000000000003</v>
      </c>
      <c r="K2786" s="127">
        <f>Price_List_BA!O87</f>
        <v>37.200000000000003</v>
      </c>
      <c r="L2786" s="127">
        <f>Price_List_BA!P87</f>
        <v>38.315999999999967</v>
      </c>
    </row>
    <row r="2787" spans="4:12" s="348" customFormat="1" ht="12.75" hidden="1" customHeight="1" outlineLevel="2" x14ac:dyDescent="0.2">
      <c r="D2787" s="785" t="str">
        <f>Price_List_BA!D88</f>
        <v>Basin (for examination couch) (ZM)</v>
      </c>
      <c r="E2787" s="786"/>
      <c r="F2787" s="786"/>
      <c r="G2787" s="786"/>
      <c r="J2787" s="127">
        <f>Price_List_BA!L88</f>
        <v>2</v>
      </c>
      <c r="K2787" s="127">
        <f>Price_List_BA!O88</f>
        <v>1</v>
      </c>
      <c r="L2787" s="127">
        <f>Price_List_BA!P88</f>
        <v>1.0452216748768479</v>
      </c>
    </row>
    <row r="2788" spans="4:12" s="348" customFormat="1" ht="12.75" hidden="1" customHeight="1" outlineLevel="2" x14ac:dyDescent="0.2">
      <c r="D2788" s="785" t="str">
        <f>Price_List_BA!D89</f>
        <v>Battery Charger (ZM)</v>
      </c>
      <c r="E2788" s="786"/>
      <c r="F2788" s="786"/>
      <c r="G2788" s="786"/>
      <c r="J2788" s="127">
        <f>Price_List_BA!L89</f>
        <v>50</v>
      </c>
      <c r="K2788" s="127">
        <f>Price_List_BA!O89</f>
        <v>16.666666666666668</v>
      </c>
      <c r="L2788" s="127">
        <f>Price_List_BA!P89</f>
        <v>17.676518166229901</v>
      </c>
    </row>
    <row r="2789" spans="4:12" s="348" customFormat="1" ht="12.75" hidden="1" customHeight="1" outlineLevel="2" x14ac:dyDescent="0.2">
      <c r="D2789" s="785" t="str">
        <f>Price_List_BA!D90</f>
        <v>Bucket (UG)</v>
      </c>
      <c r="E2789" s="786"/>
      <c r="F2789" s="786"/>
      <c r="G2789" s="786"/>
      <c r="J2789" s="127">
        <f>Price_List_BA!L90</f>
        <v>42.303199999999997</v>
      </c>
      <c r="K2789" s="127">
        <f>Price_List_BA!O90</f>
        <v>4.2303199999999999</v>
      </c>
      <c r="L2789" s="127">
        <f>Price_List_BA!P90</f>
        <v>4.9592255670193879</v>
      </c>
    </row>
    <row r="2790" spans="4:12" s="348" customFormat="1" ht="12.75" hidden="1" customHeight="1" outlineLevel="2" x14ac:dyDescent="0.2">
      <c r="D2790" s="785" t="str">
        <f>Price_List_BA!D91</f>
        <v>Bucket 20Lt plastic with lid (ZM)</v>
      </c>
      <c r="E2790" s="786"/>
      <c r="F2790" s="786"/>
      <c r="G2790" s="786"/>
      <c r="J2790" s="127">
        <f>Price_List_BA!L91</f>
        <v>4</v>
      </c>
      <c r="K2790" s="127">
        <f>Price_List_BA!O91</f>
        <v>0.8</v>
      </c>
      <c r="L2790" s="127">
        <f>Price_List_BA!P91</f>
        <v>0.87341828560230483</v>
      </c>
    </row>
    <row r="2791" spans="4:12" s="348" customFormat="1" ht="12.95" hidden="1" customHeight="1" outlineLevel="2" x14ac:dyDescent="0.2">
      <c r="D2791" s="785" t="str">
        <f>Price_List_BA!D92</f>
        <v>Camera Rechargeable batteries ( set of 6) (ZM)</v>
      </c>
      <c r="E2791" s="786"/>
      <c r="F2791" s="786"/>
      <c r="G2791" s="786"/>
      <c r="J2791" s="127">
        <f>Price_List_BA!L92</f>
        <v>20</v>
      </c>
      <c r="K2791" s="127">
        <f>Price_List_BA!O92</f>
        <v>2</v>
      </c>
      <c r="L2791" s="127">
        <f>Price_List_BA!P92</f>
        <v>2.3446101321031922</v>
      </c>
    </row>
    <row r="2792" spans="4:12" s="348" customFormat="1" ht="12.75" hidden="1" customHeight="1" outlineLevel="2" x14ac:dyDescent="0.2">
      <c r="D2792" s="785" t="str">
        <f>Price_List_BA!D93</f>
        <v>Card Reader (ZM)</v>
      </c>
      <c r="E2792" s="786"/>
      <c r="F2792" s="786"/>
      <c r="G2792" s="786"/>
      <c r="J2792" s="127">
        <f>Price_List_BA!L93</f>
        <v>40</v>
      </c>
      <c r="K2792" s="127">
        <f>Price_List_BA!O93</f>
        <v>20</v>
      </c>
      <c r="L2792" s="127">
        <f>Price_List_BA!P93</f>
        <v>20.904433497536957</v>
      </c>
    </row>
    <row r="2793" spans="4:12" s="348" customFormat="1" ht="12.75" hidden="1" customHeight="1" outlineLevel="2" x14ac:dyDescent="0.2">
      <c r="D2793" s="785" t="str">
        <f>Price_List_BA!D94</f>
        <v>CareHPV Machine (kit set) (ZM)</v>
      </c>
      <c r="E2793" s="786"/>
      <c r="F2793" s="786"/>
      <c r="G2793" s="786"/>
      <c r="J2793" s="127">
        <f>Price_List_BA!L94</f>
        <v>150</v>
      </c>
      <c r="K2793" s="127">
        <f>Price_List_BA!O94</f>
        <v>16.666666666666668</v>
      </c>
      <c r="L2793" s="127">
        <f>Price_List_BA!P94</f>
        <v>19.265078552715515</v>
      </c>
    </row>
    <row r="2794" spans="4:12" s="348" customFormat="1" ht="12.75" hidden="1" customHeight="1" outlineLevel="2" x14ac:dyDescent="0.2">
      <c r="D2794" s="785" t="str">
        <f>Price_List_BA!D95</f>
        <v>CareHPV Machine (kit)  (TZ)</v>
      </c>
      <c r="E2794" s="786"/>
      <c r="F2794" s="786"/>
      <c r="G2794" s="786"/>
      <c r="J2794" s="127">
        <f>Price_List_BA!L95</f>
        <v>1000</v>
      </c>
      <c r="K2794" s="127">
        <f>Price_List_BA!O95</f>
        <v>500</v>
      </c>
      <c r="L2794" s="127">
        <f>Price_List_BA!P95</f>
        <v>522.61083743842391</v>
      </c>
    </row>
    <row r="2795" spans="4:12" s="348" customFormat="1" ht="12.75" hidden="1" customHeight="1" outlineLevel="2" x14ac:dyDescent="0.2">
      <c r="D2795" s="785" t="str">
        <f>Price_List_BA!D96</f>
        <v>Cauterizer (ZM)</v>
      </c>
      <c r="E2795" s="786"/>
      <c r="F2795" s="786"/>
      <c r="G2795" s="786"/>
      <c r="J2795" s="127">
        <f>Price_List_BA!L96</f>
        <v>100</v>
      </c>
      <c r="K2795" s="127">
        <f>Price_List_BA!O96</f>
        <v>10</v>
      </c>
      <c r="L2795" s="127">
        <f>Price_List_BA!P96</f>
        <v>11.723050660515961</v>
      </c>
    </row>
    <row r="2796" spans="4:12" s="348" customFormat="1" ht="12.75" hidden="1" customHeight="1" outlineLevel="2" x14ac:dyDescent="0.2">
      <c r="D2796" s="785" t="str">
        <f>Price_List_BA!D97</f>
        <v>Cauterizer  (TZ)</v>
      </c>
      <c r="E2796" s="786"/>
      <c r="F2796" s="786"/>
      <c r="G2796" s="786"/>
      <c r="J2796" s="127">
        <f>Price_List_BA!L97</f>
        <v>18.75</v>
      </c>
      <c r="K2796" s="127">
        <f>Price_List_BA!O97</f>
        <v>3.75</v>
      </c>
      <c r="L2796" s="127">
        <f>Price_List_BA!P97</f>
        <v>4.0941482137608034</v>
      </c>
    </row>
    <row r="2797" spans="4:12" s="348" customFormat="1" hidden="1" outlineLevel="2" x14ac:dyDescent="0.2">
      <c r="D2797" s="785" t="str">
        <f>Price_List_BA!D98</f>
        <v>Cervical Cold Coagulator with Instrument Cable and Therapy Probe (ZM)</v>
      </c>
      <c r="E2797" s="786"/>
      <c r="F2797" s="786"/>
      <c r="G2797" s="786"/>
      <c r="J2797" s="127">
        <f>Price_List_BA!L98</f>
        <v>2367</v>
      </c>
      <c r="K2797" s="127">
        <f>Price_List_BA!O98</f>
        <v>473.4</v>
      </c>
      <c r="L2797" s="127">
        <f>Price_List_BA!P98</f>
        <v>516.84527050516385</v>
      </c>
    </row>
    <row r="2798" spans="4:12" s="348" customFormat="1" ht="12.75" hidden="1" customHeight="1" outlineLevel="2" x14ac:dyDescent="0.2">
      <c r="D2798" s="785" t="str">
        <f>Price_List_BA!D99</f>
        <v>Chair (ZM)</v>
      </c>
      <c r="E2798" s="786"/>
      <c r="F2798" s="786"/>
      <c r="G2798" s="786"/>
      <c r="J2798" s="127">
        <f>Price_List_BA!L99</f>
        <v>80</v>
      </c>
      <c r="K2798" s="127">
        <f>Price_List_BA!O99</f>
        <v>20</v>
      </c>
      <c r="L2798" s="127">
        <f>Price_List_BA!P99</f>
        <v>21.522163615446605</v>
      </c>
    </row>
    <row r="2799" spans="4:12" s="348" customFormat="1" ht="12.75" hidden="1" customHeight="1" outlineLevel="2" x14ac:dyDescent="0.2">
      <c r="D2799" s="785" t="str">
        <f>Price_List_BA!D100</f>
        <v>Cheetal forceps (UG)</v>
      </c>
      <c r="E2799" s="786"/>
      <c r="F2799" s="786"/>
      <c r="G2799" s="786"/>
      <c r="J2799" s="127">
        <f>Price_List_BA!L100</f>
        <v>8.1560000000000006</v>
      </c>
      <c r="K2799" s="127">
        <f>Price_List_BA!O100</f>
        <v>4.0780000000000003</v>
      </c>
      <c r="L2799" s="127">
        <f>Price_List_BA!P100</f>
        <v>4.2624139901477864</v>
      </c>
    </row>
    <row r="2800" spans="4:12" s="348" customFormat="1" ht="12.75" hidden="1" customHeight="1" outlineLevel="2" x14ac:dyDescent="0.2">
      <c r="D2800" s="785" t="str">
        <f>Price_List_BA!D101</f>
        <v>Colposcope (set) (ZM)</v>
      </c>
      <c r="E2800" s="786"/>
      <c r="F2800" s="786"/>
      <c r="G2800" s="786"/>
      <c r="J2800" s="127">
        <f>Price_List_BA!L101</f>
        <v>10000</v>
      </c>
      <c r="K2800" s="127">
        <f>Price_List_BA!O101</f>
        <v>1428.5714285714287</v>
      </c>
      <c r="L2800" s="127">
        <f>Price_List_BA!P101</f>
        <v>1605.0635375427203</v>
      </c>
    </row>
    <row r="2801" spans="4:12" s="348" customFormat="1" ht="12.75" hidden="1" customHeight="1" outlineLevel="2" x14ac:dyDescent="0.2">
      <c r="D2801" s="785" t="str">
        <f>Price_List_BA!D102</f>
        <v>Colposcope (UG)</v>
      </c>
      <c r="E2801" s="786"/>
      <c r="F2801" s="786"/>
      <c r="G2801" s="786"/>
      <c r="J2801" s="127">
        <f>Price_List_BA!L102</f>
        <v>3100</v>
      </c>
      <c r="K2801" s="127">
        <f>Price_List_BA!O102</f>
        <v>620</v>
      </c>
      <c r="L2801" s="127">
        <f>Price_List_BA!P102</f>
        <v>676.8991713417862</v>
      </c>
    </row>
    <row r="2802" spans="4:12" s="348" customFormat="1" ht="12.95" hidden="1" customHeight="1" outlineLevel="2" x14ac:dyDescent="0.2">
      <c r="D2802" s="785" t="str">
        <f>Price_List_BA!D103</f>
        <v>Colposcopy equipment (TZ)</v>
      </c>
      <c r="E2802" s="786"/>
      <c r="F2802" s="786"/>
      <c r="G2802" s="786"/>
      <c r="J2802" s="127">
        <f>Price_List_BA!L103</f>
        <v>6250</v>
      </c>
      <c r="K2802" s="127">
        <f>Price_List_BA!O103</f>
        <v>625</v>
      </c>
      <c r="L2802" s="127">
        <f>Price_List_BA!P103</f>
        <v>732.69066628224755</v>
      </c>
    </row>
    <row r="2803" spans="4:12" s="348" customFormat="1" ht="12.95" hidden="1" customHeight="1" outlineLevel="2" x14ac:dyDescent="0.2">
      <c r="D2803" s="785" t="str">
        <f>Price_List_BA!D104</f>
        <v>Cryotherapy unit (UG)</v>
      </c>
      <c r="E2803" s="786"/>
      <c r="F2803" s="786"/>
      <c r="G2803" s="786"/>
      <c r="J2803" s="127">
        <f>Price_List_BA!L104</f>
        <v>1091</v>
      </c>
      <c r="K2803" s="127">
        <f>Price_List_BA!O104</f>
        <v>218.2</v>
      </c>
      <c r="L2803" s="127">
        <f>Price_List_BA!P104</f>
        <v>238.22483739802863</v>
      </c>
    </row>
    <row r="2804" spans="4:12" s="348" customFormat="1" ht="12.95" hidden="1" customHeight="1" outlineLevel="2" x14ac:dyDescent="0.2">
      <c r="D2804" s="785" t="str">
        <f>Price_List_BA!D105</f>
        <v>Cryotherapy Unit with cryotips (set) (ZM)</v>
      </c>
      <c r="E2804" s="786"/>
      <c r="F2804" s="786"/>
      <c r="G2804" s="786"/>
      <c r="J2804" s="127">
        <f>Price_List_BA!L105</f>
        <v>500</v>
      </c>
      <c r="K2804" s="127">
        <f>Price_List_BA!O105</f>
        <v>125</v>
      </c>
      <c r="L2804" s="127">
        <f>Price_List_BA!P105</f>
        <v>134.51352259654129</v>
      </c>
    </row>
    <row r="2805" spans="4:12" s="348" customFormat="1" ht="12.95" hidden="1" customHeight="1" outlineLevel="2" x14ac:dyDescent="0.2">
      <c r="D2805" s="785" t="str">
        <f>Price_List_BA!D106</f>
        <v>Cryotherapy Unit with cryotips (TZ)</v>
      </c>
      <c r="E2805" s="786"/>
      <c r="F2805" s="786"/>
      <c r="G2805" s="786"/>
      <c r="J2805" s="127">
        <f>Price_List_BA!L106</f>
        <v>1875</v>
      </c>
      <c r="K2805" s="127">
        <f>Price_List_BA!O106</f>
        <v>187.5</v>
      </c>
      <c r="L2805" s="127">
        <f>Price_List_BA!P106</f>
        <v>219.80719988467428</v>
      </c>
    </row>
    <row r="2806" spans="4:12" s="348" customFormat="1" ht="12.95" hidden="1" customHeight="1" outlineLevel="2" x14ac:dyDescent="0.2">
      <c r="D2806" s="785" t="str">
        <f>Price_List_BA!D107</f>
        <v>Digital Camera (ZM)</v>
      </c>
      <c r="E2806" s="786"/>
      <c r="F2806" s="786"/>
      <c r="G2806" s="786"/>
      <c r="J2806" s="127">
        <f>Price_List_BA!L107</f>
        <v>700</v>
      </c>
      <c r="K2806" s="127">
        <f>Price_List_BA!O107</f>
        <v>77.777777777777771</v>
      </c>
      <c r="L2806" s="127">
        <f>Price_List_BA!P107</f>
        <v>89.903699912672408</v>
      </c>
    </row>
    <row r="2807" spans="4:12" s="348" customFormat="1" ht="12.95" hidden="1" customHeight="1" outlineLevel="2" x14ac:dyDescent="0.2">
      <c r="D2807" s="785" t="str">
        <f>Price_List_BA!D108</f>
        <v>Dissecting forceps – 12.5 cm  (TZ)</v>
      </c>
      <c r="E2807" s="786"/>
      <c r="F2807" s="786"/>
      <c r="G2807" s="786"/>
      <c r="J2807" s="127">
        <f>Price_List_BA!L108</f>
        <v>5.8125</v>
      </c>
      <c r="K2807" s="127">
        <f>Price_List_BA!O108</f>
        <v>0.64583333333333337</v>
      </c>
      <c r="L2807" s="127">
        <f>Price_List_BA!P108</f>
        <v>0.74652179391772622</v>
      </c>
    </row>
    <row r="2808" spans="4:12" s="348" customFormat="1" ht="12.95" hidden="1" customHeight="1" outlineLevel="2" x14ac:dyDescent="0.2">
      <c r="D2808" s="785" t="str">
        <f>Price_List_BA!D109</f>
        <v>Doctor's Stool (ZM)</v>
      </c>
      <c r="E2808" s="786"/>
      <c r="F2808" s="786"/>
      <c r="G2808" s="786"/>
      <c r="J2808" s="127">
        <f>Price_List_BA!L109</f>
        <v>100</v>
      </c>
      <c r="K2808" s="127">
        <f>Price_List_BA!O109</f>
        <v>16.666666666666668</v>
      </c>
      <c r="L2808" s="127">
        <f>Price_List_BA!P109</f>
        <v>18.459750045017728</v>
      </c>
    </row>
    <row r="2809" spans="4:12" s="348" customFormat="1" ht="12.95" hidden="1" customHeight="1" outlineLevel="2" x14ac:dyDescent="0.2">
      <c r="D2809" s="785" t="str">
        <f>Price_List_BA!D110</f>
        <v>Endocervical speculum  (UG)</v>
      </c>
      <c r="E2809" s="786"/>
      <c r="F2809" s="786"/>
      <c r="G2809" s="786"/>
      <c r="J2809" s="127">
        <f>Price_List_BA!L110</f>
        <v>100</v>
      </c>
      <c r="K2809" s="127">
        <f>Price_List_BA!O110</f>
        <v>50</v>
      </c>
      <c r="L2809" s="127">
        <f>Price_List_BA!P110</f>
        <v>52.261083743842391</v>
      </c>
    </row>
    <row r="2810" spans="4:12" s="348" customFormat="1" ht="12.95" hidden="1" customHeight="1" outlineLevel="2" x14ac:dyDescent="0.2">
      <c r="D2810" s="785" t="str">
        <f>Price_List_BA!D111</f>
        <v>Examination bed (UG)</v>
      </c>
      <c r="E2810" s="786"/>
      <c r="F2810" s="786"/>
      <c r="G2810" s="786"/>
      <c r="J2810" s="127">
        <f>Price_List_BA!L111</f>
        <v>197.1369</v>
      </c>
      <c r="K2810" s="127">
        <f>Price_List_BA!O111</f>
        <v>39.427379999999999</v>
      </c>
      <c r="L2810" s="127">
        <f>Price_List_BA!P111</f>
        <v>43.045743306738252</v>
      </c>
    </row>
    <row r="2811" spans="4:12" s="348" customFormat="1" ht="12.95" hidden="1" customHeight="1" outlineLevel="2" x14ac:dyDescent="0.2">
      <c r="D2811" s="785" t="str">
        <f>Price_List_BA!D112</f>
        <v>Examination couch (with Stirrups) (ZM)</v>
      </c>
      <c r="E2811" s="786"/>
      <c r="F2811" s="786"/>
      <c r="G2811" s="786"/>
      <c r="J2811" s="127">
        <f>Price_List_BA!L112</f>
        <v>446.5</v>
      </c>
      <c r="K2811" s="127">
        <f>Price_List_BA!O112</f>
        <v>89.3</v>
      </c>
      <c r="L2811" s="127">
        <f>Price_List_BA!P112</f>
        <v>97.495316130357267</v>
      </c>
    </row>
    <row r="2812" spans="4:12" s="348" customFormat="1" ht="12.95" hidden="1" customHeight="1" outlineLevel="2" x14ac:dyDescent="0.2">
      <c r="D2812" s="785" t="str">
        <f>Price_List_BA!D113</f>
        <v>Examination light (Halogen, no bulb) (ZM)</v>
      </c>
      <c r="E2812" s="786"/>
      <c r="F2812" s="786"/>
      <c r="G2812" s="786"/>
      <c r="J2812" s="127">
        <f>Price_List_BA!L113</f>
        <v>370</v>
      </c>
      <c r="K2812" s="127">
        <f>Price_List_BA!O113</f>
        <v>61.666666666666664</v>
      </c>
      <c r="L2812" s="127">
        <f>Price_List_BA!P113</f>
        <v>68.301075166565596</v>
      </c>
    </row>
    <row r="2813" spans="4:12" s="348" customFormat="1" ht="12.75" hidden="1" customHeight="1" outlineLevel="2" x14ac:dyDescent="0.2">
      <c r="D2813" s="785" t="str">
        <f>Price_List_BA!D114</f>
        <v>Examination light source  (TZ)</v>
      </c>
      <c r="E2813" s="786"/>
      <c r="F2813" s="786"/>
      <c r="G2813" s="786"/>
      <c r="J2813" s="127">
        <f>Price_List_BA!L114</f>
        <v>40.625</v>
      </c>
      <c r="K2813" s="127">
        <f>Price_List_BA!O114</f>
        <v>8.125</v>
      </c>
      <c r="L2813" s="127">
        <f>Price_List_BA!P114</f>
        <v>8.8706544631484086</v>
      </c>
    </row>
    <row r="2814" spans="4:12" s="348" customFormat="1" ht="12.75" hidden="1" customHeight="1" outlineLevel="2" x14ac:dyDescent="0.2">
      <c r="D2814" s="785" t="str">
        <f>Price_List_BA!D115</f>
        <v>Examination light source (Halogen) with bulb (set) (ZM)</v>
      </c>
      <c r="E2814" s="786"/>
      <c r="F2814" s="786"/>
      <c r="G2814" s="786"/>
      <c r="J2814" s="127">
        <f>Price_List_BA!L115</f>
        <v>430</v>
      </c>
      <c r="K2814" s="127">
        <f>Price_List_BA!O115</f>
        <v>86</v>
      </c>
      <c r="L2814" s="127">
        <f>Price_List_BA!P115</f>
        <v>93.892465702247762</v>
      </c>
    </row>
    <row r="2815" spans="4:12" s="348" customFormat="1" ht="12.75" hidden="1" customHeight="1" outlineLevel="2" x14ac:dyDescent="0.2">
      <c r="D2815" s="785" t="str">
        <f>Price_List_BA!D116</f>
        <v>Examination table (UG)</v>
      </c>
      <c r="E2815" s="786"/>
      <c r="F2815" s="786"/>
      <c r="G2815" s="786"/>
      <c r="J2815" s="127">
        <f>Price_List_BA!L116</f>
        <v>197.1369</v>
      </c>
      <c r="K2815" s="127">
        <f>Price_List_BA!O116</f>
        <v>39.427379999999999</v>
      </c>
      <c r="L2815" s="127">
        <f>Price_List_BA!P116</f>
        <v>43.045743306738252</v>
      </c>
    </row>
    <row r="2816" spans="4:12" s="348" customFormat="1" ht="12.75" hidden="1" customHeight="1" outlineLevel="2" x14ac:dyDescent="0.2">
      <c r="D2816" s="785" t="str">
        <f>Price_List_BA!D117</f>
        <v>Filing Cabinet (ZM)</v>
      </c>
      <c r="E2816" s="786"/>
      <c r="F2816" s="786"/>
      <c r="G2816" s="786"/>
      <c r="J2816" s="127">
        <f>Price_List_BA!L117</f>
        <v>354</v>
      </c>
      <c r="K2816" s="127">
        <f>Price_List_BA!O117</f>
        <v>35.4</v>
      </c>
      <c r="L2816" s="127">
        <f>Price_List_BA!P117</f>
        <v>41.499599338226503</v>
      </c>
    </row>
    <row r="2817" spans="4:12" s="348" customFormat="1" ht="12.75" hidden="1" customHeight="1" outlineLevel="2" x14ac:dyDescent="0.2">
      <c r="D2817" s="785" t="str">
        <f>Price_List_BA!D118</f>
        <v>Forceps (UG)</v>
      </c>
      <c r="E2817" s="786"/>
      <c r="F2817" s="786"/>
      <c r="G2817" s="786"/>
      <c r="J2817" s="127">
        <f>Price_List_BA!L118</f>
        <v>8.1560000000000006</v>
      </c>
      <c r="K2817" s="127">
        <f>Price_List_BA!O118</f>
        <v>1.6312000000000002</v>
      </c>
      <c r="L2817" s="127">
        <f>Price_List_BA!P118</f>
        <v>1.7808998843430996</v>
      </c>
    </row>
    <row r="2818" spans="4:12" s="348" customFormat="1" ht="12.75" hidden="1" customHeight="1" outlineLevel="2" x14ac:dyDescent="0.2">
      <c r="D2818" s="785" t="str">
        <f>Price_List_BA!D119</f>
        <v>Forceps Babcocks  (ZM)</v>
      </c>
      <c r="E2818" s="786"/>
      <c r="F2818" s="786"/>
      <c r="G2818" s="786"/>
      <c r="J2818" s="127">
        <f>Price_List_BA!L119</f>
        <v>13</v>
      </c>
      <c r="K2818" s="127">
        <f>Price_List_BA!O119</f>
        <v>1.4444444444444444</v>
      </c>
      <c r="L2818" s="127">
        <f>Price_List_BA!P119</f>
        <v>1.6696401412353445</v>
      </c>
    </row>
    <row r="2819" spans="4:12" s="348" customFormat="1" ht="12.75" hidden="1" customHeight="1" outlineLevel="2" x14ac:dyDescent="0.2">
      <c r="D2819" s="785" t="str">
        <f>Price_List_BA!D120</f>
        <v>Forceps tissue - babcocks  (TZ)</v>
      </c>
      <c r="E2819" s="786"/>
      <c r="F2819" s="786"/>
      <c r="G2819" s="786"/>
      <c r="J2819" s="127">
        <f>Price_List_BA!L120</f>
        <v>3.75</v>
      </c>
      <c r="K2819" s="127">
        <f>Price_List_BA!O120</f>
        <v>0.75</v>
      </c>
      <c r="L2819" s="127">
        <f>Price_List_BA!P120</f>
        <v>0.81882964275216075</v>
      </c>
    </row>
    <row r="2820" spans="4:12" s="348" customFormat="1" ht="12.75" hidden="1" customHeight="1" outlineLevel="2" x14ac:dyDescent="0.2">
      <c r="D2820" s="785" t="str">
        <f>Price_List_BA!D121</f>
        <v>Forceps tissue - long  (TZ)</v>
      </c>
      <c r="E2820" s="786"/>
      <c r="F2820" s="786"/>
      <c r="G2820" s="786"/>
      <c r="J2820" s="127">
        <f>Price_List_BA!L121</f>
        <v>8.75</v>
      </c>
      <c r="K2820" s="127">
        <f>Price_List_BA!O121</f>
        <v>1.75</v>
      </c>
      <c r="L2820" s="127">
        <f>Price_List_BA!P121</f>
        <v>1.9106024997550417</v>
      </c>
    </row>
    <row r="2821" spans="4:12" s="348" customFormat="1" ht="12.75" hidden="1" customHeight="1" outlineLevel="2" x14ac:dyDescent="0.2">
      <c r="D2821" s="785" t="str">
        <f>Price_List_BA!D122</f>
        <v>Forceps tissue- litlewoods 19 cm  (TZ)</v>
      </c>
      <c r="E2821" s="786"/>
      <c r="F2821" s="786"/>
      <c r="G2821" s="786"/>
      <c r="J2821" s="127">
        <f>Price_List_BA!L122</f>
        <v>10.625</v>
      </c>
      <c r="K2821" s="127">
        <f>Price_List_BA!O122</f>
        <v>2.125</v>
      </c>
      <c r="L2821" s="127">
        <f>Price_List_BA!P122</f>
        <v>2.3200173211311221</v>
      </c>
    </row>
    <row r="2822" spans="4:12" s="348" customFormat="1" ht="12.75" hidden="1" customHeight="1" outlineLevel="2" x14ac:dyDescent="0.2">
      <c r="D2822" s="785" t="str">
        <f>Price_List_BA!D123</f>
        <v>Forceps, Cheetal (ZM)</v>
      </c>
      <c r="E2822" s="786"/>
      <c r="F2822" s="786"/>
      <c r="G2822" s="786"/>
      <c r="J2822" s="127">
        <f>Price_List_BA!L123</f>
        <v>15</v>
      </c>
      <c r="K2822" s="127">
        <f>Price_List_BA!O123</f>
        <v>3.75</v>
      </c>
      <c r="L2822" s="127">
        <f>Price_List_BA!P123</f>
        <v>4.0354056778962386</v>
      </c>
    </row>
    <row r="2823" spans="4:12" s="348" customFormat="1" ht="12.75" hidden="1" customHeight="1" outlineLevel="2" x14ac:dyDescent="0.2">
      <c r="D2823" s="785" t="str">
        <f>Price_List_BA!D124</f>
        <v>Forceps, Dissecting - 12.5 cm (ZM)</v>
      </c>
      <c r="E2823" s="786"/>
      <c r="F2823" s="786"/>
      <c r="G2823" s="786"/>
      <c r="J2823" s="127">
        <f>Price_List_BA!L124</f>
        <v>16.899999999999999</v>
      </c>
      <c r="K2823" s="127">
        <f>Price_List_BA!O124</f>
        <v>1.8777777777777775</v>
      </c>
      <c r="L2823" s="127">
        <f>Price_List_BA!P124</f>
        <v>2.1705321836059479</v>
      </c>
    </row>
    <row r="2824" spans="4:12" s="348" customFormat="1" ht="12.75" hidden="1" customHeight="1" outlineLevel="2" x14ac:dyDescent="0.2">
      <c r="D2824" s="785" t="str">
        <f>Price_List_BA!D125</f>
        <v>Forceps, Littlewoods 19 cm (ZM)</v>
      </c>
      <c r="E2824" s="786"/>
      <c r="F2824" s="786"/>
      <c r="G2824" s="786"/>
      <c r="J2824" s="127">
        <f>Price_List_BA!L125</f>
        <v>17</v>
      </c>
      <c r="K2824" s="127">
        <f>Price_List_BA!O125</f>
        <v>8.5</v>
      </c>
      <c r="L2824" s="127">
        <f>Price_List_BA!P125</f>
        <v>8.884384236453208</v>
      </c>
    </row>
    <row r="2825" spans="4:12" s="348" customFormat="1" ht="12.75" hidden="1" customHeight="1" outlineLevel="2" x14ac:dyDescent="0.2">
      <c r="D2825" s="785" t="str">
        <f>Price_List_BA!D126</f>
        <v>Forceps, Long  (ZM)</v>
      </c>
      <c r="E2825" s="786"/>
      <c r="F2825" s="786"/>
      <c r="G2825" s="786"/>
      <c r="J2825" s="127">
        <f>Price_List_BA!L126</f>
        <v>15</v>
      </c>
      <c r="K2825" s="127">
        <f>Price_List_BA!O126</f>
        <v>2.5</v>
      </c>
      <c r="L2825" s="127">
        <f>Price_List_BA!P126</f>
        <v>2.7689625067526591</v>
      </c>
    </row>
    <row r="2826" spans="4:12" s="348" customFormat="1" ht="12.75" hidden="1" customHeight="1" outlineLevel="2" x14ac:dyDescent="0.2">
      <c r="D2826" s="785" t="str">
        <f>Price_List_BA!D127</f>
        <v>Forceps, ovum (ZM)</v>
      </c>
      <c r="E2826" s="786"/>
      <c r="F2826" s="786"/>
      <c r="G2826" s="786"/>
      <c r="J2826" s="127">
        <f>Price_List_BA!L127</f>
        <v>15</v>
      </c>
      <c r="K2826" s="127">
        <f>Price_List_BA!O127</f>
        <v>2.5</v>
      </c>
      <c r="L2826" s="127">
        <f>Price_List_BA!P127</f>
        <v>2.7689625067526591</v>
      </c>
    </row>
    <row r="2827" spans="4:12" s="348" customFormat="1" ht="12.75" hidden="1" customHeight="1" outlineLevel="2" x14ac:dyDescent="0.2">
      <c r="D2827" s="785" t="str">
        <f>Price_List_BA!D128</f>
        <v>Forceps, ovum  (TZ)</v>
      </c>
      <c r="E2827" s="786"/>
      <c r="F2827" s="786"/>
      <c r="G2827" s="786"/>
      <c r="J2827" s="127">
        <f>Price_List_BA!L128</f>
        <v>3.4375</v>
      </c>
      <c r="K2827" s="127">
        <f>Price_List_BA!O128</f>
        <v>0.6875</v>
      </c>
      <c r="L2827" s="127">
        <f>Price_List_BA!P128</f>
        <v>0.75059383918948064</v>
      </c>
    </row>
    <row r="2828" spans="4:12" s="348" customFormat="1" ht="12.75" hidden="1" customHeight="1" outlineLevel="2" x14ac:dyDescent="0.2">
      <c r="D2828" s="785" t="str">
        <f>Price_List_BA!D129</f>
        <v>Forceps, Punch biopsy (ZM)</v>
      </c>
      <c r="E2828" s="786"/>
      <c r="F2828" s="786"/>
      <c r="G2828" s="786"/>
      <c r="J2828" s="127">
        <f>Price_List_BA!L129</f>
        <v>15</v>
      </c>
      <c r="K2828" s="127">
        <f>Price_List_BA!O129</f>
        <v>3.75</v>
      </c>
      <c r="L2828" s="127">
        <f>Price_List_BA!P129</f>
        <v>4.0354056778962386</v>
      </c>
    </row>
    <row r="2829" spans="4:12" s="348" customFormat="1" ht="12.75" hidden="1" customHeight="1" outlineLevel="2" x14ac:dyDescent="0.2">
      <c r="D2829" s="785" t="str">
        <f>Price_List_BA!D130</f>
        <v>Forceps, punch biopsy (TZ)</v>
      </c>
      <c r="E2829" s="786"/>
      <c r="F2829" s="786"/>
      <c r="G2829" s="786"/>
      <c r="J2829" s="127">
        <f>Price_List_BA!L130</f>
        <v>37.5</v>
      </c>
      <c r="K2829" s="127">
        <f>Price_List_BA!O130</f>
        <v>7.5</v>
      </c>
      <c r="L2829" s="127">
        <f>Price_List_BA!P130</f>
        <v>8.1882964275216068</v>
      </c>
    </row>
    <row r="2830" spans="4:12" s="348" customFormat="1" ht="12.75" hidden="1" customHeight="1" outlineLevel="2" x14ac:dyDescent="0.2">
      <c r="D2830" s="785" t="str">
        <f>Price_List_BA!D131</f>
        <v>Forceps, Sponge holder (ZM)</v>
      </c>
      <c r="E2830" s="786"/>
      <c r="F2830" s="786"/>
      <c r="G2830" s="786"/>
      <c r="J2830" s="127">
        <f>Price_List_BA!L131</f>
        <v>12</v>
      </c>
      <c r="K2830" s="127">
        <f>Price_List_BA!O131</f>
        <v>1.5</v>
      </c>
      <c r="L2830" s="127">
        <f>Price_List_BA!P131</f>
        <v>1.709476665926871</v>
      </c>
    </row>
    <row r="2831" spans="4:12" s="348" customFormat="1" ht="12.75" hidden="1" customHeight="1" outlineLevel="2" x14ac:dyDescent="0.2">
      <c r="D2831" s="785" t="str">
        <f>Price_List_BA!D132</f>
        <v>Forceps, sponge holder  (TZ)</v>
      </c>
      <c r="E2831" s="786"/>
      <c r="F2831" s="786"/>
      <c r="G2831" s="786"/>
      <c r="J2831" s="127">
        <f>Price_List_BA!L132</f>
        <v>3.4375</v>
      </c>
      <c r="K2831" s="127">
        <f>Price_List_BA!O132</f>
        <v>0.6875</v>
      </c>
      <c r="L2831" s="127">
        <f>Price_List_BA!P132</f>
        <v>0.75059383918948064</v>
      </c>
    </row>
    <row r="2832" spans="4:12" s="348" customFormat="1" ht="12.75" hidden="1" customHeight="1" outlineLevel="2" x14ac:dyDescent="0.2">
      <c r="D2832" s="785" t="str">
        <f>Price_List_BA!D133</f>
        <v>Gallipot (ZM)</v>
      </c>
      <c r="E2832" s="786"/>
      <c r="F2832" s="786"/>
      <c r="G2832" s="786"/>
      <c r="J2832" s="127">
        <f>Price_List_BA!L133</f>
        <v>10</v>
      </c>
      <c r="K2832" s="127">
        <f>Price_List_BA!O133</f>
        <v>1.1111111111111112</v>
      </c>
      <c r="L2832" s="127">
        <f>Price_List_BA!P133</f>
        <v>1.2843385701810344</v>
      </c>
    </row>
    <row r="2833" spans="4:12" s="348" customFormat="1" ht="12.75" hidden="1" customHeight="1" outlineLevel="2" x14ac:dyDescent="0.2">
      <c r="D2833" s="785" t="str">
        <f>Price_List_BA!D134</f>
        <v>Gallipot (UG)</v>
      </c>
      <c r="E2833" s="786"/>
      <c r="F2833" s="786"/>
      <c r="G2833" s="786"/>
      <c r="J2833" s="127">
        <f>Price_List_BA!L134</f>
        <v>3.9441999999999999</v>
      </c>
      <c r="K2833" s="127">
        <f>Price_List_BA!O134</f>
        <v>0.78883999999999999</v>
      </c>
      <c r="L2833" s="127">
        <f>Price_List_BA!P134</f>
        <v>0.86123410051815263</v>
      </c>
    </row>
    <row r="2834" spans="4:12" s="348" customFormat="1" ht="12.75" hidden="1" customHeight="1" outlineLevel="2" x14ac:dyDescent="0.2">
      <c r="D2834" s="785" t="str">
        <f>Price_List_BA!D135</f>
        <v>Gas cylinder adaptor (ZM)</v>
      </c>
      <c r="E2834" s="786"/>
      <c r="F2834" s="786"/>
      <c r="G2834" s="786"/>
      <c r="J2834" s="127">
        <f>Price_List_BA!L135</f>
        <v>15</v>
      </c>
      <c r="K2834" s="127">
        <f>Price_List_BA!O135</f>
        <v>1.875</v>
      </c>
      <c r="L2834" s="127">
        <f>Price_List_BA!P135</f>
        <v>2.1368458324085888</v>
      </c>
    </row>
    <row r="2835" spans="4:12" s="348" customFormat="1" ht="12.75" hidden="1" customHeight="1" outlineLevel="2" x14ac:dyDescent="0.2">
      <c r="D2835" s="785" t="str">
        <f>Price_List_BA!D136</f>
        <v>Gas cylinder adaptor  (TZ)</v>
      </c>
      <c r="E2835" s="786"/>
      <c r="F2835" s="786"/>
      <c r="G2835" s="786"/>
      <c r="J2835" s="127">
        <f>Price_List_BA!L136</f>
        <v>82.5</v>
      </c>
      <c r="K2835" s="127">
        <f>Price_List_BA!O136</f>
        <v>8.25</v>
      </c>
      <c r="L2835" s="127">
        <f>Price_List_BA!P136</f>
        <v>9.6715167949256688</v>
      </c>
    </row>
    <row r="2836" spans="4:12" s="348" customFormat="1" ht="12.75" hidden="1" customHeight="1" outlineLevel="2" x14ac:dyDescent="0.2">
      <c r="D2836" s="785" t="str">
        <f>Price_List_BA!D137</f>
        <v>Gynecological examination bed  (TZ)</v>
      </c>
      <c r="E2836" s="786"/>
      <c r="F2836" s="786"/>
      <c r="G2836" s="786"/>
      <c r="J2836" s="127">
        <f>Price_List_BA!L137</f>
        <v>346.875</v>
      </c>
      <c r="K2836" s="127">
        <f>Price_List_BA!O137</f>
        <v>173.4375</v>
      </c>
      <c r="L2836" s="127">
        <f>Price_List_BA!P137</f>
        <v>181.2806342364533</v>
      </c>
    </row>
    <row r="2837" spans="4:12" s="348" customFormat="1" ht="12.75" hidden="1" customHeight="1" outlineLevel="2" x14ac:dyDescent="0.2">
      <c r="D2837" s="785" t="str">
        <f>Price_List_BA!D138</f>
        <v>Halogen Bulbs (ZM)</v>
      </c>
      <c r="E2837" s="786"/>
      <c r="F2837" s="786"/>
      <c r="G2837" s="786"/>
      <c r="J2837" s="127">
        <f>Price_List_BA!L138</f>
        <v>50</v>
      </c>
      <c r="K2837" s="127">
        <f>Price_List_BA!O138</f>
        <v>5</v>
      </c>
      <c r="L2837" s="127">
        <f>Price_List_BA!P138</f>
        <v>5.8615253302579804</v>
      </c>
    </row>
    <row r="2838" spans="4:12" s="348" customFormat="1" ht="12.75" hidden="1" customHeight="1" outlineLevel="2" x14ac:dyDescent="0.2">
      <c r="D2838" s="785" t="str">
        <f>Price_List_BA!D139</f>
        <v>Hysterectomy Set (ZM)</v>
      </c>
      <c r="E2838" s="786"/>
      <c r="F2838" s="786"/>
      <c r="G2838" s="786"/>
      <c r="J2838" s="127">
        <f>Price_List_BA!L139</f>
        <v>120</v>
      </c>
      <c r="K2838" s="127">
        <f>Price_List_BA!O139</f>
        <v>24</v>
      </c>
      <c r="L2838" s="127">
        <f>Price_List_BA!P139</f>
        <v>26.202548568069144</v>
      </c>
    </row>
    <row r="2839" spans="4:12" s="348" customFormat="1" ht="12.75" hidden="1" customHeight="1" outlineLevel="2" x14ac:dyDescent="0.2">
      <c r="D2839" s="785" t="str">
        <f>Price_List_BA!D140</f>
        <v>Instrument tray (ZM)</v>
      </c>
      <c r="E2839" s="786"/>
      <c r="F2839" s="786"/>
      <c r="G2839" s="786"/>
      <c r="J2839" s="127">
        <f>Price_List_BA!L140</f>
        <v>20</v>
      </c>
      <c r="K2839" s="127">
        <f>Price_List_BA!O140</f>
        <v>5</v>
      </c>
      <c r="L2839" s="127">
        <f>Price_List_BA!P140</f>
        <v>5.3805409038616512</v>
      </c>
    </row>
    <row r="2840" spans="4:12" s="348" customFormat="1" ht="12.75" hidden="1" customHeight="1" outlineLevel="2" x14ac:dyDescent="0.2">
      <c r="D2840" s="785" t="str">
        <f>Price_List_BA!D141</f>
        <v>Instrument tray  (TZ)</v>
      </c>
      <c r="E2840" s="786"/>
      <c r="F2840" s="786"/>
      <c r="G2840" s="786"/>
      <c r="J2840" s="127">
        <f>Price_List_BA!L141</f>
        <v>7.5</v>
      </c>
      <c r="K2840" s="127">
        <f>Price_List_BA!O141</f>
        <v>3.75</v>
      </c>
      <c r="L2840" s="127">
        <f>Price_List_BA!P141</f>
        <v>3.9195812807881798</v>
      </c>
    </row>
    <row r="2841" spans="4:12" s="348" customFormat="1" ht="12.75" hidden="1" customHeight="1" outlineLevel="2" x14ac:dyDescent="0.2">
      <c r="D2841" s="785" t="str">
        <f>Price_List_BA!D142</f>
        <v>Kidney Dish (ZM)</v>
      </c>
      <c r="E2841" s="786"/>
      <c r="F2841" s="786"/>
      <c r="G2841" s="786"/>
      <c r="J2841" s="127">
        <f>Price_List_BA!L142</f>
        <v>20</v>
      </c>
      <c r="K2841" s="127">
        <f>Price_List_BA!O142</f>
        <v>2.5</v>
      </c>
      <c r="L2841" s="127">
        <f>Price_List_BA!P142</f>
        <v>2.8491277765447851</v>
      </c>
    </row>
    <row r="2842" spans="4:12" s="348" customFormat="1" ht="12.75" hidden="1" customHeight="1" outlineLevel="2" x14ac:dyDescent="0.2">
      <c r="D2842" s="785" t="str">
        <f>Price_List_BA!D143</f>
        <v>Kidney Dish (UG)</v>
      </c>
      <c r="E2842" s="786"/>
      <c r="F2842" s="786"/>
      <c r="G2842" s="786"/>
      <c r="J2842" s="127">
        <f>Price_List_BA!L143</f>
        <v>4.1161000000000003</v>
      </c>
      <c r="K2842" s="127">
        <f>Price_List_BA!O143</f>
        <v>0.41161000000000003</v>
      </c>
      <c r="L2842" s="127">
        <f>Price_List_BA!P143</f>
        <v>0.4825324882374975</v>
      </c>
    </row>
    <row r="2843" spans="4:12" s="348" customFormat="1" ht="12.75" hidden="1" customHeight="1" outlineLevel="2" x14ac:dyDescent="0.2">
      <c r="D2843" s="785" t="str">
        <f>Price_List_BA!D144</f>
        <v>Lamp (UG)</v>
      </c>
      <c r="E2843" s="786"/>
      <c r="F2843" s="786"/>
      <c r="G2843" s="786"/>
      <c r="J2843" s="127">
        <f>Price_List_BA!L144</f>
        <v>49.744300000000003</v>
      </c>
      <c r="K2843" s="127">
        <f>Price_List_BA!O144</f>
        <v>4.9744299999999999</v>
      </c>
      <c r="L2843" s="127">
        <f>Price_List_BA!P144</f>
        <v>5.8315494897190421</v>
      </c>
    </row>
    <row r="2844" spans="4:12" s="348" customFormat="1" ht="12.95" hidden="1" customHeight="1" outlineLevel="2" x14ac:dyDescent="0.2">
      <c r="D2844" s="785" t="str">
        <f>Price_List_BA!D145</f>
        <v>Laptop / Desktop Computer (ZM)</v>
      </c>
      <c r="E2844" s="786"/>
      <c r="F2844" s="786"/>
      <c r="G2844" s="786"/>
      <c r="J2844" s="127">
        <f>Price_List_BA!L145</f>
        <v>1100</v>
      </c>
      <c r="K2844" s="127">
        <f>Price_List_BA!O145</f>
        <v>220</v>
      </c>
      <c r="L2844" s="127">
        <f>Price_List_BA!P145</f>
        <v>240.19002854063382</v>
      </c>
    </row>
    <row r="2845" spans="4:12" s="348" customFormat="1" ht="12.75" hidden="1" customHeight="1" outlineLevel="2" x14ac:dyDescent="0.2">
      <c r="D2845" s="785" t="str">
        <f>Price_List_BA!D146</f>
        <v>LEEP Equipment  (TZ)</v>
      </c>
      <c r="E2845" s="786"/>
      <c r="F2845" s="786"/>
      <c r="G2845" s="786"/>
      <c r="J2845" s="127">
        <f>Price_List_BA!L146</f>
        <v>11838.75</v>
      </c>
      <c r="K2845" s="127">
        <f>Price_List_BA!O146</f>
        <v>1479.84375</v>
      </c>
      <c r="L2845" s="127">
        <f>Price_List_BA!P146</f>
        <v>1686.5055732284786</v>
      </c>
    </row>
    <row r="2846" spans="4:12" s="348" customFormat="1" ht="12.75" hidden="1" customHeight="1" outlineLevel="2" x14ac:dyDescent="0.2">
      <c r="D2846" s="785" t="str">
        <f>Price_List_BA!D147</f>
        <v>LEEP machine plus smoke evacuator system plus accessories (ZM)</v>
      </c>
      <c r="E2846" s="786"/>
      <c r="F2846" s="786"/>
      <c r="G2846" s="786"/>
      <c r="J2846" s="127">
        <f>Price_List_BA!L147</f>
        <v>6000</v>
      </c>
      <c r="K2846" s="127">
        <f>Price_List_BA!O147</f>
        <v>666.66666666666663</v>
      </c>
      <c r="L2846" s="127">
        <f>Price_List_BA!P147</f>
        <v>770.60314210862055</v>
      </c>
    </row>
    <row r="2847" spans="4:12" s="348" customFormat="1" ht="12.75" hidden="1" customHeight="1" outlineLevel="2" x14ac:dyDescent="0.2">
      <c r="D2847" s="785" t="str">
        <f>Price_List_BA!D148</f>
        <v>LEEP machine  with coated speculums (UG)</v>
      </c>
      <c r="E2847" s="786"/>
      <c r="F2847" s="786"/>
      <c r="G2847" s="786"/>
      <c r="J2847" s="127">
        <f>Price_List_BA!L148</f>
        <v>5055</v>
      </c>
      <c r="K2847" s="127">
        <f>Price_List_BA!O148</f>
        <v>842.5</v>
      </c>
      <c r="L2847" s="127">
        <f>Price_List_BA!P148</f>
        <v>933.14036477564616</v>
      </c>
    </row>
    <row r="2848" spans="4:12" s="348" customFormat="1" ht="12.75" hidden="1" customHeight="1" outlineLevel="2" x14ac:dyDescent="0.2">
      <c r="D2848" s="785" t="str">
        <f>Price_List_BA!D149</f>
        <v>Lensmate SX 40 Filter Adapter 58mm (ZM)</v>
      </c>
      <c r="E2848" s="786"/>
      <c r="F2848" s="786"/>
      <c r="G2848" s="786"/>
      <c r="J2848" s="127">
        <f>Price_List_BA!L149</f>
        <v>100</v>
      </c>
      <c r="K2848" s="127">
        <f>Price_List_BA!O149</f>
        <v>25</v>
      </c>
      <c r="L2848" s="127">
        <f>Price_List_BA!P149</f>
        <v>26.902704519308259</v>
      </c>
    </row>
    <row r="2849" spans="4:12" s="348" customFormat="1" hidden="1" outlineLevel="2" x14ac:dyDescent="0.2">
      <c r="D2849" s="785" t="str">
        <f>Price_List_BA!D150</f>
        <v>Loop Electrodes - 5 mm x 5mm (Ellman) (ZM)</v>
      </c>
      <c r="E2849" s="786"/>
      <c r="F2849" s="786"/>
      <c r="G2849" s="786"/>
      <c r="J2849" s="127">
        <f>Price_List_BA!L150</f>
        <v>37.200000000000003</v>
      </c>
      <c r="K2849" s="127">
        <f>Price_List_BA!O150</f>
        <v>37.200000000000003</v>
      </c>
      <c r="L2849" s="127">
        <f>Price_List_BA!P150</f>
        <v>38.315999999999967</v>
      </c>
    </row>
    <row r="2850" spans="4:12" s="348" customFormat="1" hidden="1" outlineLevel="2" x14ac:dyDescent="0.2">
      <c r="D2850" s="785" t="str">
        <f>Price_List_BA!D151</f>
        <v>Loop Electrodes - 10 mm x 10mm (Ellman) (ZM)</v>
      </c>
      <c r="E2850" s="786"/>
      <c r="F2850" s="786"/>
      <c r="G2850" s="786"/>
      <c r="J2850" s="127">
        <f>Price_List_BA!L151</f>
        <v>37.200000000000003</v>
      </c>
      <c r="K2850" s="127">
        <f>Price_List_BA!O151</f>
        <v>37.200000000000003</v>
      </c>
      <c r="L2850" s="127">
        <f>Price_List_BA!P151</f>
        <v>38.315999999999967</v>
      </c>
    </row>
    <row r="2851" spans="4:12" s="348" customFormat="1" hidden="1" outlineLevel="2" x14ac:dyDescent="0.2">
      <c r="D2851" s="785" t="str">
        <f>Price_List_BA!D152</f>
        <v>Loop Electrodes - 20 mm x 8mm (Ellman) (ZM)</v>
      </c>
      <c r="E2851" s="786"/>
      <c r="F2851" s="786"/>
      <c r="G2851" s="786"/>
      <c r="J2851" s="127">
        <f>Price_List_BA!L152</f>
        <v>37.200000000000003</v>
      </c>
      <c r="K2851" s="127">
        <f>Price_List_BA!O152</f>
        <v>37.200000000000003</v>
      </c>
      <c r="L2851" s="127">
        <f>Price_List_BA!P152</f>
        <v>38.315999999999967</v>
      </c>
    </row>
    <row r="2852" spans="4:12" s="348" customFormat="1" hidden="1" outlineLevel="2" x14ac:dyDescent="0.2">
      <c r="D2852" s="785" t="str">
        <f>Price_List_BA!D153</f>
        <v>Loop Electrodes - 20 mm x 15mm (Ellman) (ZM)</v>
      </c>
      <c r="E2852" s="786"/>
      <c r="F2852" s="786"/>
      <c r="G2852" s="786"/>
      <c r="J2852" s="127">
        <f>Price_List_BA!L153</f>
        <v>37.200000000000003</v>
      </c>
      <c r="K2852" s="127">
        <f>Price_List_BA!O153</f>
        <v>37.200000000000003</v>
      </c>
      <c r="L2852" s="127">
        <f>Price_List_BA!P153</f>
        <v>38.315999999999967</v>
      </c>
    </row>
    <row r="2853" spans="4:12" s="348" customFormat="1" ht="12.75" hidden="1" customHeight="1" outlineLevel="2" x14ac:dyDescent="0.2">
      <c r="D2853" s="785" t="str">
        <f>Price_List_BA!D154</f>
        <v>Mackintosh (Plastic sheet for exam couch) (ZM)</v>
      </c>
      <c r="E2853" s="786"/>
      <c r="F2853" s="786"/>
      <c r="G2853" s="786"/>
      <c r="J2853" s="127">
        <f>Price_List_BA!L154</f>
        <v>20</v>
      </c>
      <c r="K2853" s="127">
        <f>Price_List_BA!O154</f>
        <v>10</v>
      </c>
      <c r="L2853" s="127">
        <f>Price_List_BA!P154</f>
        <v>10.452216748768478</v>
      </c>
    </row>
    <row r="2854" spans="4:12" s="348" customFormat="1" ht="12.75" hidden="1" customHeight="1" outlineLevel="2" x14ac:dyDescent="0.2">
      <c r="D2854" s="785" t="str">
        <f>Price_List_BA!D155</f>
        <v>Magnification Lens (ZM)</v>
      </c>
      <c r="E2854" s="786"/>
      <c r="F2854" s="786"/>
      <c r="G2854" s="786"/>
      <c r="J2854" s="127">
        <f>Price_List_BA!L155</f>
        <v>150</v>
      </c>
      <c r="K2854" s="127">
        <f>Price_List_BA!O155</f>
        <v>15</v>
      </c>
      <c r="L2854" s="127">
        <f>Price_List_BA!P155</f>
        <v>17.584575990773942</v>
      </c>
    </row>
    <row r="2855" spans="4:12" s="348" customFormat="1" ht="12.75" hidden="1" customHeight="1" outlineLevel="2" x14ac:dyDescent="0.2">
      <c r="D2855" s="785" t="str">
        <f>Price_List_BA!D156</f>
        <v>Medical Rubber Mackintosh Sheet (ZM)</v>
      </c>
      <c r="E2855" s="786"/>
      <c r="F2855" s="786"/>
      <c r="G2855" s="786"/>
      <c r="J2855" s="127">
        <f>Price_List_BA!L156</f>
        <v>30</v>
      </c>
      <c r="K2855" s="127">
        <f>Price_List_BA!O156</f>
        <v>3.3333333333333335</v>
      </c>
      <c r="L2855" s="127">
        <f>Price_List_BA!P156</f>
        <v>3.8530157105431031</v>
      </c>
    </row>
    <row r="2856" spans="4:12" s="348" customFormat="1" ht="12.75" hidden="1" customHeight="1" outlineLevel="2" x14ac:dyDescent="0.2">
      <c r="D2856" s="785" t="str">
        <f>Price_List_BA!D157</f>
        <v>Medical Rubber Mackintosh Sheet   (TZ)</v>
      </c>
      <c r="E2856" s="786"/>
      <c r="F2856" s="786"/>
      <c r="G2856" s="786"/>
      <c r="J2856" s="127">
        <f>Price_List_BA!L157</f>
        <v>46.875</v>
      </c>
      <c r="K2856" s="127">
        <f>Price_List_BA!O157</f>
        <v>9.375</v>
      </c>
      <c r="L2856" s="127">
        <f>Price_List_BA!P157</f>
        <v>10.235370534402009</v>
      </c>
    </row>
    <row r="2857" spans="4:12" s="348" customFormat="1" ht="12.75" hidden="1" customHeight="1" outlineLevel="2" x14ac:dyDescent="0.2">
      <c r="D2857" s="785" t="str">
        <f>Price_List_BA!D158</f>
        <v>Memory Card (ZM)</v>
      </c>
      <c r="E2857" s="786"/>
      <c r="F2857" s="786"/>
      <c r="G2857" s="786"/>
      <c r="J2857" s="127">
        <f>Price_List_BA!L158</f>
        <v>36</v>
      </c>
      <c r="K2857" s="127">
        <f>Price_List_BA!O158</f>
        <v>4.5</v>
      </c>
      <c r="L2857" s="127">
        <f>Price_List_BA!P158</f>
        <v>5.1284299977806134</v>
      </c>
    </row>
    <row r="2858" spans="4:12" s="348" customFormat="1" ht="12.75" hidden="1" customHeight="1" outlineLevel="2" x14ac:dyDescent="0.2">
      <c r="D2858" s="785" t="str">
        <f>Price_List_BA!D159</f>
        <v>Multi-Tip Cryo-Probe System with British adapter for NO2 includes gun, regulator, hose(2/3Tips included) (set) (ZM)</v>
      </c>
      <c r="E2858" s="786"/>
      <c r="F2858" s="786"/>
      <c r="G2858" s="786"/>
      <c r="J2858" s="127">
        <f>Price_List_BA!L159</f>
        <v>1800</v>
      </c>
      <c r="K2858" s="127">
        <f>Price_List_BA!O159</f>
        <v>360</v>
      </c>
      <c r="L2858" s="127">
        <f>Price_List_BA!P159</f>
        <v>393.03822852103718</v>
      </c>
    </row>
    <row r="2859" spans="4:12" s="348" customFormat="1" ht="12.75" hidden="1" customHeight="1" outlineLevel="2" x14ac:dyDescent="0.2">
      <c r="D2859" s="785" t="str">
        <f>Price_List_BA!D160</f>
        <v>Non-conducting speculum  Pederson  (ZM)</v>
      </c>
      <c r="E2859" s="786"/>
      <c r="F2859" s="786"/>
      <c r="G2859" s="786"/>
      <c r="J2859" s="127">
        <f>Price_List_BA!L160</f>
        <v>40</v>
      </c>
      <c r="K2859" s="127">
        <f>Price_List_BA!O160</f>
        <v>4.4444444444444446</v>
      </c>
      <c r="L2859" s="127">
        <f>Price_List_BA!P160</f>
        <v>5.1373542807241375</v>
      </c>
    </row>
    <row r="2860" spans="4:12" s="348" customFormat="1" ht="12.75" hidden="1" customHeight="1" outlineLevel="2" x14ac:dyDescent="0.2">
      <c r="D2860" s="785" t="str">
        <f>Price_List_BA!D161</f>
        <v>Non-conducting speculum (UG)</v>
      </c>
      <c r="E2860" s="786"/>
      <c r="F2860" s="786"/>
      <c r="G2860" s="786"/>
      <c r="J2860" s="127">
        <f>Price_List_BA!L161</f>
        <v>90</v>
      </c>
      <c r="K2860" s="127">
        <f>Price_List_BA!O161</f>
        <v>18</v>
      </c>
      <c r="L2860" s="127">
        <f>Price_List_BA!P161</f>
        <v>19.651911426051857</v>
      </c>
    </row>
    <row r="2861" spans="4:12" s="348" customFormat="1" ht="12.75" hidden="1" customHeight="1" outlineLevel="2" x14ac:dyDescent="0.2">
      <c r="D2861" s="785" t="str">
        <f>Price_List_BA!D162</f>
        <v>Nurses Table (ZM)</v>
      </c>
      <c r="E2861" s="786"/>
      <c r="F2861" s="786"/>
      <c r="G2861" s="786"/>
      <c r="J2861" s="127">
        <f>Price_List_BA!L162</f>
        <v>160</v>
      </c>
      <c r="K2861" s="127">
        <f>Price_List_BA!O162</f>
        <v>16</v>
      </c>
      <c r="L2861" s="127">
        <f>Price_List_BA!P162</f>
        <v>18.756881056825538</v>
      </c>
    </row>
    <row r="2862" spans="4:12" s="348" customFormat="1" ht="12.75" hidden="1" customHeight="1" outlineLevel="2" x14ac:dyDescent="0.2">
      <c r="D2862" s="785" t="str">
        <f>Price_List_BA!D163</f>
        <v>Pillow (ZM)</v>
      </c>
      <c r="E2862" s="786"/>
      <c r="F2862" s="786"/>
      <c r="G2862" s="786"/>
      <c r="J2862" s="127">
        <f>Price_List_BA!L163</f>
        <v>16</v>
      </c>
      <c r="K2862" s="127">
        <f>Price_List_BA!O163</f>
        <v>8</v>
      </c>
      <c r="L2862" s="127">
        <f>Price_List_BA!P163</f>
        <v>8.3617733990147833</v>
      </c>
    </row>
    <row r="2863" spans="4:12" s="348" customFormat="1" ht="12.75" hidden="1" customHeight="1" outlineLevel="2" x14ac:dyDescent="0.2">
      <c r="D2863" s="785" t="str">
        <f>Price_List_BA!D164</f>
        <v>Plastic apron (ZM)</v>
      </c>
      <c r="E2863" s="786"/>
      <c r="F2863" s="786"/>
      <c r="G2863" s="786"/>
      <c r="J2863" s="127">
        <f>Price_List_BA!L164</f>
        <v>5</v>
      </c>
      <c r="K2863" s="127">
        <f>Price_List_BA!O164</f>
        <v>1.6666666666666667</v>
      </c>
      <c r="L2863" s="127">
        <f>Price_List_BA!P164</f>
        <v>1.7676518166229902</v>
      </c>
    </row>
    <row r="2864" spans="4:12" s="348" customFormat="1" ht="12.75" hidden="1" customHeight="1" outlineLevel="2" x14ac:dyDescent="0.2">
      <c r="D2864" s="785" t="str">
        <f>Price_List_BA!D165</f>
        <v>Plastic apron  (TZ)</v>
      </c>
      <c r="E2864" s="786"/>
      <c r="F2864" s="786"/>
      <c r="G2864" s="786"/>
      <c r="J2864" s="127">
        <f>Price_List_BA!L165</f>
        <v>10.625</v>
      </c>
      <c r="K2864" s="127">
        <f>Price_List_BA!O165</f>
        <v>1.1805555555555556</v>
      </c>
      <c r="L2864" s="127">
        <f>Price_List_BA!P165</f>
        <v>1.364609730817349</v>
      </c>
    </row>
    <row r="2865" spans="4:12" s="348" customFormat="1" ht="12.75" hidden="1" customHeight="1" outlineLevel="2" x14ac:dyDescent="0.2">
      <c r="D2865" s="785" t="str">
        <f>Price_List_BA!D166</f>
        <v>Privacy screen (portable) (ZM)</v>
      </c>
      <c r="E2865" s="786"/>
      <c r="F2865" s="786"/>
      <c r="G2865" s="786"/>
      <c r="J2865" s="127">
        <f>Price_List_BA!L166</f>
        <v>18</v>
      </c>
      <c r="K2865" s="127">
        <f>Price_List_BA!O166</f>
        <v>2.5714285714285716</v>
      </c>
      <c r="L2865" s="127">
        <f>Price_List_BA!P166</f>
        <v>2.8891143675768967</v>
      </c>
    </row>
    <row r="2866" spans="4:12" s="348" customFormat="1" ht="12.75" hidden="1" customHeight="1" outlineLevel="2" x14ac:dyDescent="0.2">
      <c r="D2866" s="785" t="str">
        <f>Price_List_BA!D167</f>
        <v>Privacy screen (portable) (TZ)</v>
      </c>
      <c r="E2866" s="786"/>
      <c r="F2866" s="786"/>
      <c r="G2866" s="786"/>
      <c r="J2866" s="127">
        <f>Price_List_BA!L167</f>
        <v>106.25</v>
      </c>
      <c r="K2866" s="127">
        <f>Price_List_BA!O167</f>
        <v>53.125</v>
      </c>
      <c r="L2866" s="127">
        <f>Price_List_BA!P167</f>
        <v>55.527401477832541</v>
      </c>
    </row>
    <row r="2867" spans="4:12" s="348" customFormat="1" ht="12.75" hidden="1" customHeight="1" outlineLevel="2" x14ac:dyDescent="0.2">
      <c r="D2867" s="785" t="str">
        <f>Price_List_BA!D168</f>
        <v>Punch Biopsy Forceps  Titanium 10" (ZM)</v>
      </c>
      <c r="E2867" s="786"/>
      <c r="F2867" s="786"/>
      <c r="G2867" s="786"/>
      <c r="J2867" s="127">
        <f>Price_List_BA!L168</f>
        <v>215</v>
      </c>
      <c r="K2867" s="127">
        <f>Price_List_BA!O168</f>
        <v>53.75</v>
      </c>
      <c r="L2867" s="127">
        <f>Price_List_BA!P168</f>
        <v>57.840814716512753</v>
      </c>
    </row>
    <row r="2868" spans="4:12" s="348" customFormat="1" ht="12.75" hidden="1" customHeight="1" outlineLevel="2" x14ac:dyDescent="0.2">
      <c r="D2868" s="785" t="str">
        <f>Price_List_BA!D169</f>
        <v>Punch Biopsy Forceps (UG)</v>
      </c>
      <c r="E2868" s="786"/>
      <c r="F2868" s="786"/>
      <c r="G2868" s="786"/>
      <c r="J2868" s="127">
        <f>Price_List_BA!L169</f>
        <v>195</v>
      </c>
      <c r="K2868" s="127">
        <f>Price_List_BA!O169</f>
        <v>48.75</v>
      </c>
      <c r="L2868" s="127">
        <f>Price_List_BA!P169</f>
        <v>52.460273812651103</v>
      </c>
    </row>
    <row r="2869" spans="4:12" s="348" customFormat="1" ht="12.75" hidden="1" customHeight="1" outlineLevel="2" x14ac:dyDescent="0.2">
      <c r="D2869" s="785" t="str">
        <f>Price_List_BA!D170</f>
        <v>Radiotherapy Machine - intra-cavity ( internal)  (TZ)</v>
      </c>
      <c r="E2869" s="786"/>
      <c r="F2869" s="786"/>
      <c r="G2869" s="786"/>
      <c r="J2869" s="127">
        <f>Price_List_BA!L170</f>
        <v>125000</v>
      </c>
      <c r="K2869" s="127">
        <f>Price_List_BA!O170</f>
        <v>31250</v>
      </c>
      <c r="L2869" s="127">
        <f>Price_List_BA!P170</f>
        <v>33628.380649135324</v>
      </c>
    </row>
    <row r="2870" spans="4:12" s="348" customFormat="1" ht="12.75" hidden="1" customHeight="1" outlineLevel="2" x14ac:dyDescent="0.2">
      <c r="D2870" s="785" t="str">
        <f>Price_List_BA!D171</f>
        <v>Radiotherapy Machine - teletherapy (external) Cobalt-60  (TZ)</v>
      </c>
      <c r="E2870" s="786"/>
      <c r="F2870" s="786"/>
      <c r="G2870" s="786"/>
      <c r="J2870" s="127">
        <f>Price_List_BA!L171</f>
        <v>625000</v>
      </c>
      <c r="K2870" s="127">
        <f>Price_List_BA!O171</f>
        <v>78125</v>
      </c>
      <c r="L2870" s="127">
        <f>Price_List_BA!P171</f>
        <v>89035.243017024535</v>
      </c>
    </row>
    <row r="2871" spans="4:12" s="348" customFormat="1" ht="12.75" hidden="1" customHeight="1" outlineLevel="2" x14ac:dyDescent="0.2">
      <c r="D2871" s="785" t="str">
        <f>Price_List_BA!D172</f>
        <v>Radiotherapy Treatment Couch  (TZ)</v>
      </c>
      <c r="E2871" s="786"/>
      <c r="F2871" s="786"/>
      <c r="G2871" s="786"/>
      <c r="J2871" s="127">
        <f>Price_List_BA!L172</f>
        <v>93750</v>
      </c>
      <c r="K2871" s="127">
        <f>Price_List_BA!O172</f>
        <v>18750</v>
      </c>
      <c r="L2871" s="127">
        <f>Price_List_BA!P172</f>
        <v>20470.741068804018</v>
      </c>
    </row>
    <row r="2872" spans="4:12" s="348" customFormat="1" ht="12.75" hidden="1" customHeight="1" outlineLevel="2" x14ac:dyDescent="0.2">
      <c r="D2872" s="785" t="str">
        <f>Price_List_BA!D173</f>
        <v>Registration book, patient  (TZ)</v>
      </c>
      <c r="E2872" s="786"/>
      <c r="F2872" s="786"/>
      <c r="G2872" s="786"/>
      <c r="J2872" s="127">
        <f>Price_List_BA!L173</f>
        <v>2.1875</v>
      </c>
      <c r="K2872" s="127">
        <f>Price_List_BA!O173</f>
        <v>0.24305555555555555</v>
      </c>
      <c r="L2872" s="127">
        <f>Price_List_BA!P173</f>
        <v>0.28094906222710125</v>
      </c>
    </row>
    <row r="2873" spans="4:12" s="348" customFormat="1" hidden="1" outlineLevel="2" x14ac:dyDescent="0.2">
      <c r="D2873" s="785" t="str">
        <f>Price_List_BA!D174</f>
        <v>Retractor 3.5" Coated Lateral Wall (ZM)</v>
      </c>
      <c r="E2873" s="786"/>
      <c r="F2873" s="786"/>
      <c r="G2873" s="786"/>
      <c r="J2873" s="127">
        <f>Price_List_BA!L174</f>
        <v>165</v>
      </c>
      <c r="K2873" s="127">
        <f>Price_List_BA!O174</f>
        <v>33</v>
      </c>
      <c r="L2873" s="127">
        <f>Price_List_BA!P174</f>
        <v>36.028504281095074</v>
      </c>
    </row>
    <row r="2874" spans="4:12" s="348" customFormat="1" hidden="1" outlineLevel="2" x14ac:dyDescent="0.2">
      <c r="D2874" s="785" t="str">
        <f>Price_List_BA!D175</f>
        <v>Smoke evacuator (UG)</v>
      </c>
      <c r="E2874" s="786"/>
      <c r="F2874" s="786"/>
      <c r="G2874" s="786"/>
      <c r="J2874" s="127">
        <f>Price_List_BA!L175</f>
        <v>1990</v>
      </c>
      <c r="K2874" s="127">
        <f>Price_List_BA!O175</f>
        <v>497.5</v>
      </c>
      <c r="L2874" s="127">
        <f>Price_List_BA!P175</f>
        <v>535.36381993423436</v>
      </c>
    </row>
    <row r="2875" spans="4:12" s="348" customFormat="1" hidden="1" outlineLevel="2" x14ac:dyDescent="0.2">
      <c r="D2875" s="785" t="str">
        <f>Price_List_BA!D176</f>
        <v>Specimen Tube rack  (TZ)</v>
      </c>
      <c r="E2875" s="786"/>
      <c r="F2875" s="786"/>
      <c r="G2875" s="786"/>
      <c r="J2875" s="127">
        <f>Price_List_BA!L176</f>
        <v>10</v>
      </c>
      <c r="K2875" s="127">
        <f>Price_List_BA!O176</f>
        <v>5</v>
      </c>
      <c r="L2875" s="127">
        <f>Price_List_BA!P176</f>
        <v>5.2261083743842391</v>
      </c>
    </row>
    <row r="2876" spans="4:12" s="348" customFormat="1" hidden="1" outlineLevel="2" x14ac:dyDescent="0.2">
      <c r="D2876" s="785" t="str">
        <f>Price_List_BA!D177</f>
        <v>Speculum  (TZ)</v>
      </c>
      <c r="E2876" s="786"/>
      <c r="F2876" s="786"/>
      <c r="G2876" s="786"/>
      <c r="J2876" s="127">
        <f>Price_List_BA!L177</f>
        <v>18.75</v>
      </c>
      <c r="K2876" s="127">
        <f>Price_List_BA!O177</f>
        <v>1.875</v>
      </c>
      <c r="L2876" s="127">
        <f>Price_List_BA!P177</f>
        <v>2.1980719988467428</v>
      </c>
    </row>
    <row r="2877" spans="4:12" s="348" customFormat="1" hidden="1" outlineLevel="2" x14ac:dyDescent="0.2">
      <c r="D2877" s="785" t="str">
        <f>Price_List_BA!D178</f>
        <v>Speculum (reusable) (UG)</v>
      </c>
      <c r="E2877" s="786"/>
      <c r="F2877" s="786"/>
      <c r="G2877" s="786"/>
      <c r="J2877" s="127">
        <f>Price_List_BA!L178</f>
        <v>8.4809000000000001</v>
      </c>
      <c r="K2877" s="127">
        <f>Price_List_BA!O178</f>
        <v>0.94232222222222228</v>
      </c>
      <c r="L2877" s="127">
        <f>Price_List_BA!P178</f>
        <v>1.0892346979848335</v>
      </c>
    </row>
    <row r="2878" spans="4:12" s="348" customFormat="1" hidden="1" outlineLevel="2" x14ac:dyDescent="0.2">
      <c r="D2878" s="785" t="str">
        <f>Price_List_BA!D179</f>
        <v>Speculum (UG)</v>
      </c>
      <c r="E2878" s="786"/>
      <c r="F2878" s="786"/>
      <c r="G2878" s="786"/>
      <c r="J2878" s="127">
        <f>Price_List_BA!L179</f>
        <v>8.4809000000000001</v>
      </c>
      <c r="K2878" s="127">
        <f>Price_List_BA!O179</f>
        <v>1.0601125</v>
      </c>
      <c r="L2878" s="127">
        <f>Price_List_BA!P179</f>
        <v>1.2081583880049334</v>
      </c>
    </row>
    <row r="2879" spans="4:12" s="348" customFormat="1" hidden="1" outlineLevel="2" x14ac:dyDescent="0.2">
      <c r="D2879" s="785" t="str">
        <f>Price_List_BA!D180</f>
        <v>Speculum Graves' large  (ZM)</v>
      </c>
      <c r="E2879" s="786"/>
      <c r="F2879" s="786"/>
      <c r="G2879" s="786"/>
      <c r="J2879" s="127">
        <f>Price_List_BA!L180</f>
        <v>14</v>
      </c>
      <c r="K2879" s="127">
        <f>Price_List_BA!O180</f>
        <v>2.3333333333333335</v>
      </c>
      <c r="L2879" s="127">
        <f>Price_List_BA!P180</f>
        <v>2.5843650063024817</v>
      </c>
    </row>
    <row r="2880" spans="4:12" s="348" customFormat="1" hidden="1" outlineLevel="2" x14ac:dyDescent="0.2">
      <c r="D2880" s="785" t="str">
        <f>Price_List_BA!D181</f>
        <v>Speculum Graves' Medium (ZM)</v>
      </c>
      <c r="E2880" s="786"/>
      <c r="F2880" s="786"/>
      <c r="G2880" s="786"/>
      <c r="J2880" s="127">
        <f>Price_List_BA!L181</f>
        <v>14</v>
      </c>
      <c r="K2880" s="127">
        <f>Price_List_BA!O181</f>
        <v>2.3333333333333335</v>
      </c>
      <c r="L2880" s="127">
        <f>Price_List_BA!P181</f>
        <v>2.5843650063024817</v>
      </c>
    </row>
    <row r="2881" spans="4:12" s="348" customFormat="1" hidden="1" outlineLevel="2" x14ac:dyDescent="0.2">
      <c r="D2881" s="785" t="str">
        <f>Price_List_BA!D182</f>
        <v>Speculum  Graves'  Small (ZM)</v>
      </c>
      <c r="E2881" s="786"/>
      <c r="F2881" s="786"/>
      <c r="G2881" s="786"/>
      <c r="J2881" s="127">
        <f>Price_List_BA!L182</f>
        <v>14</v>
      </c>
      <c r="K2881" s="127">
        <f>Price_List_BA!O182</f>
        <v>4.666666666666667</v>
      </c>
      <c r="L2881" s="127">
        <f>Price_List_BA!P182</f>
        <v>4.9494250865443723</v>
      </c>
    </row>
    <row r="2882" spans="4:12" s="348" customFormat="1" ht="12.75" hidden="1" customHeight="1" outlineLevel="2" x14ac:dyDescent="0.2">
      <c r="D2882" s="785" t="str">
        <f>Price_List_BA!D183</f>
        <v>Speculum, endocervical (ZM)</v>
      </c>
      <c r="E2882" s="786"/>
      <c r="F2882" s="786"/>
      <c r="G2882" s="786"/>
      <c r="J2882" s="127">
        <f>Price_List_BA!L183</f>
        <v>50</v>
      </c>
      <c r="K2882" s="127">
        <f>Price_List_BA!O183</f>
        <v>16.666666666666668</v>
      </c>
      <c r="L2882" s="127">
        <f>Price_List_BA!P183</f>
        <v>17.676518166229901</v>
      </c>
    </row>
    <row r="2883" spans="4:12" s="348" customFormat="1" ht="12.75" hidden="1" customHeight="1" outlineLevel="2" x14ac:dyDescent="0.2">
      <c r="D2883" s="785" t="str">
        <f>Price_List_BA!D184</f>
        <v>Sponge holding forceps (UG)</v>
      </c>
      <c r="E2883" s="786"/>
      <c r="F2883" s="786"/>
      <c r="G2883" s="786"/>
      <c r="J2883" s="127">
        <f>Price_List_BA!L184</f>
        <v>8.1560000000000006</v>
      </c>
      <c r="K2883" s="127">
        <f>Price_List_BA!O184</f>
        <v>2.718666666666667</v>
      </c>
      <c r="L2883" s="127">
        <f>Price_List_BA!P184</f>
        <v>2.8833936432754217</v>
      </c>
    </row>
    <row r="2884" spans="4:12" s="348" customFormat="1" ht="12.75" hidden="1" customHeight="1" outlineLevel="2" x14ac:dyDescent="0.2">
      <c r="D2884" s="785" t="str">
        <f>Price_List_BA!D185</f>
        <v>Steel trolley (Two/three shelves) (ZM)</v>
      </c>
      <c r="E2884" s="786"/>
      <c r="F2884" s="786"/>
      <c r="G2884" s="786"/>
      <c r="J2884" s="127">
        <f>Price_List_BA!L185</f>
        <v>220</v>
      </c>
      <c r="K2884" s="127">
        <f>Price_List_BA!O185</f>
        <v>55</v>
      </c>
      <c r="L2884" s="127">
        <f>Price_List_BA!P185</f>
        <v>59.185949942478167</v>
      </c>
    </row>
    <row r="2885" spans="4:12" s="348" customFormat="1" ht="12.75" hidden="1" customHeight="1" outlineLevel="2" x14ac:dyDescent="0.2">
      <c r="D2885" s="785" t="str">
        <f>Price_List_BA!D186</f>
        <v>Step-on stool (ZM)</v>
      </c>
      <c r="E2885" s="786"/>
      <c r="F2885" s="786"/>
      <c r="G2885" s="786"/>
      <c r="J2885" s="127">
        <f>Price_List_BA!L186</f>
        <v>120</v>
      </c>
      <c r="K2885" s="127">
        <f>Price_List_BA!O186</f>
        <v>13.333333333333334</v>
      </c>
      <c r="L2885" s="127">
        <f>Price_List_BA!P186</f>
        <v>15.412062842172412</v>
      </c>
    </row>
    <row r="2886" spans="4:12" s="348" customFormat="1" ht="12.75" hidden="1" customHeight="1" outlineLevel="2" x14ac:dyDescent="0.2">
      <c r="D2886" s="785" t="str">
        <f>Price_List_BA!D187</f>
        <v>Sterilising Drum (ZM)</v>
      </c>
      <c r="E2886" s="786"/>
      <c r="F2886" s="786"/>
      <c r="G2886" s="786"/>
      <c r="J2886" s="127">
        <f>Price_List_BA!L187</f>
        <v>40</v>
      </c>
      <c r="K2886" s="127">
        <f>Price_List_BA!O187</f>
        <v>10</v>
      </c>
      <c r="L2886" s="127">
        <f>Price_List_BA!P187</f>
        <v>10.761081807723302</v>
      </c>
    </row>
    <row r="2887" spans="4:12" s="348" customFormat="1" ht="12.75" hidden="1" customHeight="1" outlineLevel="2" x14ac:dyDescent="0.2">
      <c r="D2887" s="785" t="str">
        <f>Price_List_BA!D188</f>
        <v>Sterilizer (UG)</v>
      </c>
      <c r="E2887" s="786"/>
      <c r="F2887" s="786"/>
      <c r="G2887" s="786"/>
      <c r="J2887" s="127">
        <f>Price_List_BA!L188</f>
        <v>1189.78</v>
      </c>
      <c r="K2887" s="127">
        <f>Price_List_BA!O188</f>
        <v>198.29666666666665</v>
      </c>
      <c r="L2887" s="127">
        <f>Price_List_BA!P188</f>
        <v>219.6304140856119</v>
      </c>
    </row>
    <row r="2888" spans="4:12" s="348" customFormat="1" ht="12.75" hidden="1" customHeight="1" outlineLevel="2" x14ac:dyDescent="0.2">
      <c r="D2888" s="785" t="str">
        <f>Price_List_BA!D189</f>
        <v>Television set (ZM)</v>
      </c>
      <c r="E2888" s="786"/>
      <c r="F2888" s="786"/>
      <c r="G2888" s="786"/>
      <c r="J2888" s="127">
        <f>Price_List_BA!L189</f>
        <v>200</v>
      </c>
      <c r="K2888" s="127">
        <f>Price_List_BA!O189</f>
        <v>66.666666666666671</v>
      </c>
      <c r="L2888" s="127">
        <f>Price_List_BA!P189</f>
        <v>70.706072664919603</v>
      </c>
    </row>
    <row r="2889" spans="4:12" s="348" customFormat="1" ht="12.75" hidden="1" customHeight="1" outlineLevel="2" x14ac:dyDescent="0.2">
      <c r="D2889" s="785" t="str">
        <f>Price_List_BA!D190</f>
        <v>Timer / wall clock (UG)</v>
      </c>
      <c r="E2889" s="786"/>
      <c r="F2889" s="786"/>
      <c r="G2889" s="786"/>
      <c r="J2889" s="127">
        <f>Price_List_BA!L190</f>
        <v>4.9939999999999998</v>
      </c>
      <c r="K2889" s="127">
        <f>Price_List_BA!O190</f>
        <v>1.2484999999999999</v>
      </c>
      <c r="L2889" s="127">
        <f>Price_List_BA!P190</f>
        <v>1.3435210636942543</v>
      </c>
    </row>
    <row r="2890" spans="4:12" s="348" customFormat="1" ht="12.75" hidden="1" customHeight="1" outlineLevel="2" x14ac:dyDescent="0.2">
      <c r="D2890" s="785" t="str">
        <f>Price_List_BA!D191</f>
        <v>Torch (UG)</v>
      </c>
      <c r="E2890" s="786"/>
      <c r="F2890" s="786"/>
      <c r="G2890" s="786"/>
      <c r="J2890" s="127">
        <f>Price_List_BA!L191</f>
        <v>39.595100000000002</v>
      </c>
      <c r="K2890" s="127">
        <f>Price_List_BA!O191</f>
        <v>4.3994555555555559</v>
      </c>
      <c r="L2890" s="127">
        <f>Price_List_BA!P191</f>
        <v>5.0853514120175074</v>
      </c>
    </row>
    <row r="2891" spans="4:12" s="348" customFormat="1" ht="12.75" hidden="1" customHeight="1" outlineLevel="2" x14ac:dyDescent="0.2">
      <c r="D2891" s="785" t="str">
        <f>Price_List_BA!D192</f>
        <v>Uterine Cervical Dilator (ZM)</v>
      </c>
      <c r="E2891" s="786"/>
      <c r="F2891" s="786"/>
      <c r="G2891" s="786"/>
      <c r="J2891" s="127">
        <f>Price_List_BA!L192</f>
        <v>30</v>
      </c>
      <c r="K2891" s="127">
        <f>Price_List_BA!O192</f>
        <v>4.2857142857142856</v>
      </c>
      <c r="L2891" s="127">
        <f>Price_List_BA!P192</f>
        <v>4.8151906126281609</v>
      </c>
    </row>
    <row r="2892" spans="4:12" s="348" customFormat="1" ht="12.75" hidden="1" customHeight="1" outlineLevel="2" x14ac:dyDescent="0.2">
      <c r="D2892" s="785" t="str">
        <f>Price_List_BA!D193</f>
        <v>Uterine Cervical Dilator  (TZ)</v>
      </c>
      <c r="E2892" s="786"/>
      <c r="F2892" s="786"/>
      <c r="G2892" s="786"/>
      <c r="J2892" s="127">
        <f>Price_List_BA!L193</f>
        <v>875</v>
      </c>
      <c r="K2892" s="127">
        <f>Price_List_BA!O193</f>
        <v>291.66666666666669</v>
      </c>
      <c r="L2892" s="127">
        <f>Price_List_BA!P193</f>
        <v>309.3390679090233</v>
      </c>
    </row>
    <row r="2893" spans="4:12" s="348" customFormat="1" ht="12.75" hidden="1" customHeight="1" outlineLevel="2" x14ac:dyDescent="0.2">
      <c r="D2893" s="785" t="str">
        <f>Price_List_BA!D194</f>
        <v>Uterine Probe (ZM)</v>
      </c>
      <c r="E2893" s="786"/>
      <c r="F2893" s="786"/>
      <c r="G2893" s="786"/>
      <c r="J2893" s="127">
        <f>Price_List_BA!L194</f>
        <v>46</v>
      </c>
      <c r="K2893" s="127">
        <f>Price_List_BA!O194</f>
        <v>5.1111111111111107</v>
      </c>
      <c r="L2893" s="127">
        <f>Price_List_BA!P194</f>
        <v>5.9079574228327578</v>
      </c>
    </row>
    <row r="2894" spans="4:12" s="348" customFormat="1" ht="12.75" hidden="1" customHeight="1" outlineLevel="2" x14ac:dyDescent="0.2">
      <c r="D2894" s="785" t="str">
        <f>Price_List_BA!D195</f>
        <v>Uterine Probe  (TZ)</v>
      </c>
      <c r="E2894" s="786"/>
      <c r="F2894" s="786"/>
      <c r="G2894" s="786"/>
      <c r="J2894" s="127">
        <f>Price_List_BA!L195</f>
        <v>43.75</v>
      </c>
      <c r="K2894" s="127">
        <f>Price_List_BA!O195</f>
        <v>4.8611111111111107</v>
      </c>
      <c r="L2894" s="127">
        <f>Price_List_BA!P195</f>
        <v>5.6189812445420255</v>
      </c>
    </row>
    <row r="2895" spans="4:12" s="348" customFormat="1" ht="12.75" hidden="1" customHeight="1" outlineLevel="2" x14ac:dyDescent="0.2">
      <c r="D2895" s="785" t="str">
        <f>Price_List_BA!D196</f>
        <v>Equipment Category 113</v>
      </c>
      <c r="E2895" s="786"/>
      <c r="F2895" s="786"/>
      <c r="G2895" s="786"/>
      <c r="J2895" s="127">
        <f>Price_List_BA!L196</f>
        <v>0</v>
      </c>
      <c r="K2895" s="127">
        <f>Price_List_BA!O196</f>
        <v>0</v>
      </c>
      <c r="L2895" s="127">
        <f>Price_List_BA!P196</f>
        <v>0</v>
      </c>
    </row>
    <row r="2896" spans="4:12" s="348" customFormat="1" ht="12.75" hidden="1" customHeight="1" outlineLevel="2" x14ac:dyDescent="0.2">
      <c r="D2896" s="785" t="str">
        <f>Price_List_BA!D197</f>
        <v>Equipment Category 114</v>
      </c>
      <c r="E2896" s="786"/>
      <c r="F2896" s="786"/>
      <c r="G2896" s="786"/>
      <c r="J2896" s="127">
        <f>Price_List_BA!L197</f>
        <v>0</v>
      </c>
      <c r="K2896" s="127">
        <f>Price_List_BA!O197</f>
        <v>0</v>
      </c>
      <c r="L2896" s="127">
        <f>Price_List_BA!P197</f>
        <v>0</v>
      </c>
    </row>
    <row r="2897" spans="4:12" s="348" customFormat="1" ht="12.75" hidden="1" customHeight="1" outlineLevel="2" x14ac:dyDescent="0.2">
      <c r="D2897" s="785" t="str">
        <f>Price_List_BA!D198</f>
        <v>Equipment Category 115</v>
      </c>
      <c r="E2897" s="786"/>
      <c r="F2897" s="786"/>
      <c r="G2897" s="786"/>
      <c r="J2897" s="127">
        <f>Price_List_BA!L198</f>
        <v>0</v>
      </c>
      <c r="K2897" s="127">
        <f>Price_List_BA!O198</f>
        <v>0</v>
      </c>
      <c r="L2897" s="127">
        <f>Price_List_BA!P198</f>
        <v>0</v>
      </c>
    </row>
    <row r="2898" spans="4:12" s="348" customFormat="1" ht="12.75" hidden="1" customHeight="1" outlineLevel="2" x14ac:dyDescent="0.2">
      <c r="D2898" s="785" t="str">
        <f>Price_List_BA!D199</f>
        <v>Equipment Category 116</v>
      </c>
      <c r="E2898" s="786"/>
      <c r="F2898" s="786"/>
      <c r="G2898" s="786"/>
      <c r="J2898" s="127">
        <f>Price_List_BA!L199</f>
        <v>0</v>
      </c>
      <c r="K2898" s="127">
        <f>Price_List_BA!O199</f>
        <v>0</v>
      </c>
      <c r="L2898" s="127">
        <f>Price_List_BA!P199</f>
        <v>0</v>
      </c>
    </row>
    <row r="2899" spans="4:12" s="348" customFormat="1" ht="12.75" hidden="1" customHeight="1" outlineLevel="2" x14ac:dyDescent="0.2">
      <c r="D2899" s="785" t="str">
        <f>Price_List_BA!D200</f>
        <v>Equipment Category 117</v>
      </c>
      <c r="E2899" s="786"/>
      <c r="F2899" s="786"/>
      <c r="G2899" s="786"/>
      <c r="J2899" s="127">
        <f>Price_List_BA!L200</f>
        <v>0</v>
      </c>
      <c r="K2899" s="127">
        <f>Price_List_BA!O200</f>
        <v>0</v>
      </c>
      <c r="L2899" s="127">
        <f>Price_List_BA!P200</f>
        <v>0</v>
      </c>
    </row>
    <row r="2900" spans="4:12" s="348" customFormat="1" ht="12.75" hidden="1" customHeight="1" outlineLevel="2" x14ac:dyDescent="0.2">
      <c r="D2900" s="785" t="str">
        <f>Price_List_BA!D201</f>
        <v>Equipment Category 118</v>
      </c>
      <c r="E2900" s="786"/>
      <c r="F2900" s="786"/>
      <c r="G2900" s="786"/>
      <c r="J2900" s="127">
        <f>Price_List_BA!L201</f>
        <v>0</v>
      </c>
      <c r="K2900" s="127">
        <f>Price_List_BA!O201</f>
        <v>0</v>
      </c>
      <c r="L2900" s="127">
        <f>Price_List_BA!P201</f>
        <v>0</v>
      </c>
    </row>
    <row r="2901" spans="4:12" s="348" customFormat="1" ht="12.75" hidden="1" customHeight="1" outlineLevel="2" x14ac:dyDescent="0.2">
      <c r="D2901" s="785" t="str">
        <f>Price_List_BA!D202</f>
        <v>Equipment Category 119</v>
      </c>
      <c r="E2901" s="786"/>
      <c r="F2901" s="786"/>
      <c r="G2901" s="786"/>
      <c r="J2901" s="127">
        <f>Price_List_BA!L202</f>
        <v>0</v>
      </c>
      <c r="K2901" s="127">
        <f>Price_List_BA!O202</f>
        <v>0</v>
      </c>
      <c r="L2901" s="127">
        <f>Price_List_BA!P202</f>
        <v>0</v>
      </c>
    </row>
    <row r="2902" spans="4:12" s="348" customFormat="1" ht="12.75" hidden="1" customHeight="1" outlineLevel="2" x14ac:dyDescent="0.2">
      <c r="D2902" s="785" t="str">
        <f>Price_List_BA!D203</f>
        <v>Equipment Category 120</v>
      </c>
      <c r="E2902" s="786"/>
      <c r="F2902" s="786"/>
      <c r="G2902" s="786"/>
      <c r="J2902" s="127">
        <f>Price_List_BA!L203</f>
        <v>0</v>
      </c>
      <c r="K2902" s="127">
        <f>Price_List_BA!O203</f>
        <v>0</v>
      </c>
      <c r="L2902" s="127">
        <f>Price_List_BA!P203</f>
        <v>0</v>
      </c>
    </row>
    <row r="2903" spans="4:12" s="348" customFormat="1" ht="12.75" hidden="1" customHeight="1" outlineLevel="2" x14ac:dyDescent="0.2">
      <c r="D2903" s="785" t="str">
        <f>Price_List_BA!D204</f>
        <v>Equipment Category 121</v>
      </c>
      <c r="E2903" s="786"/>
      <c r="F2903" s="786"/>
      <c r="G2903" s="786"/>
      <c r="J2903" s="127">
        <f>Price_List_BA!L204</f>
        <v>0</v>
      </c>
      <c r="K2903" s="127">
        <f>Price_List_BA!O204</f>
        <v>0</v>
      </c>
      <c r="L2903" s="127">
        <f>Price_List_BA!P204</f>
        <v>0</v>
      </c>
    </row>
    <row r="2904" spans="4:12" s="348" customFormat="1" ht="12.75" hidden="1" customHeight="1" outlineLevel="2" x14ac:dyDescent="0.2">
      <c r="D2904" s="785" t="str">
        <f>Price_List_BA!D205</f>
        <v>Equipment Category 122</v>
      </c>
      <c r="E2904" s="786"/>
      <c r="F2904" s="786"/>
      <c r="G2904" s="786"/>
      <c r="J2904" s="127">
        <f>Price_List_BA!L205</f>
        <v>0</v>
      </c>
      <c r="K2904" s="127">
        <f>Price_List_BA!O205</f>
        <v>0</v>
      </c>
      <c r="L2904" s="127">
        <f>Price_List_BA!P205</f>
        <v>0</v>
      </c>
    </row>
    <row r="2905" spans="4:12" s="348" customFormat="1" ht="12.75" hidden="1" customHeight="1" outlineLevel="2" x14ac:dyDescent="0.2">
      <c r="D2905" s="785" t="str">
        <f>Price_List_BA!D206</f>
        <v>Equipment Category 123</v>
      </c>
      <c r="E2905" s="786"/>
      <c r="F2905" s="786"/>
      <c r="G2905" s="786"/>
      <c r="J2905" s="127">
        <f>Price_List_BA!L206</f>
        <v>0</v>
      </c>
      <c r="K2905" s="127">
        <f>Price_List_BA!O206</f>
        <v>0</v>
      </c>
      <c r="L2905" s="127">
        <f>Price_List_BA!P206</f>
        <v>0</v>
      </c>
    </row>
    <row r="2906" spans="4:12" s="348" customFormat="1" hidden="1" outlineLevel="2" x14ac:dyDescent="0.2"/>
    <row r="2907" spans="4:12" s="348" customFormat="1" ht="25.5" hidden="1" outlineLevel="2" x14ac:dyDescent="0.2">
      <c r="D2907" s="667" t="s">
        <v>186</v>
      </c>
      <c r="L2907" s="312" t="str">
        <f>"Cost per Unit ("&amp;$I$2545&amp;"/Unit)"</f>
        <v>Cost per Unit (USD/Unit)</v>
      </c>
    </row>
    <row r="2908" spans="4:12" s="348" customFormat="1" ht="12.95" hidden="1" customHeight="1" outlineLevel="2" x14ac:dyDescent="0.2">
      <c r="D2908" s="785" t="str">
        <f>Price_List_BA!D381</f>
        <v>_Not Applicable</v>
      </c>
      <c r="E2908" s="786"/>
      <c r="F2908" s="786"/>
      <c r="G2908" s="786"/>
      <c r="L2908" s="127">
        <f>Price_List_BA!L381</f>
        <v>0</v>
      </c>
    </row>
    <row r="2909" spans="4:12" s="348" customFormat="1" ht="12.75" hidden="1" customHeight="1" outlineLevel="2" x14ac:dyDescent="0.2">
      <c r="D2909" s="785" t="str">
        <f>Price_List_BA!D382</f>
        <v>Biopsy Pathology (ZM)</v>
      </c>
      <c r="E2909" s="786"/>
      <c r="F2909" s="786"/>
      <c r="G2909" s="786"/>
      <c r="L2909" s="127">
        <f>Price_List_BA!L382</f>
        <v>10.45</v>
      </c>
    </row>
    <row r="2910" spans="4:12" s="348" customFormat="1" ht="12.75" hidden="1" customHeight="1" outlineLevel="2" x14ac:dyDescent="0.2">
      <c r="D2910" s="785" t="str">
        <f>Price_List_BA!D383</f>
        <v>Blood chemistry (TZ)</v>
      </c>
      <c r="E2910" s="786"/>
      <c r="F2910" s="786"/>
      <c r="G2910" s="786"/>
      <c r="L2910" s="127">
        <f>Price_List_BA!L383</f>
        <v>21.875</v>
      </c>
    </row>
    <row r="2911" spans="4:12" s="348" customFormat="1" ht="12.75" hidden="1" customHeight="1" outlineLevel="2" x14ac:dyDescent="0.2">
      <c r="D2911" s="785" t="str">
        <f>Price_List_BA!D384</f>
        <v>Blood slide for malaria (TZ)</v>
      </c>
      <c r="E2911" s="786"/>
      <c r="F2911" s="786"/>
      <c r="G2911" s="786"/>
      <c r="L2911" s="127">
        <f>Price_List_BA!L384</f>
        <v>1.25</v>
      </c>
    </row>
    <row r="2912" spans="4:12" s="348" customFormat="1" ht="12.75" hidden="1" customHeight="1" outlineLevel="2" x14ac:dyDescent="0.2">
      <c r="D2912" s="785" t="str">
        <f>Price_List_BA!D385</f>
        <v>CareHPV test (TZ)</v>
      </c>
      <c r="E2912" s="786"/>
      <c r="F2912" s="786"/>
      <c r="G2912" s="786"/>
      <c r="L2912" s="127">
        <f>Price_List_BA!L385</f>
        <v>5</v>
      </c>
    </row>
    <row r="2913" spans="4:12" s="348" customFormat="1" ht="12.75" hidden="1" customHeight="1" outlineLevel="2" x14ac:dyDescent="0.2">
      <c r="D2913" s="785" t="str">
        <f>Price_List_BA!D386</f>
        <v>Chest X-ray (ZM)</v>
      </c>
      <c r="E2913" s="786"/>
      <c r="F2913" s="786"/>
      <c r="G2913" s="786"/>
      <c r="L2913" s="127">
        <f>Price_List_BA!L386</f>
        <v>1.67</v>
      </c>
    </row>
    <row r="2914" spans="4:12" s="348" customFormat="1" ht="12.75" hidden="1" customHeight="1" outlineLevel="2" x14ac:dyDescent="0.2">
      <c r="D2914" s="785" t="str">
        <f>Price_List_BA!D387</f>
        <v>Chest x-ray (TZ)</v>
      </c>
      <c r="E2914" s="786"/>
      <c r="F2914" s="786"/>
      <c r="G2914" s="786"/>
      <c r="L2914" s="127">
        <f>Price_List_BA!L387</f>
        <v>3.75</v>
      </c>
    </row>
    <row r="2915" spans="4:12" s="348" customFormat="1" ht="12.75" hidden="1" customHeight="1" outlineLevel="2" x14ac:dyDescent="0.2">
      <c r="D2915" s="785" t="str">
        <f>Price_List_BA!D388</f>
        <v>Full Blood Count (ZM)</v>
      </c>
      <c r="E2915" s="786"/>
      <c r="F2915" s="786"/>
      <c r="G2915" s="786"/>
      <c r="L2915" s="127">
        <f>Price_List_BA!L388</f>
        <v>2.5</v>
      </c>
    </row>
    <row r="2916" spans="4:12" s="348" customFormat="1" ht="12.75" hidden="1" customHeight="1" outlineLevel="2" x14ac:dyDescent="0.2">
      <c r="D2916" s="785" t="str">
        <f>Price_List_BA!D389</f>
        <v>Full blood picture (TZ)</v>
      </c>
      <c r="E2916" s="786"/>
      <c r="F2916" s="786"/>
      <c r="G2916" s="786"/>
      <c r="L2916" s="127">
        <f>Price_List_BA!L389</f>
        <v>6.25</v>
      </c>
    </row>
    <row r="2917" spans="4:12" s="348" customFormat="1" ht="12.75" hidden="1" customHeight="1" outlineLevel="2" x14ac:dyDescent="0.2">
      <c r="D2917" s="785" t="str">
        <f>Price_List_BA!D390</f>
        <v>Grouping, X matching (TZ)</v>
      </c>
      <c r="E2917" s="786"/>
      <c r="F2917" s="786"/>
      <c r="G2917" s="786"/>
      <c r="L2917" s="127">
        <f>Price_List_BA!L390</f>
        <v>1.875</v>
      </c>
    </row>
    <row r="2918" spans="4:12" s="348" customFormat="1" ht="12.75" hidden="1" customHeight="1" outlineLevel="2" x14ac:dyDescent="0.2">
      <c r="D2918" s="785" t="str">
        <f>Price_List_BA!D391</f>
        <v>Haemoglobin (TZ)</v>
      </c>
      <c r="E2918" s="786"/>
      <c r="F2918" s="786"/>
      <c r="G2918" s="786"/>
      <c r="L2918" s="127">
        <f>Price_List_BA!L391</f>
        <v>0.625</v>
      </c>
    </row>
    <row r="2919" spans="4:12" s="348" customFormat="1" ht="12.75" hidden="1" customHeight="1" outlineLevel="2" x14ac:dyDescent="0.2">
      <c r="D2919" s="785" t="str">
        <f>Price_List_BA!D392</f>
        <v>Histopathology (TZ)</v>
      </c>
      <c r="E2919" s="786"/>
      <c r="F2919" s="786"/>
      <c r="G2919" s="786"/>
      <c r="L2919" s="127">
        <f>Price_List_BA!L392</f>
        <v>31.25</v>
      </c>
    </row>
    <row r="2920" spans="4:12" s="348" customFormat="1" ht="12.75" hidden="1" customHeight="1" outlineLevel="2" x14ac:dyDescent="0.2">
      <c r="D2920" s="785" t="str">
        <f>Price_List_BA!D393</f>
        <v>Home Care (Day) (TZ)</v>
      </c>
      <c r="E2920" s="786"/>
      <c r="F2920" s="786"/>
      <c r="G2920" s="786"/>
      <c r="L2920" s="127">
        <f>Price_List_BA!L393</f>
        <v>12.5</v>
      </c>
    </row>
    <row r="2921" spans="4:12" s="348" customFormat="1" ht="12.75" hidden="1" customHeight="1" outlineLevel="2" x14ac:dyDescent="0.2">
      <c r="D2921" s="785" t="str">
        <f>Price_List_BA!D394</f>
        <v>Hospital Stay (Bed Day) (TZ)</v>
      </c>
      <c r="E2921" s="786"/>
      <c r="F2921" s="786"/>
      <c r="G2921" s="786"/>
      <c r="L2921" s="127">
        <f>Price_List_BA!L394</f>
        <v>18.75</v>
      </c>
    </row>
    <row r="2922" spans="4:12" s="348" customFormat="1" ht="12.95" hidden="1" customHeight="1" outlineLevel="2" x14ac:dyDescent="0.2">
      <c r="D2922" s="785" t="str">
        <f>Price_List_BA!D395</f>
        <v>Hysterectomy Pathology (ZM)</v>
      </c>
      <c r="E2922" s="786"/>
      <c r="F2922" s="786"/>
      <c r="G2922" s="786"/>
      <c r="L2922" s="127">
        <f>Price_List_BA!L395</f>
        <v>135.77000000000001</v>
      </c>
    </row>
    <row r="2923" spans="4:12" s="348" customFormat="1" ht="12.95" hidden="1" customHeight="1" outlineLevel="2" x14ac:dyDescent="0.2">
      <c r="D2923" s="785" t="str">
        <f>Price_List_BA!D396</f>
        <v>LEEP Pathology (ZM)</v>
      </c>
      <c r="E2923" s="786"/>
      <c r="F2923" s="786"/>
      <c r="G2923" s="786"/>
      <c r="L2923" s="127">
        <f>Price_List_BA!L396</f>
        <v>62.66</v>
      </c>
    </row>
    <row r="2924" spans="4:12" s="348" customFormat="1" ht="12.75" hidden="1" customHeight="1" outlineLevel="2" x14ac:dyDescent="0.2">
      <c r="D2924" s="785" t="str">
        <f>Price_List_BA!D397</f>
        <v>Liver Function (ZM)</v>
      </c>
      <c r="E2924" s="786"/>
      <c r="F2924" s="786"/>
      <c r="G2924" s="786"/>
      <c r="L2924" s="127">
        <f>Price_List_BA!L397</f>
        <v>6.67</v>
      </c>
    </row>
    <row r="2925" spans="4:12" s="348" customFormat="1" ht="12.75" hidden="1" customHeight="1" outlineLevel="2" x14ac:dyDescent="0.2">
      <c r="D2925" s="785" t="str">
        <f>Price_List_BA!D398</f>
        <v>Planning x-ray (TZ)</v>
      </c>
      <c r="E2925" s="786"/>
      <c r="F2925" s="786"/>
      <c r="G2925" s="786"/>
      <c r="L2925" s="127">
        <f>Price_List_BA!L398</f>
        <v>3.75</v>
      </c>
    </row>
    <row r="2926" spans="4:12" s="348" customFormat="1" ht="12.75" hidden="1" customHeight="1" outlineLevel="2" x14ac:dyDescent="0.2">
      <c r="D2926" s="785" t="str">
        <f>Price_List_BA!D399</f>
        <v>Renal Function (ZM)</v>
      </c>
      <c r="E2926" s="786"/>
      <c r="F2926" s="786"/>
      <c r="G2926" s="786"/>
      <c r="L2926" s="127">
        <f>Price_List_BA!L399</f>
        <v>3.33</v>
      </c>
    </row>
    <row r="2927" spans="4:12" s="348" customFormat="1" ht="12.75" hidden="1" customHeight="1" outlineLevel="2" x14ac:dyDescent="0.2">
      <c r="D2927" s="785" t="str">
        <f>Price_List_BA!D400</f>
        <v>Ultrasound (ZM)</v>
      </c>
      <c r="E2927" s="786"/>
      <c r="F2927" s="786"/>
      <c r="G2927" s="786"/>
      <c r="L2927" s="127">
        <f>Price_List_BA!L400</f>
        <v>4.17</v>
      </c>
    </row>
    <row r="2928" spans="4:12" s="348" customFormat="1" ht="12.75" hidden="1" customHeight="1" outlineLevel="2" x14ac:dyDescent="0.2">
      <c r="D2928" s="785" t="str">
        <f>Price_List_BA!D401</f>
        <v>ultrasound (abdominal &amp; pelvic) (TZ)</v>
      </c>
      <c r="E2928" s="786"/>
      <c r="F2928" s="786"/>
      <c r="G2928" s="786"/>
      <c r="L2928" s="127">
        <f>Price_List_BA!L401</f>
        <v>15.625</v>
      </c>
    </row>
    <row r="2929" spans="3:12" s="348" customFormat="1" ht="12.75" hidden="1" customHeight="1" outlineLevel="2" x14ac:dyDescent="0.2">
      <c r="D2929" s="785" t="str">
        <f>Price_List_BA!D402</f>
        <v>Urine/stool test (TZ)</v>
      </c>
      <c r="E2929" s="786"/>
      <c r="F2929" s="786"/>
      <c r="G2929" s="786"/>
      <c r="L2929" s="127">
        <f>Price_List_BA!L402</f>
        <v>2.5</v>
      </c>
    </row>
    <row r="2930" spans="3:12" s="348" customFormat="1" hidden="1" outlineLevel="2" x14ac:dyDescent="0.2">
      <c r="D2930" s="785" t="str">
        <f>Price_List_BA!D403</f>
        <v>Lab Tests &amp; Other Direct Costs Category 23</v>
      </c>
      <c r="E2930" s="786"/>
      <c r="F2930" s="786"/>
      <c r="G2930" s="786"/>
      <c r="L2930" s="127">
        <f>Price_List_BA!L403</f>
        <v>0</v>
      </c>
    </row>
    <row r="2931" spans="3:12" s="348" customFormat="1" hidden="1" outlineLevel="2" x14ac:dyDescent="0.2">
      <c r="D2931" s="785" t="str">
        <f>Price_List_BA!D404</f>
        <v>Lab Tests &amp; Other Direct Costs Category 24</v>
      </c>
      <c r="E2931" s="786"/>
      <c r="F2931" s="786"/>
      <c r="G2931" s="786"/>
      <c r="L2931" s="127">
        <f>Price_List_BA!L404</f>
        <v>0</v>
      </c>
    </row>
    <row r="2932" spans="3:12" s="348" customFormat="1" hidden="1" outlineLevel="2" x14ac:dyDescent="0.2">
      <c r="D2932" s="785" t="str">
        <f>Price_List_BA!D405</f>
        <v>Lab Tests &amp; Other Direct Costs Category 25</v>
      </c>
      <c r="E2932" s="786"/>
      <c r="F2932" s="786"/>
      <c r="G2932" s="786"/>
      <c r="L2932" s="127">
        <f>Price_List_BA!L405</f>
        <v>0</v>
      </c>
    </row>
    <row r="2933" spans="3:12" s="348" customFormat="1" hidden="1" outlineLevel="2" x14ac:dyDescent="0.2">
      <c r="D2933" s="785" t="str">
        <f>Price_List_BA!D406</f>
        <v>Lab Tests &amp; Other Direct Costs Category 26</v>
      </c>
      <c r="E2933" s="786"/>
      <c r="F2933" s="786"/>
      <c r="G2933" s="786"/>
      <c r="L2933" s="127">
        <f>Price_List_BA!L406</f>
        <v>0</v>
      </c>
    </row>
    <row r="2934" spans="3:12" s="348" customFormat="1" hidden="1" outlineLevel="2" x14ac:dyDescent="0.2">
      <c r="D2934" s="785" t="str">
        <f>Price_List_BA!D407</f>
        <v>Lab Tests &amp; Other Direct Costs Category 27</v>
      </c>
      <c r="E2934" s="786"/>
      <c r="F2934" s="786"/>
      <c r="G2934" s="786"/>
      <c r="L2934" s="127">
        <f>Price_List_BA!L407</f>
        <v>0</v>
      </c>
    </row>
    <row r="2935" spans="3:12" s="348" customFormat="1" hidden="1" outlineLevel="2" x14ac:dyDescent="0.2">
      <c r="D2935" s="785" t="str">
        <f>Price_List_BA!D408</f>
        <v>Lab Tests &amp; Other Direct Costs Category 28</v>
      </c>
      <c r="E2935" s="786"/>
      <c r="F2935" s="786"/>
      <c r="G2935" s="786"/>
      <c r="L2935" s="127">
        <f>Price_List_BA!L408</f>
        <v>0</v>
      </c>
    </row>
    <row r="2936" spans="3:12" s="348" customFormat="1" hidden="1" outlineLevel="2" x14ac:dyDescent="0.2">
      <c r="D2936" s="785" t="str">
        <f>Price_List_BA!D409</f>
        <v>Lab Tests &amp; Other Direct Costs Category 29</v>
      </c>
      <c r="E2936" s="786"/>
      <c r="F2936" s="786"/>
      <c r="G2936" s="786"/>
      <c r="L2936" s="127">
        <f>Price_List_BA!L409</f>
        <v>0</v>
      </c>
    </row>
    <row r="2937" spans="3:12" s="348" customFormat="1" hidden="1" outlineLevel="2" x14ac:dyDescent="0.2">
      <c r="D2937" s="785" t="str">
        <f>Price_List_BA!D410</f>
        <v>Lab Tests &amp; Other Direct Costs Category 30</v>
      </c>
      <c r="E2937" s="786"/>
      <c r="F2937" s="786"/>
      <c r="G2937" s="786"/>
      <c r="L2937" s="127">
        <f>Price_List_BA!L410</f>
        <v>0</v>
      </c>
    </row>
    <row r="2938" spans="3:12" s="348" customFormat="1" hidden="1" outlineLevel="2" x14ac:dyDescent="0.2">
      <c r="D2938" s="785" t="str">
        <f>Price_List_BA!D411</f>
        <v>Lab Tests &amp; Other Direct Costs Category 31</v>
      </c>
      <c r="E2938" s="786"/>
      <c r="F2938" s="786"/>
      <c r="G2938" s="786"/>
      <c r="L2938" s="127">
        <f>Price_List_BA!L411</f>
        <v>0</v>
      </c>
    </row>
    <row r="2939" spans="3:12" s="348" customFormat="1" hidden="1" outlineLevel="2" x14ac:dyDescent="0.2">
      <c r="D2939" s="785" t="str">
        <f>Price_List_BA!D412</f>
        <v>Lab Tests &amp; Other Direct Costs Category 32</v>
      </c>
      <c r="E2939" s="786"/>
      <c r="F2939" s="786"/>
      <c r="G2939" s="786"/>
      <c r="L2939" s="127">
        <f>Price_List_BA!L412</f>
        <v>0</v>
      </c>
    </row>
    <row r="2940" spans="3:12" s="348" customFormat="1" ht="12.75" hidden="1" customHeight="1" outlineLevel="2" x14ac:dyDescent="0.2">
      <c r="D2940" s="785" t="str">
        <f>Price_List_BA!D413</f>
        <v>Last ODC Row</v>
      </c>
      <c r="E2940" s="786"/>
      <c r="F2940" s="786"/>
      <c r="G2940" s="786"/>
      <c r="L2940" s="127">
        <f>Price_List_BA!L413</f>
        <v>0</v>
      </c>
    </row>
    <row r="2941" spans="3:12" s="348" customFormat="1" hidden="1" outlineLevel="2" collapsed="1" x14ac:dyDescent="0.2"/>
    <row r="2942" spans="3:12" s="348" customFormat="1" hidden="1" outlineLevel="2" x14ac:dyDescent="0.2">
      <c r="D2942" s="671" t="s">
        <v>312</v>
      </c>
      <c r="I2942" s="130">
        <f>IF(ISERROR(SUM(U$2437:U$2443,U$2455:U$2457,U$2470:U$2481,U$2494:U$2500,U$2513:U$2518,U2545)),1,MIN(SUM(U$2437:U$2443,U$2455:U$2457,U$2470:U$2481,U$2494:U$2500,U$2513:U$2518,U2545),1))</f>
        <v>0</v>
      </c>
    </row>
    <row r="2943" spans="3:12" s="348" customFormat="1" collapsed="1" x14ac:dyDescent="0.2">
      <c r="C2943" s="671" t="s">
        <v>23</v>
      </c>
      <c r="I2943" s="131">
        <f>IF(ISERROR(SUM(I2942)),1,MIN(SUM(I2942),1))</f>
        <v>0</v>
      </c>
    </row>
    <row r="2944" spans="3:12" s="348" customFormat="1" x14ac:dyDescent="0.2"/>
    <row r="2945" spans="2:14" s="348" customFormat="1" x14ac:dyDescent="0.2">
      <c r="C2945" s="722" t="str">
        <f>"Go to "&amp;HL_Intv_5_Ann_Ass</f>
        <v>Go to Intervention Services - Annual Assumptions</v>
      </c>
      <c r="D2945" s="777"/>
      <c r="E2945" s="777"/>
      <c r="F2945" s="777"/>
      <c r="G2945" s="777"/>
      <c r="H2945" s="777"/>
      <c r="I2945" s="777"/>
    </row>
    <row r="2946" spans="2:14" s="348" customFormat="1" x14ac:dyDescent="0.2">
      <c r="C2946" s="722" t="str">
        <f>"Go to "&amp;HL_Intv_5_Out</f>
        <v>Go to Surgery (Radical Hysterectomy plus Stump Removal)</v>
      </c>
      <c r="D2946" s="777"/>
      <c r="E2946" s="777"/>
      <c r="F2946" s="777"/>
      <c r="G2946" s="777"/>
      <c r="H2946" s="777"/>
      <c r="I2946" s="777"/>
    </row>
    <row r="2947" spans="2:14" s="348" customFormat="1" x14ac:dyDescent="0.2"/>
    <row r="2948" spans="2:14" s="348" customFormat="1" x14ac:dyDescent="0.2"/>
    <row r="2949" spans="2:14" s="348" customFormat="1" ht="18.75" x14ac:dyDescent="0.2">
      <c r="B2949" s="424" t="str">
        <f>G2951</f>
        <v>Palliative Care</v>
      </c>
    </row>
    <row r="2950" spans="2:14" s="348" customFormat="1" x14ac:dyDescent="0.2"/>
    <row r="2951" spans="2:14" s="348" customFormat="1" x14ac:dyDescent="0.2">
      <c r="C2951" s="671" t="s">
        <v>77</v>
      </c>
      <c r="G2951" s="721" t="s">
        <v>1776</v>
      </c>
      <c r="H2951" s="721"/>
      <c r="I2951" s="721"/>
      <c r="J2951" s="721"/>
    </row>
    <row r="2952" spans="2:14" s="348" customFormat="1" x14ac:dyDescent="0.2">
      <c r="C2952" s="671" t="s">
        <v>79</v>
      </c>
      <c r="G2952" s="721" t="s">
        <v>1777</v>
      </c>
      <c r="H2952" s="721"/>
      <c r="I2952" s="721"/>
      <c r="J2952" s="721"/>
    </row>
    <row r="2953" spans="2:14" s="348" customFormat="1" x14ac:dyDescent="0.2">
      <c r="L2953" s="671" t="s">
        <v>1712</v>
      </c>
    </row>
    <row r="2954" spans="2:14" s="348" customFormat="1" x14ac:dyDescent="0.2">
      <c r="C2954" s="802" t="s">
        <v>815</v>
      </c>
      <c r="D2954" s="803"/>
      <c r="E2954" s="803"/>
      <c r="F2954" s="803"/>
      <c r="G2954" s="803"/>
      <c r="H2954" s="803"/>
      <c r="I2954" s="803"/>
      <c r="J2954" s="313">
        <f>IFERROR(INDEX($J$2958:$J$2964,MATCH($G$2952,$C$2958:$C$2964,0))+INDEX($J$2968:$J$2973,MATCH($G$2952,$C$2968:$C$2973,0)),0)</f>
        <v>5.3699999999999998E-3</v>
      </c>
    </row>
    <row r="2955" spans="2:14" s="348" customFormat="1" x14ac:dyDescent="0.2">
      <c r="C2955" s="671" t="s">
        <v>142</v>
      </c>
      <c r="J2955" s="413">
        <v>0.5</v>
      </c>
      <c r="L2955" s="721"/>
      <c r="M2955" s="721"/>
      <c r="N2955" s="721"/>
    </row>
    <row r="2956" spans="2:14" s="348" customFormat="1" hidden="1" outlineLevel="1" x14ac:dyDescent="0.2"/>
    <row r="2957" spans="2:14" s="348" customFormat="1" ht="15" hidden="1" outlineLevel="1" x14ac:dyDescent="0.2">
      <c r="C2957" s="667" t="s">
        <v>270</v>
      </c>
      <c r="J2957" s="671" t="s">
        <v>779</v>
      </c>
    </row>
    <row r="2958" spans="2:14" s="348" customFormat="1" hidden="1" outlineLevel="1" x14ac:dyDescent="0.2">
      <c r="C2958" s="668" t="str">
        <f>Reg_Pop_Ann_TA!D57</f>
        <v>BIOP-H</v>
      </c>
      <c r="J2958" s="303">
        <f>Reg_Pop_Ann_TA!H57</f>
        <v>0.01</v>
      </c>
    </row>
    <row r="2959" spans="2:14" s="348" customFormat="1" hidden="1" outlineLevel="1" x14ac:dyDescent="0.2">
      <c r="C2959" s="668" t="str">
        <f>Reg_Pop_Ann_TA!D58</f>
        <v>Cryo -SV</v>
      </c>
      <c r="J2959" s="303">
        <f>Reg_Pop_Ann_TA!H58</f>
        <v>0.106</v>
      </c>
    </row>
    <row r="2960" spans="2:14" s="348" customFormat="1" hidden="1" outlineLevel="1" x14ac:dyDescent="0.2">
      <c r="C2960" s="668" t="str">
        <f>Reg_Pop_Ann_TA!D59</f>
        <v>LEEP with BIOP-H</v>
      </c>
      <c r="J2960" s="303">
        <f>Reg_Pop_Ann_TA!H59</f>
        <v>6.3E-2</v>
      </c>
    </row>
    <row r="2961" spans="3:10" s="348" customFormat="1" hidden="1" outlineLevel="1" x14ac:dyDescent="0.2">
      <c r="C2961" s="668" t="str">
        <f>Reg_Pop_Ann_TA!D60</f>
        <v>SURG</v>
      </c>
      <c r="J2961" s="303">
        <f>Reg_Pop_Ann_TA!H60</f>
        <v>0</v>
      </c>
    </row>
    <row r="2962" spans="3:10" s="348" customFormat="1" hidden="1" outlineLevel="1" x14ac:dyDescent="0.2">
      <c r="C2962" s="668" t="str">
        <f>Reg_Pop_Ann_TA!D61</f>
        <v>Chemo</v>
      </c>
      <c r="J2962" s="303">
        <f>Reg_Pop_Ann_TA!H61</f>
        <v>0</v>
      </c>
    </row>
    <row r="2963" spans="3:10" s="348" customFormat="1" hidden="1" outlineLevel="1" x14ac:dyDescent="0.2">
      <c r="C2963" s="668" t="str">
        <f>Reg_Pop_Ann_TA!D62</f>
        <v>RADIO</v>
      </c>
      <c r="J2963" s="303">
        <f>Reg_Pop_Ann_TA!H62</f>
        <v>0</v>
      </c>
    </row>
    <row r="2964" spans="3:10" s="348" customFormat="1" hidden="1" outlineLevel="1" x14ac:dyDescent="0.2">
      <c r="C2964" s="668" t="str">
        <f>Reg_Pop_Ann_TA!D63</f>
        <v>PALL</v>
      </c>
      <c r="J2964" s="303">
        <f>Reg_Pop_Ann_TA!H63</f>
        <v>0</v>
      </c>
    </row>
    <row r="2965" spans="3:10" s="348" customFormat="1" ht="15" hidden="1" outlineLevel="1" x14ac:dyDescent="0.2">
      <c r="C2965" s="667" t="s">
        <v>781</v>
      </c>
      <c r="J2965" s="303">
        <f>SUM(J2958:J2964)</f>
        <v>0.17899999999999999</v>
      </c>
    </row>
    <row r="2966" spans="3:10" s="348" customFormat="1" hidden="1" outlineLevel="1" x14ac:dyDescent="0.2"/>
    <row r="2967" spans="3:10" s="348" customFormat="1" ht="15" hidden="1" outlineLevel="1" x14ac:dyDescent="0.2">
      <c r="C2967" s="667" t="s">
        <v>270</v>
      </c>
      <c r="J2967" s="671" t="s">
        <v>780</v>
      </c>
    </row>
    <row r="2968" spans="3:10" s="348" customFormat="1" hidden="1" outlineLevel="1" x14ac:dyDescent="0.2">
      <c r="C2968" s="668" t="str">
        <f>Reg_Pop_Ann_TA!D80</f>
        <v>Cryo -SV</v>
      </c>
      <c r="J2968" s="313">
        <f>Reg_Pop_Ann_TA!I80</f>
        <v>0</v>
      </c>
    </row>
    <row r="2969" spans="3:10" s="348" customFormat="1" hidden="1" outlineLevel="1" x14ac:dyDescent="0.2">
      <c r="C2969" s="668" t="str">
        <f>Reg_Pop_Ann_TA!D81</f>
        <v>LEEP with BIOP-H</v>
      </c>
      <c r="J2969" s="313">
        <f>Reg_Pop_Ann_TA!I81</f>
        <v>0</v>
      </c>
    </row>
    <row r="2970" spans="3:10" s="348" customFormat="1" hidden="1" outlineLevel="1" x14ac:dyDescent="0.2">
      <c r="C2970" s="668" t="str">
        <f>Reg_Pop_Ann_TA!D82</f>
        <v>SURG</v>
      </c>
      <c r="J2970" s="313">
        <f>Reg_Pop_Ann_TA!I82</f>
        <v>7.1599999999999997E-3</v>
      </c>
    </row>
    <row r="2971" spans="3:10" s="348" customFormat="1" hidden="1" outlineLevel="1" x14ac:dyDescent="0.2">
      <c r="C2971" s="668" t="str">
        <f>Reg_Pop_Ann_TA!D83</f>
        <v>Chemo</v>
      </c>
      <c r="J2971" s="313">
        <f>Reg_Pop_Ann_TA!I83</f>
        <v>8.9499999999999996E-3</v>
      </c>
    </row>
    <row r="2972" spans="3:10" s="348" customFormat="1" hidden="1" outlineLevel="1" x14ac:dyDescent="0.2">
      <c r="C2972" s="668" t="str">
        <f>Reg_Pop_Ann_TA!D84</f>
        <v>RADIO</v>
      </c>
      <c r="J2972" s="313">
        <f>Reg_Pop_Ann_TA!I84</f>
        <v>8.9499999999999996E-3</v>
      </c>
    </row>
    <row r="2973" spans="3:10" s="348" customFormat="1" hidden="1" outlineLevel="1" x14ac:dyDescent="0.2">
      <c r="C2973" s="668" t="str">
        <f>Reg_Pop_Ann_TA!D85</f>
        <v>PALL</v>
      </c>
      <c r="J2973" s="313">
        <f>Reg_Pop_Ann_TA!I85</f>
        <v>5.3699999999999998E-3</v>
      </c>
    </row>
    <row r="2974" spans="3:10" s="348" customFormat="1" ht="15" hidden="1" outlineLevel="1" x14ac:dyDescent="0.2">
      <c r="C2974" s="667" t="s">
        <v>782</v>
      </c>
      <c r="J2974" s="304">
        <f>SUM(J2968:J2973)</f>
        <v>3.0429999999999999E-2</v>
      </c>
    </row>
    <row r="2975" spans="3:10" s="348" customFormat="1" hidden="1" outlineLevel="1" x14ac:dyDescent="0.2"/>
    <row r="2976" spans="3:10" s="348" customFormat="1" collapsed="1" x14ac:dyDescent="0.2"/>
    <row r="2977" spans="2:16" s="348" customFormat="1" ht="15.75" x14ac:dyDescent="0.2">
      <c r="B2977" s="124" t="str">
        <f>"Annual Capacity per Service Unit - "&amp;Intv_6_Short_Code</f>
        <v>Annual Capacity per Service Unit - PALL</v>
      </c>
    </row>
    <row r="2978" spans="2:16" s="348" customFormat="1" x14ac:dyDescent="0.2"/>
    <row r="2979" spans="2:16" s="348" customFormat="1" ht="38.25" x14ac:dyDescent="0.2">
      <c r="C2979" s="671" t="s">
        <v>1752</v>
      </c>
      <c r="H2979" s="676" t="s">
        <v>1746</v>
      </c>
      <c r="I2979" s="676" t="s">
        <v>1747</v>
      </c>
      <c r="J2979" s="676" t="s">
        <v>1749</v>
      </c>
      <c r="K2979" s="676" t="s">
        <v>1748</v>
      </c>
      <c r="L2979" s="676" t="s">
        <v>1750</v>
      </c>
      <c r="N2979" s="800" t="s">
        <v>1759</v>
      </c>
      <c r="O2979" s="801"/>
      <c r="P2979" s="801"/>
    </row>
    <row r="2980" spans="2:16" s="348" customFormat="1" x14ac:dyDescent="0.2">
      <c r="D2980" s="668" t="str">
        <f>Labels_BA!D16</f>
        <v>Central Referral Hospital</v>
      </c>
      <c r="H2980" s="494">
        <v>220</v>
      </c>
      <c r="I2980" s="494">
        <v>8</v>
      </c>
      <c r="J2980" s="494">
        <v>60</v>
      </c>
      <c r="K2980" s="494">
        <v>150</v>
      </c>
      <c r="L2980" s="487">
        <f>IFERROR((H2980*I2980*J2980)/K2980,0)</f>
        <v>704</v>
      </c>
      <c r="N2980" s="721" t="s">
        <v>1873</v>
      </c>
      <c r="O2980" s="721"/>
      <c r="P2980" s="721"/>
    </row>
    <row r="2981" spans="2:16" s="348" customFormat="1" x14ac:dyDescent="0.2">
      <c r="D2981" s="668" t="str">
        <f>Labels_BA!E16</f>
        <v>Provincial Hospital</v>
      </c>
      <c r="H2981" s="494">
        <v>0</v>
      </c>
      <c r="I2981" s="494">
        <v>0</v>
      </c>
      <c r="J2981" s="494">
        <v>0</v>
      </c>
      <c r="K2981" s="494">
        <v>0</v>
      </c>
      <c r="L2981" s="487">
        <f>IFERROR((H2981*I2981*J2981)/K2981,0)</f>
        <v>0</v>
      </c>
      <c r="N2981" s="721"/>
      <c r="O2981" s="721"/>
      <c r="P2981" s="721"/>
    </row>
    <row r="2982" spans="2:16" s="348" customFormat="1" x14ac:dyDescent="0.2">
      <c r="D2982" s="668" t="str">
        <f>Labels_BA!F16</f>
        <v>District Hospital</v>
      </c>
      <c r="H2982" s="494">
        <v>0</v>
      </c>
      <c r="I2982" s="494">
        <v>0</v>
      </c>
      <c r="J2982" s="494">
        <v>0</v>
      </c>
      <c r="K2982" s="494">
        <v>0</v>
      </c>
      <c r="L2982" s="487">
        <f>IFERROR((H2982*I2982*J2982)/K2982,0)</f>
        <v>0</v>
      </c>
      <c r="N2982" s="721"/>
      <c r="O2982" s="721"/>
      <c r="P2982" s="721"/>
    </row>
    <row r="2983" spans="2:16" s="348" customFormat="1" x14ac:dyDescent="0.2"/>
    <row r="2984" spans="2:16" s="348" customFormat="1" x14ac:dyDescent="0.2">
      <c r="C2984" s="671" t="s">
        <v>1751</v>
      </c>
    </row>
    <row r="2985" spans="2:16" s="348" customFormat="1" x14ac:dyDescent="0.2">
      <c r="D2985" s="668" t="str">
        <f>Labels_BA!G16</f>
        <v>Fixed Health Clinic</v>
      </c>
      <c r="H2985" s="494">
        <v>0</v>
      </c>
      <c r="I2985" s="494">
        <v>0</v>
      </c>
      <c r="J2985" s="494">
        <v>0</v>
      </c>
      <c r="K2985" s="494">
        <v>0</v>
      </c>
      <c r="L2985" s="487">
        <f t="shared" ref="L2985:L2991" si="59">IFERROR((H2985*I2985*J2985)/K2985,0)</f>
        <v>0</v>
      </c>
      <c r="N2985" s="721"/>
      <c r="O2985" s="721"/>
      <c r="P2985" s="721"/>
    </row>
    <row r="2986" spans="2:16" s="348" customFormat="1" x14ac:dyDescent="0.2">
      <c r="D2986" s="668" t="str">
        <f>Labels_BA!H16</f>
        <v>PCI Mobile Health Team</v>
      </c>
      <c r="H2986" s="494">
        <v>0</v>
      </c>
      <c r="I2986" s="494">
        <v>0</v>
      </c>
      <c r="J2986" s="494">
        <v>0</v>
      </c>
      <c r="K2986" s="494">
        <v>0</v>
      </c>
      <c r="L2986" s="487">
        <f t="shared" si="59"/>
        <v>0</v>
      </c>
      <c r="N2986" s="721"/>
      <c r="O2986" s="721"/>
      <c r="P2986" s="721"/>
    </row>
    <row r="2987" spans="2:16" s="348" customFormat="1" x14ac:dyDescent="0.2">
      <c r="D2987" s="668" t="str">
        <f>Labels_BA!I16</f>
        <v>Gov't Mobile Health Team (Hospital)</v>
      </c>
      <c r="H2987" s="494">
        <v>0</v>
      </c>
      <c r="I2987" s="494">
        <v>0</v>
      </c>
      <c r="J2987" s="494">
        <v>0</v>
      </c>
      <c r="K2987" s="494">
        <v>0</v>
      </c>
      <c r="L2987" s="487">
        <f t="shared" si="59"/>
        <v>0</v>
      </c>
      <c r="N2987" s="721"/>
      <c r="O2987" s="721"/>
      <c r="P2987" s="721"/>
    </row>
    <row r="2988" spans="2:16" s="348" customFormat="1" x14ac:dyDescent="0.2">
      <c r="D2988" s="668" t="str">
        <f>Labels_BA!J16</f>
        <v>CIDRZ Mobile Health Team</v>
      </c>
      <c r="H2988" s="494">
        <v>0</v>
      </c>
      <c r="I2988" s="494">
        <v>0</v>
      </c>
      <c r="J2988" s="494">
        <v>0</v>
      </c>
      <c r="K2988" s="494">
        <v>0</v>
      </c>
      <c r="L2988" s="487">
        <f t="shared" si="59"/>
        <v>0</v>
      </c>
      <c r="N2988" s="721"/>
      <c r="O2988" s="721"/>
      <c r="P2988" s="721"/>
    </row>
    <row r="2989" spans="2:16" s="348" customFormat="1" x14ac:dyDescent="0.2">
      <c r="D2989" s="668" t="str">
        <f>Labels_BA!K16</f>
        <v>Facility Type 8</v>
      </c>
      <c r="H2989" s="494">
        <v>0</v>
      </c>
      <c r="I2989" s="494">
        <v>0</v>
      </c>
      <c r="J2989" s="494">
        <v>0</v>
      </c>
      <c r="K2989" s="494">
        <v>0</v>
      </c>
      <c r="L2989" s="487">
        <f t="shared" si="59"/>
        <v>0</v>
      </c>
      <c r="N2989" s="721"/>
      <c r="O2989" s="721"/>
      <c r="P2989" s="721"/>
    </row>
    <row r="2990" spans="2:16" s="348" customFormat="1" x14ac:dyDescent="0.2">
      <c r="D2990" s="668" t="str">
        <f>Labels_BA!L16</f>
        <v>Facility Type 9</v>
      </c>
      <c r="H2990" s="494">
        <v>0</v>
      </c>
      <c r="I2990" s="494">
        <v>0</v>
      </c>
      <c r="J2990" s="494">
        <v>0</v>
      </c>
      <c r="K2990" s="494">
        <v>0</v>
      </c>
      <c r="L2990" s="487">
        <f t="shared" si="59"/>
        <v>0</v>
      </c>
      <c r="N2990" s="721"/>
      <c r="O2990" s="721"/>
      <c r="P2990" s="721"/>
    </row>
    <row r="2991" spans="2:16" s="348" customFormat="1" x14ac:dyDescent="0.2">
      <c r="D2991" s="668" t="str">
        <f>Labels_BA!M16</f>
        <v>Facility Type 10</v>
      </c>
      <c r="H2991" s="494">
        <v>0</v>
      </c>
      <c r="I2991" s="494">
        <v>0</v>
      </c>
      <c r="J2991" s="494">
        <v>0</v>
      </c>
      <c r="K2991" s="494">
        <v>0</v>
      </c>
      <c r="L2991" s="487">
        <f t="shared" si="59"/>
        <v>0</v>
      </c>
      <c r="N2991" s="721"/>
      <c r="O2991" s="721"/>
      <c r="P2991" s="721"/>
    </row>
    <row r="2992" spans="2:16" s="348" customFormat="1" x14ac:dyDescent="0.2"/>
    <row r="2993" spans="2:14" s="348" customFormat="1" x14ac:dyDescent="0.2">
      <c r="D2993" s="671" t="s">
        <v>1754</v>
      </c>
    </row>
    <row r="2994" spans="2:14" s="348" customFormat="1" x14ac:dyDescent="0.2">
      <c r="E2994" s="721"/>
      <c r="F2994" s="721"/>
      <c r="G2994" s="721"/>
      <c r="H2994" s="721"/>
      <c r="I2994" s="721"/>
      <c r="J2994" s="721"/>
      <c r="K2994" s="721"/>
      <c r="L2994" s="721"/>
    </row>
    <row r="2995" spans="2:14" s="348" customFormat="1" x14ac:dyDescent="0.2">
      <c r="E2995" s="721"/>
      <c r="F2995" s="721"/>
      <c r="G2995" s="721"/>
      <c r="H2995" s="721"/>
      <c r="I2995" s="721"/>
      <c r="J2995" s="721"/>
      <c r="K2995" s="721"/>
      <c r="L2995" s="721"/>
    </row>
    <row r="2996" spans="2:14" s="348" customFormat="1" x14ac:dyDescent="0.2">
      <c r="E2996" s="721"/>
      <c r="F2996" s="721"/>
      <c r="G2996" s="721"/>
      <c r="H2996" s="721"/>
      <c r="I2996" s="721"/>
      <c r="J2996" s="721"/>
      <c r="K2996" s="721"/>
      <c r="L2996" s="721"/>
    </row>
    <row r="2997" spans="2:14" s="348" customFormat="1" x14ac:dyDescent="0.2">
      <c r="E2997" s="721"/>
      <c r="F2997" s="721"/>
      <c r="G2997" s="721"/>
      <c r="H2997" s="721"/>
      <c r="I2997" s="721"/>
      <c r="J2997" s="721"/>
      <c r="K2997" s="721"/>
      <c r="L2997" s="721"/>
    </row>
    <row r="2998" spans="2:14" s="348" customFormat="1" x14ac:dyDescent="0.2">
      <c r="E2998" s="721"/>
      <c r="F2998" s="721"/>
      <c r="G2998" s="721"/>
      <c r="H2998" s="721"/>
      <c r="I2998" s="721"/>
      <c r="J2998" s="721"/>
      <c r="K2998" s="721"/>
      <c r="L2998" s="721"/>
    </row>
    <row r="2999" spans="2:14" s="348" customFormat="1" x14ac:dyDescent="0.2">
      <c r="E2999" s="721"/>
      <c r="F2999" s="721"/>
      <c r="G2999" s="721"/>
      <c r="H2999" s="721"/>
      <c r="I2999" s="721"/>
      <c r="J2999" s="721"/>
      <c r="K2999" s="721"/>
      <c r="L2999" s="721"/>
    </row>
    <row r="3000" spans="2:14" s="348" customFormat="1" x14ac:dyDescent="0.2"/>
    <row r="3001" spans="2:14" s="348" customFormat="1" ht="15.75" x14ac:dyDescent="0.2">
      <c r="B3001" s="124" t="str">
        <f>"Pre-existing Equipment and Supplies per Service Unit - "&amp;Intv_6_Short_Code</f>
        <v>Pre-existing Equipment and Supplies per Service Unit - PALL</v>
      </c>
    </row>
    <row r="3002" spans="2:14" s="348" customFormat="1" x14ac:dyDescent="0.2"/>
    <row r="3003" spans="2:14" s="348" customFormat="1" x14ac:dyDescent="0.2">
      <c r="D3003" s="671" t="s">
        <v>846</v>
      </c>
      <c r="K3003" s="671" t="s">
        <v>847</v>
      </c>
    </row>
    <row r="3004" spans="2:14" s="348" customFormat="1" x14ac:dyDescent="0.2">
      <c r="D3004" s="737"/>
      <c r="E3004" s="738"/>
      <c r="F3004" s="738"/>
      <c r="G3004" s="738"/>
      <c r="H3004" s="738"/>
      <c r="I3004" s="739"/>
      <c r="J3004" s="372">
        <v>0</v>
      </c>
      <c r="K3004" s="737"/>
      <c r="L3004" s="738"/>
      <c r="M3004" s="738"/>
      <c r="N3004" s="739"/>
    </row>
    <row r="3005" spans="2:14" s="348" customFormat="1" x14ac:dyDescent="0.2">
      <c r="D3005" s="737"/>
      <c r="E3005" s="738"/>
      <c r="F3005" s="738"/>
      <c r="G3005" s="738"/>
      <c r="H3005" s="738"/>
      <c r="I3005" s="739"/>
      <c r="J3005" s="372">
        <v>0</v>
      </c>
      <c r="K3005" s="737"/>
      <c r="L3005" s="738"/>
      <c r="M3005" s="738"/>
      <c r="N3005" s="739"/>
    </row>
    <row r="3006" spans="2:14" s="348" customFormat="1" x14ac:dyDescent="0.2">
      <c r="D3006" s="737"/>
      <c r="E3006" s="738"/>
      <c r="F3006" s="738"/>
      <c r="G3006" s="738"/>
      <c r="H3006" s="738"/>
      <c r="I3006" s="739"/>
      <c r="J3006" s="372">
        <v>0</v>
      </c>
      <c r="K3006" s="737"/>
      <c r="L3006" s="738"/>
      <c r="M3006" s="738"/>
      <c r="N3006" s="739"/>
    </row>
    <row r="3007" spans="2:14" s="348" customFormat="1" x14ac:dyDescent="0.2">
      <c r="D3007" s="737"/>
      <c r="E3007" s="738"/>
      <c r="F3007" s="738"/>
      <c r="G3007" s="738"/>
      <c r="H3007" s="738"/>
      <c r="I3007" s="739"/>
      <c r="J3007" s="372">
        <v>0</v>
      </c>
      <c r="K3007" s="737"/>
      <c r="L3007" s="738"/>
      <c r="M3007" s="738"/>
      <c r="N3007" s="739"/>
    </row>
    <row r="3008" spans="2:14" s="348" customFormat="1" x14ac:dyDescent="0.2">
      <c r="D3008" s="737"/>
      <c r="E3008" s="738"/>
      <c r="F3008" s="738"/>
      <c r="G3008" s="738"/>
      <c r="H3008" s="738"/>
      <c r="I3008" s="739"/>
      <c r="J3008" s="372">
        <v>0</v>
      </c>
      <c r="K3008" s="737"/>
      <c r="L3008" s="738"/>
      <c r="M3008" s="738"/>
      <c r="N3008" s="739"/>
    </row>
    <row r="3009" spans="4:14" s="348" customFormat="1" x14ac:dyDescent="0.2">
      <c r="D3009" s="737"/>
      <c r="E3009" s="738"/>
      <c r="F3009" s="738"/>
      <c r="G3009" s="738"/>
      <c r="H3009" s="738"/>
      <c r="I3009" s="739"/>
      <c r="J3009" s="372">
        <v>0</v>
      </c>
      <c r="K3009" s="737"/>
      <c r="L3009" s="738"/>
      <c r="M3009" s="738"/>
      <c r="N3009" s="739"/>
    </row>
    <row r="3010" spans="4:14" s="348" customFormat="1" x14ac:dyDescent="0.2">
      <c r="D3010" s="737"/>
      <c r="E3010" s="738"/>
      <c r="F3010" s="738"/>
      <c r="G3010" s="738"/>
      <c r="H3010" s="738"/>
      <c r="I3010" s="739"/>
      <c r="J3010" s="372">
        <v>0</v>
      </c>
      <c r="K3010" s="737"/>
      <c r="L3010" s="738"/>
      <c r="M3010" s="738"/>
      <c r="N3010" s="739"/>
    </row>
    <row r="3011" spans="4:14" s="348" customFormat="1" x14ac:dyDescent="0.2">
      <c r="D3011" s="737"/>
      <c r="E3011" s="738"/>
      <c r="F3011" s="738"/>
      <c r="G3011" s="738"/>
      <c r="H3011" s="738"/>
      <c r="I3011" s="739"/>
      <c r="J3011" s="372">
        <v>0</v>
      </c>
      <c r="K3011" s="737"/>
      <c r="L3011" s="738"/>
      <c r="M3011" s="738"/>
      <c r="N3011" s="739"/>
    </row>
    <row r="3012" spans="4:14" s="348" customFormat="1" x14ac:dyDescent="0.2">
      <c r="D3012" s="737"/>
      <c r="E3012" s="738"/>
      <c r="F3012" s="738"/>
      <c r="G3012" s="738"/>
      <c r="H3012" s="738"/>
      <c r="I3012" s="739"/>
      <c r="J3012" s="372">
        <v>0</v>
      </c>
      <c r="K3012" s="737"/>
      <c r="L3012" s="738"/>
      <c r="M3012" s="738"/>
      <c r="N3012" s="739"/>
    </row>
    <row r="3013" spans="4:14" s="348" customFormat="1" x14ac:dyDescent="0.2">
      <c r="D3013" s="737"/>
      <c r="E3013" s="738"/>
      <c r="F3013" s="738"/>
      <c r="G3013" s="738"/>
      <c r="H3013" s="738"/>
      <c r="I3013" s="739"/>
      <c r="J3013" s="372">
        <v>0</v>
      </c>
      <c r="K3013" s="737"/>
      <c r="L3013" s="738"/>
      <c r="M3013" s="738"/>
      <c r="N3013" s="739"/>
    </row>
    <row r="3014" spans="4:14" s="348" customFormat="1" x14ac:dyDescent="0.2">
      <c r="D3014" s="737"/>
      <c r="E3014" s="738"/>
      <c r="F3014" s="738"/>
      <c r="G3014" s="738"/>
      <c r="H3014" s="738"/>
      <c r="I3014" s="739"/>
      <c r="J3014" s="372">
        <v>0</v>
      </c>
      <c r="K3014" s="737"/>
      <c r="L3014" s="738"/>
      <c r="M3014" s="738"/>
      <c r="N3014" s="739"/>
    </row>
    <row r="3015" spans="4:14" s="348" customFormat="1" x14ac:dyDescent="0.2">
      <c r="D3015" s="737"/>
      <c r="E3015" s="738"/>
      <c r="F3015" s="738"/>
      <c r="G3015" s="738"/>
      <c r="H3015" s="738"/>
      <c r="I3015" s="739"/>
      <c r="J3015" s="372">
        <v>0</v>
      </c>
      <c r="K3015" s="737"/>
      <c r="L3015" s="738"/>
      <c r="M3015" s="738"/>
      <c r="N3015" s="739"/>
    </row>
    <row r="3016" spans="4:14" s="348" customFormat="1" x14ac:dyDescent="0.2">
      <c r="D3016" s="737"/>
      <c r="E3016" s="738"/>
      <c r="F3016" s="738"/>
      <c r="G3016" s="738"/>
      <c r="H3016" s="738"/>
      <c r="I3016" s="739"/>
      <c r="J3016" s="372">
        <v>0</v>
      </c>
      <c r="K3016" s="737"/>
      <c r="L3016" s="738"/>
      <c r="M3016" s="738"/>
      <c r="N3016" s="739"/>
    </row>
    <row r="3017" spans="4:14" s="348" customFormat="1" x14ac:dyDescent="0.2">
      <c r="D3017" s="737"/>
      <c r="E3017" s="738"/>
      <c r="F3017" s="738"/>
      <c r="G3017" s="738"/>
      <c r="H3017" s="738"/>
      <c r="I3017" s="739"/>
      <c r="J3017" s="372">
        <v>0</v>
      </c>
      <c r="K3017" s="737"/>
      <c r="L3017" s="738"/>
      <c r="M3017" s="738"/>
      <c r="N3017" s="739"/>
    </row>
    <row r="3018" spans="4:14" s="348" customFormat="1" x14ac:dyDescent="0.2">
      <c r="D3018" s="737"/>
      <c r="E3018" s="738"/>
      <c r="F3018" s="738"/>
      <c r="G3018" s="738"/>
      <c r="H3018" s="738"/>
      <c r="I3018" s="739"/>
      <c r="J3018" s="372">
        <v>0</v>
      </c>
      <c r="K3018" s="737"/>
      <c r="L3018" s="738"/>
      <c r="M3018" s="738"/>
      <c r="N3018" s="739"/>
    </row>
    <row r="3019" spans="4:14" s="348" customFormat="1" x14ac:dyDescent="0.2">
      <c r="D3019" s="737"/>
      <c r="E3019" s="738"/>
      <c r="F3019" s="738"/>
      <c r="G3019" s="738"/>
      <c r="H3019" s="738"/>
      <c r="I3019" s="739"/>
      <c r="J3019" s="372">
        <v>0</v>
      </c>
      <c r="K3019" s="737"/>
      <c r="L3019" s="738"/>
      <c r="M3019" s="738"/>
      <c r="N3019" s="739"/>
    </row>
    <row r="3020" spans="4:14" s="348" customFormat="1" x14ac:dyDescent="0.2">
      <c r="D3020" s="737"/>
      <c r="E3020" s="738"/>
      <c r="F3020" s="738"/>
      <c r="G3020" s="738"/>
      <c r="H3020" s="738"/>
      <c r="I3020" s="739"/>
      <c r="J3020" s="372">
        <v>0</v>
      </c>
      <c r="K3020" s="737"/>
      <c r="L3020" s="738"/>
      <c r="M3020" s="738"/>
      <c r="N3020" s="739"/>
    </row>
    <row r="3021" spans="4:14" s="348" customFormat="1" x14ac:dyDescent="0.2">
      <c r="D3021" s="737"/>
      <c r="E3021" s="738"/>
      <c r="F3021" s="738"/>
      <c r="G3021" s="738"/>
      <c r="H3021" s="738"/>
      <c r="I3021" s="739"/>
      <c r="J3021" s="372">
        <v>0</v>
      </c>
      <c r="K3021" s="737"/>
      <c r="L3021" s="738"/>
      <c r="M3021" s="738"/>
      <c r="N3021" s="739"/>
    </row>
    <row r="3022" spans="4:14" s="348" customFormat="1" x14ac:dyDescent="0.2">
      <c r="D3022" s="737"/>
      <c r="E3022" s="738"/>
      <c r="F3022" s="738"/>
      <c r="G3022" s="738"/>
      <c r="H3022" s="738"/>
      <c r="I3022" s="739"/>
      <c r="J3022" s="372">
        <v>0</v>
      </c>
      <c r="K3022" s="737"/>
      <c r="L3022" s="738"/>
      <c r="M3022" s="738"/>
      <c r="N3022" s="739"/>
    </row>
    <row r="3023" spans="4:14" s="348" customFormat="1" x14ac:dyDescent="0.2"/>
    <row r="3024" spans="4:14" s="348" customFormat="1" x14ac:dyDescent="0.2"/>
    <row r="3025" spans="3:21" s="348" customFormat="1" ht="15.75" x14ac:dyDescent="0.2">
      <c r="C3025" s="124" t="str">
        <f>"Personnel Required for "&amp;G2952</f>
        <v>Personnel Required for PALL</v>
      </c>
    </row>
    <row r="3026" spans="3:21" s="348" customFormat="1" x14ac:dyDescent="0.2"/>
    <row r="3027" spans="3:21" s="348" customFormat="1" ht="15" x14ac:dyDescent="0.2">
      <c r="J3027" s="849" t="str">
        <f>"Cost Per Minute ("&amp;$I$3130&amp;")"</f>
        <v>Cost Per Minute (USD)</v>
      </c>
      <c r="K3027" s="873" t="s">
        <v>112</v>
      </c>
      <c r="L3027" s="874"/>
      <c r="M3027" s="874"/>
      <c r="N3027" s="875" t="s">
        <v>183</v>
      </c>
      <c r="O3027" s="898" t="str">
        <f>"Cost ("&amp;$I$3130&amp;")"</f>
        <v>Cost (USD)</v>
      </c>
    </row>
    <row r="3028" spans="3:21" s="348" customFormat="1" ht="30" x14ac:dyDescent="0.2">
      <c r="D3028" s="508" t="str">
        <f>C2979</f>
        <v>Fixed Hospital Sites</v>
      </c>
      <c r="H3028" s="880" t="s">
        <v>385</v>
      </c>
      <c r="I3028" s="890"/>
      <c r="J3028" s="895"/>
      <c r="K3028" s="675" t="s">
        <v>109</v>
      </c>
      <c r="L3028" s="319" t="s">
        <v>110</v>
      </c>
      <c r="M3028" s="133" t="s">
        <v>111</v>
      </c>
      <c r="N3028" s="876"/>
      <c r="O3028" s="899"/>
      <c r="U3028" s="671" t="s">
        <v>312</v>
      </c>
    </row>
    <row r="3029" spans="3:21" s="348" customFormat="1" x14ac:dyDescent="0.2">
      <c r="D3029" s="721" t="s">
        <v>1649</v>
      </c>
      <c r="E3029" s="721"/>
      <c r="F3029" s="721"/>
      <c r="G3029" s="721"/>
      <c r="H3029" s="721" t="s">
        <v>1829</v>
      </c>
      <c r="I3029" s="894"/>
      <c r="J3029" s="144">
        <f t="shared" ref="J3029:J3036" si="60">IFERROR(INDEX($L$3133:$L$3163,MATCH(D3029,LU_Intv_6_Pers_Hosp,0)),0)</f>
        <v>0.33333333333333331</v>
      </c>
      <c r="K3029" s="187"/>
      <c r="L3029" s="188">
        <v>30</v>
      </c>
      <c r="M3029" s="217">
        <v>0</v>
      </c>
      <c r="N3029" s="218">
        <v>5</v>
      </c>
      <c r="O3029" s="134">
        <f t="shared" ref="O3029:O3036" si="61">J3029*SUM(K3029:M3029)*N3029</f>
        <v>50</v>
      </c>
      <c r="U3029" s="119">
        <f t="shared" ref="U3029:U3036" si="62">IF(AND(ISERROR(MATCH(D3029,LU_Intv_6_Pers_Hosp,0)),SUM(K3029:M3029),N3029),1,0)</f>
        <v>0</v>
      </c>
    </row>
    <row r="3030" spans="3:21" s="348" customFormat="1" x14ac:dyDescent="0.2">
      <c r="D3030" s="721" t="s">
        <v>1278</v>
      </c>
      <c r="E3030" s="721"/>
      <c r="F3030" s="721"/>
      <c r="G3030" s="721"/>
      <c r="H3030" s="721" t="s">
        <v>1830</v>
      </c>
      <c r="I3030" s="894"/>
      <c r="J3030" s="147">
        <f t="shared" si="60"/>
        <v>0.12206946257615311</v>
      </c>
      <c r="K3030" s="221"/>
      <c r="L3030" s="182">
        <v>40</v>
      </c>
      <c r="M3030" s="222">
        <v>0</v>
      </c>
      <c r="N3030" s="223">
        <v>5</v>
      </c>
      <c r="O3030" s="135">
        <f t="shared" si="61"/>
        <v>24.413892515230625</v>
      </c>
      <c r="U3030" s="119">
        <f t="shared" si="62"/>
        <v>0</v>
      </c>
    </row>
    <row r="3031" spans="3:21" s="348" customFormat="1" x14ac:dyDescent="0.2">
      <c r="D3031" s="721" t="s">
        <v>1278</v>
      </c>
      <c r="E3031" s="721"/>
      <c r="F3031" s="721"/>
      <c r="G3031" s="721"/>
      <c r="H3031" s="721" t="s">
        <v>1828</v>
      </c>
      <c r="I3031" s="894"/>
      <c r="J3031" s="147">
        <f t="shared" si="60"/>
        <v>0.12206946257615311</v>
      </c>
      <c r="K3031" s="477"/>
      <c r="L3031" s="478">
        <v>40</v>
      </c>
      <c r="M3031" s="479"/>
      <c r="N3031" s="223">
        <v>3</v>
      </c>
      <c r="O3031" s="135">
        <f t="shared" si="61"/>
        <v>14.648335509138374</v>
      </c>
      <c r="U3031" s="119">
        <f t="shared" si="62"/>
        <v>0</v>
      </c>
    </row>
    <row r="3032" spans="3:21" s="348" customFormat="1" x14ac:dyDescent="0.2">
      <c r="D3032" s="721" t="s">
        <v>1270</v>
      </c>
      <c r="E3032" s="721"/>
      <c r="F3032" s="721"/>
      <c r="G3032" s="721"/>
      <c r="H3032" s="721" t="s">
        <v>1831</v>
      </c>
      <c r="I3032" s="894"/>
      <c r="J3032" s="147">
        <f t="shared" si="60"/>
        <v>0.15919560940673019</v>
      </c>
      <c r="K3032" s="477"/>
      <c r="L3032" s="478">
        <v>20</v>
      </c>
      <c r="M3032" s="479"/>
      <c r="N3032" s="223">
        <v>10</v>
      </c>
      <c r="O3032" s="135">
        <f t="shared" si="61"/>
        <v>31.839121881346038</v>
      </c>
      <c r="U3032" s="119">
        <f t="shared" si="62"/>
        <v>0</v>
      </c>
    </row>
    <row r="3033" spans="3:21" s="348" customFormat="1" x14ac:dyDescent="0.2">
      <c r="D3033" s="805" t="s">
        <v>1276</v>
      </c>
      <c r="E3033" s="811"/>
      <c r="F3033" s="811"/>
      <c r="G3033" s="812"/>
      <c r="H3033" s="805" t="s">
        <v>1832</v>
      </c>
      <c r="I3033" s="811"/>
      <c r="J3033" s="147">
        <f t="shared" si="60"/>
        <v>5.7114882506527402E-2</v>
      </c>
      <c r="K3033" s="477"/>
      <c r="L3033" s="478">
        <v>20</v>
      </c>
      <c r="M3033" s="479"/>
      <c r="N3033" s="223">
        <v>10</v>
      </c>
      <c r="O3033" s="135">
        <f t="shared" si="61"/>
        <v>11.422976501305479</v>
      </c>
      <c r="U3033" s="119">
        <f t="shared" si="62"/>
        <v>0</v>
      </c>
    </row>
    <row r="3034" spans="3:21" s="348" customFormat="1" x14ac:dyDescent="0.2">
      <c r="D3034" s="805"/>
      <c r="E3034" s="811"/>
      <c r="F3034" s="811"/>
      <c r="G3034" s="812"/>
      <c r="H3034" s="805"/>
      <c r="I3034" s="811"/>
      <c r="J3034" s="147">
        <f t="shared" si="60"/>
        <v>0</v>
      </c>
      <c r="K3034" s="477"/>
      <c r="L3034" s="478"/>
      <c r="M3034" s="479"/>
      <c r="N3034" s="223"/>
      <c r="O3034" s="135">
        <f t="shared" si="61"/>
        <v>0</v>
      </c>
      <c r="U3034" s="119">
        <f t="shared" si="62"/>
        <v>0</v>
      </c>
    </row>
    <row r="3035" spans="3:21" s="348" customFormat="1" x14ac:dyDescent="0.2">
      <c r="D3035" s="805"/>
      <c r="E3035" s="811"/>
      <c r="F3035" s="811"/>
      <c r="G3035" s="812"/>
      <c r="H3035" s="805"/>
      <c r="I3035" s="811"/>
      <c r="J3035" s="147">
        <f t="shared" si="60"/>
        <v>0</v>
      </c>
      <c r="K3035" s="477">
        <v>0</v>
      </c>
      <c r="L3035" s="478">
        <v>0</v>
      </c>
      <c r="M3035" s="479">
        <v>0</v>
      </c>
      <c r="N3035" s="223"/>
      <c r="O3035" s="135">
        <f t="shared" si="61"/>
        <v>0</v>
      </c>
      <c r="U3035" s="119">
        <f t="shared" si="62"/>
        <v>0</v>
      </c>
    </row>
    <row r="3036" spans="3:21" s="348" customFormat="1" x14ac:dyDescent="0.2">
      <c r="D3036" s="805"/>
      <c r="E3036" s="811"/>
      <c r="F3036" s="811"/>
      <c r="G3036" s="812"/>
      <c r="H3036" s="805"/>
      <c r="I3036" s="811"/>
      <c r="J3036" s="149">
        <f t="shared" si="60"/>
        <v>0</v>
      </c>
      <c r="K3036" s="224">
        <v>0</v>
      </c>
      <c r="L3036" s="225">
        <v>0</v>
      </c>
      <c r="M3036" s="226">
        <v>0</v>
      </c>
      <c r="N3036" s="219"/>
      <c r="O3036" s="135">
        <f t="shared" si="61"/>
        <v>0</v>
      </c>
      <c r="U3036" s="119">
        <f t="shared" si="62"/>
        <v>0</v>
      </c>
    </row>
    <row r="3037" spans="3:21" s="348" customFormat="1" ht="15" x14ac:dyDescent="0.2">
      <c r="D3037" s="782" t="s">
        <v>113</v>
      </c>
      <c r="E3037" s="783"/>
      <c r="F3037" s="783"/>
      <c r="G3037" s="783"/>
      <c r="H3037" s="669"/>
      <c r="I3037" s="669"/>
      <c r="J3037" s="119"/>
      <c r="K3037" s="883"/>
      <c r="L3037" s="884"/>
      <c r="M3037" s="884"/>
      <c r="N3037" s="119"/>
      <c r="O3037" s="136">
        <f>SUM(O3029:O3036)</f>
        <v>132.32432640702052</v>
      </c>
      <c r="U3037" s="672"/>
    </row>
    <row r="3038" spans="3:21" s="348" customFormat="1" x14ac:dyDescent="0.2"/>
    <row r="3039" spans="3:21" s="348" customFormat="1" ht="15" x14ac:dyDescent="0.2">
      <c r="D3039" s="667" t="s">
        <v>949</v>
      </c>
      <c r="K3039" s="671" t="s">
        <v>950</v>
      </c>
    </row>
    <row r="3040" spans="3:21" s="348" customFormat="1" x14ac:dyDescent="0.2">
      <c r="D3040" s="721"/>
      <c r="E3040" s="721"/>
      <c r="F3040" s="721"/>
      <c r="G3040" s="721"/>
      <c r="H3040" s="721"/>
      <c r="I3040" s="721"/>
      <c r="K3040" s="721" t="s">
        <v>1873</v>
      </c>
      <c r="L3040" s="721"/>
      <c r="M3040" s="721"/>
      <c r="N3040" s="721"/>
      <c r="O3040" s="721"/>
      <c r="P3040" s="721"/>
    </row>
    <row r="3041" spans="4:21" s="348" customFormat="1" x14ac:dyDescent="0.2">
      <c r="D3041" s="721"/>
      <c r="E3041" s="721"/>
      <c r="F3041" s="721"/>
      <c r="G3041" s="721"/>
      <c r="H3041" s="721"/>
      <c r="I3041" s="721"/>
      <c r="K3041" s="721"/>
      <c r="L3041" s="721"/>
      <c r="M3041" s="721"/>
      <c r="N3041" s="721"/>
      <c r="O3041" s="721"/>
      <c r="P3041" s="721"/>
    </row>
    <row r="3042" spans="4:21" s="348" customFormat="1" x14ac:dyDescent="0.2">
      <c r="D3042" s="721"/>
      <c r="E3042" s="721"/>
      <c r="F3042" s="721"/>
      <c r="G3042" s="721"/>
      <c r="H3042" s="721"/>
      <c r="I3042" s="721"/>
      <c r="K3042" s="721"/>
      <c r="L3042" s="721"/>
      <c r="M3042" s="721"/>
      <c r="N3042" s="721"/>
      <c r="O3042" s="721"/>
      <c r="P3042" s="721"/>
    </row>
    <row r="3043" spans="4:21" s="348" customFormat="1" x14ac:dyDescent="0.2">
      <c r="D3043" s="721" t="s">
        <v>1827</v>
      </c>
      <c r="E3043" s="721"/>
      <c r="F3043" s="721"/>
      <c r="G3043" s="721"/>
      <c r="H3043" s="721"/>
      <c r="I3043" s="721"/>
      <c r="K3043" s="721"/>
      <c r="L3043" s="721"/>
      <c r="M3043" s="721"/>
      <c r="N3043" s="721"/>
      <c r="O3043" s="721"/>
      <c r="P3043" s="721"/>
    </row>
    <row r="3044" spans="4:21" s="348" customFormat="1" x14ac:dyDescent="0.2">
      <c r="D3044" s="721"/>
      <c r="E3044" s="721"/>
      <c r="F3044" s="721"/>
      <c r="G3044" s="721"/>
      <c r="H3044" s="721"/>
      <c r="I3044" s="721"/>
      <c r="K3044" s="721"/>
      <c r="L3044" s="721"/>
      <c r="M3044" s="721"/>
      <c r="N3044" s="721"/>
      <c r="O3044" s="721"/>
      <c r="P3044" s="721"/>
    </row>
    <row r="3045" spans="4:21" s="348" customFormat="1" x14ac:dyDescent="0.2"/>
    <row r="3046" spans="4:21" s="348" customFormat="1" ht="15" x14ac:dyDescent="0.2">
      <c r="J3046" s="849" t="str">
        <f>"Cost Per Minute ("&amp;$I$3130&amp;")"</f>
        <v>Cost Per Minute (USD)</v>
      </c>
      <c r="K3046" s="891" t="s">
        <v>112</v>
      </c>
      <c r="L3046" s="892"/>
      <c r="M3046" s="892"/>
      <c r="N3046" s="896" t="s">
        <v>183</v>
      </c>
      <c r="O3046" s="888" t="str">
        <f>"Cost ("&amp;$I$3130&amp;")"</f>
        <v>Cost (USD)</v>
      </c>
    </row>
    <row r="3047" spans="4:21" s="348" customFormat="1" ht="30" x14ac:dyDescent="0.2">
      <c r="D3047" s="669" t="str">
        <f>C2984</f>
        <v>Other Facility Types</v>
      </c>
      <c r="H3047" s="880" t="s">
        <v>385</v>
      </c>
      <c r="I3047" s="881"/>
      <c r="J3047" s="850"/>
      <c r="K3047" s="159" t="s">
        <v>109</v>
      </c>
      <c r="L3047" s="305" t="s">
        <v>110</v>
      </c>
      <c r="M3047" s="159" t="s">
        <v>111</v>
      </c>
      <c r="N3047" s="897"/>
      <c r="O3047" s="889"/>
      <c r="U3047" s="671" t="s">
        <v>312</v>
      </c>
    </row>
    <row r="3048" spans="4:21" s="348" customFormat="1" x14ac:dyDescent="0.2">
      <c r="D3048" s="721"/>
      <c r="E3048" s="721"/>
      <c r="F3048" s="721"/>
      <c r="G3048" s="721"/>
      <c r="H3048" s="721"/>
      <c r="I3048" s="721"/>
      <c r="J3048" s="147">
        <f>IFERROR(INDEX($L$3166:$L$3196,MATCH(D3048,LU_Intv_6_Pers_Oth,0)),0)</f>
        <v>0</v>
      </c>
      <c r="K3048" s="187">
        <v>0</v>
      </c>
      <c r="L3048" s="188">
        <v>0</v>
      </c>
      <c r="M3048" s="217">
        <v>0</v>
      </c>
      <c r="N3048" s="218">
        <v>1</v>
      </c>
      <c r="O3048" s="134">
        <f>J3048*SUM(K3048:M3048)*N3048</f>
        <v>0</v>
      </c>
      <c r="U3048" s="119">
        <f>IF(AND(ISERROR(MATCH(D3048,LU_Intv_6_Pers_Oth,0)),SUM(K3048:M3048),N3048),1,0)</f>
        <v>0</v>
      </c>
    </row>
    <row r="3049" spans="4:21" s="348" customFormat="1" x14ac:dyDescent="0.2">
      <c r="D3049" s="721"/>
      <c r="E3049" s="721"/>
      <c r="F3049" s="721"/>
      <c r="G3049" s="721"/>
      <c r="H3049" s="721"/>
      <c r="I3049" s="721"/>
      <c r="J3049" s="147">
        <f>IFERROR(INDEX($L$3166:$L$3196,MATCH(D3049,LU_Intv_6_Pers_Oth,0)),0)</f>
        <v>0</v>
      </c>
      <c r="K3049" s="221">
        <v>0</v>
      </c>
      <c r="L3049" s="182">
        <v>0</v>
      </c>
      <c r="M3049" s="222">
        <v>0</v>
      </c>
      <c r="N3049" s="223">
        <v>1</v>
      </c>
      <c r="O3049" s="135">
        <f>J3049*SUM(K3049:M3049)*N3049</f>
        <v>0</v>
      </c>
      <c r="U3049" s="119">
        <f>IF(AND(ISERROR(MATCH(D3049,LU_Intv_6_Pers_Oth,0)),SUM(K3049:M3049),N3049),1,0)</f>
        <v>0</v>
      </c>
    </row>
    <row r="3050" spans="4:21" s="348" customFormat="1" x14ac:dyDescent="0.2">
      <c r="D3050" s="721"/>
      <c r="E3050" s="721"/>
      <c r="F3050" s="721"/>
      <c r="G3050" s="721"/>
      <c r="H3050" s="721"/>
      <c r="I3050" s="721"/>
      <c r="J3050" s="149">
        <f>IFERROR(INDEX($L$3166:$L$3196,MATCH(D3050,LU_Intv_6_Pers_Oth,0)),0)</f>
        <v>0</v>
      </c>
      <c r="K3050" s="224">
        <v>0</v>
      </c>
      <c r="L3050" s="225">
        <v>0</v>
      </c>
      <c r="M3050" s="226">
        <v>0</v>
      </c>
      <c r="N3050" s="219">
        <v>1</v>
      </c>
      <c r="O3050" s="135">
        <f>J3050*SUM(K3050:M3050)*N3050</f>
        <v>0</v>
      </c>
      <c r="U3050" s="119">
        <f>IF(AND(ISERROR(MATCH(D3050,LU_Intv_6_Pers_Oth,0)),SUM(K3050:M3050),N3050),1,0)</f>
        <v>0</v>
      </c>
    </row>
    <row r="3051" spans="4:21" s="348" customFormat="1" ht="15" x14ac:dyDescent="0.2">
      <c r="D3051" s="782" t="s">
        <v>287</v>
      </c>
      <c r="E3051" s="783"/>
      <c r="F3051" s="783"/>
      <c r="G3051" s="783"/>
      <c r="H3051" s="669"/>
      <c r="I3051" s="669"/>
      <c r="J3051" s="119"/>
      <c r="K3051" s="883"/>
      <c r="L3051" s="884"/>
      <c r="M3051" s="884"/>
      <c r="N3051" s="119"/>
      <c r="O3051" s="136">
        <f>SUM(O3048:O3050)</f>
        <v>0</v>
      </c>
      <c r="U3051" s="672"/>
    </row>
    <row r="3052" spans="4:21" s="348" customFormat="1" x14ac:dyDescent="0.2"/>
    <row r="3053" spans="4:21" s="348" customFormat="1" ht="15" x14ac:dyDescent="0.2">
      <c r="D3053" s="667" t="s">
        <v>949</v>
      </c>
      <c r="K3053" s="671" t="s">
        <v>950</v>
      </c>
    </row>
    <row r="3054" spans="4:21" s="348" customFormat="1" x14ac:dyDescent="0.2">
      <c r="D3054" s="721"/>
      <c r="E3054" s="721"/>
      <c r="F3054" s="721"/>
      <c r="G3054" s="721"/>
      <c r="H3054" s="721"/>
      <c r="I3054" s="721"/>
      <c r="K3054" s="721"/>
      <c r="L3054" s="721"/>
      <c r="M3054" s="721"/>
      <c r="N3054" s="721"/>
      <c r="O3054" s="721"/>
      <c r="P3054" s="721"/>
    </row>
    <row r="3055" spans="4:21" s="348" customFormat="1" x14ac:dyDescent="0.2">
      <c r="D3055" s="721"/>
      <c r="E3055" s="721"/>
      <c r="F3055" s="721"/>
      <c r="G3055" s="721"/>
      <c r="H3055" s="721"/>
      <c r="I3055" s="721"/>
      <c r="K3055" s="721"/>
      <c r="L3055" s="721"/>
      <c r="M3055" s="721"/>
      <c r="N3055" s="721"/>
      <c r="O3055" s="721"/>
      <c r="P3055" s="721"/>
    </row>
    <row r="3056" spans="4:21" s="348" customFormat="1" x14ac:dyDescent="0.2">
      <c r="D3056" s="721"/>
      <c r="E3056" s="721"/>
      <c r="F3056" s="721"/>
      <c r="G3056" s="721"/>
      <c r="H3056" s="721"/>
      <c r="I3056" s="721"/>
      <c r="K3056" s="721"/>
      <c r="L3056" s="721"/>
      <c r="M3056" s="721"/>
      <c r="N3056" s="721"/>
      <c r="O3056" s="721"/>
      <c r="P3056" s="721"/>
    </row>
    <row r="3057" spans="3:21" s="348" customFormat="1" x14ac:dyDescent="0.2">
      <c r="D3057" s="721"/>
      <c r="E3057" s="721"/>
      <c r="F3057" s="721"/>
      <c r="G3057" s="721"/>
      <c r="H3057" s="721"/>
      <c r="I3057" s="721"/>
      <c r="K3057" s="721"/>
      <c r="L3057" s="721"/>
      <c r="M3057" s="721"/>
      <c r="N3057" s="721"/>
      <c r="O3057" s="721"/>
      <c r="P3057" s="721"/>
    </row>
    <row r="3058" spans="3:21" s="348" customFormat="1" x14ac:dyDescent="0.2"/>
    <row r="3059" spans="3:21" s="348" customFormat="1" x14ac:dyDescent="0.2"/>
    <row r="3060" spans="3:21" s="348" customFormat="1" ht="15.75" x14ac:dyDescent="0.2">
      <c r="C3060" s="124" t="str">
        <f>"Supplies Required for "&amp;G2952</f>
        <v>Supplies Required for PALL</v>
      </c>
    </row>
    <row r="3061" spans="3:21" s="348" customFormat="1" x14ac:dyDescent="0.2"/>
    <row r="3062" spans="3:21" s="348" customFormat="1" ht="30" x14ac:dyDescent="0.2">
      <c r="D3062" s="667" t="s">
        <v>106</v>
      </c>
      <c r="H3062" s="671" t="s">
        <v>951</v>
      </c>
      <c r="J3062" s="132" t="str">
        <f>"Cost per Unit ("&amp;$I$3130&amp;")"</f>
        <v>Cost per Unit (USD)</v>
      </c>
      <c r="K3062" s="366" t="s">
        <v>107</v>
      </c>
      <c r="L3062" s="307" t="s">
        <v>183</v>
      </c>
      <c r="M3062" s="132" t="str">
        <f>"Total Cost ("&amp;$I$3130&amp;")"</f>
        <v>Total Cost (USD)</v>
      </c>
      <c r="N3062" s="725" t="s">
        <v>74</v>
      </c>
      <c r="O3062" s="726"/>
      <c r="P3062" s="726"/>
      <c r="U3062" s="671" t="s">
        <v>312</v>
      </c>
    </row>
    <row r="3063" spans="3:21" s="348" customFormat="1" x14ac:dyDescent="0.2">
      <c r="D3063" s="723" t="s">
        <v>1426</v>
      </c>
      <c r="E3063" s="723"/>
      <c r="F3063" s="723"/>
      <c r="G3063" s="723"/>
      <c r="H3063" s="668" t="str">
        <f>IFERROR(INDEX($J$3199:$J$3365,MATCH(D3063,LU_Intv_6_Supplies,0)),0)</f>
        <v>tablet</v>
      </c>
      <c r="J3063" s="674">
        <f>IFERROR(INDEX($L$3199:$L$3365,MATCH(D3063,LU_Intv_6_Supplies,0)),0)</f>
        <v>0.22666666666666666</v>
      </c>
      <c r="K3063" s="462">
        <v>108</v>
      </c>
      <c r="L3063" s="458">
        <v>10</v>
      </c>
      <c r="M3063" s="137">
        <f t="shared" ref="M3063:M3065" si="63">J3063*K3063*L3063</f>
        <v>244.8</v>
      </c>
      <c r="N3063" s="723" t="s">
        <v>1833</v>
      </c>
      <c r="O3063" s="723" t="s">
        <v>948</v>
      </c>
      <c r="P3063" s="723" t="s">
        <v>948</v>
      </c>
      <c r="U3063" s="119">
        <f>IF(AND(ISERROR(MATCH(D3063,LU_Intv_6_Supplies,0)),L3063),1,0)</f>
        <v>0</v>
      </c>
    </row>
    <row r="3064" spans="3:21" s="348" customFormat="1" x14ac:dyDescent="0.2">
      <c r="D3064" s="723" t="s">
        <v>1856</v>
      </c>
      <c r="E3064" s="723"/>
      <c r="F3064" s="723"/>
      <c r="G3064" s="723"/>
      <c r="H3064" s="668" t="str">
        <f>IFERROR(INDEX($J$3199:$J$3365,MATCH(D3064,LU_Intv_6_Supplies,0)),0)</f>
        <v>tablet</v>
      </c>
      <c r="J3064" s="674">
        <f>IFERROR(INDEX($L$3199:$L$3365,MATCH(D3064,LU_Intv_6_Supplies,0)),0)</f>
        <v>2.0888E-3</v>
      </c>
      <c r="K3064" s="462">
        <v>108</v>
      </c>
      <c r="L3064" s="458">
        <v>10</v>
      </c>
      <c r="M3064" s="137">
        <f t="shared" si="63"/>
        <v>2.2559040000000001</v>
      </c>
      <c r="N3064" s="723" t="s">
        <v>977</v>
      </c>
      <c r="O3064" s="723" t="s">
        <v>977</v>
      </c>
      <c r="P3064" s="723" t="s">
        <v>977</v>
      </c>
      <c r="U3064" s="119">
        <f>IF(AND(ISERROR(MATCH(D3064,LU_Intv_6_Supplies,0)),L3064),1,0)</f>
        <v>0</v>
      </c>
    </row>
    <row r="3065" spans="3:21" s="348" customFormat="1" x14ac:dyDescent="0.2">
      <c r="D3065" s="723" t="s">
        <v>1257</v>
      </c>
      <c r="E3065" s="723"/>
      <c r="F3065" s="723"/>
      <c r="G3065" s="723"/>
      <c r="H3065" s="668" t="str">
        <f>IFERROR(INDEX($J$3199:$J$3365,MATCH(D3065,LU_Intv_6_Supplies,0)),0)</f>
        <v>SU</v>
      </c>
      <c r="J3065" s="674">
        <f>IFERROR(INDEX($L$3199:$L$3365,MATCH(D3065,LU_Intv_6_Supplies,0)),0)</f>
        <v>0</v>
      </c>
      <c r="K3065" s="462"/>
      <c r="L3065" s="458">
        <v>10</v>
      </c>
      <c r="M3065" s="137">
        <f t="shared" si="63"/>
        <v>0</v>
      </c>
      <c r="N3065" s="723" t="s">
        <v>977</v>
      </c>
      <c r="O3065" s="723" t="s">
        <v>977</v>
      </c>
      <c r="P3065" s="723" t="s">
        <v>977</v>
      </c>
      <c r="U3065" s="119">
        <f>IF(AND(ISERROR(MATCH(D3065,LU_Intv_6_Supplies,0)),L3065),1,0)</f>
        <v>0</v>
      </c>
    </row>
    <row r="3066" spans="3:21" s="348" customFormat="1" ht="15" x14ac:dyDescent="0.2">
      <c r="D3066" s="782" t="s">
        <v>108</v>
      </c>
      <c r="E3066" s="783"/>
      <c r="F3066" s="783"/>
      <c r="G3066" s="783"/>
      <c r="H3066" s="669"/>
      <c r="J3066" s="308"/>
      <c r="K3066" s="119"/>
      <c r="L3066" s="674"/>
      <c r="M3066" s="309">
        <f>SUM(M3063:M3065)</f>
        <v>247.055904</v>
      </c>
      <c r="N3066" s="669"/>
      <c r="O3066" s="669"/>
      <c r="P3066" s="669"/>
      <c r="U3066" s="672"/>
    </row>
    <row r="3067" spans="3:21" s="348" customFormat="1" x14ac:dyDescent="0.2"/>
    <row r="3068" spans="3:21" s="348" customFormat="1" ht="15" x14ac:dyDescent="0.2">
      <c r="D3068" s="667" t="s">
        <v>962</v>
      </c>
      <c r="K3068" s="671" t="s">
        <v>963</v>
      </c>
    </row>
    <row r="3069" spans="3:21" s="348" customFormat="1" x14ac:dyDescent="0.2">
      <c r="D3069" s="721" t="s">
        <v>1835</v>
      </c>
      <c r="E3069" s="721"/>
      <c r="F3069" s="721"/>
      <c r="G3069" s="721"/>
      <c r="H3069" s="721"/>
      <c r="I3069" s="721"/>
      <c r="K3069" s="721" t="s">
        <v>1873</v>
      </c>
      <c r="L3069" s="721"/>
      <c r="M3069" s="721"/>
      <c r="N3069" s="721"/>
      <c r="O3069" s="721"/>
      <c r="P3069" s="721"/>
    </row>
    <row r="3070" spans="3:21" s="348" customFormat="1" x14ac:dyDescent="0.2">
      <c r="D3070" s="721" t="s">
        <v>1834</v>
      </c>
      <c r="E3070" s="721"/>
      <c r="F3070" s="721"/>
      <c r="G3070" s="721"/>
      <c r="H3070" s="721"/>
      <c r="I3070" s="721"/>
      <c r="K3070" s="721"/>
      <c r="L3070" s="721"/>
      <c r="M3070" s="721"/>
      <c r="N3070" s="721"/>
      <c r="O3070" s="721"/>
      <c r="P3070" s="721"/>
    </row>
    <row r="3071" spans="3:21" s="348" customFormat="1" x14ac:dyDescent="0.2">
      <c r="D3071" s="721"/>
      <c r="E3071" s="721"/>
      <c r="F3071" s="721"/>
      <c r="G3071" s="721"/>
      <c r="H3071" s="721"/>
      <c r="I3071" s="721"/>
      <c r="K3071" s="737"/>
      <c r="L3071" s="738"/>
      <c r="M3071" s="738"/>
      <c r="N3071" s="738"/>
      <c r="O3071" s="738"/>
      <c r="P3071" s="739"/>
    </row>
    <row r="3072" spans="3:21" s="348" customFormat="1" x14ac:dyDescent="0.2">
      <c r="D3072" s="721"/>
      <c r="E3072" s="721"/>
      <c r="F3072" s="721"/>
      <c r="G3072" s="721"/>
      <c r="H3072" s="721"/>
      <c r="I3072" s="721"/>
      <c r="K3072" s="721"/>
      <c r="L3072" s="721"/>
      <c r="M3072" s="721"/>
      <c r="N3072" s="721"/>
      <c r="O3072" s="721"/>
      <c r="P3072" s="721"/>
    </row>
    <row r="3073" spans="3:21" s="348" customFormat="1" x14ac:dyDescent="0.2"/>
    <row r="3074" spans="3:21" s="348" customFormat="1" ht="15.75" x14ac:dyDescent="0.2">
      <c r="C3074" s="124" t="str">
        <f>"Equipment Required to Outfit a Health Facility for "&amp;G2952&amp;""</f>
        <v>Equipment Required to Outfit a Health Facility for PALL</v>
      </c>
    </row>
    <row r="3075" spans="3:21" s="348" customFormat="1" x14ac:dyDescent="0.2"/>
    <row r="3076" spans="3:21" s="348" customFormat="1" ht="30" x14ac:dyDescent="0.2">
      <c r="J3076" s="141" t="str">
        <f>"Cost per Unit ("&amp;$I$3130&amp;")"</f>
        <v>Cost per Unit (USD)</v>
      </c>
      <c r="L3076" s="885" t="str">
        <f>"Total Cost per Site ("&amp;$I$3130&amp;")"</f>
        <v>Total Cost per Site (USD)</v>
      </c>
      <c r="M3076" s="886"/>
      <c r="N3076" s="887"/>
    </row>
    <row r="3077" spans="3:21" s="348" customFormat="1" ht="30" x14ac:dyDescent="0.2">
      <c r="D3077" s="667" t="s">
        <v>106</v>
      </c>
      <c r="J3077" s="142" t="s">
        <v>117</v>
      </c>
      <c r="K3077" s="675" t="s">
        <v>116</v>
      </c>
      <c r="L3077" s="310" t="str">
        <f>J3077</f>
        <v>Facility</v>
      </c>
      <c r="M3077" s="159" t="s">
        <v>632</v>
      </c>
      <c r="N3077" s="288" t="s">
        <v>633</v>
      </c>
      <c r="O3077" s="870" t="s">
        <v>74</v>
      </c>
      <c r="P3077" s="871"/>
      <c r="Q3077" s="872"/>
      <c r="U3077" s="671" t="s">
        <v>312</v>
      </c>
    </row>
    <row r="3078" spans="3:21" s="348" customFormat="1" x14ac:dyDescent="0.2">
      <c r="D3078" s="721"/>
      <c r="E3078" s="721"/>
      <c r="F3078" s="721"/>
      <c r="G3078" s="721"/>
      <c r="J3078" s="311">
        <f>IFERROR(INDEX($J$3368:$J$3490,MATCH(D3078,LU_Intv_6_Equip,0)),0)</f>
        <v>0</v>
      </c>
      <c r="K3078" s="220">
        <v>0</v>
      </c>
      <c r="L3078" s="153">
        <f>J3078*K3078</f>
        <v>0</v>
      </c>
      <c r="M3078" s="163">
        <f>IFERROR(INDEX($K$3368:$K$3490,MATCH(D3078,LU_Intv_6_Equip,0)),0)*K3078</f>
        <v>0</v>
      </c>
      <c r="N3078" s="146">
        <f>IFERROR(INDEX($L$3368:$L$3490,MATCH(D3078,LU_Intv_6_Equip,0)),0)*K3078</f>
        <v>0</v>
      </c>
      <c r="O3078" s="838"/>
      <c r="P3078" s="838"/>
      <c r="Q3078" s="839"/>
      <c r="U3078" s="119">
        <f>IF(AND(ISERROR(MATCH(D3078,LU_Intv_6_Equip,0)),K3078),1,0)</f>
        <v>0</v>
      </c>
    </row>
    <row r="3079" spans="3:21" s="348" customFormat="1" x14ac:dyDescent="0.2">
      <c r="D3079" s="721"/>
      <c r="E3079" s="721"/>
      <c r="F3079" s="721"/>
      <c r="G3079" s="721"/>
      <c r="J3079" s="297">
        <f>IFERROR(INDEX($J$3368:$J$3490,MATCH(D3079,LU_Intv_6_Equip,0)),0)</f>
        <v>0</v>
      </c>
      <c r="K3079" s="191">
        <v>0</v>
      </c>
      <c r="L3079" s="153">
        <f>J3079*K3079</f>
        <v>0</v>
      </c>
      <c r="M3079" s="153">
        <f>IFERROR(INDEX($K$3368:$K$3490,MATCH(D3079,LU_Intv_6_Equip,0)),0)*K3079</f>
        <v>0</v>
      </c>
      <c r="N3079" s="146">
        <f>IFERROR(INDEX($L$3368:$L$3490,MATCH(D3079,LU_Intv_6_Equip,0)),0)*K3079</f>
        <v>0</v>
      </c>
      <c r="O3079" s="841"/>
      <c r="P3079" s="841"/>
      <c r="Q3079" s="842"/>
      <c r="U3079" s="119">
        <f>IF(AND(ISERROR(MATCH(D3079,LU_Intv_6_Equip,0)),K3079),1,0)</f>
        <v>0</v>
      </c>
    </row>
    <row r="3080" spans="3:21" s="348" customFormat="1" x14ac:dyDescent="0.2">
      <c r="D3080" s="721"/>
      <c r="E3080" s="721"/>
      <c r="F3080" s="721"/>
      <c r="G3080" s="721"/>
      <c r="J3080" s="306">
        <f>IFERROR(INDEX($J$3368:$J$3490,MATCH(D3080,LU_Intv_6_Equip,0)),0)</f>
        <v>0</v>
      </c>
      <c r="K3080" s="193">
        <v>0</v>
      </c>
      <c r="L3080" s="153">
        <f>J3080*K3080</f>
        <v>0</v>
      </c>
      <c r="M3080" s="153">
        <f>IFERROR(INDEX($K$3368:$K$3490,MATCH(D3080,LU_Intv_6_Equip,0)),0)*K3080</f>
        <v>0</v>
      </c>
      <c r="N3080" s="146">
        <f>IFERROR(INDEX($L$3368:$L$3490,MATCH(D3080,LU_Intv_6_Equip,0)),0)*K3080</f>
        <v>0</v>
      </c>
      <c r="O3080" s="844"/>
      <c r="P3080" s="844"/>
      <c r="Q3080" s="845"/>
      <c r="U3080" s="119">
        <f>IF(AND(ISERROR(MATCH(D3080,LU_Intv_6_Equip,0)),K3080),1,0)</f>
        <v>0</v>
      </c>
    </row>
    <row r="3081" spans="3:21" s="348" customFormat="1" x14ac:dyDescent="0.2">
      <c r="D3081" s="671" t="s">
        <v>191</v>
      </c>
      <c r="L3081" s="150">
        <f>SUM(L3078:L3080)</f>
        <v>0</v>
      </c>
      <c r="M3081" s="151">
        <f>SUM(M3078:M3080)</f>
        <v>0</v>
      </c>
      <c r="N3081" s="152">
        <f>SUM(N3078:N3080)</f>
        <v>0</v>
      </c>
    </row>
    <row r="3082" spans="3:21" s="348" customFormat="1" x14ac:dyDescent="0.2">
      <c r="D3082" s="671" t="s">
        <v>120</v>
      </c>
      <c r="I3082" s="239">
        <v>0</v>
      </c>
      <c r="M3082" s="153">
        <f>M3081*$I$3082</f>
        <v>0</v>
      </c>
      <c r="N3082" s="154">
        <f>N3081*$I$3082</f>
        <v>0</v>
      </c>
    </row>
    <row r="3083" spans="3:21" s="348" customFormat="1" ht="15" x14ac:dyDescent="0.2">
      <c r="D3083" s="667" t="s">
        <v>121</v>
      </c>
      <c r="M3083" s="155">
        <f>SUM(M3081:M3082)</f>
        <v>0</v>
      </c>
      <c r="N3083" s="156">
        <f>SUM(N3081:N3082)</f>
        <v>0</v>
      </c>
    </row>
    <row r="3084" spans="3:21" s="348" customFormat="1" x14ac:dyDescent="0.2"/>
    <row r="3085" spans="3:21" s="348" customFormat="1" ht="15" x14ac:dyDescent="0.2">
      <c r="D3085" s="667" t="s">
        <v>964</v>
      </c>
      <c r="K3085" s="671" t="s">
        <v>965</v>
      </c>
    </row>
    <row r="3086" spans="3:21" s="348" customFormat="1" x14ac:dyDescent="0.2">
      <c r="D3086" s="721"/>
      <c r="E3086" s="721"/>
      <c r="F3086" s="721"/>
      <c r="G3086" s="721"/>
      <c r="H3086" s="721"/>
      <c r="I3086" s="721"/>
      <c r="K3086" s="721"/>
      <c r="L3086" s="721"/>
      <c r="M3086" s="721"/>
      <c r="N3086" s="721"/>
      <c r="O3086" s="721"/>
      <c r="P3086" s="721"/>
    </row>
    <row r="3087" spans="3:21" s="348" customFormat="1" x14ac:dyDescent="0.2">
      <c r="D3087" s="721"/>
      <c r="E3087" s="721"/>
      <c r="F3087" s="721"/>
      <c r="G3087" s="721"/>
      <c r="H3087" s="721"/>
      <c r="I3087" s="721"/>
      <c r="K3087" s="721"/>
      <c r="L3087" s="721"/>
      <c r="M3087" s="721"/>
      <c r="N3087" s="721"/>
      <c r="O3087" s="721"/>
      <c r="P3087" s="721"/>
    </row>
    <row r="3088" spans="3:21" s="348" customFormat="1" x14ac:dyDescent="0.2">
      <c r="D3088" s="721"/>
      <c r="E3088" s="721"/>
      <c r="F3088" s="721"/>
      <c r="G3088" s="721"/>
      <c r="H3088" s="721"/>
      <c r="I3088" s="721"/>
      <c r="K3088" s="721"/>
      <c r="L3088" s="721"/>
      <c r="M3088" s="721"/>
      <c r="N3088" s="721"/>
      <c r="O3088" s="721"/>
      <c r="P3088" s="721"/>
    </row>
    <row r="3089" spans="3:21" s="348" customFormat="1" x14ac:dyDescent="0.2">
      <c r="D3089" s="721"/>
      <c r="E3089" s="721"/>
      <c r="F3089" s="721"/>
      <c r="G3089" s="721"/>
      <c r="H3089" s="721"/>
      <c r="I3089" s="721"/>
      <c r="K3089" s="721"/>
      <c r="L3089" s="721"/>
      <c r="M3089" s="721"/>
      <c r="N3089" s="721"/>
      <c r="O3089" s="721"/>
      <c r="P3089" s="721"/>
    </row>
    <row r="3090" spans="3:21" s="348" customFormat="1" ht="15.75" x14ac:dyDescent="0.2">
      <c r="C3090" s="124" t="str">
        <f>"Lab Tests &amp; Other Direct Costs for "&amp;G2952&amp;""</f>
        <v>Lab Tests &amp; Other Direct Costs for PALL</v>
      </c>
    </row>
    <row r="3091" spans="3:21" s="348" customFormat="1" x14ac:dyDescent="0.2"/>
    <row r="3092" spans="3:21" s="348" customFormat="1" ht="30" x14ac:dyDescent="0.2">
      <c r="D3092" s="667" t="s">
        <v>106</v>
      </c>
      <c r="J3092" s="132" t="str">
        <f>"Cost per Unit ("&amp;$I$3130&amp;")"</f>
        <v>Cost per Unit (USD)</v>
      </c>
      <c r="K3092" s="366" t="s">
        <v>107</v>
      </c>
      <c r="L3092" s="307" t="s">
        <v>183</v>
      </c>
      <c r="M3092" s="132" t="str">
        <f>"Total Cost ("&amp;$I$3130&amp;")"</f>
        <v>Total Cost (USD)</v>
      </c>
      <c r="N3092" s="725" t="s">
        <v>74</v>
      </c>
      <c r="O3092" s="726"/>
      <c r="P3092" s="726"/>
      <c r="U3092" s="671" t="s">
        <v>312</v>
      </c>
    </row>
    <row r="3093" spans="3:21" s="348" customFormat="1" x14ac:dyDescent="0.2">
      <c r="D3093" s="721"/>
      <c r="E3093" s="721"/>
      <c r="F3093" s="721"/>
      <c r="G3093" s="721"/>
      <c r="H3093" s="672"/>
      <c r="J3093" s="674">
        <f t="shared" ref="J3093:J3103" si="64">IFERROR(INDEX($L$3493:$L$3525,MATCH(D3093,LU_Intv_6_Lab_Oth,0)),0)</f>
        <v>0</v>
      </c>
      <c r="K3093" s="183"/>
      <c r="L3093" s="183">
        <v>0</v>
      </c>
      <c r="M3093" s="161">
        <f t="shared" ref="M3093:M3103" si="65">J3093*K3093*L3093</f>
        <v>0</v>
      </c>
      <c r="N3093" s="721"/>
      <c r="O3093" s="721"/>
      <c r="P3093" s="721"/>
      <c r="U3093" s="119">
        <f t="shared" ref="U3093:U3103" si="66">IF(AND(ISERROR(MATCH(D3093,LU_Intv_6_Lab_Oth,0)),L3093),1,0)</f>
        <v>0</v>
      </c>
    </row>
    <row r="3094" spans="3:21" s="348" customFormat="1" x14ac:dyDescent="0.2">
      <c r="D3094" s="721"/>
      <c r="E3094" s="721"/>
      <c r="F3094" s="721"/>
      <c r="G3094" s="721"/>
      <c r="H3094" s="672"/>
      <c r="J3094" s="674">
        <f t="shared" si="64"/>
        <v>0</v>
      </c>
      <c r="K3094" s="183"/>
      <c r="L3094" s="183">
        <v>0</v>
      </c>
      <c r="M3094" s="161">
        <f t="shared" si="65"/>
        <v>0</v>
      </c>
      <c r="N3094" s="721"/>
      <c r="O3094" s="721"/>
      <c r="P3094" s="721"/>
      <c r="U3094" s="119">
        <f t="shared" si="66"/>
        <v>0</v>
      </c>
    </row>
    <row r="3095" spans="3:21" s="348" customFormat="1" x14ac:dyDescent="0.2">
      <c r="D3095" s="721"/>
      <c r="E3095" s="721"/>
      <c r="F3095" s="721"/>
      <c r="G3095" s="721"/>
      <c r="H3095" s="672"/>
      <c r="J3095" s="674">
        <f t="shared" si="64"/>
        <v>0</v>
      </c>
      <c r="K3095" s="183"/>
      <c r="L3095" s="183">
        <v>0</v>
      </c>
      <c r="M3095" s="161">
        <f t="shared" si="65"/>
        <v>0</v>
      </c>
      <c r="N3095" s="721"/>
      <c r="O3095" s="721"/>
      <c r="P3095" s="721"/>
      <c r="U3095" s="119">
        <f t="shared" si="66"/>
        <v>0</v>
      </c>
    </row>
    <row r="3096" spans="3:21" s="348" customFormat="1" x14ac:dyDescent="0.2">
      <c r="D3096" s="721"/>
      <c r="E3096" s="721"/>
      <c r="F3096" s="721"/>
      <c r="G3096" s="721"/>
      <c r="H3096" s="672"/>
      <c r="J3096" s="674">
        <f t="shared" si="64"/>
        <v>0</v>
      </c>
      <c r="K3096" s="183"/>
      <c r="L3096" s="183">
        <v>0</v>
      </c>
      <c r="M3096" s="161">
        <f t="shared" si="65"/>
        <v>0</v>
      </c>
      <c r="N3096" s="721"/>
      <c r="O3096" s="721"/>
      <c r="P3096" s="721"/>
      <c r="U3096" s="119">
        <f t="shared" si="66"/>
        <v>0</v>
      </c>
    </row>
    <row r="3097" spans="3:21" s="348" customFormat="1" x14ac:dyDescent="0.2">
      <c r="D3097" s="721"/>
      <c r="E3097" s="721"/>
      <c r="F3097" s="721"/>
      <c r="G3097" s="721"/>
      <c r="H3097" s="672"/>
      <c r="J3097" s="674">
        <f t="shared" si="64"/>
        <v>0</v>
      </c>
      <c r="K3097" s="183"/>
      <c r="L3097" s="183">
        <v>0</v>
      </c>
      <c r="M3097" s="161">
        <f t="shared" si="65"/>
        <v>0</v>
      </c>
      <c r="N3097" s="721"/>
      <c r="O3097" s="721"/>
      <c r="P3097" s="721"/>
      <c r="U3097" s="119">
        <f t="shared" si="66"/>
        <v>0</v>
      </c>
    </row>
    <row r="3098" spans="3:21" s="348" customFormat="1" x14ac:dyDescent="0.2">
      <c r="D3098" s="721"/>
      <c r="E3098" s="721"/>
      <c r="F3098" s="721"/>
      <c r="G3098" s="721"/>
      <c r="H3098" s="672"/>
      <c r="J3098" s="674">
        <f t="shared" si="64"/>
        <v>0</v>
      </c>
      <c r="K3098" s="183"/>
      <c r="L3098" s="183">
        <v>0</v>
      </c>
      <c r="M3098" s="161">
        <f t="shared" si="65"/>
        <v>0</v>
      </c>
      <c r="N3098" s="721"/>
      <c r="O3098" s="721"/>
      <c r="P3098" s="721"/>
      <c r="U3098" s="119">
        <f t="shared" si="66"/>
        <v>0</v>
      </c>
    </row>
    <row r="3099" spans="3:21" s="348" customFormat="1" x14ac:dyDescent="0.2">
      <c r="D3099" s="721"/>
      <c r="E3099" s="721"/>
      <c r="F3099" s="721"/>
      <c r="G3099" s="721"/>
      <c r="H3099" s="672"/>
      <c r="J3099" s="674">
        <f t="shared" si="64"/>
        <v>0</v>
      </c>
      <c r="K3099" s="183"/>
      <c r="L3099" s="183">
        <v>0</v>
      </c>
      <c r="M3099" s="161">
        <f t="shared" si="65"/>
        <v>0</v>
      </c>
      <c r="N3099" s="721"/>
      <c r="O3099" s="721"/>
      <c r="P3099" s="721"/>
      <c r="U3099" s="119">
        <f t="shared" si="66"/>
        <v>0</v>
      </c>
    </row>
    <row r="3100" spans="3:21" s="348" customFormat="1" x14ac:dyDescent="0.2">
      <c r="D3100" s="721"/>
      <c r="E3100" s="721"/>
      <c r="F3100" s="721"/>
      <c r="G3100" s="721"/>
      <c r="H3100" s="672"/>
      <c r="J3100" s="674">
        <f t="shared" si="64"/>
        <v>0</v>
      </c>
      <c r="K3100" s="183"/>
      <c r="L3100" s="183">
        <v>0</v>
      </c>
      <c r="M3100" s="161">
        <f t="shared" si="65"/>
        <v>0</v>
      </c>
      <c r="N3100" s="721"/>
      <c r="O3100" s="721"/>
      <c r="P3100" s="721"/>
      <c r="U3100" s="119">
        <f t="shared" si="66"/>
        <v>0</v>
      </c>
    </row>
    <row r="3101" spans="3:21" s="348" customFormat="1" x14ac:dyDescent="0.2">
      <c r="D3101" s="721"/>
      <c r="E3101" s="721"/>
      <c r="F3101" s="721"/>
      <c r="G3101" s="721"/>
      <c r="H3101" s="672"/>
      <c r="J3101" s="674">
        <f t="shared" si="64"/>
        <v>0</v>
      </c>
      <c r="K3101" s="183"/>
      <c r="L3101" s="183">
        <v>0</v>
      </c>
      <c r="M3101" s="161">
        <f t="shared" si="65"/>
        <v>0</v>
      </c>
      <c r="N3101" s="721"/>
      <c r="O3101" s="721"/>
      <c r="P3101" s="721"/>
      <c r="U3101" s="119">
        <f t="shared" si="66"/>
        <v>0</v>
      </c>
    </row>
    <row r="3102" spans="3:21" s="348" customFormat="1" x14ac:dyDescent="0.2">
      <c r="D3102" s="721"/>
      <c r="E3102" s="721"/>
      <c r="F3102" s="721"/>
      <c r="G3102" s="721"/>
      <c r="H3102" s="672"/>
      <c r="J3102" s="674">
        <f t="shared" si="64"/>
        <v>0</v>
      </c>
      <c r="K3102" s="183"/>
      <c r="L3102" s="183">
        <v>0</v>
      </c>
      <c r="M3102" s="161">
        <f t="shared" si="65"/>
        <v>0</v>
      </c>
      <c r="N3102" s="721"/>
      <c r="O3102" s="721"/>
      <c r="P3102" s="721"/>
      <c r="U3102" s="119">
        <f t="shared" si="66"/>
        <v>0</v>
      </c>
    </row>
    <row r="3103" spans="3:21" s="348" customFormat="1" x14ac:dyDescent="0.2">
      <c r="D3103" s="721"/>
      <c r="E3103" s="721"/>
      <c r="F3103" s="721"/>
      <c r="G3103" s="721"/>
      <c r="H3103" s="672"/>
      <c r="J3103" s="674">
        <f t="shared" si="64"/>
        <v>0</v>
      </c>
      <c r="K3103" s="183"/>
      <c r="L3103" s="183">
        <v>0</v>
      </c>
      <c r="M3103" s="161">
        <f t="shared" si="65"/>
        <v>0</v>
      </c>
      <c r="N3103" s="721"/>
      <c r="O3103" s="721"/>
      <c r="P3103" s="721"/>
      <c r="U3103" s="119">
        <f t="shared" si="66"/>
        <v>0</v>
      </c>
    </row>
    <row r="3104" spans="3:21" s="348" customFormat="1" ht="15" x14ac:dyDescent="0.2">
      <c r="D3104" s="782" t="s">
        <v>108</v>
      </c>
      <c r="E3104" s="783"/>
      <c r="F3104" s="783"/>
      <c r="G3104" s="783"/>
      <c r="H3104" s="672"/>
      <c r="J3104" s="308"/>
      <c r="K3104" s="119"/>
      <c r="L3104" s="674"/>
      <c r="M3104" s="162">
        <f>SUM(M3093:M3103)</f>
        <v>0</v>
      </c>
      <c r="N3104" s="669"/>
      <c r="O3104" s="669"/>
      <c r="P3104" s="669"/>
      <c r="U3104" s="672"/>
    </row>
    <row r="3105" spans="3:16" s="348" customFormat="1" x14ac:dyDescent="0.2"/>
    <row r="3106" spans="3:16" s="348" customFormat="1" ht="15" x14ac:dyDescent="0.2">
      <c r="D3106" s="667" t="s">
        <v>966</v>
      </c>
      <c r="K3106" s="671" t="s">
        <v>967</v>
      </c>
    </row>
    <row r="3107" spans="3:16" s="348" customFormat="1" x14ac:dyDescent="0.2">
      <c r="D3107" s="721"/>
      <c r="E3107" s="721"/>
      <c r="F3107" s="721"/>
      <c r="G3107" s="721"/>
      <c r="H3107" s="721"/>
      <c r="I3107" s="721"/>
      <c r="K3107" s="721"/>
      <c r="L3107" s="721"/>
      <c r="M3107" s="721"/>
      <c r="N3107" s="721"/>
      <c r="O3107" s="721"/>
      <c r="P3107" s="721"/>
    </row>
    <row r="3108" spans="3:16" s="348" customFormat="1" x14ac:dyDescent="0.2">
      <c r="D3108" s="721"/>
      <c r="E3108" s="721"/>
      <c r="F3108" s="721"/>
      <c r="G3108" s="721"/>
      <c r="H3108" s="721"/>
      <c r="I3108" s="721"/>
      <c r="K3108" s="721"/>
      <c r="L3108" s="721"/>
      <c r="M3108" s="721"/>
      <c r="N3108" s="721"/>
      <c r="O3108" s="721"/>
      <c r="P3108" s="721"/>
    </row>
    <row r="3109" spans="3:16" s="348" customFormat="1" x14ac:dyDescent="0.2">
      <c r="D3109" s="721"/>
      <c r="E3109" s="721"/>
      <c r="F3109" s="721"/>
      <c r="G3109" s="721"/>
      <c r="H3109" s="721"/>
      <c r="I3109" s="721"/>
      <c r="K3109" s="721"/>
      <c r="L3109" s="721"/>
      <c r="M3109" s="721"/>
      <c r="N3109" s="721"/>
      <c r="O3109" s="721"/>
      <c r="P3109" s="721"/>
    </row>
    <row r="3110" spans="3:16" s="348" customFormat="1" x14ac:dyDescent="0.2">
      <c r="D3110" s="721"/>
      <c r="E3110" s="721"/>
      <c r="F3110" s="721"/>
      <c r="G3110" s="721"/>
      <c r="H3110" s="721"/>
      <c r="I3110" s="721"/>
      <c r="K3110" s="721"/>
      <c r="L3110" s="721"/>
      <c r="M3110" s="721"/>
      <c r="N3110" s="721"/>
      <c r="O3110" s="721"/>
      <c r="P3110" s="721"/>
    </row>
    <row r="3111" spans="3:16" s="348" customFormat="1" hidden="1" outlineLevel="2" x14ac:dyDescent="0.2"/>
    <row r="3112" spans="3:16" s="348" customFormat="1" collapsed="1" x14ac:dyDescent="0.2"/>
    <row r="3113" spans="3:16" s="348" customFormat="1" ht="15.75" x14ac:dyDescent="0.2">
      <c r="C3113" s="664" t="s">
        <v>1870</v>
      </c>
    </row>
    <row r="3114" spans="3:16" s="348" customFormat="1" hidden="1" outlineLevel="1" x14ac:dyDescent="0.2">
      <c r="D3114" s="668" t="str">
        <f>Plac_Start_Facs_BA!C10</f>
        <v>Central</v>
      </c>
    </row>
    <row r="3115" spans="3:16" s="348" customFormat="1" hidden="1" outlineLevel="1" x14ac:dyDescent="0.2">
      <c r="D3115" s="668" t="str">
        <f>Plac_Start_Facs_BA!C11</f>
        <v>Copperbelt</v>
      </c>
    </row>
    <row r="3116" spans="3:16" s="348" customFormat="1" hidden="1" outlineLevel="1" x14ac:dyDescent="0.2">
      <c r="D3116" s="668" t="str">
        <f>Plac_Start_Facs_BA!C12</f>
        <v>Eastern</v>
      </c>
    </row>
    <row r="3117" spans="3:16" s="348" customFormat="1" hidden="1" outlineLevel="1" x14ac:dyDescent="0.2">
      <c r="D3117" s="668" t="str">
        <f>Plac_Start_Facs_BA!C13</f>
        <v>Luapula</v>
      </c>
    </row>
    <row r="3118" spans="3:16" s="348" customFormat="1" hidden="1" outlineLevel="1" x14ac:dyDescent="0.2">
      <c r="D3118" s="668" t="str">
        <f>Plac_Start_Facs_BA!C14</f>
        <v>Lusaka</v>
      </c>
    </row>
    <row r="3119" spans="3:16" s="348" customFormat="1" hidden="1" outlineLevel="1" x14ac:dyDescent="0.2">
      <c r="D3119" s="668" t="str">
        <f>Plac_Start_Facs_BA!C15</f>
        <v>Muchinga</v>
      </c>
    </row>
    <row r="3120" spans="3:16" s="348" customFormat="1" hidden="1" outlineLevel="1" x14ac:dyDescent="0.2">
      <c r="D3120" s="668" t="str">
        <f>Plac_Start_Facs_BA!C16</f>
        <v>Northern</v>
      </c>
    </row>
    <row r="3121" spans="3:21" s="348" customFormat="1" hidden="1" outlineLevel="1" x14ac:dyDescent="0.2">
      <c r="D3121" s="668" t="str">
        <f>Plac_Start_Facs_BA!C17</f>
        <v>North-Western</v>
      </c>
    </row>
    <row r="3122" spans="3:21" s="348" customFormat="1" hidden="1" outlineLevel="1" x14ac:dyDescent="0.2">
      <c r="D3122" s="668" t="str">
        <f>Plac_Start_Facs_BA!C18</f>
        <v>Southern</v>
      </c>
    </row>
    <row r="3123" spans="3:21" s="348" customFormat="1" hidden="1" outlineLevel="1" x14ac:dyDescent="0.2">
      <c r="D3123" s="668" t="str">
        <f>Plac_Start_Facs_BA!C19</f>
        <v>Western</v>
      </c>
    </row>
    <row r="3124" spans="3:21" s="348" customFormat="1" collapsed="1" x14ac:dyDescent="0.2"/>
    <row r="3125" spans="3:21" s="348" customFormat="1" x14ac:dyDescent="0.2"/>
    <row r="3126" spans="3:21" s="348" customFormat="1" x14ac:dyDescent="0.2"/>
    <row r="3127" spans="3:21" s="348" customFormat="1" x14ac:dyDescent="0.2"/>
    <row r="3128" spans="3:21" s="348" customFormat="1" ht="15.75" hidden="1" outlineLevel="2" x14ac:dyDescent="0.2">
      <c r="C3128" s="664" t="s">
        <v>303</v>
      </c>
    </row>
    <row r="3129" spans="3:21" s="348" customFormat="1" hidden="1" outlineLevel="2" x14ac:dyDescent="0.2">
      <c r="U3129" s="671" t="s">
        <v>312</v>
      </c>
    </row>
    <row r="3130" spans="3:21" s="348" customFormat="1" ht="15" hidden="1" customHeight="1" outlineLevel="2" x14ac:dyDescent="0.2">
      <c r="D3130" s="667" t="s">
        <v>302</v>
      </c>
      <c r="I3130" s="785" t="str">
        <f>Price_List_BA!G10</f>
        <v>USD</v>
      </c>
      <c r="J3130" s="786"/>
      <c r="U3130" s="119">
        <f>IF(ISERROR(MATCH(I3130,LU_Intv_6_Curr,0)),1,0)</f>
        <v>0</v>
      </c>
    </row>
    <row r="3131" spans="3:21" s="348" customFormat="1" hidden="1" outlineLevel="2" x14ac:dyDescent="0.2"/>
    <row r="3132" spans="3:21" s="348" customFormat="1" ht="25.5" hidden="1" outlineLevel="2" x14ac:dyDescent="0.2">
      <c r="D3132" s="359" t="str">
        <f>"Personnel - "&amp;D3028</f>
        <v>Personnel - Fixed Hospital Sites</v>
      </c>
      <c r="L3132" s="312" t="str">
        <f>"Cost per Unit ("&amp;$I$3130&amp;"/Unit)"</f>
        <v>Cost per Unit (USD/Unit)</v>
      </c>
    </row>
    <row r="3133" spans="3:21" s="348" customFormat="1" ht="12.75" hidden="1" customHeight="1" outlineLevel="2" x14ac:dyDescent="0.2">
      <c r="D3133" s="785" t="str">
        <f>Price_List_BA!D14</f>
        <v>_Not Applicable</v>
      </c>
      <c r="E3133" s="786"/>
      <c r="F3133" s="786"/>
      <c r="G3133" s="786"/>
      <c r="L3133" s="137">
        <f>Price_List_BA!L14</f>
        <v>0</v>
      </c>
    </row>
    <row r="3134" spans="3:21" s="348" customFormat="1" ht="12.95" hidden="1" customHeight="1" outlineLevel="2" x14ac:dyDescent="0.2">
      <c r="D3134" s="785" t="str">
        <f>Price_List_BA!D15</f>
        <v>Biomedical scientist (ZM)</v>
      </c>
      <c r="E3134" s="786"/>
      <c r="F3134" s="786"/>
      <c r="G3134" s="786"/>
      <c r="L3134" s="137">
        <f>Price_List_BA!L15</f>
        <v>9.6099869451697087E-2</v>
      </c>
    </row>
    <row r="3135" spans="3:21" s="348" customFormat="1" ht="12.95" hidden="1" customHeight="1" outlineLevel="2" x14ac:dyDescent="0.2">
      <c r="D3135" s="785" t="str">
        <f>Price_List_BA!D16</f>
        <v>Clinical officer  (ZM)</v>
      </c>
      <c r="E3135" s="786"/>
      <c r="F3135" s="786"/>
      <c r="G3135" s="786"/>
      <c r="L3135" s="137">
        <f>Price_List_BA!L16</f>
        <v>5.4314893385552607E-2</v>
      </c>
    </row>
    <row r="3136" spans="3:21" s="348" customFormat="1" ht="12.75" hidden="1" customHeight="1" outlineLevel="2" x14ac:dyDescent="0.2">
      <c r="D3136" s="785" t="str">
        <f>Price_List_BA!D17</f>
        <v>Consultant  (ZM)</v>
      </c>
      <c r="E3136" s="786"/>
      <c r="F3136" s="786"/>
      <c r="G3136" s="786"/>
      <c r="L3136" s="137">
        <f>Price_List_BA!L17</f>
        <v>0.39408430337975103</v>
      </c>
    </row>
    <row r="3137" spans="4:12" s="348" customFormat="1" hidden="1" outlineLevel="2" x14ac:dyDescent="0.2">
      <c r="D3137" s="785" t="str">
        <f>Price_List_BA!D18</f>
        <v>General Medical Doctor</v>
      </c>
      <c r="E3137" s="786"/>
      <c r="F3137" s="786"/>
      <c r="G3137" s="786"/>
      <c r="L3137" s="137">
        <f>Price_List_BA!L18</f>
        <v>0.33333333333333331</v>
      </c>
    </row>
    <row r="3138" spans="4:12" s="348" customFormat="1" ht="12.75" hidden="1" customHeight="1" outlineLevel="2" x14ac:dyDescent="0.2">
      <c r="D3138" s="785" t="str">
        <f>Price_List_BA!D19</f>
        <v>Junior Resident Medical officer  (ZM)</v>
      </c>
      <c r="E3138" s="786"/>
      <c r="F3138" s="786"/>
      <c r="G3138" s="786"/>
      <c r="L3138" s="137">
        <f>Price_List_BA!L19</f>
        <v>0.30300363087467391</v>
      </c>
    </row>
    <row r="3139" spans="4:12" s="348" customFormat="1" ht="12.95" hidden="1" customHeight="1" outlineLevel="2" x14ac:dyDescent="0.2">
      <c r="D3139" s="785" t="str">
        <f>Price_List_BA!D20</f>
        <v>Lab Scientist (ZM)</v>
      </c>
      <c r="E3139" s="786"/>
      <c r="F3139" s="786"/>
      <c r="G3139" s="786"/>
      <c r="L3139" s="137">
        <f>Price_List_BA!L20</f>
        <v>9.6099869451697087E-2</v>
      </c>
    </row>
    <row r="3140" spans="4:12" s="348" customFormat="1" ht="12.95" hidden="1" customHeight="1" outlineLevel="2" x14ac:dyDescent="0.2">
      <c r="D3140" s="785" t="str">
        <f>Price_List_BA!D21</f>
        <v>Lab Technician (ZM)</v>
      </c>
      <c r="E3140" s="786"/>
      <c r="F3140" s="786"/>
      <c r="G3140" s="786"/>
      <c r="L3140" s="137">
        <f>Price_List_BA!L21</f>
        <v>4.7519582245430833E-2</v>
      </c>
    </row>
    <row r="3141" spans="4:12" s="348" customFormat="1" ht="12.75" hidden="1" customHeight="1" outlineLevel="2" x14ac:dyDescent="0.2">
      <c r="D3141" s="785" t="str">
        <f>Price_List_BA!D22</f>
        <v>Lab Technologist (ZM)</v>
      </c>
      <c r="E3141" s="786"/>
      <c r="F3141" s="786"/>
      <c r="G3141" s="786"/>
      <c r="L3141" s="137">
        <f>Price_List_BA!L22</f>
        <v>5.4308093994778019E-2</v>
      </c>
    </row>
    <row r="3142" spans="4:12" s="348" customFormat="1" ht="12.75" hidden="1" customHeight="1" outlineLevel="2" x14ac:dyDescent="0.2">
      <c r="D3142" s="785" t="str">
        <f>Price_List_BA!D23</f>
        <v>Medical Physicist (ZM)</v>
      </c>
      <c r="E3142" s="786"/>
      <c r="F3142" s="786"/>
      <c r="G3142" s="786"/>
      <c r="L3142" s="137">
        <f>Price_List_BA!L23</f>
        <v>0.15991895126196667</v>
      </c>
    </row>
    <row r="3143" spans="4:12" s="348" customFormat="1" ht="12.95" hidden="1" customHeight="1" outlineLevel="2" x14ac:dyDescent="0.2">
      <c r="D3143" s="785" t="str">
        <f>Price_List_BA!D24</f>
        <v>Nursing Officer (ZM)</v>
      </c>
      <c r="E3143" s="786"/>
      <c r="F3143" s="786"/>
      <c r="G3143" s="786"/>
      <c r="L3143" s="137">
        <f>Price_List_BA!L24</f>
        <v>9.6099869451697087E-2</v>
      </c>
    </row>
    <row r="3144" spans="4:12" s="348" customFormat="1" ht="12.95" hidden="1" customHeight="1" outlineLevel="2" x14ac:dyDescent="0.2">
      <c r="D3144" s="785" t="str">
        <f>Price_List_BA!D25</f>
        <v>Pathologist (ZM)</v>
      </c>
      <c r="E3144" s="786"/>
      <c r="F3144" s="786"/>
      <c r="G3144" s="786"/>
      <c r="L3144" s="137">
        <f>Price_List_BA!L25</f>
        <v>0.39408430337975103</v>
      </c>
    </row>
    <row r="3145" spans="4:12" s="348" customFormat="1" ht="12.95" hidden="1" customHeight="1" outlineLevel="2" x14ac:dyDescent="0.2">
      <c r="D3145" s="785" t="str">
        <f>Price_List_BA!D26</f>
        <v>Pharmacy Technologist (ZM)</v>
      </c>
      <c r="E3145" s="786"/>
      <c r="F3145" s="786"/>
      <c r="G3145" s="786"/>
      <c r="L3145" s="137">
        <f>Price_List_BA!L26</f>
        <v>5.4312173629242816E-2</v>
      </c>
    </row>
    <row r="3146" spans="4:12" s="348" customFormat="1" ht="12.95" hidden="1" customHeight="1" outlineLevel="2" x14ac:dyDescent="0.2">
      <c r="D3146" s="785" t="str">
        <f>Price_List_BA!D27</f>
        <v>Principal Nursing Officer (ZM)</v>
      </c>
      <c r="E3146" s="786"/>
      <c r="F3146" s="786"/>
      <c r="G3146" s="786"/>
      <c r="L3146" s="137">
        <f>Price_List_BA!L27</f>
        <v>0.15919413620539585</v>
      </c>
    </row>
    <row r="3147" spans="4:12" s="348" customFormat="1" ht="12.95" hidden="1" customHeight="1" outlineLevel="2" x14ac:dyDescent="0.2">
      <c r="D3147" s="785" t="str">
        <f>Price_List_BA!D28</f>
        <v>Principal Pharmacist (ZM)</v>
      </c>
      <c r="E3147" s="786"/>
      <c r="F3147" s="786"/>
      <c r="G3147" s="786"/>
      <c r="L3147" s="137">
        <f>Price_List_BA!L28</f>
        <v>0.15919560940673019</v>
      </c>
    </row>
    <row r="3148" spans="4:12" s="348" customFormat="1" ht="12.75" hidden="1" customHeight="1" outlineLevel="2" x14ac:dyDescent="0.2">
      <c r="D3148" s="785" t="str">
        <f>Price_List_BA!D29</f>
        <v>Principal Radiographer (ZM)</v>
      </c>
      <c r="E3148" s="786"/>
      <c r="F3148" s="786"/>
      <c r="G3148" s="786"/>
      <c r="L3148" s="137">
        <f>Price_List_BA!L29</f>
        <v>0.15919855580939896</v>
      </c>
    </row>
    <row r="3149" spans="4:12" s="348" customFormat="1" ht="12.75" hidden="1" customHeight="1" outlineLevel="2" x14ac:dyDescent="0.2">
      <c r="D3149" s="785" t="str">
        <f>Price_List_BA!D30</f>
        <v>Principal Therapist - Radiation (ZM)</v>
      </c>
      <c r="E3149" s="786"/>
      <c r="F3149" s="786"/>
      <c r="G3149" s="786"/>
      <c r="L3149" s="137">
        <f>Price_List_BA!L30</f>
        <v>0.15919708260806459</v>
      </c>
    </row>
    <row r="3150" spans="4:12" s="348" customFormat="1" ht="12.75" hidden="1" customHeight="1" outlineLevel="2" x14ac:dyDescent="0.2">
      <c r="D3150" s="785" t="str">
        <f>Price_List_BA!D31</f>
        <v>Radiation Lab Scientist (ZM)</v>
      </c>
      <c r="E3150" s="786"/>
      <c r="F3150" s="786"/>
      <c r="G3150" s="786"/>
      <c r="L3150" s="137">
        <f>Price_List_BA!L31</f>
        <v>9.6099869451697087E-2</v>
      </c>
    </row>
    <row r="3151" spans="4:12" s="348" customFormat="1" ht="12.95" hidden="1" customHeight="1" outlineLevel="2" x14ac:dyDescent="0.2">
      <c r="D3151" s="785" t="str">
        <f>Price_List_BA!D32</f>
        <v>Radiation Protection Officer (ZM)</v>
      </c>
      <c r="E3151" s="786"/>
      <c r="F3151" s="786"/>
      <c r="G3151" s="786"/>
      <c r="L3151" s="137">
        <f>Price_List_BA!L32</f>
        <v>9.6099869451697087E-2</v>
      </c>
    </row>
    <row r="3152" spans="4:12" s="348" customFormat="1" ht="12.95" hidden="1" customHeight="1" outlineLevel="2" x14ac:dyDescent="0.2">
      <c r="D3152" s="785" t="str">
        <f>Price_List_BA!D33</f>
        <v>Radiographer (ZM)</v>
      </c>
      <c r="E3152" s="786"/>
      <c r="F3152" s="786"/>
      <c r="G3152" s="786"/>
      <c r="L3152" s="137">
        <f>Price_List_BA!L33</f>
        <v>9.6099869451697087E-2</v>
      </c>
    </row>
    <row r="3153" spans="4:12" s="348" customFormat="1" ht="12.95" hidden="1" customHeight="1" outlineLevel="2" x14ac:dyDescent="0.2">
      <c r="D3153" s="785" t="str">
        <f>Price_List_BA!D34</f>
        <v>Registered Nurse (ZM)</v>
      </c>
      <c r="E3153" s="786"/>
      <c r="F3153" s="786"/>
      <c r="G3153" s="786"/>
      <c r="L3153" s="137">
        <f>Price_List_BA!L34</f>
        <v>5.7114882506527402E-2</v>
      </c>
    </row>
    <row r="3154" spans="4:12" s="348" customFormat="1" ht="12.95" hidden="1" customHeight="1" outlineLevel="2" x14ac:dyDescent="0.2">
      <c r="D3154" s="785" t="str">
        <f>Price_List_BA!D35</f>
        <v>Senior Enrolled Nurse (ZM)</v>
      </c>
      <c r="E3154" s="786"/>
      <c r="F3154" s="786"/>
      <c r="G3154" s="786"/>
      <c r="L3154" s="137">
        <f>Price_List_BA!L35</f>
        <v>5.4313533507397704E-2</v>
      </c>
    </row>
    <row r="3155" spans="4:12" s="348" customFormat="1" ht="12.75" hidden="1" customHeight="1" outlineLevel="2" x14ac:dyDescent="0.2">
      <c r="D3155" s="785" t="str">
        <f>Price_List_BA!D36</f>
        <v>Senior Nursing Officer (ZM)</v>
      </c>
      <c r="E3155" s="786"/>
      <c r="F3155" s="786"/>
      <c r="G3155" s="786"/>
      <c r="L3155" s="137">
        <f>Price_List_BA!L36</f>
        <v>0.12206946257615311</v>
      </c>
    </row>
    <row r="3156" spans="4:12" s="348" customFormat="1" ht="12.75" hidden="1" customHeight="1" outlineLevel="2" x14ac:dyDescent="0.2">
      <c r="D3156" s="785" t="str">
        <f>Price_List_BA!D37</f>
        <v>Senior Radiation protection Officer (ZM)</v>
      </c>
      <c r="E3156" s="786"/>
      <c r="F3156" s="786"/>
      <c r="G3156" s="786"/>
      <c r="L3156" s="137">
        <f>Price_List_BA!L37</f>
        <v>0.12207093577748751</v>
      </c>
    </row>
    <row r="3157" spans="4:12" s="348" customFormat="1" ht="12.75" hidden="1" customHeight="1" outlineLevel="2" x14ac:dyDescent="0.2">
      <c r="D3157" s="785" t="str">
        <f>Price_List_BA!D38</f>
        <v>Senior Radiographer (ZM)</v>
      </c>
      <c r="E3157" s="786"/>
      <c r="F3157" s="786"/>
      <c r="G3157" s="786"/>
      <c r="L3157" s="137">
        <f>Price_List_BA!L38</f>
        <v>0.12207240897882186</v>
      </c>
    </row>
    <row r="3158" spans="4:12" s="348" customFormat="1" ht="12.75" hidden="1" customHeight="1" outlineLevel="2" x14ac:dyDescent="0.2">
      <c r="D3158" s="785" t="str">
        <f>Price_List_BA!D39</f>
        <v>Zambia Enrolled Nurse (ZEN) (ZM)</v>
      </c>
      <c r="E3158" s="786"/>
      <c r="F3158" s="786"/>
      <c r="G3158" s="786"/>
      <c r="L3158" s="137">
        <f>Price_List_BA!L39</f>
        <v>5.4309453872933025E-2</v>
      </c>
    </row>
    <row r="3159" spans="4:12" s="348" customFormat="1" hidden="1" outlineLevel="2" x14ac:dyDescent="0.2">
      <c r="D3159" s="785" t="str">
        <f>Price_List_BA!D40</f>
        <v>Personnel - Hospital Cadre - Other 27</v>
      </c>
      <c r="E3159" s="786"/>
      <c r="F3159" s="786"/>
      <c r="G3159" s="786"/>
      <c r="L3159" s="137">
        <f>Price_List_BA!L40</f>
        <v>0</v>
      </c>
    </row>
    <row r="3160" spans="4:12" s="348" customFormat="1" hidden="1" outlineLevel="2" x14ac:dyDescent="0.2">
      <c r="D3160" s="785" t="str">
        <f>Price_List_BA!D41</f>
        <v>Personnel - Hospital Cadre - Other 28</v>
      </c>
      <c r="E3160" s="786"/>
      <c r="F3160" s="786"/>
      <c r="G3160" s="786"/>
      <c r="L3160" s="137">
        <f>Price_List_BA!L41</f>
        <v>0</v>
      </c>
    </row>
    <row r="3161" spans="4:12" s="348" customFormat="1" hidden="1" outlineLevel="2" x14ac:dyDescent="0.2">
      <c r="D3161" s="785" t="str">
        <f>Price_List_BA!D42</f>
        <v>Personnel - Hospital Cadre - Other 29</v>
      </c>
      <c r="E3161" s="786"/>
      <c r="F3161" s="786"/>
      <c r="G3161" s="786"/>
      <c r="L3161" s="137">
        <f>Price_List_BA!L42</f>
        <v>0</v>
      </c>
    </row>
    <row r="3162" spans="4:12" s="348" customFormat="1" hidden="1" outlineLevel="2" x14ac:dyDescent="0.2">
      <c r="D3162" s="785" t="str">
        <f>Price_List_BA!D43</f>
        <v>Personnel - Hospital Cadre - Other 30</v>
      </c>
      <c r="E3162" s="786"/>
      <c r="F3162" s="786"/>
      <c r="G3162" s="786"/>
      <c r="L3162" s="137">
        <f>Price_List_BA!L43</f>
        <v>0</v>
      </c>
    </row>
    <row r="3163" spans="4:12" s="348" customFormat="1" hidden="1" outlineLevel="2" x14ac:dyDescent="0.2">
      <c r="D3163" s="785" t="str">
        <f>Price_List_BA!D44</f>
        <v>Personnel - Hospital Cadre - Other 31</v>
      </c>
      <c r="E3163" s="786"/>
      <c r="F3163" s="786"/>
      <c r="G3163" s="786"/>
      <c r="L3163" s="137">
        <f>Price_List_BA!L44</f>
        <v>0</v>
      </c>
    </row>
    <row r="3164" spans="4:12" s="348" customFormat="1" hidden="1" outlineLevel="2" x14ac:dyDescent="0.2"/>
    <row r="3165" spans="4:12" s="348" customFormat="1" ht="25.5" hidden="1" outlineLevel="2" x14ac:dyDescent="0.2">
      <c r="D3165" s="359" t="str">
        <f>"Personnel - "&amp;D3047</f>
        <v>Personnel - Other Facility Types</v>
      </c>
      <c r="L3165" s="312" t="str">
        <f>"Cost per Unit ("&amp;$I$3130&amp;"/Unit)"</f>
        <v>Cost per Unit (USD/Unit)</v>
      </c>
    </row>
    <row r="3166" spans="4:12" s="348" customFormat="1" ht="12.75" hidden="1" customHeight="1" outlineLevel="2" x14ac:dyDescent="0.2">
      <c r="D3166" s="785" t="str">
        <f>Price_List_BA!D47</f>
        <v>_Not Applicable</v>
      </c>
      <c r="E3166" s="786"/>
      <c r="F3166" s="786"/>
      <c r="G3166" s="786"/>
      <c r="L3166" s="127">
        <f>Price_List_BA!L47</f>
        <v>0</v>
      </c>
    </row>
    <row r="3167" spans="4:12" s="348" customFormat="1" ht="12.95" hidden="1" customHeight="1" outlineLevel="2" x14ac:dyDescent="0.2">
      <c r="D3167" s="785" t="str">
        <f>Price_List_BA!D48</f>
        <v>Biomedical scientist (ZM)</v>
      </c>
      <c r="E3167" s="786"/>
      <c r="F3167" s="786"/>
      <c r="G3167" s="786"/>
      <c r="L3167" s="127">
        <f>Price_List_BA!L48</f>
        <v>9.6099869451697087E-2</v>
      </c>
    </row>
    <row r="3168" spans="4:12" s="348" customFormat="1" ht="12.75" hidden="1" customHeight="1" outlineLevel="2" x14ac:dyDescent="0.2">
      <c r="D3168" s="785" t="str">
        <f>Price_List_BA!D49</f>
        <v>Clinical officer  (ZM)</v>
      </c>
      <c r="E3168" s="786"/>
      <c r="F3168" s="786"/>
      <c r="G3168" s="786"/>
      <c r="L3168" s="127">
        <f>Price_List_BA!L49</f>
        <v>5.4314893385552607E-2</v>
      </c>
    </row>
    <row r="3169" spans="4:12" s="348" customFormat="1" ht="12.75" hidden="1" customHeight="1" outlineLevel="2" x14ac:dyDescent="0.2">
      <c r="D3169" s="785" t="str">
        <f>Price_List_BA!D50</f>
        <v>Consultant  (ZM)</v>
      </c>
      <c r="E3169" s="786"/>
      <c r="F3169" s="786"/>
      <c r="G3169" s="786"/>
      <c r="L3169" s="127">
        <f>Price_List_BA!L50</f>
        <v>0.39408430337975103</v>
      </c>
    </row>
    <row r="3170" spans="4:12" s="348" customFormat="1" hidden="1" outlineLevel="2" x14ac:dyDescent="0.2">
      <c r="D3170" s="785" t="str">
        <f>Price_List_BA!D51</f>
        <v>General Medical Doctor</v>
      </c>
      <c r="E3170" s="786"/>
      <c r="F3170" s="786"/>
      <c r="G3170" s="786"/>
      <c r="L3170" s="127">
        <f>Price_List_BA!L51</f>
        <v>0.3125</v>
      </c>
    </row>
    <row r="3171" spans="4:12" s="348" customFormat="1" ht="12.75" hidden="1" customHeight="1" outlineLevel="2" x14ac:dyDescent="0.2">
      <c r="D3171" s="785" t="str">
        <f>Price_List_BA!D52</f>
        <v>Junior Resident Medical officer  (ZM)</v>
      </c>
      <c r="E3171" s="786"/>
      <c r="F3171" s="786"/>
      <c r="G3171" s="786"/>
      <c r="L3171" s="127">
        <f>Price_List_BA!L52</f>
        <v>0.30300363087467391</v>
      </c>
    </row>
    <row r="3172" spans="4:12" s="348" customFormat="1" ht="12.95" hidden="1" customHeight="1" outlineLevel="2" x14ac:dyDescent="0.2">
      <c r="D3172" s="785" t="str">
        <f>Price_List_BA!D53</f>
        <v>Lab Scientist (ZM)</v>
      </c>
      <c r="E3172" s="786"/>
      <c r="F3172" s="786"/>
      <c r="G3172" s="786"/>
      <c r="L3172" s="127">
        <f>Price_List_BA!L53</f>
        <v>9.6099869451697087E-2</v>
      </c>
    </row>
    <row r="3173" spans="4:12" s="348" customFormat="1" ht="12.75" hidden="1" customHeight="1" outlineLevel="2" x14ac:dyDescent="0.2">
      <c r="D3173" s="785" t="str">
        <f>Price_List_BA!D54</f>
        <v>Lab Technician (ZM)</v>
      </c>
      <c r="E3173" s="786"/>
      <c r="F3173" s="786"/>
      <c r="G3173" s="786"/>
      <c r="L3173" s="127">
        <f>Price_List_BA!L54</f>
        <v>4.7519582245430833E-2</v>
      </c>
    </row>
    <row r="3174" spans="4:12" s="348" customFormat="1" ht="12.75" hidden="1" customHeight="1" outlineLevel="2" x14ac:dyDescent="0.2">
      <c r="D3174" s="785" t="str">
        <f>Price_List_BA!D55</f>
        <v>Lab Technologist (ZM)</v>
      </c>
      <c r="E3174" s="786"/>
      <c r="F3174" s="786"/>
      <c r="G3174" s="786"/>
      <c r="L3174" s="127">
        <f>Price_List_BA!L55</f>
        <v>5.4308093994778019E-2</v>
      </c>
    </row>
    <row r="3175" spans="4:12" s="348" customFormat="1" ht="12.75" hidden="1" customHeight="1" outlineLevel="2" x14ac:dyDescent="0.2">
      <c r="D3175" s="785" t="str">
        <f>Price_List_BA!D56</f>
        <v>Medical Physicist (ZM)</v>
      </c>
      <c r="E3175" s="786"/>
      <c r="F3175" s="786"/>
      <c r="G3175" s="786"/>
      <c r="L3175" s="127">
        <f>Price_List_BA!L56</f>
        <v>0.15991895126196667</v>
      </c>
    </row>
    <row r="3176" spans="4:12" s="348" customFormat="1" ht="12.75" hidden="1" customHeight="1" outlineLevel="2" x14ac:dyDescent="0.2">
      <c r="D3176" s="785" t="str">
        <f>Price_List_BA!D57</f>
        <v>Nursing Officer (ZM)</v>
      </c>
      <c r="E3176" s="786"/>
      <c r="F3176" s="786"/>
      <c r="G3176" s="786"/>
      <c r="L3176" s="127">
        <f>Price_List_BA!L57</f>
        <v>9.6099869451697087E-2</v>
      </c>
    </row>
    <row r="3177" spans="4:12" s="348" customFormat="1" ht="12.75" hidden="1" customHeight="1" outlineLevel="2" x14ac:dyDescent="0.2">
      <c r="D3177" s="785" t="str">
        <f>Price_List_BA!D58</f>
        <v>Pathologist (ZM)</v>
      </c>
      <c r="E3177" s="786"/>
      <c r="F3177" s="786"/>
      <c r="G3177" s="786"/>
      <c r="L3177" s="127">
        <f>Price_List_BA!L58</f>
        <v>0.39408430337975103</v>
      </c>
    </row>
    <row r="3178" spans="4:12" s="348" customFormat="1" ht="12.75" hidden="1" customHeight="1" outlineLevel="2" x14ac:dyDescent="0.2">
      <c r="D3178" s="785" t="str">
        <f>Price_List_BA!D59</f>
        <v>Pharmacy Technologist (ZM)</v>
      </c>
      <c r="E3178" s="786"/>
      <c r="F3178" s="786"/>
      <c r="G3178" s="786"/>
      <c r="L3178" s="127">
        <f>Price_List_BA!L59</f>
        <v>5.4312173629242816E-2</v>
      </c>
    </row>
    <row r="3179" spans="4:12" s="348" customFormat="1" ht="12.75" hidden="1" customHeight="1" outlineLevel="2" x14ac:dyDescent="0.2">
      <c r="D3179" s="785" t="str">
        <f>Price_List_BA!D60</f>
        <v>Principal Nursing Officer (ZM)</v>
      </c>
      <c r="E3179" s="786"/>
      <c r="F3179" s="786"/>
      <c r="G3179" s="786"/>
      <c r="L3179" s="127">
        <f>Price_List_BA!L60</f>
        <v>0.15919413620539585</v>
      </c>
    </row>
    <row r="3180" spans="4:12" s="348" customFormat="1" ht="12.75" hidden="1" customHeight="1" outlineLevel="2" x14ac:dyDescent="0.2">
      <c r="D3180" s="785" t="str">
        <f>Price_List_BA!D61</f>
        <v>Principal Pharmacist (ZM)</v>
      </c>
      <c r="E3180" s="786"/>
      <c r="F3180" s="786"/>
      <c r="G3180" s="786"/>
      <c r="L3180" s="127">
        <f>Price_List_BA!L61</f>
        <v>0.15919560940673019</v>
      </c>
    </row>
    <row r="3181" spans="4:12" s="348" customFormat="1" ht="12.75" hidden="1" customHeight="1" outlineLevel="2" x14ac:dyDescent="0.2">
      <c r="D3181" s="785" t="str">
        <f>Price_List_BA!D62</f>
        <v>Principal Radiographer (ZM)</v>
      </c>
      <c r="E3181" s="786"/>
      <c r="F3181" s="786"/>
      <c r="G3181" s="786"/>
      <c r="L3181" s="127">
        <f>Price_List_BA!L62</f>
        <v>0.15919855580939896</v>
      </c>
    </row>
    <row r="3182" spans="4:12" s="348" customFormat="1" ht="12.95" hidden="1" customHeight="1" outlineLevel="2" x14ac:dyDescent="0.2">
      <c r="D3182" s="785" t="str">
        <f>Price_List_BA!D63</f>
        <v>Principal Therapist - Radiation (ZM)</v>
      </c>
      <c r="E3182" s="786"/>
      <c r="F3182" s="786"/>
      <c r="G3182" s="786"/>
      <c r="L3182" s="127">
        <f>Price_List_BA!L63</f>
        <v>0.15919708260806459</v>
      </c>
    </row>
    <row r="3183" spans="4:12" s="348" customFormat="1" ht="12.95" hidden="1" customHeight="1" outlineLevel="2" x14ac:dyDescent="0.2">
      <c r="D3183" s="785" t="str">
        <f>Price_List_BA!D64</f>
        <v>Radiation Lab Scientist (ZM)</v>
      </c>
      <c r="E3183" s="786"/>
      <c r="F3183" s="786"/>
      <c r="G3183" s="786"/>
      <c r="L3183" s="127">
        <f>Price_List_BA!L64</f>
        <v>9.6099869451697087E-2</v>
      </c>
    </row>
    <row r="3184" spans="4:12" s="348" customFormat="1" ht="12.95" hidden="1" customHeight="1" outlineLevel="2" x14ac:dyDescent="0.2">
      <c r="D3184" s="785" t="str">
        <f>Price_List_BA!D65</f>
        <v>Radiation Protection Officer (ZM)</v>
      </c>
      <c r="E3184" s="786"/>
      <c r="F3184" s="786"/>
      <c r="G3184" s="786"/>
      <c r="L3184" s="127">
        <f>Price_List_BA!L65</f>
        <v>9.6099869451697087E-2</v>
      </c>
    </row>
    <row r="3185" spans="4:12" s="348" customFormat="1" ht="12.95" hidden="1" customHeight="1" outlineLevel="2" x14ac:dyDescent="0.2">
      <c r="D3185" s="785" t="str">
        <f>Price_List_BA!D66</f>
        <v>Radiographer (ZM)</v>
      </c>
      <c r="E3185" s="786"/>
      <c r="F3185" s="786"/>
      <c r="G3185" s="786"/>
      <c r="L3185" s="127">
        <f>Price_List_BA!L66</f>
        <v>9.6099869451697087E-2</v>
      </c>
    </row>
    <row r="3186" spans="4:12" s="348" customFormat="1" ht="12.95" hidden="1" customHeight="1" outlineLevel="2" x14ac:dyDescent="0.2">
      <c r="D3186" s="785" t="str">
        <f>Price_List_BA!D67</f>
        <v>Registered Nurse (ZM)</v>
      </c>
      <c r="E3186" s="786"/>
      <c r="F3186" s="786"/>
      <c r="G3186" s="786"/>
      <c r="L3186" s="127">
        <f>Price_List_BA!L67</f>
        <v>5.7114882506527402E-2</v>
      </c>
    </row>
    <row r="3187" spans="4:12" s="348" customFormat="1" ht="12.75" hidden="1" customHeight="1" outlineLevel="2" x14ac:dyDescent="0.2">
      <c r="D3187" s="785" t="str">
        <f>Price_List_BA!D68</f>
        <v>Senior Enrolled Nurse (ZM)</v>
      </c>
      <c r="E3187" s="786"/>
      <c r="F3187" s="786"/>
      <c r="G3187" s="786"/>
      <c r="L3187" s="127">
        <f>Price_List_BA!L68</f>
        <v>5.4313533507397704E-2</v>
      </c>
    </row>
    <row r="3188" spans="4:12" s="348" customFormat="1" ht="12.75" hidden="1" customHeight="1" outlineLevel="2" x14ac:dyDescent="0.2">
      <c r="D3188" s="785" t="str">
        <f>Price_List_BA!D69</f>
        <v>Senior Nursing Officer (ZM)</v>
      </c>
      <c r="E3188" s="786"/>
      <c r="F3188" s="786"/>
      <c r="G3188" s="786"/>
      <c r="L3188" s="127">
        <f>Price_List_BA!L69</f>
        <v>0.12206946257615311</v>
      </c>
    </row>
    <row r="3189" spans="4:12" s="348" customFormat="1" ht="12.75" hidden="1" customHeight="1" outlineLevel="2" x14ac:dyDescent="0.2">
      <c r="D3189" s="785" t="str">
        <f>Price_List_BA!D70</f>
        <v>Senior Radiation protection Officer (ZM)</v>
      </c>
      <c r="E3189" s="786"/>
      <c r="F3189" s="786"/>
      <c r="G3189" s="786"/>
      <c r="L3189" s="127">
        <f>Price_List_BA!L70</f>
        <v>0.12207093577748751</v>
      </c>
    </row>
    <row r="3190" spans="4:12" s="348" customFormat="1" hidden="1" outlineLevel="2" x14ac:dyDescent="0.2">
      <c r="D3190" s="785" t="str">
        <f>Price_List_BA!D71</f>
        <v>Senior Radiographer (ZM)</v>
      </c>
      <c r="E3190" s="786"/>
      <c r="F3190" s="786"/>
      <c r="G3190" s="786"/>
      <c r="L3190" s="127">
        <f>Price_List_BA!L71</f>
        <v>0.12207240897882186</v>
      </c>
    </row>
    <row r="3191" spans="4:12" s="348" customFormat="1" hidden="1" outlineLevel="2" x14ac:dyDescent="0.2">
      <c r="D3191" s="785" t="str">
        <f>Price_List_BA!D72</f>
        <v>Zambia Enrolled Nurse (ZEN) (ZM)</v>
      </c>
      <c r="E3191" s="786"/>
      <c r="F3191" s="786"/>
      <c r="G3191" s="786"/>
      <c r="L3191" s="127">
        <f>Price_List_BA!L72</f>
        <v>5.4309453872933025E-2</v>
      </c>
    </row>
    <row r="3192" spans="4:12" s="348" customFormat="1" hidden="1" outlineLevel="2" x14ac:dyDescent="0.2">
      <c r="D3192" s="785" t="str">
        <f>Price_List_BA!D73</f>
        <v>Personnel - Other Category 27</v>
      </c>
      <c r="E3192" s="786"/>
      <c r="F3192" s="786"/>
      <c r="G3192" s="786"/>
      <c r="L3192" s="127">
        <f>Price_List_BA!L73</f>
        <v>0</v>
      </c>
    </row>
    <row r="3193" spans="4:12" s="348" customFormat="1" hidden="1" outlineLevel="2" x14ac:dyDescent="0.2">
      <c r="D3193" s="785" t="str">
        <f>Price_List_BA!D74</f>
        <v>Personnel - Other Category 28</v>
      </c>
      <c r="E3193" s="786"/>
      <c r="F3193" s="786"/>
      <c r="G3193" s="786"/>
      <c r="L3193" s="127">
        <f>Price_List_BA!L74</f>
        <v>0</v>
      </c>
    </row>
    <row r="3194" spans="4:12" s="348" customFormat="1" hidden="1" outlineLevel="2" x14ac:dyDescent="0.2">
      <c r="D3194" s="785" t="str">
        <f>Price_List_BA!D75</f>
        <v>Personnel - Other Category 29</v>
      </c>
      <c r="E3194" s="786"/>
      <c r="F3194" s="786"/>
      <c r="G3194" s="786"/>
      <c r="L3194" s="127">
        <f>Price_List_BA!L75</f>
        <v>0</v>
      </c>
    </row>
    <row r="3195" spans="4:12" s="348" customFormat="1" hidden="1" outlineLevel="2" x14ac:dyDescent="0.2">
      <c r="D3195" s="785" t="str">
        <f>Price_List_BA!D76</f>
        <v>Personnel - Other Category 30</v>
      </c>
      <c r="E3195" s="786"/>
      <c r="F3195" s="786"/>
      <c r="G3195" s="786"/>
      <c r="L3195" s="127">
        <f>Price_List_BA!L76</f>
        <v>0</v>
      </c>
    </row>
    <row r="3196" spans="4:12" s="348" customFormat="1" ht="12.95" hidden="1" customHeight="1" outlineLevel="2" x14ac:dyDescent="0.2">
      <c r="D3196" s="785">
        <f>Price_List_BA!D77</f>
        <v>0</v>
      </c>
      <c r="E3196" s="786"/>
      <c r="F3196" s="786"/>
      <c r="G3196" s="786"/>
      <c r="L3196" s="127">
        <f>Price_List_BA!L77</f>
        <v>0</v>
      </c>
    </row>
    <row r="3197" spans="4:12" s="348" customFormat="1" hidden="1" outlineLevel="2" x14ac:dyDescent="0.2"/>
    <row r="3198" spans="4:12" s="348" customFormat="1" ht="25.5" hidden="1" outlineLevel="2" x14ac:dyDescent="0.2">
      <c r="D3198" s="667" t="s">
        <v>316</v>
      </c>
      <c r="J3198" s="671" t="s">
        <v>951</v>
      </c>
      <c r="L3198" s="312" t="str">
        <f>"Cost per Unit ("&amp;$I$3130&amp;"/Unit)"</f>
        <v>Cost per Unit (USD/Unit)</v>
      </c>
    </row>
    <row r="3199" spans="4:12" s="348" customFormat="1" ht="12.75" hidden="1" customHeight="1" outlineLevel="2" x14ac:dyDescent="0.2">
      <c r="D3199" s="785" t="str">
        <f>Price_List_BA!D210</f>
        <v>_Not Applicable</v>
      </c>
      <c r="E3199" s="786"/>
      <c r="F3199" s="786"/>
      <c r="G3199" s="786"/>
      <c r="J3199" s="668" t="str">
        <f>Price_List_BA!J210</f>
        <v>SU</v>
      </c>
      <c r="L3199" s="127">
        <f>Price_List_BA!L210</f>
        <v>0</v>
      </c>
    </row>
    <row r="3200" spans="4:12" s="348" customFormat="1" ht="12.75" hidden="1" customHeight="1" outlineLevel="2" x14ac:dyDescent="0.2">
      <c r="D3200" s="785" t="str">
        <f>Price_List_BA!D211</f>
        <v>10 ml syringes with long 27-gauge needle (UG)</v>
      </c>
      <c r="E3200" s="786"/>
      <c r="F3200" s="786"/>
      <c r="G3200" s="786"/>
      <c r="J3200" s="668" t="str">
        <f>Price_List_BA!J211</f>
        <v>each</v>
      </c>
      <c r="L3200" s="127">
        <f>Price_List_BA!L211</f>
        <v>0.18578</v>
      </c>
    </row>
    <row r="3201" spans="4:12" s="348" customFormat="1" ht="12.75" hidden="1" customHeight="1" outlineLevel="2" x14ac:dyDescent="0.2">
      <c r="D3201" s="785" t="str">
        <f>Price_List_BA!D212</f>
        <v>100% alcohol (UG)</v>
      </c>
      <c r="E3201" s="786"/>
      <c r="F3201" s="786"/>
      <c r="G3201" s="786"/>
      <c r="J3201" s="668" t="str">
        <f>Price_List_BA!J212</f>
        <v>mililiter</v>
      </c>
      <c r="L3201" s="127">
        <f>Price_List_BA!L212</f>
        <v>1.9224106655010398E-2</v>
      </c>
    </row>
    <row r="3202" spans="4:12" s="348" customFormat="1" ht="12.75" hidden="1" customHeight="1" outlineLevel="2" x14ac:dyDescent="0.2">
      <c r="D3202" s="785" t="str">
        <f>Price_List_BA!D213</f>
        <v>100% Ethanol (UG)</v>
      </c>
      <c r="E3202" s="786"/>
      <c r="F3202" s="786"/>
      <c r="G3202" s="786"/>
      <c r="J3202" s="668" t="str">
        <f>Price_List_BA!J213</f>
        <v>mililiter</v>
      </c>
      <c r="L3202" s="127">
        <f>Price_List_BA!L213</f>
        <v>1.9224106655010398E-2</v>
      </c>
    </row>
    <row r="3203" spans="4:12" s="348" customFormat="1" ht="12.75" hidden="1" customHeight="1" outlineLevel="2" x14ac:dyDescent="0.2">
      <c r="D3203" s="785" t="str">
        <f>Price_List_BA!D214</f>
        <v>5% acetic acid (UG)</v>
      </c>
      <c r="E3203" s="786"/>
      <c r="F3203" s="786"/>
      <c r="G3203" s="786"/>
      <c r="J3203" s="668" t="str">
        <f>Price_List_BA!J214</f>
        <v>mililiter</v>
      </c>
      <c r="L3203" s="127">
        <f>Price_List_BA!L214</f>
        <v>1.52988744399519E-2</v>
      </c>
    </row>
    <row r="3204" spans="4:12" s="348" customFormat="1" ht="12.75" hidden="1" customHeight="1" outlineLevel="2" x14ac:dyDescent="0.2">
      <c r="D3204" s="785" t="str">
        <f>Price_List_BA!D215</f>
        <v>Acetic acid (UG)</v>
      </c>
      <c r="E3204" s="786"/>
      <c r="F3204" s="786"/>
      <c r="G3204" s="786"/>
      <c r="J3204" s="668" t="str">
        <f>Price_List_BA!J215</f>
        <v>mililiter</v>
      </c>
      <c r="L3204" s="127">
        <f>Price_List_BA!L215</f>
        <v>1.47739525734892E-2</v>
      </c>
    </row>
    <row r="3205" spans="4:12" s="348" customFormat="1" ht="12.75" hidden="1" customHeight="1" outlineLevel="2" x14ac:dyDescent="0.2">
      <c r="D3205" s="785" t="str">
        <f>Price_List_BA!D216</f>
        <v>Acetic acid, 3–5% dilution (ZM)</v>
      </c>
      <c r="E3205" s="786"/>
      <c r="F3205" s="786"/>
      <c r="G3205" s="786"/>
      <c r="J3205" s="668" t="str">
        <f>Price_List_BA!J216</f>
        <v>centilitre</v>
      </c>
      <c r="L3205" s="127">
        <f>Price_List_BA!L216</f>
        <v>3.4000000000000002E-2</v>
      </c>
    </row>
    <row r="3206" spans="4:12" s="348" customFormat="1" ht="12.75" hidden="1" customHeight="1" outlineLevel="2" x14ac:dyDescent="0.2">
      <c r="D3206" s="785" t="str">
        <f>Price_List_BA!D217</f>
        <v>Acetic acid, 3–5% dilution (TZ)</v>
      </c>
      <c r="E3206" s="786"/>
      <c r="F3206" s="786"/>
      <c r="G3206" s="786"/>
      <c r="J3206" s="668" t="str">
        <f>Price_List_BA!J217</f>
        <v>centilitre</v>
      </c>
      <c r="L3206" s="127">
        <f>Price_List_BA!L217</f>
        <v>3.5000000000000003E-2</v>
      </c>
    </row>
    <row r="3207" spans="4:12" s="348" customFormat="1" ht="12.75" hidden="1" customHeight="1" outlineLevel="2" x14ac:dyDescent="0.2">
      <c r="D3207" s="785" t="str">
        <f>Price_List_BA!D218</f>
        <v>Alcohol, 60-90% isopropyl or ethyl (TZ)</v>
      </c>
      <c r="E3207" s="786"/>
      <c r="F3207" s="786"/>
      <c r="G3207" s="786"/>
      <c r="J3207" s="668" t="str">
        <f>Price_List_BA!J218</f>
        <v>centilitre</v>
      </c>
      <c r="L3207" s="127">
        <f>Price_List_BA!L218</f>
        <v>8.2500000000000004E-2</v>
      </c>
    </row>
    <row r="3208" spans="4:12" s="348" customFormat="1" ht="12.75" hidden="1" customHeight="1" outlineLevel="2" x14ac:dyDescent="0.2">
      <c r="D3208" s="785" t="str">
        <f>Price_List_BA!D219</f>
        <v>Alcohol, 60-90% isopropyl or ethyl 95% (ZM)</v>
      </c>
      <c r="E3208" s="786"/>
      <c r="F3208" s="786"/>
      <c r="G3208" s="786"/>
      <c r="J3208" s="668" t="str">
        <f>Price_List_BA!J219</f>
        <v>centilitre</v>
      </c>
      <c r="L3208" s="127">
        <f>Price_List_BA!L219</f>
        <v>4.4125300000000006E-2</v>
      </c>
    </row>
    <row r="3209" spans="4:12" s="348" customFormat="1" ht="12.75" hidden="1" customHeight="1" outlineLevel="2" x14ac:dyDescent="0.2">
      <c r="D3209" s="785" t="str">
        <f>Price_List_BA!D220</f>
        <v>Amitriptyline hydrochloride( 25mg) (ZM)</v>
      </c>
      <c r="E3209" s="786"/>
      <c r="F3209" s="786"/>
      <c r="G3209" s="786"/>
      <c r="J3209" s="668" t="str">
        <f>Price_List_BA!J220</f>
        <v>25 mg</v>
      </c>
      <c r="L3209" s="127">
        <f>Price_List_BA!L220</f>
        <v>7.3106999999999998E-3</v>
      </c>
    </row>
    <row r="3210" spans="4:12" s="348" customFormat="1" ht="12.75" hidden="1" customHeight="1" outlineLevel="2" x14ac:dyDescent="0.2">
      <c r="D3210" s="785" t="str">
        <f>Price_List_BA!D221</f>
        <v>Amitriptyline hydrochloride( 25mg) (TZ)</v>
      </c>
      <c r="E3210" s="786"/>
      <c r="F3210" s="786"/>
      <c r="G3210" s="786"/>
      <c r="J3210" s="668" t="str">
        <f>Price_List_BA!J221</f>
        <v>each</v>
      </c>
      <c r="L3210" s="127">
        <f>Price_List_BA!L221</f>
        <v>1.8749999999999999E-3</v>
      </c>
    </row>
    <row r="3211" spans="4:12" s="348" customFormat="1" ht="12.75" hidden="1" customHeight="1" outlineLevel="2" x14ac:dyDescent="0.2">
      <c r="D3211" s="785" t="str">
        <f>Price_List_BA!D222</f>
        <v>Anticeptic solution (UG)</v>
      </c>
      <c r="E3211" s="786"/>
      <c r="F3211" s="786"/>
      <c r="G3211" s="786"/>
      <c r="J3211" s="668" t="str">
        <f>Price_List_BA!J222</f>
        <v>mililiter</v>
      </c>
      <c r="L3211" s="127">
        <f>Price_List_BA!L222</f>
        <v>1.9869626497533474E-2</v>
      </c>
    </row>
    <row r="3212" spans="4:12" s="348" customFormat="1" ht="12.95" hidden="1" customHeight="1" outlineLevel="2" x14ac:dyDescent="0.2">
      <c r="D3212" s="785" t="str">
        <f>Price_List_BA!D223</f>
        <v>Arithromycin (250g) (ZM)</v>
      </c>
      <c r="E3212" s="786"/>
      <c r="F3212" s="786"/>
      <c r="G3212" s="786"/>
      <c r="J3212" s="668" t="str">
        <f>Price_List_BA!J223</f>
        <v>tablet</v>
      </c>
      <c r="L3212" s="127">
        <f>Price_List_BA!L223</f>
        <v>1.0514359999999998</v>
      </c>
    </row>
    <row r="3213" spans="4:12" s="348" customFormat="1" ht="12.95" hidden="1" customHeight="1" outlineLevel="2" x14ac:dyDescent="0.2">
      <c r="D3213" s="785" t="str">
        <f>Price_List_BA!D224</f>
        <v>Arithromycin (250g) (UG)</v>
      </c>
      <c r="E3213" s="786"/>
      <c r="F3213" s="786"/>
      <c r="G3213" s="786"/>
      <c r="J3213" s="668" t="str">
        <f>Price_List_BA!J224</f>
        <v>tablet</v>
      </c>
      <c r="L3213" s="127">
        <f>Price_List_BA!L224</f>
        <v>3.8652518850398859E-2</v>
      </c>
    </row>
    <row r="3214" spans="4:12" s="348" customFormat="1" ht="12.95" hidden="1" customHeight="1" outlineLevel="2" x14ac:dyDescent="0.2">
      <c r="D3214" s="785" t="str">
        <f>Price_List_BA!D225</f>
        <v>Arithromycin (5g) (UG)</v>
      </c>
      <c r="E3214" s="786"/>
      <c r="F3214" s="786"/>
      <c r="G3214" s="786"/>
      <c r="J3214" s="668" t="str">
        <f>Price_List_BA!J225</f>
        <v>tablet</v>
      </c>
      <c r="L3214" s="127">
        <f>Price_List_BA!L225</f>
        <v>0.77305037700797719</v>
      </c>
    </row>
    <row r="3215" spans="4:12" s="348" customFormat="1" ht="12.95" hidden="1" customHeight="1" outlineLevel="2" x14ac:dyDescent="0.2">
      <c r="D3215" s="785" t="str">
        <f>Price_List_BA!D226</f>
        <v>Atropine (ZM)</v>
      </c>
      <c r="E3215" s="786"/>
      <c r="F3215" s="786"/>
      <c r="G3215" s="786"/>
      <c r="J3215" s="668" t="str">
        <f>Price_List_BA!J226</f>
        <v>SU</v>
      </c>
      <c r="L3215" s="127">
        <f>Price_List_BA!L226</f>
        <v>0</v>
      </c>
    </row>
    <row r="3216" spans="4:12" s="348" customFormat="1" ht="12.95" hidden="1" customHeight="1" outlineLevel="2" x14ac:dyDescent="0.2">
      <c r="D3216" s="785" t="str">
        <f>Price_List_BA!D227</f>
        <v>Ball electrode (UG)</v>
      </c>
      <c r="E3216" s="786"/>
      <c r="F3216" s="786"/>
      <c r="G3216" s="786"/>
      <c r="J3216" s="668" t="str">
        <f>Price_List_BA!J227</f>
        <v>each</v>
      </c>
      <c r="L3216" s="127">
        <f>Price_List_BA!L227</f>
        <v>9</v>
      </c>
    </row>
    <row r="3217" spans="4:12" s="348" customFormat="1" ht="12.95" hidden="1" customHeight="1" outlineLevel="2" x14ac:dyDescent="0.2">
      <c r="D3217" s="785" t="str">
        <f>Price_List_BA!D228</f>
        <v>Bed linen sheet (100 uses) (ZM)</v>
      </c>
      <c r="E3217" s="786"/>
      <c r="F3217" s="786"/>
      <c r="G3217" s="786"/>
      <c r="J3217" s="668" t="str">
        <f>Price_List_BA!J228</f>
        <v>sheet use</v>
      </c>
      <c r="L3217" s="127">
        <f>Price_List_BA!L228</f>
        <v>4.3299999999999998E-2</v>
      </c>
    </row>
    <row r="3218" spans="4:12" s="348" customFormat="1" ht="12.95" hidden="1" customHeight="1" outlineLevel="2" x14ac:dyDescent="0.2">
      <c r="D3218" s="785" t="str">
        <f>Price_List_BA!D229</f>
        <v>Bed linen sheet (TZ)</v>
      </c>
      <c r="E3218" s="786"/>
      <c r="F3218" s="786"/>
      <c r="G3218" s="786"/>
      <c r="J3218" s="668" t="str">
        <f>Price_List_BA!J229</f>
        <v>1 use</v>
      </c>
      <c r="L3218" s="127">
        <f>Price_List_BA!L229</f>
        <v>6.25E-2</v>
      </c>
    </row>
    <row r="3219" spans="4:12" s="348" customFormat="1" ht="12.95" hidden="1" customHeight="1" outlineLevel="2" x14ac:dyDescent="0.2">
      <c r="D3219" s="785" t="str">
        <f>Price_List_BA!D230</f>
        <v>Bin Liner (ZM)</v>
      </c>
      <c r="E3219" s="786"/>
      <c r="F3219" s="786"/>
      <c r="G3219" s="786"/>
      <c r="J3219" s="668" t="str">
        <f>Price_List_BA!J230</f>
        <v>liner</v>
      </c>
      <c r="L3219" s="127">
        <f>Price_List_BA!L230</f>
        <v>0.234987</v>
      </c>
    </row>
    <row r="3220" spans="4:12" s="348" customFormat="1" ht="12.95" hidden="1" customHeight="1" outlineLevel="2" x14ac:dyDescent="0.2">
      <c r="D3220" s="785" t="str">
        <f>Price_List_BA!D231</f>
        <v>Bleach (JIK)</v>
      </c>
      <c r="E3220" s="786"/>
      <c r="F3220" s="786"/>
      <c r="G3220" s="786"/>
      <c r="J3220" s="668" t="str">
        <f>Price_List_BA!J231</f>
        <v>mililiter</v>
      </c>
      <c r="L3220" s="127">
        <f>Price_List_BA!L231</f>
        <v>2.2666666666666664E-3</v>
      </c>
    </row>
    <row r="3221" spans="4:12" s="348" customFormat="1" ht="12.95" hidden="1" customHeight="1" outlineLevel="2" x14ac:dyDescent="0.2">
      <c r="D3221" s="785" t="str">
        <f>Price_List_BA!D232</f>
        <v>Bleach (UG)</v>
      </c>
      <c r="E3221" s="786"/>
      <c r="F3221" s="786"/>
      <c r="G3221" s="786"/>
      <c r="J3221" s="668" t="str">
        <f>Price_List_BA!J232</f>
        <v>mililiter</v>
      </c>
      <c r="L3221" s="127">
        <f>Price_List_BA!L232</f>
        <v>1.5735985138236267E-3</v>
      </c>
    </row>
    <row r="3222" spans="4:12" s="348" customFormat="1" ht="12.95" hidden="1" customHeight="1" outlineLevel="2" x14ac:dyDescent="0.2">
      <c r="D3222" s="785" t="str">
        <f>Price_List_BA!D233</f>
        <v>careHPV DCM tube (UG)</v>
      </c>
      <c r="E3222" s="786"/>
      <c r="F3222" s="786"/>
      <c r="G3222" s="786"/>
      <c r="J3222" s="668" t="str">
        <f>Price_List_BA!J233</f>
        <v>tube</v>
      </c>
      <c r="L3222" s="127">
        <f>Price_List_BA!L233</f>
        <v>0.22799999999999998</v>
      </c>
    </row>
    <row r="3223" spans="4:12" s="348" customFormat="1" ht="12.95" hidden="1" customHeight="1" outlineLevel="2" x14ac:dyDescent="0.2">
      <c r="D3223" s="785" t="str">
        <f>Price_List_BA!D234</f>
        <v>Catheter -Urine (TZ)</v>
      </c>
      <c r="E3223" s="786"/>
      <c r="F3223" s="786"/>
      <c r="G3223" s="786"/>
      <c r="J3223" s="668" t="str">
        <f>Price_List_BA!J234</f>
        <v>1 catheter set</v>
      </c>
      <c r="L3223" s="127">
        <f>Price_List_BA!L234</f>
        <v>0.875</v>
      </c>
    </row>
    <row r="3224" spans="4:12" s="348" customFormat="1" ht="12.95" hidden="1" customHeight="1" outlineLevel="2" x14ac:dyDescent="0.2">
      <c r="D3224" s="785" t="str">
        <f>Price_List_BA!D235</f>
        <v>Cervical brush (UG)</v>
      </c>
      <c r="E3224" s="786"/>
      <c r="F3224" s="786"/>
      <c r="G3224" s="786"/>
      <c r="J3224" s="668" t="str">
        <f>Price_List_BA!J235</f>
        <v>brush</v>
      </c>
      <c r="L3224" s="127">
        <f>Price_List_BA!L235</f>
        <v>1.1399999999999999E-2</v>
      </c>
    </row>
    <row r="3225" spans="4:12" s="348" customFormat="1" ht="12.95" hidden="1" customHeight="1" outlineLevel="2" x14ac:dyDescent="0.2">
      <c r="D3225" s="785" t="str">
        <f>Price_List_BA!D236</f>
        <v>Chlorine 0.5% (Jik-diluted) (ZM)</v>
      </c>
      <c r="E3225" s="786"/>
      <c r="F3225" s="786"/>
      <c r="G3225" s="786"/>
      <c r="J3225" s="668" t="str">
        <f>Price_List_BA!J236</f>
        <v>mililiter</v>
      </c>
      <c r="L3225" s="127">
        <f>Price_List_BA!L236</f>
        <v>4.5999999999999999E-3</v>
      </c>
    </row>
    <row r="3226" spans="4:12" s="348" customFormat="1" ht="12.75" hidden="1" customHeight="1" outlineLevel="2" x14ac:dyDescent="0.2">
      <c r="D3226" s="785" t="str">
        <f>Price_List_BA!D237</f>
        <v>Chlorine 0.5% (Jik-diluted)  (TZ)</v>
      </c>
      <c r="E3226" s="786"/>
      <c r="F3226" s="786"/>
      <c r="G3226" s="786"/>
      <c r="J3226" s="668" t="str">
        <f>Price_List_BA!J237</f>
        <v>centilitre</v>
      </c>
      <c r="L3226" s="127">
        <f>Price_List_BA!L237</f>
        <v>1.375E-2</v>
      </c>
    </row>
    <row r="3227" spans="4:12" s="348" customFormat="1" ht="12.75" hidden="1" customHeight="1" outlineLevel="2" x14ac:dyDescent="0.2">
      <c r="D3227" s="785" t="str">
        <f>Price_List_BA!D238</f>
        <v>Cidex (2-4% glutaraldehyde) (ZM)</v>
      </c>
      <c r="E3227" s="786"/>
      <c r="F3227" s="786"/>
      <c r="G3227" s="786"/>
      <c r="J3227" s="668" t="str">
        <f>Price_List_BA!J238</f>
        <v>mililiter</v>
      </c>
      <c r="L3227" s="127">
        <f>Price_List_BA!L238</f>
        <v>1.9321200000000001E-3</v>
      </c>
    </row>
    <row r="3228" spans="4:12" s="348" customFormat="1" ht="12.75" hidden="1" customHeight="1" outlineLevel="2" x14ac:dyDescent="0.2">
      <c r="D3228" s="785" t="str">
        <f>Price_List_BA!D239</f>
        <v>Cidex (2-4% glutaraldehyde) (TZ)</v>
      </c>
      <c r="E3228" s="786"/>
      <c r="F3228" s="786"/>
      <c r="G3228" s="786"/>
      <c r="J3228" s="668" t="str">
        <f>Price_List_BA!J239</f>
        <v>centilitre</v>
      </c>
      <c r="L3228" s="127">
        <f>Price_List_BA!L239</f>
        <v>0.140625</v>
      </c>
    </row>
    <row r="3229" spans="4:12" s="348" customFormat="1" ht="12.75" hidden="1" customHeight="1" outlineLevel="2" x14ac:dyDescent="0.2">
      <c r="D3229" s="785" t="str">
        <f>Price_List_BA!D240</f>
        <v>Ciprofloxacin (500mg) (UG)</v>
      </c>
      <c r="E3229" s="786"/>
      <c r="F3229" s="786"/>
      <c r="G3229" s="786"/>
      <c r="J3229" s="668" t="str">
        <f>Price_List_BA!J240</f>
        <v>tablet</v>
      </c>
      <c r="L3229" s="127">
        <f>Price_List_BA!L240</f>
        <v>3.4291683968965141E-2</v>
      </c>
    </row>
    <row r="3230" spans="4:12" s="348" customFormat="1" ht="12.75" hidden="1" customHeight="1" outlineLevel="2" x14ac:dyDescent="0.2">
      <c r="D3230" s="785" t="str">
        <f>Price_List_BA!D241</f>
        <v>Ciprofloxacin (500mg) 250MG (ZM)</v>
      </c>
      <c r="E3230" s="786"/>
      <c r="F3230" s="786"/>
      <c r="G3230" s="786"/>
      <c r="J3230" s="668" t="str">
        <f>Price_List_BA!J241</f>
        <v>tablet</v>
      </c>
      <c r="L3230" s="127">
        <f>Price_List_BA!L241</f>
        <v>4.9088000000000005E-3</v>
      </c>
    </row>
    <row r="3231" spans="4:12" s="348" customFormat="1" ht="12.75" hidden="1" customHeight="1" outlineLevel="2" x14ac:dyDescent="0.2">
      <c r="D3231" s="785" t="str">
        <f>Price_List_BA!D242</f>
        <v>Cisplatin (50 mg) (ZM)</v>
      </c>
      <c r="E3231" s="786"/>
      <c r="F3231" s="786"/>
      <c r="G3231" s="786"/>
      <c r="J3231" s="668" t="str">
        <f>Price_List_BA!J242</f>
        <v>vial</v>
      </c>
      <c r="L3231" s="127">
        <f>Price_List_BA!L242</f>
        <v>14</v>
      </c>
    </row>
    <row r="3232" spans="4:12" s="348" customFormat="1" ht="12.75" hidden="1" customHeight="1" outlineLevel="2" x14ac:dyDescent="0.2">
      <c r="D3232" s="785" t="str">
        <f>Price_List_BA!D243</f>
        <v>Cisplatin (50 mg) (TZ)</v>
      </c>
      <c r="E3232" s="786"/>
      <c r="F3232" s="786"/>
      <c r="G3232" s="786"/>
      <c r="J3232" s="668" t="str">
        <f>Price_List_BA!J243</f>
        <v>50 mg vial</v>
      </c>
      <c r="L3232" s="127">
        <f>Price_List_BA!L243</f>
        <v>15.63</v>
      </c>
    </row>
    <row r="3233" spans="4:12" s="348" customFormat="1" ht="12.75" hidden="1" customHeight="1" outlineLevel="2" x14ac:dyDescent="0.2">
      <c r="D3233" s="785" t="str">
        <f>Price_List_BA!D244</f>
        <v>Citokit (UG)</v>
      </c>
      <c r="E3233" s="786"/>
      <c r="F3233" s="786"/>
      <c r="G3233" s="786"/>
      <c r="J3233" s="668" t="str">
        <f>Price_List_BA!J244</f>
        <v>kit</v>
      </c>
      <c r="L3233" s="127">
        <f>Price_List_BA!L244</f>
        <v>2.0981313517648346</v>
      </c>
    </row>
    <row r="3234" spans="4:12" s="348" customFormat="1" ht="12.75" hidden="1" customHeight="1" outlineLevel="2" x14ac:dyDescent="0.2">
      <c r="D3234" s="785" t="str">
        <f>Price_List_BA!D245</f>
        <v>Colostomy Bag (TZ)</v>
      </c>
      <c r="E3234" s="786"/>
      <c r="F3234" s="786"/>
      <c r="G3234" s="786"/>
      <c r="J3234" s="668" t="str">
        <f>Price_List_BA!J245</f>
        <v>each</v>
      </c>
      <c r="L3234" s="127">
        <f>Price_List_BA!L245</f>
        <v>2.5</v>
      </c>
    </row>
    <row r="3235" spans="4:12" s="348" customFormat="1" ht="12.75" hidden="1" customHeight="1" outlineLevel="2" x14ac:dyDescent="0.2">
      <c r="D3235" s="785" t="str">
        <f>Price_List_BA!D246</f>
        <v>Condom  (TZ)</v>
      </c>
      <c r="E3235" s="786"/>
      <c r="F3235" s="786"/>
      <c r="G3235" s="786"/>
      <c r="J3235" s="668" t="str">
        <f>Price_List_BA!J246</f>
        <v>each</v>
      </c>
      <c r="L3235" s="127">
        <f>Price_List_BA!L246</f>
        <v>0.3125</v>
      </c>
    </row>
    <row r="3236" spans="4:12" s="348" customFormat="1" ht="12.75" hidden="1" customHeight="1" outlineLevel="2" x14ac:dyDescent="0.2">
      <c r="D3236" s="785" t="str">
        <f>Price_List_BA!D247</f>
        <v>Condom MALE (ZM)</v>
      </c>
      <c r="E3236" s="786"/>
      <c r="F3236" s="786"/>
      <c r="G3236" s="786"/>
      <c r="J3236" s="668" t="str">
        <f>Price_List_BA!J247</f>
        <v>each</v>
      </c>
      <c r="L3236" s="127">
        <f>Price_List_BA!L247</f>
        <v>1.2946041666666666E-2</v>
      </c>
    </row>
    <row r="3237" spans="4:12" s="348" customFormat="1" ht="12.75" hidden="1" customHeight="1" outlineLevel="2" x14ac:dyDescent="0.2">
      <c r="D3237" s="785" t="str">
        <f>Price_List_BA!D248</f>
        <v>Cotton swab (ZM)</v>
      </c>
      <c r="E3237" s="786"/>
      <c r="F3237" s="786"/>
      <c r="G3237" s="786"/>
      <c r="J3237" s="668" t="str">
        <f>Price_List_BA!J248</f>
        <v>swab</v>
      </c>
      <c r="L3237" s="127">
        <f>Price_List_BA!L248</f>
        <v>1.0200000000000001E-2</v>
      </c>
    </row>
    <row r="3238" spans="4:12" s="348" customFormat="1" ht="12.75" hidden="1" customHeight="1" outlineLevel="2" x14ac:dyDescent="0.2">
      <c r="D3238" s="785" t="str">
        <f>Price_List_BA!D249</f>
        <v>Cotton swab (TZ)</v>
      </c>
      <c r="E3238" s="786"/>
      <c r="F3238" s="786"/>
      <c r="G3238" s="786"/>
      <c r="J3238" s="668" t="str">
        <f>Price_List_BA!J249</f>
        <v>each</v>
      </c>
      <c r="L3238" s="127">
        <f>Price_List_BA!L249</f>
        <v>2.75E-2</v>
      </c>
    </row>
    <row r="3239" spans="4:12" s="348" customFormat="1" ht="12.75" hidden="1" customHeight="1" outlineLevel="2" x14ac:dyDescent="0.2">
      <c r="D3239" s="785" t="str">
        <f>Price_List_BA!D250</f>
        <v>Cotton swabs (UG)</v>
      </c>
      <c r="E3239" s="786"/>
      <c r="F3239" s="786"/>
      <c r="G3239" s="786"/>
      <c r="J3239" s="668" t="str">
        <f>Price_List_BA!J250</f>
        <v>swab</v>
      </c>
      <c r="L3239" s="127">
        <f>Price_List_BA!L250</f>
        <v>6.9238334608239596E-3</v>
      </c>
    </row>
    <row r="3240" spans="4:12" s="348" customFormat="1" ht="12.75" hidden="1" customHeight="1" outlineLevel="2" x14ac:dyDescent="0.2">
      <c r="D3240" s="785" t="str">
        <f>Price_List_BA!D251</f>
        <v>Cotton Wool, roll, non-sterile (ZM)</v>
      </c>
      <c r="E3240" s="786"/>
      <c r="F3240" s="786"/>
      <c r="G3240" s="786"/>
      <c r="J3240" s="668" t="str">
        <f>Price_List_BA!J251</f>
        <v>1/100 roll</v>
      </c>
      <c r="L3240" s="127">
        <f>Price_List_BA!L251</f>
        <v>7.1200000000000005E-3</v>
      </c>
    </row>
    <row r="3241" spans="4:12" s="348" customFormat="1" ht="12.75" hidden="1" customHeight="1" outlineLevel="2" x14ac:dyDescent="0.2">
      <c r="D3241" s="785" t="str">
        <f>Price_List_BA!D252</f>
        <v>Cotton Wool, roll, non-sterile (TZ)</v>
      </c>
      <c r="E3241" s="786"/>
      <c r="F3241" s="786"/>
      <c r="G3241" s="786"/>
      <c r="J3241" s="668" t="str">
        <f>Price_List_BA!J252</f>
        <v>1 gram</v>
      </c>
      <c r="L3241" s="127">
        <f>Price_List_BA!L252</f>
        <v>3.0000000000000001E-3</v>
      </c>
    </row>
    <row r="3242" spans="4:12" s="348" customFormat="1" ht="12.75" hidden="1" customHeight="1" outlineLevel="2" x14ac:dyDescent="0.2">
      <c r="D3242" s="785" t="str">
        <f>Price_List_BA!D253</f>
        <v xml:space="preserve">Dexamethasone (ZM) </v>
      </c>
      <c r="E3242" s="786"/>
      <c r="F3242" s="786"/>
      <c r="G3242" s="786"/>
      <c r="J3242" s="668" t="str">
        <f>Price_List_BA!J253</f>
        <v>4mg</v>
      </c>
      <c r="L3242" s="127">
        <f>Price_List_BA!L253</f>
        <v>0.25</v>
      </c>
    </row>
    <row r="3243" spans="4:12" s="348" customFormat="1" ht="12.75" hidden="1" customHeight="1" outlineLevel="2" x14ac:dyDescent="0.2">
      <c r="D3243" s="785" t="str">
        <f>Price_List_BA!D254</f>
        <v>Diclofenac (50mg) (ZM)</v>
      </c>
      <c r="E3243" s="786"/>
      <c r="F3243" s="786"/>
      <c r="G3243" s="786"/>
      <c r="J3243" s="668" t="str">
        <f>Price_List_BA!J254</f>
        <v>tablet</v>
      </c>
      <c r="L3243" s="127">
        <f>Price_List_BA!L254</f>
        <v>3.3939999999999999E-3</v>
      </c>
    </row>
    <row r="3244" spans="4:12" s="348" customFormat="1" ht="12.75" hidden="1" customHeight="1" outlineLevel="2" x14ac:dyDescent="0.2">
      <c r="D3244" s="785" t="str">
        <f>Price_List_BA!D255</f>
        <v>Diclofenac (50mg) (TZ)</v>
      </c>
      <c r="E3244" s="786"/>
      <c r="F3244" s="786"/>
      <c r="G3244" s="786"/>
      <c r="J3244" s="668" t="str">
        <f>Price_List_BA!J255</f>
        <v>tablet</v>
      </c>
      <c r="L3244" s="127">
        <f>Price_List_BA!L255</f>
        <v>1.5625</v>
      </c>
    </row>
    <row r="3245" spans="4:12" s="348" customFormat="1" ht="12.75" hidden="1" customHeight="1" outlineLevel="2" x14ac:dyDescent="0.2">
      <c r="D3245" s="785" t="str">
        <f>Price_List_BA!D256</f>
        <v>Distilled water (ZM)</v>
      </c>
      <c r="E3245" s="786"/>
      <c r="F3245" s="786"/>
      <c r="G3245" s="786"/>
      <c r="J3245" s="668" t="str">
        <f>Price_List_BA!J256</f>
        <v>mililiter</v>
      </c>
      <c r="L3245" s="127">
        <f>Price_List_BA!L256</f>
        <v>2.3199999999999997E-4</v>
      </c>
    </row>
    <row r="3246" spans="4:12" s="348" customFormat="1" ht="12.75" hidden="1" customHeight="1" outlineLevel="2" x14ac:dyDescent="0.2">
      <c r="D3246" s="785" t="str">
        <f>Price_List_BA!D257</f>
        <v>Distilled water (UG)</v>
      </c>
      <c r="E3246" s="786"/>
      <c r="F3246" s="786"/>
      <c r="G3246" s="786"/>
      <c r="J3246" s="668" t="str">
        <f>Price_List_BA!J257</f>
        <v>mililiter</v>
      </c>
      <c r="L3246" s="127">
        <f>Price_List_BA!L257</f>
        <v>2.3680472079554149E-4</v>
      </c>
    </row>
    <row r="3247" spans="4:12" s="348" customFormat="1" ht="12.75" hidden="1" customHeight="1" outlineLevel="2" x14ac:dyDescent="0.2">
      <c r="D3247" s="785" t="str">
        <f>Price_List_BA!D258</f>
        <v>Dulcolax (10mg) (ZM)</v>
      </c>
      <c r="E3247" s="786"/>
      <c r="F3247" s="786"/>
      <c r="G3247" s="786"/>
      <c r="J3247" s="668" t="str">
        <f>Price_List_BA!J258</f>
        <v>tablet</v>
      </c>
      <c r="L3247" s="127">
        <f>Price_List_BA!L258</f>
        <v>0.1</v>
      </c>
    </row>
    <row r="3248" spans="4:12" s="348" customFormat="1" ht="12.75" hidden="1" customHeight="1" outlineLevel="2" x14ac:dyDescent="0.2">
      <c r="D3248" s="785" t="str">
        <f>Price_List_BA!D259</f>
        <v>Dulcolax (10mg) (TZ)</v>
      </c>
      <c r="E3248" s="786"/>
      <c r="F3248" s="786"/>
      <c r="G3248" s="786"/>
      <c r="J3248" s="668" t="str">
        <f>Price_List_BA!J259</f>
        <v>tablet</v>
      </c>
      <c r="L3248" s="127">
        <f>Price_List_BA!L259</f>
        <v>0.625</v>
      </c>
    </row>
    <row r="3249" spans="4:12" s="348" customFormat="1" ht="12.75" hidden="1" customHeight="1" outlineLevel="2" x14ac:dyDescent="0.2">
      <c r="D3249" s="785" t="str">
        <f>Price_List_BA!D260</f>
        <v>Emend (ZM)</v>
      </c>
      <c r="E3249" s="786"/>
      <c r="F3249" s="786"/>
      <c r="G3249" s="786"/>
      <c r="J3249" s="668" t="str">
        <f>Price_List_BA!J260</f>
        <v>SU</v>
      </c>
      <c r="L3249" s="127">
        <f>Price_List_BA!L260</f>
        <v>0</v>
      </c>
    </row>
    <row r="3250" spans="4:12" s="348" customFormat="1" ht="12.75" hidden="1" customHeight="1" outlineLevel="2" x14ac:dyDescent="0.2">
      <c r="D3250" s="785" t="str">
        <f>Price_List_BA!D261</f>
        <v>Formalin (UG)</v>
      </c>
      <c r="E3250" s="786"/>
      <c r="F3250" s="786"/>
      <c r="G3250" s="786"/>
      <c r="J3250" s="668" t="str">
        <f>Price_List_BA!J261</f>
        <v>mililiter</v>
      </c>
      <c r="L3250" s="127">
        <f>Price_List_BA!L261</f>
        <v>6.5566604742651096E-3</v>
      </c>
    </row>
    <row r="3251" spans="4:12" s="348" customFormat="1" ht="12.75" hidden="1" customHeight="1" outlineLevel="2" x14ac:dyDescent="0.2">
      <c r="D3251" s="785" t="str">
        <f>Price_List_BA!D262</f>
        <v>Formalin AR 40% (ZM)</v>
      </c>
      <c r="E3251" s="786"/>
      <c r="F3251" s="786"/>
      <c r="G3251" s="786"/>
      <c r="J3251" s="668" t="str">
        <f>Price_List_BA!J262</f>
        <v>mililiter</v>
      </c>
      <c r="L3251" s="127">
        <f>Price_List_BA!L262</f>
        <v>0.34903395999999998</v>
      </c>
    </row>
    <row r="3252" spans="4:12" s="348" customFormat="1" ht="12.75" hidden="1" customHeight="1" outlineLevel="2" x14ac:dyDescent="0.2">
      <c r="D3252" s="785" t="str">
        <f>Price_List_BA!D263</f>
        <v>Formalin AR 40% (TZ)</v>
      </c>
      <c r="E3252" s="786"/>
      <c r="F3252" s="786"/>
      <c r="G3252" s="786"/>
      <c r="J3252" s="668" t="str">
        <f>Price_List_BA!J263</f>
        <v>centilitre</v>
      </c>
      <c r="L3252" s="127">
        <f>Price_List_BA!L263</f>
        <v>0.03</v>
      </c>
    </row>
    <row r="3253" spans="4:12" s="348" customFormat="1" ht="12.75" hidden="1" customHeight="1" outlineLevel="2" x14ac:dyDescent="0.2">
      <c r="D3253" s="785" t="str">
        <f>Price_List_BA!D264</f>
        <v>Frusamide (ZM)</v>
      </c>
      <c r="E3253" s="786"/>
      <c r="F3253" s="786"/>
      <c r="G3253" s="786"/>
      <c r="J3253" s="668" t="str">
        <f>Price_List_BA!J264</f>
        <v>20mg</v>
      </c>
      <c r="L3253" s="127">
        <f>Price_List_BA!L264</f>
        <v>0.5</v>
      </c>
    </row>
    <row r="3254" spans="4:12" s="348" customFormat="1" ht="12.75" hidden="1" customHeight="1" outlineLevel="2" x14ac:dyDescent="0.2">
      <c r="D3254" s="785" t="str">
        <f>Price_List_BA!D265</f>
        <v>Gas - N2O (UG)</v>
      </c>
      <c r="E3254" s="786"/>
      <c r="F3254" s="786"/>
      <c r="G3254" s="786"/>
      <c r="J3254" s="668" t="str">
        <f>Price_List_BA!J265</f>
        <v>litre</v>
      </c>
      <c r="L3254" s="127">
        <f>Price_List_BA!L265</f>
        <v>0.21116458854315942</v>
      </c>
    </row>
    <row r="3255" spans="4:12" s="348" customFormat="1" ht="12.75" hidden="1" customHeight="1" outlineLevel="2" x14ac:dyDescent="0.2">
      <c r="D3255" s="785" t="str">
        <f>Price_List_BA!D266</f>
        <v>Gas Cylinder (Nitrous Oxide) 72 kg. (ZM)</v>
      </c>
      <c r="E3255" s="786"/>
      <c r="F3255" s="786"/>
      <c r="G3255" s="786"/>
      <c r="J3255" s="668" t="str">
        <f>Price_List_BA!J266</f>
        <v>application</v>
      </c>
      <c r="L3255" s="127">
        <f>Price_List_BA!L266</f>
        <v>37.333333333333336</v>
      </c>
    </row>
    <row r="3256" spans="4:12" s="348" customFormat="1" ht="12.75" hidden="1" customHeight="1" outlineLevel="2" x14ac:dyDescent="0.2">
      <c r="D3256" s="785" t="str">
        <f>Price_List_BA!D267</f>
        <v>Gas Cylinder (TZ)</v>
      </c>
      <c r="E3256" s="786"/>
      <c r="F3256" s="786"/>
      <c r="G3256" s="786"/>
      <c r="J3256" s="668" t="str">
        <f>Price_List_BA!J267</f>
        <v>1/15th of a cylinder</v>
      </c>
      <c r="L3256" s="127">
        <f>Price_List_BA!L267</f>
        <v>1.6666666666666667</v>
      </c>
    </row>
    <row r="3257" spans="4:12" s="348" customFormat="1" ht="12.75" hidden="1" customHeight="1" outlineLevel="2" x14ac:dyDescent="0.2">
      <c r="D3257" s="785" t="str">
        <f>Price_List_BA!D268</f>
        <v>Gauze (UG)</v>
      </c>
      <c r="E3257" s="786"/>
      <c r="F3257" s="786"/>
      <c r="G3257" s="786"/>
      <c r="J3257" s="668" t="str">
        <f>Price_List_BA!J268</f>
        <v>piece</v>
      </c>
      <c r="L3257" s="127">
        <f>Price_List_BA!L268</f>
        <v>1.2239099551961501E-2</v>
      </c>
    </row>
    <row r="3258" spans="4:12" s="348" customFormat="1" ht="12.75" hidden="1" customHeight="1" outlineLevel="2" x14ac:dyDescent="0.2">
      <c r="D3258" s="785" t="str">
        <f>Price_List_BA!D269</f>
        <v>Gauze hospital quality 10x4 cm (TZ)</v>
      </c>
      <c r="E3258" s="786"/>
      <c r="F3258" s="786"/>
      <c r="G3258" s="786"/>
      <c r="J3258" s="668" t="str">
        <f>Price_List_BA!J269</f>
        <v>each</v>
      </c>
      <c r="L3258" s="127">
        <f>Price_List_BA!L269</f>
        <v>0.3125</v>
      </c>
    </row>
    <row r="3259" spans="4:12" s="348" customFormat="1" ht="12.75" hidden="1" customHeight="1" outlineLevel="2" x14ac:dyDescent="0.2">
      <c r="D3259" s="785" t="str">
        <f>Price_List_BA!D270</f>
        <v>Gauze, Non-Sterile (ZM)</v>
      </c>
      <c r="E3259" s="786"/>
      <c r="F3259" s="786"/>
      <c r="G3259" s="786"/>
      <c r="J3259" s="668" t="str">
        <f>Price_List_BA!J270</f>
        <v>1/2 roll</v>
      </c>
      <c r="L3259" s="127">
        <f>Price_List_BA!L270</f>
        <v>6.7035000000000003E-3</v>
      </c>
    </row>
    <row r="3260" spans="4:12" s="348" customFormat="1" ht="12.75" hidden="1" customHeight="1" outlineLevel="2" x14ac:dyDescent="0.2">
      <c r="D3260" s="785" t="str">
        <f>Price_List_BA!D271</f>
        <v>Gauze, Non-Sterile (TZ)</v>
      </c>
      <c r="E3260" s="786"/>
      <c r="F3260" s="786"/>
      <c r="G3260" s="786"/>
      <c r="J3260" s="668" t="str">
        <f>Price_List_BA!J271</f>
        <v>1/100 of roll</v>
      </c>
      <c r="L3260" s="127">
        <f>Price_List_BA!L271</f>
        <v>0.125</v>
      </c>
    </row>
    <row r="3261" spans="4:12" s="348" customFormat="1" ht="12.75" hidden="1" customHeight="1" outlineLevel="2" x14ac:dyDescent="0.2">
      <c r="D3261" s="785" t="str">
        <f>Price_List_BA!D272</f>
        <v>Gauze, Sterile (ZM)</v>
      </c>
      <c r="E3261" s="786"/>
      <c r="F3261" s="786"/>
      <c r="G3261" s="786"/>
      <c r="J3261" s="668" t="str">
        <f>Price_List_BA!J272</f>
        <v>roll</v>
      </c>
      <c r="L3261" s="127">
        <f>Price_List_BA!L272</f>
        <v>4.7962999999999999E-2</v>
      </c>
    </row>
    <row r="3262" spans="4:12" s="348" customFormat="1" ht="12.75" hidden="1" customHeight="1" outlineLevel="2" x14ac:dyDescent="0.2">
      <c r="D3262" s="785" t="str">
        <f>Price_List_BA!D273</f>
        <v>Gauze, Sterile (TZ)</v>
      </c>
      <c r="E3262" s="786"/>
      <c r="F3262" s="786"/>
      <c r="G3262" s="786"/>
      <c r="J3262" s="668" t="str">
        <f>Price_List_BA!J273</f>
        <v>1/100 of roll</v>
      </c>
      <c r="L3262" s="127">
        <f>Price_List_BA!L273</f>
        <v>0.125</v>
      </c>
    </row>
    <row r="3263" spans="4:12" s="348" customFormat="1" ht="12.75" hidden="1" customHeight="1" outlineLevel="2" x14ac:dyDescent="0.2">
      <c r="D3263" s="785" t="str">
        <f>Price_List_BA!D274</f>
        <v>Gloves (UG)</v>
      </c>
      <c r="E3263" s="786"/>
      <c r="F3263" s="786"/>
      <c r="G3263" s="786"/>
      <c r="J3263" s="668" t="str">
        <f>Price_List_BA!J274</f>
        <v>pair</v>
      </c>
      <c r="L3263" s="127">
        <f>Price_List_BA!L274</f>
        <v>0.10490656758824179</v>
      </c>
    </row>
    <row r="3264" spans="4:12" s="348" customFormat="1" ht="12.75" hidden="1" customHeight="1" outlineLevel="2" x14ac:dyDescent="0.2">
      <c r="D3264" s="785" t="str">
        <f>Price_List_BA!D275</f>
        <v>Gloves, Non-Sterile, Examination, latex, assorted sizes, disp. (ZM)</v>
      </c>
      <c r="E3264" s="786"/>
      <c r="F3264" s="786"/>
      <c r="G3264" s="786"/>
      <c r="J3264" s="668" t="str">
        <f>Price_List_BA!J275</f>
        <v>each</v>
      </c>
      <c r="L3264" s="127">
        <f>Price_List_BA!L275</f>
        <v>7.2000000000000008E-2</v>
      </c>
    </row>
    <row r="3265" spans="4:12" s="348" customFormat="1" ht="12.75" hidden="1" customHeight="1" outlineLevel="2" x14ac:dyDescent="0.2">
      <c r="D3265" s="785" t="str">
        <f>Price_List_BA!D276</f>
        <v>Gloves, Non-Sterile, Examination, latex, medium, disp. (TZ)</v>
      </c>
      <c r="E3265" s="786"/>
      <c r="F3265" s="786"/>
      <c r="G3265" s="786"/>
      <c r="J3265" s="668" t="str">
        <f>Price_List_BA!J276</f>
        <v>each</v>
      </c>
      <c r="L3265" s="127">
        <f>Price_List_BA!L276</f>
        <v>4.2699999999999995E-2</v>
      </c>
    </row>
    <row r="3266" spans="4:12" s="348" customFormat="1" ht="12.75" hidden="1" customHeight="1" outlineLevel="2" x14ac:dyDescent="0.2">
      <c r="D3266" s="785" t="str">
        <f>Price_List_BA!D277</f>
        <v>Gloves, Sterile (TZ)</v>
      </c>
      <c r="E3266" s="786"/>
      <c r="F3266" s="786"/>
      <c r="G3266" s="786"/>
      <c r="J3266" s="668" t="str">
        <f>Price_List_BA!J277</f>
        <v>each</v>
      </c>
      <c r="L3266" s="127">
        <f>Price_List_BA!L277</f>
        <v>0.92500000000000004</v>
      </c>
    </row>
    <row r="3267" spans="4:12" s="348" customFormat="1" ht="12.75" hidden="1" customHeight="1" outlineLevel="2" x14ac:dyDescent="0.2">
      <c r="D3267" s="785" t="str">
        <f>Price_List_BA!D278</f>
        <v>Gloves, Sterile 7.5 (ZM)</v>
      </c>
      <c r="E3267" s="786"/>
      <c r="F3267" s="786"/>
      <c r="G3267" s="786"/>
      <c r="J3267" s="668" t="str">
        <f>Price_List_BA!J278</f>
        <v>each</v>
      </c>
      <c r="L3267" s="127">
        <f>Price_List_BA!L278</f>
        <v>0.21932200000000002</v>
      </c>
    </row>
    <row r="3268" spans="4:12" s="348" customFormat="1" ht="12.75" hidden="1" customHeight="1" outlineLevel="2" x14ac:dyDescent="0.2">
      <c r="D3268" s="785" t="str">
        <f>Price_List_BA!D279</f>
        <v>Halothane (ZM)</v>
      </c>
      <c r="E3268" s="786"/>
      <c r="F3268" s="786"/>
      <c r="G3268" s="786"/>
      <c r="J3268" s="668" t="str">
        <f>Price_List_BA!J279</f>
        <v>millilitre</v>
      </c>
      <c r="L3268" s="127">
        <f>Price_List_BA!L279</f>
        <v>0</v>
      </c>
    </row>
    <row r="3269" spans="4:12" s="348" customFormat="1" ht="12.75" hidden="1" customHeight="1" outlineLevel="2" x14ac:dyDescent="0.2">
      <c r="D3269" s="785" t="str">
        <f>Price_List_BA!D280</f>
        <v>IV canula 22G  (ZM)</v>
      </c>
      <c r="E3269" s="786"/>
      <c r="F3269" s="786"/>
      <c r="G3269" s="786"/>
      <c r="J3269" s="668" t="str">
        <f>Price_List_BA!J280</f>
        <v>canula</v>
      </c>
      <c r="L3269" s="127">
        <f>Price_List_BA!L280</f>
        <v>0.130548</v>
      </c>
    </row>
    <row r="3270" spans="4:12" s="348" customFormat="1" ht="12.75" hidden="1" customHeight="1" outlineLevel="2" x14ac:dyDescent="0.2">
      <c r="D3270" s="785" t="str">
        <f>Price_List_BA!D281</f>
        <v>IV canula 22G (each) (TZ)</v>
      </c>
      <c r="E3270" s="786"/>
      <c r="F3270" s="786"/>
      <c r="G3270" s="786"/>
      <c r="J3270" s="668" t="str">
        <f>Price_List_BA!J281</f>
        <v>each</v>
      </c>
      <c r="L3270" s="127">
        <f>Price_List_BA!L281</f>
        <v>0.16250000000000001</v>
      </c>
    </row>
    <row r="3271" spans="4:12" s="348" customFormat="1" ht="12.75" hidden="1" customHeight="1" outlineLevel="2" x14ac:dyDescent="0.2">
      <c r="D3271" s="785" t="str">
        <f>Price_List_BA!D282</f>
        <v>IV giving set (each) (TZ)</v>
      </c>
      <c r="E3271" s="786"/>
      <c r="F3271" s="786"/>
      <c r="G3271" s="786"/>
      <c r="J3271" s="668" t="str">
        <f>Price_List_BA!J282</f>
        <v>set</v>
      </c>
      <c r="L3271" s="127">
        <f>Price_List_BA!L282</f>
        <v>0.15</v>
      </c>
    </row>
    <row r="3272" spans="4:12" s="348" customFormat="1" ht="12.75" hidden="1" customHeight="1" outlineLevel="2" x14ac:dyDescent="0.2">
      <c r="D3272" s="785" t="str">
        <f>Price_List_BA!D283</f>
        <v>IV giving set (closed system) (ZM)</v>
      </c>
      <c r="E3272" s="786"/>
      <c r="F3272" s="786"/>
      <c r="G3272" s="786"/>
      <c r="J3272" s="668" t="str">
        <f>Price_List_BA!J283</f>
        <v>SU</v>
      </c>
      <c r="L3272" s="127">
        <f>Price_List_BA!L283</f>
        <v>0</v>
      </c>
    </row>
    <row r="3273" spans="4:12" s="348" customFormat="1" ht="12.75" hidden="1" customHeight="1" outlineLevel="2" x14ac:dyDescent="0.2">
      <c r="D3273" s="785" t="str">
        <f>Price_List_BA!D284</f>
        <v>IV line (set) (ZM)</v>
      </c>
      <c r="E3273" s="786"/>
      <c r="F3273" s="786"/>
      <c r="G3273" s="786"/>
      <c r="J3273" s="668" t="str">
        <f>Price_List_BA!J284</f>
        <v>set</v>
      </c>
      <c r="L3273" s="127">
        <f>Price_List_BA!L284</f>
        <v>0.120104</v>
      </c>
    </row>
    <row r="3274" spans="4:12" s="348" customFormat="1" ht="12.75" hidden="1" customHeight="1" outlineLevel="2" x14ac:dyDescent="0.2">
      <c r="D3274" s="785" t="str">
        <f>Price_List_BA!D285</f>
        <v>IV line (set) (TZ)</v>
      </c>
      <c r="E3274" s="786"/>
      <c r="F3274" s="786"/>
      <c r="G3274" s="786"/>
      <c r="J3274" s="668" t="str">
        <f>Price_List_BA!J285</f>
        <v>set</v>
      </c>
      <c r="L3274" s="127">
        <f>Price_List_BA!L285</f>
        <v>0.9375</v>
      </c>
    </row>
    <row r="3275" spans="4:12" s="348" customFormat="1" ht="12.75" hidden="1" customHeight="1" outlineLevel="2" x14ac:dyDescent="0.2">
      <c r="D3275" s="785" t="str">
        <f>Price_List_BA!D286</f>
        <v>Ketamine (ZM)</v>
      </c>
      <c r="E3275" s="786"/>
      <c r="F3275" s="786"/>
      <c r="G3275" s="786"/>
      <c r="J3275" s="668" t="str">
        <f>Price_List_BA!J286</f>
        <v>SU</v>
      </c>
      <c r="L3275" s="127">
        <f>Price_List_BA!L286</f>
        <v>0</v>
      </c>
    </row>
    <row r="3276" spans="4:12" s="348" customFormat="1" ht="12.75" hidden="1" customHeight="1" outlineLevel="2" x14ac:dyDescent="0.2">
      <c r="D3276" s="785" t="str">
        <f>Price_List_BA!D287</f>
        <v>Kitchen Towel (ZM)</v>
      </c>
      <c r="E3276" s="786"/>
      <c r="F3276" s="786"/>
      <c r="G3276" s="786"/>
      <c r="J3276" s="668" t="str">
        <f>Price_List_BA!J287</f>
        <v>application</v>
      </c>
      <c r="L3276" s="127">
        <f>Price_List_BA!L287</f>
        <v>1.3999999999999999E-2</v>
      </c>
    </row>
    <row r="3277" spans="4:12" s="348" customFormat="1" ht="12.75" hidden="1" customHeight="1" outlineLevel="2" x14ac:dyDescent="0.2">
      <c r="D3277" s="785" t="str">
        <f>Price_List_BA!D288</f>
        <v>K-Y jelly  (TZ)</v>
      </c>
      <c r="E3277" s="786"/>
      <c r="F3277" s="786"/>
      <c r="G3277" s="786"/>
      <c r="J3277" s="668" t="str">
        <f>Price_List_BA!J288</f>
        <v>1/100 of tube</v>
      </c>
      <c r="L3277" s="127">
        <f>Price_List_BA!L288</f>
        <v>8.4375000000000006E-2</v>
      </c>
    </row>
    <row r="3278" spans="4:12" s="348" customFormat="1" ht="12.75" hidden="1" customHeight="1" outlineLevel="2" x14ac:dyDescent="0.2">
      <c r="D3278" s="785" t="str">
        <f>Price_List_BA!D289</f>
        <v>K-Y jelly Tube w/ 100 applcations ea) (ZM)</v>
      </c>
      <c r="E3278" s="786"/>
      <c r="F3278" s="786"/>
      <c r="G3278" s="786"/>
      <c r="J3278" s="668" t="str">
        <f>Price_List_BA!J289</f>
        <v>1 application</v>
      </c>
      <c r="L3278" s="127">
        <f>Price_List_BA!L289</f>
        <v>4.4999999999999998E-2</v>
      </c>
    </row>
    <row r="3279" spans="4:12" s="348" customFormat="1" ht="12.75" hidden="1" customHeight="1" outlineLevel="2" x14ac:dyDescent="0.2">
      <c r="D3279" s="785" t="str">
        <f>Price_List_BA!D290</f>
        <v>Label (TZ)</v>
      </c>
      <c r="E3279" s="786"/>
      <c r="F3279" s="786"/>
      <c r="G3279" s="786"/>
      <c r="J3279" s="668" t="str">
        <f>Price_List_BA!J290</f>
        <v>label</v>
      </c>
      <c r="L3279" s="127">
        <f>Price_List_BA!L290</f>
        <v>3.125E-2</v>
      </c>
    </row>
    <row r="3280" spans="4:12" s="348" customFormat="1" ht="12.75" hidden="1" customHeight="1" outlineLevel="2" x14ac:dyDescent="0.2">
      <c r="D3280" s="785" t="str">
        <f>Price_List_BA!D291</f>
        <v>Lidocaine 1% or 2% without epinephrine (UG)</v>
      </c>
      <c r="E3280" s="786"/>
      <c r="F3280" s="786"/>
      <c r="G3280" s="786"/>
      <c r="J3280" s="668" t="str">
        <f>Price_List_BA!J291</f>
        <v>mililitre</v>
      </c>
      <c r="L3280" s="127">
        <f>Price_List_BA!L291</f>
        <v>6.6747459294066225E-2</v>
      </c>
    </row>
    <row r="3281" spans="4:12" s="348" customFormat="1" ht="12.75" hidden="1" customHeight="1" outlineLevel="2" x14ac:dyDescent="0.2">
      <c r="D3281" s="785" t="str">
        <f>Price_List_BA!D292</f>
        <v>Lidocaine 2% with epinephrine 1:80000 (ZM)</v>
      </c>
      <c r="E3281" s="786"/>
      <c r="F3281" s="786"/>
      <c r="G3281" s="786"/>
      <c r="J3281" s="668" t="str">
        <f>Price_List_BA!J292</f>
        <v>unknown</v>
      </c>
      <c r="L3281" s="127">
        <f>Price_List_BA!L292</f>
        <v>0.9</v>
      </c>
    </row>
    <row r="3282" spans="4:12" s="348" customFormat="1" ht="12.75" hidden="1" customHeight="1" outlineLevel="2" x14ac:dyDescent="0.2">
      <c r="D3282" s="785" t="str">
        <f>Price_List_BA!D293</f>
        <v>Lidocaine: 2% with adrenalin 1:80000 (TZ)</v>
      </c>
      <c r="E3282" s="786"/>
      <c r="F3282" s="786"/>
      <c r="G3282" s="786"/>
      <c r="J3282" s="668" t="str">
        <f>Price_List_BA!J293</f>
        <v>centilitre</v>
      </c>
      <c r="L3282" s="127">
        <f>Price_List_BA!L293</f>
        <v>0.13750000000000001</v>
      </c>
    </row>
    <row r="3283" spans="4:12" s="348" customFormat="1" ht="12.75" hidden="1" customHeight="1" outlineLevel="2" x14ac:dyDescent="0.2">
      <c r="D3283" s="785" t="str">
        <f>Price_List_BA!D294</f>
        <v>Liquid soap (UG)</v>
      </c>
      <c r="E3283" s="786"/>
      <c r="F3283" s="786"/>
      <c r="G3283" s="786"/>
      <c r="J3283" s="668" t="str">
        <f>Price_List_BA!J294</f>
        <v>mililiter</v>
      </c>
      <c r="L3283" s="127">
        <f>Price_List_BA!L294</f>
        <v>5.4194295705387399E-4</v>
      </c>
    </row>
    <row r="3284" spans="4:12" s="348" customFormat="1" ht="12.75" hidden="1" customHeight="1" outlineLevel="2" x14ac:dyDescent="0.2">
      <c r="D3284" s="785" t="str">
        <f>Price_List_BA!D295</f>
        <v>Lugol's iodine (UG)</v>
      </c>
      <c r="E3284" s="786"/>
      <c r="F3284" s="786"/>
      <c r="G3284" s="786"/>
      <c r="J3284" s="668" t="str">
        <f>Price_List_BA!J295</f>
        <v>mililiter</v>
      </c>
      <c r="L3284" s="127">
        <f>Price_List_BA!L295</f>
        <v>1.2621571412960299E-2</v>
      </c>
    </row>
    <row r="3285" spans="4:12" s="348" customFormat="1" ht="12.75" hidden="1" customHeight="1" outlineLevel="2" x14ac:dyDescent="0.2">
      <c r="D3285" s="785" t="str">
        <f>Price_List_BA!D296</f>
        <v>Mannitol (ZM)</v>
      </c>
      <c r="E3285" s="786"/>
      <c r="F3285" s="786"/>
      <c r="G3285" s="786"/>
      <c r="J3285" s="668" t="str">
        <f>Price_List_BA!J296</f>
        <v>SU</v>
      </c>
      <c r="L3285" s="127">
        <f>Price_List_BA!L296</f>
        <v>0</v>
      </c>
    </row>
    <row r="3286" spans="4:12" s="348" customFormat="1" ht="12.75" hidden="1" customHeight="1" outlineLevel="2" x14ac:dyDescent="0.2">
      <c r="D3286" s="785" t="str">
        <f>Price_List_BA!D297</f>
        <v>Metronizadol (200mg) (ZM)</v>
      </c>
      <c r="E3286" s="786"/>
      <c r="F3286" s="786"/>
      <c r="G3286" s="786"/>
      <c r="J3286" s="668" t="str">
        <f>Price_List_BA!J297</f>
        <v>tablet</v>
      </c>
      <c r="L3286" s="127">
        <f>Price_List_BA!L297</f>
        <v>3.7859E-3</v>
      </c>
    </row>
    <row r="3287" spans="4:12" s="348" customFormat="1" ht="12.75" hidden="1" customHeight="1" outlineLevel="2" x14ac:dyDescent="0.2">
      <c r="D3287" s="785" t="str">
        <f>Price_List_BA!D298</f>
        <v>Metronizadol (200mg) (UG)</v>
      </c>
      <c r="E3287" s="786"/>
      <c r="F3287" s="786"/>
      <c r="G3287" s="786"/>
      <c r="J3287" s="668" t="str">
        <f>Price_List_BA!J298</f>
        <v>tablet</v>
      </c>
      <c r="L3287" s="127">
        <f>Price_List_BA!L298</f>
        <v>3.9235056278002405E-3</v>
      </c>
    </row>
    <row r="3288" spans="4:12" s="348" customFormat="1" ht="12.75" hidden="1" customHeight="1" outlineLevel="2" x14ac:dyDescent="0.2">
      <c r="D3288" s="785" t="str">
        <f>Price_List_BA!D299</f>
        <v>Metronizadol (400mg) (UG)</v>
      </c>
      <c r="E3288" s="786"/>
      <c r="F3288" s="786"/>
      <c r="G3288" s="786"/>
      <c r="J3288" s="668" t="str">
        <f>Price_List_BA!J299</f>
        <v>tablet</v>
      </c>
      <c r="L3288" s="127">
        <f>Price_List_BA!L299</f>
        <v>7.847011255600481E-3</v>
      </c>
    </row>
    <row r="3289" spans="4:12" s="348" customFormat="1" ht="12.75" hidden="1" customHeight="1" outlineLevel="2" x14ac:dyDescent="0.2">
      <c r="D3289" s="785" t="str">
        <f>Price_List_BA!D300</f>
        <v>Mictomycin  C (10mg) (TZ)</v>
      </c>
      <c r="E3289" s="786"/>
      <c r="F3289" s="786"/>
      <c r="G3289" s="786"/>
      <c r="J3289" s="668" t="str">
        <f>Price_List_BA!J300</f>
        <v>10mg</v>
      </c>
      <c r="L3289" s="127">
        <f>Price_List_BA!L300</f>
        <v>18.75</v>
      </c>
    </row>
    <row r="3290" spans="4:12" s="348" customFormat="1" ht="12.75" hidden="1" customHeight="1" outlineLevel="2" x14ac:dyDescent="0.2">
      <c r="D3290" s="785" t="str">
        <f>Price_List_BA!D301</f>
        <v>Mitomycin  C (10mg) (ZM)</v>
      </c>
      <c r="E3290" s="786"/>
      <c r="F3290" s="786"/>
      <c r="G3290" s="786"/>
      <c r="J3290" s="668" t="str">
        <f>Price_List_BA!J301</f>
        <v>vial</v>
      </c>
      <c r="L3290" s="127">
        <f>Price_List_BA!L301</f>
        <v>27.5</v>
      </c>
    </row>
    <row r="3291" spans="4:12" s="348" customFormat="1" ht="12.75" hidden="1" customHeight="1" outlineLevel="2" x14ac:dyDescent="0.2">
      <c r="D3291" s="785" t="str">
        <f>Price_List_BA!D302</f>
        <v>Monsel's solution (UG)</v>
      </c>
      <c r="E3291" s="786"/>
      <c r="F3291" s="786"/>
      <c r="G3291" s="786"/>
      <c r="J3291" s="668" t="str">
        <f>Price_List_BA!J302</f>
        <v>mililiter</v>
      </c>
      <c r="L3291" s="127">
        <f>Price_List_BA!L302</f>
        <v>0.41111111111111109</v>
      </c>
    </row>
    <row r="3292" spans="4:12" s="348" customFormat="1" ht="12.75" hidden="1" customHeight="1" outlineLevel="2" x14ac:dyDescent="0.2">
      <c r="D3292" s="785" t="str">
        <f>Price_List_BA!D303</f>
        <v>Monsel's solution (ZM)</v>
      </c>
      <c r="E3292" s="786"/>
      <c r="F3292" s="786"/>
      <c r="G3292" s="786"/>
      <c r="J3292" s="668" t="str">
        <f>Price_List_BA!J303</f>
        <v>application</v>
      </c>
      <c r="L3292" s="127">
        <f>Price_List_BA!L303</f>
        <v>10.126666666666667</v>
      </c>
    </row>
    <row r="3293" spans="4:12" s="348" customFormat="1" ht="12.75" hidden="1" customHeight="1" outlineLevel="2" x14ac:dyDescent="0.2">
      <c r="D3293" s="785" t="str">
        <f>Price_List_BA!D304</f>
        <v>Morphine (10mg) (ZM)</v>
      </c>
      <c r="E3293" s="786"/>
      <c r="F3293" s="786"/>
      <c r="G3293" s="786"/>
      <c r="J3293" s="668" t="str">
        <f>Price_List_BA!J304</f>
        <v>tablet</v>
      </c>
      <c r="L3293" s="127">
        <f>Price_List_BA!L304</f>
        <v>0.22666666666666666</v>
      </c>
    </row>
    <row r="3294" spans="4:12" s="348" customFormat="1" ht="12.75" hidden="1" customHeight="1" outlineLevel="2" x14ac:dyDescent="0.2">
      <c r="D3294" s="785" t="str">
        <f>Price_List_BA!D305</f>
        <v>Morphine (10mg) (TZ)</v>
      </c>
      <c r="E3294" s="786"/>
      <c r="F3294" s="786"/>
      <c r="G3294" s="786"/>
      <c r="J3294" s="668" t="str">
        <f>Price_List_BA!J305</f>
        <v>10mg</v>
      </c>
      <c r="L3294" s="127">
        <f>Price_List_BA!L305</f>
        <v>3.5625</v>
      </c>
    </row>
    <row r="3295" spans="4:12" s="348" customFormat="1" ht="12.75" hidden="1" customHeight="1" outlineLevel="2" x14ac:dyDescent="0.2">
      <c r="D3295" s="785" t="str">
        <f>Price_List_BA!D306</f>
        <v>Mutton Cloth (ZM)</v>
      </c>
      <c r="E3295" s="786"/>
      <c r="F3295" s="786"/>
      <c r="G3295" s="786"/>
      <c r="J3295" s="668" t="str">
        <f>Price_List_BA!J306</f>
        <v>metre</v>
      </c>
      <c r="L3295" s="127">
        <f>Price_List_BA!L306</f>
        <v>6.5000000000000002E-2</v>
      </c>
    </row>
    <row r="3296" spans="4:12" s="348" customFormat="1" ht="12.75" hidden="1" customHeight="1" outlineLevel="2" x14ac:dyDescent="0.2">
      <c r="D3296" s="785" t="str">
        <f>Price_List_BA!D307</f>
        <v>Needle – 18 or 20 gauge (TZ)</v>
      </c>
      <c r="E3296" s="786"/>
      <c r="F3296" s="786"/>
      <c r="G3296" s="786"/>
      <c r="J3296" s="668" t="str">
        <f>Price_List_BA!J307</f>
        <v>one piece</v>
      </c>
      <c r="L3296" s="127">
        <f>Price_List_BA!L307</f>
        <v>8.8541666666666671E-2</v>
      </c>
    </row>
    <row r="3297" spans="4:12" s="348" customFormat="1" ht="12.75" hidden="1" customHeight="1" outlineLevel="2" x14ac:dyDescent="0.2">
      <c r="D3297" s="785" t="str">
        <f>Price_List_BA!D308</f>
        <v>Needle - Spinal 22G (disposable) (ZM)</v>
      </c>
      <c r="E3297" s="786"/>
      <c r="F3297" s="786"/>
      <c r="G3297" s="786"/>
      <c r="J3297" s="668" t="str">
        <f>Price_List_BA!J308</f>
        <v>needle</v>
      </c>
      <c r="L3297" s="127">
        <f>Price_List_BA!L308</f>
        <v>1.240208</v>
      </c>
    </row>
    <row r="3298" spans="4:12" s="348" customFormat="1" ht="12.75" hidden="1" customHeight="1" outlineLevel="2" x14ac:dyDescent="0.2">
      <c r="D3298" s="785" t="str">
        <f>Price_List_BA!D309</f>
        <v>Needle - Spinal 22G (disposable) (TZ)</v>
      </c>
      <c r="E3298" s="786"/>
      <c r="F3298" s="786"/>
      <c r="G3298" s="786"/>
      <c r="J3298" s="668" t="str">
        <f>Price_List_BA!J309</f>
        <v>one piece</v>
      </c>
      <c r="L3298" s="127">
        <f>Price_List_BA!L309</f>
        <v>0.91249999999999998</v>
      </c>
    </row>
    <row r="3299" spans="4:12" s="348" customFormat="1" ht="12.75" hidden="1" customHeight="1" outlineLevel="2" x14ac:dyDescent="0.2">
      <c r="D3299" s="785" t="str">
        <f>Price_List_BA!D310</f>
        <v>Needles - Dental 27G Long (ZM)</v>
      </c>
      <c r="E3299" s="786"/>
      <c r="F3299" s="786"/>
      <c r="G3299" s="786"/>
      <c r="J3299" s="668" t="str">
        <f>Price_List_BA!J310</f>
        <v>needle</v>
      </c>
      <c r="L3299" s="127">
        <f>Price_List_BA!L310</f>
        <v>0.30909999999999999</v>
      </c>
    </row>
    <row r="3300" spans="4:12" s="348" customFormat="1" ht="12.75" hidden="1" customHeight="1" outlineLevel="2" x14ac:dyDescent="0.2">
      <c r="D3300" s="785" t="str">
        <f>Price_List_BA!D311</f>
        <v>Neostymine (ZM)</v>
      </c>
      <c r="E3300" s="786"/>
      <c r="F3300" s="786"/>
      <c r="G3300" s="786"/>
      <c r="J3300" s="668" t="str">
        <f>Price_List_BA!J311</f>
        <v>SU</v>
      </c>
      <c r="L3300" s="127">
        <f>Price_List_BA!L311</f>
        <v>0</v>
      </c>
    </row>
    <row r="3301" spans="4:12" s="348" customFormat="1" ht="12.75" hidden="1" customHeight="1" outlineLevel="2" x14ac:dyDescent="0.2">
      <c r="D3301" s="785" t="str">
        <f>Price_List_BA!D312</f>
        <v>Normal saline (UG)</v>
      </c>
      <c r="E3301" s="786"/>
      <c r="F3301" s="786"/>
      <c r="G3301" s="786"/>
      <c r="J3301" s="668" t="str">
        <f>Price_List_BA!J312</f>
        <v>mililiter</v>
      </c>
      <c r="L3301" s="127">
        <f>Price_List_BA!L312</f>
        <v>8.4106217899683098E-4</v>
      </c>
    </row>
    <row r="3302" spans="4:12" s="348" customFormat="1" ht="12.75" hidden="1" customHeight="1" outlineLevel="2" x14ac:dyDescent="0.2">
      <c r="D3302" s="785" t="str">
        <f>Price_List_BA!D313</f>
        <v>Normal saline (ZM)</v>
      </c>
      <c r="E3302" s="786"/>
      <c r="F3302" s="786"/>
      <c r="G3302" s="786"/>
      <c r="J3302" s="668" t="str">
        <f>Price_List_BA!J313</f>
        <v>1 litre</v>
      </c>
      <c r="L3302" s="127">
        <f>Price_List_BA!L313</f>
        <v>0</v>
      </c>
    </row>
    <row r="3303" spans="4:12" s="348" customFormat="1" ht="12.75" hidden="1" customHeight="1" outlineLevel="2" x14ac:dyDescent="0.2">
      <c r="D3303" s="785" t="str">
        <f>Price_List_BA!D314</f>
        <v>Nystain (200mg) (UG)</v>
      </c>
      <c r="E3303" s="786"/>
      <c r="F3303" s="786"/>
      <c r="G3303" s="786"/>
      <c r="J3303" s="668" t="str">
        <f>Price_List_BA!J314</f>
        <v>tablet</v>
      </c>
      <c r="L3303" s="127">
        <f>Price_List_BA!L314</f>
        <v>2.9588372855425638E-2</v>
      </c>
    </row>
    <row r="3304" spans="4:12" s="348" customFormat="1" ht="12.75" hidden="1" customHeight="1" outlineLevel="2" x14ac:dyDescent="0.2">
      <c r="D3304" s="785" t="str">
        <f>Price_List_BA!D315</f>
        <v>Ondansetron (IV) 4mg vials</v>
      </c>
      <c r="E3304" s="786"/>
      <c r="F3304" s="786"/>
      <c r="G3304" s="786"/>
      <c r="J3304" s="668" t="str">
        <f>Price_List_BA!J315</f>
        <v>SU</v>
      </c>
      <c r="L3304" s="127">
        <f>Price_List_BA!L315</f>
        <v>0</v>
      </c>
    </row>
    <row r="3305" spans="4:12" s="348" customFormat="1" hidden="1" outlineLevel="2" x14ac:dyDescent="0.2">
      <c r="D3305" s="785" t="str">
        <f>Price_List_BA!D316</f>
        <v>Ondasetron (oral) (4mg tablets)</v>
      </c>
      <c r="E3305" s="786"/>
      <c r="F3305" s="786"/>
      <c r="G3305" s="786"/>
      <c r="J3305" s="668" t="str">
        <f>Price_List_BA!J316</f>
        <v>tablet</v>
      </c>
      <c r="L3305" s="127">
        <f>Price_List_BA!L316</f>
        <v>9</v>
      </c>
    </row>
    <row r="3306" spans="4:12" s="348" customFormat="1" ht="12.75" hidden="1" customHeight="1" outlineLevel="2" x14ac:dyDescent="0.2">
      <c r="D3306" s="785" t="str">
        <f>Price_List_BA!D317</f>
        <v>Opiods - Pethidine (ZM)</v>
      </c>
      <c r="E3306" s="786"/>
      <c r="F3306" s="786"/>
      <c r="G3306" s="786"/>
      <c r="J3306" s="668" t="str">
        <f>Price_List_BA!J317</f>
        <v>SU</v>
      </c>
      <c r="L3306" s="127">
        <f>Price_List_BA!L317</f>
        <v>0</v>
      </c>
    </row>
    <row r="3307" spans="4:12" s="348" customFormat="1" ht="12.75" hidden="1" customHeight="1" outlineLevel="2" x14ac:dyDescent="0.2">
      <c r="D3307" s="785" t="str">
        <f>Price_List_BA!D318</f>
        <v>Supplies Category 109</v>
      </c>
      <c r="E3307" s="786"/>
      <c r="F3307" s="786"/>
      <c r="G3307" s="786"/>
      <c r="J3307" s="668" t="str">
        <f>Price_List_BA!J318</f>
        <v>SU</v>
      </c>
      <c r="L3307" s="127">
        <f>Price_List_BA!L318</f>
        <v>0</v>
      </c>
    </row>
    <row r="3308" spans="4:12" s="348" customFormat="1" ht="12.75" hidden="1" customHeight="1" outlineLevel="2" x14ac:dyDescent="0.2">
      <c r="D3308" s="785" t="str">
        <f>Price_List_BA!D319</f>
        <v>Oralpharyngeal airway (ZM)</v>
      </c>
      <c r="E3308" s="786"/>
      <c r="F3308" s="786"/>
      <c r="G3308" s="786"/>
      <c r="J3308" s="668" t="str">
        <f>Price_List_BA!J319</f>
        <v>SU</v>
      </c>
      <c r="L3308" s="127">
        <f>Price_List_BA!L319</f>
        <v>0</v>
      </c>
    </row>
    <row r="3309" spans="4:12" s="348" customFormat="1" ht="12.75" hidden="1" customHeight="1" outlineLevel="2" x14ac:dyDescent="0.2">
      <c r="D3309" s="785" t="str">
        <f>Price_List_BA!D320</f>
        <v>Oxygen Mask (ZM)</v>
      </c>
      <c r="E3309" s="786"/>
      <c r="F3309" s="786"/>
      <c r="G3309" s="786"/>
      <c r="J3309" s="668" t="str">
        <f>Price_List_BA!J320</f>
        <v>SU</v>
      </c>
      <c r="L3309" s="127">
        <f>Price_List_BA!L320</f>
        <v>0</v>
      </c>
    </row>
    <row r="3310" spans="4:12" s="348" customFormat="1" ht="12.75" hidden="1" customHeight="1" outlineLevel="2" x14ac:dyDescent="0.2">
      <c r="D3310" s="785" t="str">
        <f>Price_List_BA!D321</f>
        <v>Pancuronuien (ZM)</v>
      </c>
      <c r="E3310" s="786"/>
      <c r="F3310" s="786"/>
      <c r="G3310" s="786"/>
      <c r="J3310" s="668" t="str">
        <f>Price_List_BA!J321</f>
        <v>SU</v>
      </c>
      <c r="L3310" s="127">
        <f>Price_List_BA!L321</f>
        <v>0</v>
      </c>
    </row>
    <row r="3311" spans="4:12" s="348" customFormat="1" ht="12.75" hidden="1" customHeight="1" outlineLevel="2" x14ac:dyDescent="0.2">
      <c r="D3311" s="785" t="str">
        <f>Price_List_BA!D322</f>
        <v>Paracetamol (1g) (UG)</v>
      </c>
      <c r="E3311" s="786"/>
      <c r="F3311" s="786"/>
      <c r="G3311" s="786"/>
      <c r="J3311" s="668" t="str">
        <f>Price_List_BA!J322</f>
        <v>tablet</v>
      </c>
      <c r="L3311" s="127">
        <f>Price_List_BA!L322</f>
        <v>1.1203409463446619E-2</v>
      </c>
    </row>
    <row r="3312" spans="4:12" s="348" customFormat="1" ht="12.75" hidden="1" customHeight="1" outlineLevel="2" x14ac:dyDescent="0.2">
      <c r="D3312" s="785" t="str">
        <f>Price_List_BA!D323</f>
        <v>Paracetamol (500mg) (ZM)</v>
      </c>
      <c r="E3312" s="786"/>
      <c r="F3312" s="786"/>
      <c r="G3312" s="786"/>
      <c r="J3312" s="668" t="str">
        <f>Price_List_BA!J323</f>
        <v>tablet</v>
      </c>
      <c r="L3312" s="127">
        <f>Price_List_BA!L323</f>
        <v>2.0888E-3</v>
      </c>
    </row>
    <row r="3313" spans="4:12" s="348" customFormat="1" ht="12.95" hidden="1" customHeight="1" outlineLevel="2" x14ac:dyDescent="0.2">
      <c r="D3313" s="785" t="str">
        <f>Price_List_BA!D324</f>
        <v>Paracetamol (500mg) (TZ)</v>
      </c>
      <c r="E3313" s="786"/>
      <c r="F3313" s="786"/>
      <c r="G3313" s="786"/>
      <c r="J3313" s="668" t="str">
        <f>Price_List_BA!J324</f>
        <v>one tablet</v>
      </c>
      <c r="L3313" s="127">
        <f>Price_List_BA!L324</f>
        <v>4.5624999999999997E-3</v>
      </c>
    </row>
    <row r="3314" spans="4:12" s="348" customFormat="1" ht="12.95" hidden="1" customHeight="1" outlineLevel="2" x14ac:dyDescent="0.2">
      <c r="D3314" s="785" t="str">
        <f>Price_List_BA!D325</f>
        <v>Paracetamol (500mg) (UG)</v>
      </c>
      <c r="E3314" s="786"/>
      <c r="F3314" s="786"/>
      <c r="G3314" s="786"/>
      <c r="J3314" s="668" t="str">
        <f>Price_List_BA!J325</f>
        <v>tablet</v>
      </c>
      <c r="L3314" s="127">
        <f>Price_List_BA!L325</f>
        <v>5.6017047317233094E-3</v>
      </c>
    </row>
    <row r="3315" spans="4:12" s="348" customFormat="1" ht="12.95" hidden="1" customHeight="1" outlineLevel="2" x14ac:dyDescent="0.2">
      <c r="D3315" s="785" t="str">
        <f>Price_List_BA!D326</f>
        <v>Pathology form (TZ)</v>
      </c>
      <c r="E3315" s="786"/>
      <c r="F3315" s="786"/>
      <c r="G3315" s="786"/>
      <c r="J3315" s="668">
        <f>Price_List_BA!J326</f>
        <v>1</v>
      </c>
      <c r="L3315" s="127">
        <f>Price_List_BA!L326</f>
        <v>0.31</v>
      </c>
    </row>
    <row r="3316" spans="4:12" s="348" customFormat="1" ht="12.95" hidden="1" customHeight="1" outlineLevel="2" x14ac:dyDescent="0.2">
      <c r="D3316" s="785" t="str">
        <f>Price_List_BA!D327</f>
        <v>Patient card (TZ)</v>
      </c>
      <c r="E3316" s="786"/>
      <c r="F3316" s="786"/>
      <c r="G3316" s="786"/>
      <c r="J3316" s="668" t="str">
        <f>Price_List_BA!J327</f>
        <v>card</v>
      </c>
      <c r="L3316" s="127">
        <f>Price_List_BA!L327</f>
        <v>0.625</v>
      </c>
    </row>
    <row r="3317" spans="4:12" s="348" customFormat="1" ht="12.95" hidden="1" customHeight="1" outlineLevel="2" x14ac:dyDescent="0.2">
      <c r="D3317" s="785" t="str">
        <f>Price_List_BA!D328</f>
        <v>Pencil (TZ)</v>
      </c>
      <c r="E3317" s="786"/>
      <c r="F3317" s="786"/>
      <c r="G3317" s="786"/>
      <c r="J3317" s="668" t="str">
        <f>Price_List_BA!J328</f>
        <v>each</v>
      </c>
      <c r="L3317" s="127">
        <f>Price_List_BA!L328</f>
        <v>0.1875</v>
      </c>
    </row>
    <row r="3318" spans="4:12" s="348" customFormat="1" ht="12.95" hidden="1" customHeight="1" outlineLevel="2" x14ac:dyDescent="0.2">
      <c r="D3318" s="785" t="str">
        <f>Price_List_BA!D329</f>
        <v>Perthodine (TZ)</v>
      </c>
      <c r="E3318" s="786"/>
      <c r="F3318" s="786"/>
      <c r="G3318" s="786"/>
      <c r="J3318" s="668" t="str">
        <f>Price_List_BA!J329</f>
        <v>100ml vial</v>
      </c>
      <c r="L3318" s="127">
        <f>Price_List_BA!L329</f>
        <v>0.5625</v>
      </c>
    </row>
    <row r="3319" spans="4:12" s="348" customFormat="1" ht="12.95" hidden="1" customHeight="1" outlineLevel="2" x14ac:dyDescent="0.2">
      <c r="D3319" s="785" t="str">
        <f>Price_List_BA!D330</f>
        <v>Pipette Tips (TZ)</v>
      </c>
      <c r="E3319" s="786"/>
      <c r="F3319" s="786"/>
      <c r="G3319" s="786"/>
      <c r="J3319" s="668">
        <f>Price_List_BA!J330</f>
        <v>1</v>
      </c>
      <c r="L3319" s="127">
        <f>Price_List_BA!L330</f>
        <v>9.3749999999999997E-3</v>
      </c>
    </row>
    <row r="3320" spans="4:12" s="348" customFormat="1" ht="12.75" hidden="1" customHeight="1" outlineLevel="2" x14ac:dyDescent="0.2">
      <c r="D3320" s="785" t="str">
        <f>Price_List_BA!D331</f>
        <v>Pipette, Fixed, 50 microlitre (TZ)</v>
      </c>
      <c r="E3320" s="786"/>
      <c r="F3320" s="786"/>
      <c r="G3320" s="786"/>
      <c r="J3320" s="668" t="str">
        <f>Price_List_BA!J331</f>
        <v>1 use</v>
      </c>
      <c r="L3320" s="127">
        <f>Price_List_BA!L331</f>
        <v>7.4999999999999997E-2</v>
      </c>
    </row>
    <row r="3321" spans="4:12" s="348" customFormat="1" ht="12.75" hidden="1" customHeight="1" outlineLevel="2" x14ac:dyDescent="0.2">
      <c r="D3321" s="785" t="str">
        <f>Price_List_BA!D332</f>
        <v>Pipette, Repeater (TZ)</v>
      </c>
      <c r="E3321" s="786"/>
      <c r="F3321" s="786"/>
      <c r="G3321" s="786"/>
      <c r="J3321" s="668" t="str">
        <f>Price_List_BA!J332</f>
        <v>1 use</v>
      </c>
      <c r="L3321" s="127">
        <f>Price_List_BA!L332</f>
        <v>6.2500000000000003E-3</v>
      </c>
    </row>
    <row r="3322" spans="4:12" s="348" customFormat="1" ht="12.75" hidden="1" customHeight="1" outlineLevel="2" x14ac:dyDescent="0.2">
      <c r="D3322" s="785" t="str">
        <f>Price_List_BA!D333</f>
        <v>Pregnancy test– urine test strip (ZM)</v>
      </c>
      <c r="E3322" s="786"/>
      <c r="F3322" s="786"/>
      <c r="G3322" s="786"/>
      <c r="J3322" s="668" t="str">
        <f>Price_List_BA!J333</f>
        <v>test</v>
      </c>
      <c r="L3322" s="127">
        <f>Price_List_BA!L333</f>
        <v>0.14374900000000002</v>
      </c>
    </row>
    <row r="3323" spans="4:12" s="348" customFormat="1" ht="12.75" hidden="1" customHeight="1" outlineLevel="2" x14ac:dyDescent="0.2">
      <c r="D3323" s="785" t="str">
        <f>Price_List_BA!D334</f>
        <v>Pregnancy tests – urine test strips (TZ)</v>
      </c>
      <c r="E3323" s="786"/>
      <c r="F3323" s="786"/>
      <c r="G3323" s="786"/>
      <c r="J3323" s="668" t="str">
        <f>Price_List_BA!J334</f>
        <v>one strip</v>
      </c>
      <c r="L3323" s="127">
        <f>Price_List_BA!L334</f>
        <v>0.15</v>
      </c>
    </row>
    <row r="3324" spans="4:12" s="348" customFormat="1" ht="12.75" hidden="1" customHeight="1" outlineLevel="2" x14ac:dyDescent="0.2">
      <c r="D3324" s="785" t="str">
        <f>Price_List_BA!D335</f>
        <v>Profol, 2%, 20 mg/l, 50ml (ZM)</v>
      </c>
      <c r="E3324" s="786"/>
      <c r="F3324" s="786"/>
      <c r="G3324" s="786"/>
      <c r="J3324" s="668" t="str">
        <f>Price_List_BA!J335</f>
        <v>SU</v>
      </c>
      <c r="L3324" s="127">
        <f>Price_List_BA!L335</f>
        <v>0</v>
      </c>
    </row>
    <row r="3325" spans="4:12" s="348" customFormat="1" ht="12.75" hidden="1" customHeight="1" outlineLevel="2" x14ac:dyDescent="0.2">
      <c r="D3325" s="785" t="str">
        <f>Price_List_BA!D336</f>
        <v>Repeater Tips (TZ)</v>
      </c>
      <c r="E3325" s="786"/>
      <c r="F3325" s="786"/>
      <c r="G3325" s="786"/>
      <c r="J3325" s="668">
        <f>Price_List_BA!J336</f>
        <v>1</v>
      </c>
      <c r="L3325" s="127">
        <f>Price_List_BA!L336</f>
        <v>9.3749999999999997E-3</v>
      </c>
    </row>
    <row r="3326" spans="4:12" s="348" customFormat="1" ht="12.75" hidden="1" customHeight="1" outlineLevel="2" x14ac:dyDescent="0.2">
      <c r="D3326" s="785" t="str">
        <f>Price_List_BA!D337</f>
        <v>Return electrode (UG)</v>
      </c>
      <c r="E3326" s="786"/>
      <c r="F3326" s="786"/>
      <c r="G3326" s="786"/>
      <c r="J3326" s="668" t="str">
        <f>Price_List_BA!J337</f>
        <v>piece</v>
      </c>
      <c r="L3326" s="127">
        <f>Price_List_BA!L337</f>
        <v>9</v>
      </c>
    </row>
    <row r="3327" spans="4:12" s="348" customFormat="1" ht="12.75" hidden="1" customHeight="1" outlineLevel="2" x14ac:dyDescent="0.2">
      <c r="D3327" s="785" t="str">
        <f>Price_List_BA!D338</f>
        <v>Saline solution, normal (ZM)</v>
      </c>
      <c r="E3327" s="786"/>
      <c r="F3327" s="786"/>
      <c r="G3327" s="786"/>
      <c r="J3327" s="668" t="str">
        <f>Price_List_BA!J338</f>
        <v>bag</v>
      </c>
      <c r="L3327" s="127">
        <f>Price_List_BA!L338</f>
        <v>0.8224583333333334</v>
      </c>
    </row>
    <row r="3328" spans="4:12" s="348" customFormat="1" ht="12.75" hidden="1" customHeight="1" outlineLevel="2" x14ac:dyDescent="0.2">
      <c r="D3328" s="785" t="str">
        <f>Price_List_BA!D339</f>
        <v>Saline solution, normal (TZ)</v>
      </c>
      <c r="E3328" s="786"/>
      <c r="F3328" s="786"/>
      <c r="G3328" s="786"/>
      <c r="J3328" s="668" t="str">
        <f>Price_List_BA!J339</f>
        <v>mililiter</v>
      </c>
      <c r="L3328" s="127">
        <f>Price_List_BA!L339</f>
        <v>1.8749999999999999E-3</v>
      </c>
    </row>
    <row r="3329" spans="4:12" s="348" customFormat="1" ht="12.75" hidden="1" customHeight="1" outlineLevel="2" x14ac:dyDescent="0.2">
      <c r="D3329" s="785" t="str">
        <f>Price_List_BA!D340</f>
        <v>Sanitary pad (ZM)</v>
      </c>
      <c r="E3329" s="786"/>
      <c r="F3329" s="786"/>
      <c r="G3329" s="786"/>
      <c r="J3329" s="668" t="str">
        <f>Price_List_BA!J340</f>
        <v>pad</v>
      </c>
      <c r="L3329" s="127">
        <f>Price_List_BA!L340</f>
        <v>0.191</v>
      </c>
    </row>
    <row r="3330" spans="4:12" s="348" customFormat="1" ht="12.75" hidden="1" customHeight="1" outlineLevel="2" x14ac:dyDescent="0.2">
      <c r="D3330" s="785" t="str">
        <f>Price_List_BA!D341</f>
        <v>Sanitary pad (UG)</v>
      </c>
      <c r="E3330" s="786"/>
      <c r="F3330" s="786"/>
      <c r="G3330" s="786"/>
      <c r="J3330" s="668" t="str">
        <f>Price_List_BA!J341</f>
        <v>piece</v>
      </c>
      <c r="L3330" s="127">
        <f>Price_List_BA!L341</f>
        <v>1.3890406634369043E-2</v>
      </c>
    </row>
    <row r="3331" spans="4:12" s="348" customFormat="1" ht="12.75" hidden="1" customHeight="1" outlineLevel="2" x14ac:dyDescent="0.2">
      <c r="D3331" s="785" t="str">
        <f>Price_List_BA!D342</f>
        <v>Scouring Powder (Ajax)</v>
      </c>
      <c r="E3331" s="786"/>
      <c r="F3331" s="786"/>
      <c r="G3331" s="786"/>
      <c r="J3331" s="668" t="str">
        <f>Price_List_BA!J342</f>
        <v>1 gram</v>
      </c>
      <c r="L3331" s="127">
        <f>Price_List_BA!L342</f>
        <v>2.6199999999999999E-3</v>
      </c>
    </row>
    <row r="3332" spans="4:12" s="348" customFormat="1" ht="12.75" hidden="1" customHeight="1" outlineLevel="2" x14ac:dyDescent="0.2">
      <c r="D3332" s="785" t="str">
        <f>Price_List_BA!D343</f>
        <v>Soap (or hand sanitizer) (ZM)</v>
      </c>
      <c r="E3332" s="786"/>
      <c r="F3332" s="786"/>
      <c r="G3332" s="786"/>
      <c r="J3332" s="668" t="str">
        <f>Price_List_BA!J343</f>
        <v>uses</v>
      </c>
      <c r="L3332" s="127">
        <f>Price_List_BA!L343</f>
        <v>5.5999999999999999E-3</v>
      </c>
    </row>
    <row r="3333" spans="4:12" s="348" customFormat="1" ht="12.75" hidden="1" customHeight="1" outlineLevel="2" x14ac:dyDescent="0.2">
      <c r="D3333" s="785" t="str">
        <f>Price_List_BA!D344</f>
        <v>Soap (or hand sanitizer) (TZ)</v>
      </c>
      <c r="E3333" s="786"/>
      <c r="F3333" s="786"/>
      <c r="G3333" s="786"/>
      <c r="J3333" s="668" t="str">
        <f>Price_List_BA!J344</f>
        <v>1/25th</v>
      </c>
      <c r="L3333" s="127">
        <f>Price_List_BA!L344</f>
        <v>2.75E-2</v>
      </c>
    </row>
    <row r="3334" spans="4:12" s="348" customFormat="1" ht="12.75" hidden="1" customHeight="1" outlineLevel="2" x14ac:dyDescent="0.2">
      <c r="D3334" s="785" t="str">
        <f>Price_List_BA!D345</f>
        <v>Specimen bottle / recyled syringe bottles (UG)</v>
      </c>
      <c r="E3334" s="786"/>
      <c r="F3334" s="786"/>
      <c r="G3334" s="786"/>
      <c r="J3334" s="668" t="str">
        <f>Price_List_BA!J345</f>
        <v>piece</v>
      </c>
      <c r="L3334" s="127">
        <f>Price_List_BA!L345</f>
        <v>0.32350000000000001</v>
      </c>
    </row>
    <row r="3335" spans="4:12" s="348" customFormat="1" ht="12.75" hidden="1" customHeight="1" outlineLevel="2" x14ac:dyDescent="0.2">
      <c r="D3335" s="785" t="str">
        <f>Price_List_BA!D346</f>
        <v>Specimen cup with lid and label - 100 cc (TZ)</v>
      </c>
      <c r="E3335" s="786"/>
      <c r="F3335" s="786"/>
      <c r="G3335" s="786"/>
      <c r="J3335" s="668" t="str">
        <f>Price_List_BA!J346</f>
        <v>cup with lid</v>
      </c>
      <c r="L3335" s="127">
        <f>Price_List_BA!L346</f>
        <v>6.25E-2</v>
      </c>
    </row>
    <row r="3336" spans="4:12" s="348" customFormat="1" ht="12.75" hidden="1" customHeight="1" outlineLevel="2" x14ac:dyDescent="0.2">
      <c r="D3336" s="785" t="str">
        <f>Price_List_BA!D347</f>
        <v>Surgical Apron (ZM)</v>
      </c>
      <c r="E3336" s="786"/>
      <c r="F3336" s="786"/>
      <c r="G3336" s="786"/>
      <c r="J3336" s="668" t="str">
        <f>Price_List_BA!J347</f>
        <v>apron</v>
      </c>
      <c r="L3336" s="127">
        <f>Price_List_BA!L347</f>
        <v>0.10705000000000001</v>
      </c>
    </row>
    <row r="3337" spans="4:12" s="348" customFormat="1" ht="12.75" hidden="1" customHeight="1" outlineLevel="2" x14ac:dyDescent="0.2">
      <c r="D3337" s="785" t="str">
        <f>Price_List_BA!D348</f>
        <v>Suxamethonium (ZM)</v>
      </c>
      <c r="E3337" s="786"/>
      <c r="F3337" s="786"/>
      <c r="G3337" s="786"/>
      <c r="J3337" s="668" t="str">
        <f>Price_List_BA!J348</f>
        <v>SU</v>
      </c>
      <c r="L3337" s="127">
        <f>Price_List_BA!L348</f>
        <v>0</v>
      </c>
    </row>
    <row r="3338" spans="4:12" s="348" customFormat="1" ht="12.75" hidden="1" customHeight="1" outlineLevel="2" x14ac:dyDescent="0.2">
      <c r="D3338" s="785" t="str">
        <f>Price_List_BA!D349</f>
        <v>Syringe - 2cc (ZM)</v>
      </c>
      <c r="E3338" s="786"/>
      <c r="F3338" s="786"/>
      <c r="G3338" s="786"/>
      <c r="J3338" s="668" t="str">
        <f>Price_List_BA!J349</f>
        <v>syringe</v>
      </c>
      <c r="L3338" s="127">
        <f>Price_List_BA!L349</f>
        <v>1.9598999999999998E-2</v>
      </c>
    </row>
    <row r="3339" spans="4:12" s="348" customFormat="1" ht="12.75" hidden="1" customHeight="1" outlineLevel="2" x14ac:dyDescent="0.2">
      <c r="D3339" s="785" t="str">
        <f>Price_List_BA!D350</f>
        <v>Syringe - 2ml (UG)</v>
      </c>
      <c r="E3339" s="786"/>
      <c r="F3339" s="786"/>
      <c r="G3339" s="786"/>
      <c r="J3339" s="668" t="str">
        <f>Price_List_BA!J350</f>
        <v>syringe</v>
      </c>
      <c r="L3339" s="127">
        <f>Price_List_BA!L350</f>
        <v>6.4910938695224574E-2</v>
      </c>
    </row>
    <row r="3340" spans="4:12" s="348" customFormat="1" ht="12.75" hidden="1" customHeight="1" outlineLevel="2" x14ac:dyDescent="0.2">
      <c r="D3340" s="785" t="str">
        <f>Price_List_BA!D351</f>
        <v>Syringe, 10 cc with needle (ZM)</v>
      </c>
      <c r="E3340" s="786"/>
      <c r="F3340" s="786"/>
      <c r="G3340" s="786"/>
      <c r="J3340" s="668" t="str">
        <f>Price_List_BA!J351</f>
        <v>syringe w/needle</v>
      </c>
      <c r="L3340" s="127">
        <f>Price_List_BA!L351</f>
        <v>2.4021000000000001E-2</v>
      </c>
    </row>
    <row r="3341" spans="4:12" s="348" customFormat="1" ht="12.75" hidden="1" customHeight="1" outlineLevel="2" x14ac:dyDescent="0.2">
      <c r="D3341" s="785" t="str">
        <f>Price_List_BA!D352</f>
        <v>Syringe, 5 cc with needle (ZM)</v>
      </c>
      <c r="E3341" s="786"/>
      <c r="F3341" s="786"/>
      <c r="G3341" s="786"/>
      <c r="J3341" s="668" t="str">
        <f>Price_List_BA!J352</f>
        <v>syringe w/needle</v>
      </c>
      <c r="L3341" s="127">
        <f>Price_List_BA!L352</f>
        <v>1.4752000000000001E-2</v>
      </c>
    </row>
    <row r="3342" spans="4:12" s="348" customFormat="1" ht="12.75" hidden="1" customHeight="1" outlineLevel="2" x14ac:dyDescent="0.2">
      <c r="D3342" s="785" t="str">
        <f>Price_List_BA!D353</f>
        <v>Syringes, 10 cc with needle (TZ)</v>
      </c>
      <c r="E3342" s="786"/>
      <c r="F3342" s="786"/>
      <c r="G3342" s="786"/>
      <c r="J3342" s="668" t="str">
        <f>Price_List_BA!J353</f>
        <v>one piece</v>
      </c>
      <c r="L3342" s="127">
        <f>Price_List_BA!L353</f>
        <v>6.25E-2</v>
      </c>
    </row>
    <row r="3343" spans="4:12" s="348" customFormat="1" ht="12.75" hidden="1" customHeight="1" outlineLevel="2" x14ac:dyDescent="0.2">
      <c r="D3343" s="785" t="str">
        <f>Price_List_BA!D354</f>
        <v>Syringes, 5 cc with needle (TZ)</v>
      </c>
      <c r="E3343" s="786"/>
      <c r="F3343" s="786"/>
      <c r="G3343" s="786"/>
      <c r="J3343" s="668" t="str">
        <f>Price_List_BA!J354</f>
        <v>1 syringe with needle</v>
      </c>
      <c r="L3343" s="127">
        <f>Price_List_BA!L354</f>
        <v>4.3749999999999997E-2</v>
      </c>
    </row>
    <row r="3344" spans="4:12" s="348" customFormat="1" ht="12.75" hidden="1" customHeight="1" outlineLevel="2" x14ac:dyDescent="0.2">
      <c r="D3344" s="785" t="str">
        <f>Price_List_BA!D355</f>
        <v>Syringes, Dental, 25 gauge (ZM)</v>
      </c>
      <c r="E3344" s="786"/>
      <c r="F3344" s="786"/>
      <c r="G3344" s="786"/>
      <c r="J3344" s="668" t="str">
        <f>Price_List_BA!J355</f>
        <v>one syringe</v>
      </c>
      <c r="L3344" s="127">
        <f>Price_List_BA!L355</f>
        <v>0.48200000000000004</v>
      </c>
    </row>
    <row r="3345" spans="4:12" s="348" customFormat="1" ht="12.75" hidden="1" customHeight="1" outlineLevel="2" x14ac:dyDescent="0.2">
      <c r="D3345" s="785" t="str">
        <f>Price_List_BA!D356</f>
        <v>Thiopentone,500mg vial (ZM)</v>
      </c>
      <c r="E3345" s="786"/>
      <c r="F3345" s="786"/>
      <c r="G3345" s="786"/>
      <c r="J3345" s="668" t="str">
        <f>Price_List_BA!J356</f>
        <v>SU</v>
      </c>
      <c r="L3345" s="127">
        <f>Price_List_BA!L356</f>
        <v>0</v>
      </c>
    </row>
    <row r="3346" spans="4:12" s="348" customFormat="1" ht="12.75" hidden="1" customHeight="1" outlineLevel="2" x14ac:dyDescent="0.2">
      <c r="D3346" s="785" t="str">
        <f>Price_List_BA!D357</f>
        <v>Toilet Tissues (roll) – 500 sheets (ZM)</v>
      </c>
      <c r="E3346" s="786"/>
      <c r="F3346" s="786"/>
      <c r="G3346" s="786"/>
      <c r="J3346" s="668" t="str">
        <f>Price_List_BA!J357</f>
        <v>10 sheets</v>
      </c>
      <c r="L3346" s="127">
        <f>Price_List_BA!L357</f>
        <v>8.4000000000000012E-3</v>
      </c>
    </row>
    <row r="3347" spans="4:12" s="348" customFormat="1" ht="12.75" hidden="1" customHeight="1" outlineLevel="2" x14ac:dyDescent="0.2">
      <c r="D3347" s="785" t="str">
        <f>Price_List_BA!D358</f>
        <v>Tramadol (50mg)  (ZM)</v>
      </c>
      <c r="E3347" s="786"/>
      <c r="F3347" s="786"/>
      <c r="G3347" s="786"/>
      <c r="J3347" s="668" t="str">
        <f>Price_List_BA!J358</f>
        <v>tablet</v>
      </c>
      <c r="L3347" s="127">
        <f>Price_List_BA!L358</f>
        <v>1.0829E-2</v>
      </c>
    </row>
    <row r="3348" spans="4:12" s="348" customFormat="1" ht="12.75" hidden="1" customHeight="1" outlineLevel="2" x14ac:dyDescent="0.2">
      <c r="D3348" s="785" t="str">
        <f>Price_List_BA!D359</f>
        <v>Tramadol (50mg) (TZ)</v>
      </c>
      <c r="E3348" s="786"/>
      <c r="F3348" s="786"/>
      <c r="G3348" s="786"/>
      <c r="J3348" s="668" t="str">
        <f>Price_List_BA!J359</f>
        <v>one tablet</v>
      </c>
      <c r="L3348" s="127">
        <f>Price_List_BA!L359</f>
        <v>5.7750000000000003E-2</v>
      </c>
    </row>
    <row r="3349" spans="4:12" s="348" customFormat="1" ht="12.75" hidden="1" customHeight="1" outlineLevel="2" x14ac:dyDescent="0.2">
      <c r="D3349" s="785" t="str">
        <f>Price_List_BA!D360</f>
        <v>Tubes - Endotrach (ZM)</v>
      </c>
      <c r="E3349" s="786"/>
      <c r="F3349" s="786"/>
      <c r="G3349" s="786"/>
      <c r="J3349" s="668" t="str">
        <f>Price_List_BA!J360</f>
        <v>SU</v>
      </c>
      <c r="L3349" s="127">
        <f>Price_List_BA!L360</f>
        <v>0</v>
      </c>
    </row>
    <row r="3350" spans="4:12" s="348" customFormat="1" ht="12.75" hidden="1" customHeight="1" outlineLevel="2" x14ac:dyDescent="0.2">
      <c r="D3350" s="785" t="str">
        <f>Price_List_BA!D361</f>
        <v>Urine Bag (ZM)</v>
      </c>
      <c r="E3350" s="786"/>
      <c r="F3350" s="786"/>
      <c r="G3350" s="786"/>
      <c r="J3350" s="668" t="str">
        <f>Price_List_BA!J361</f>
        <v>bag</v>
      </c>
      <c r="L3350" s="127">
        <f>Price_List_BA!L361</f>
        <v>0.25979099999999999</v>
      </c>
    </row>
    <row r="3351" spans="4:12" s="348" customFormat="1" ht="12.75" hidden="1" customHeight="1" outlineLevel="2" x14ac:dyDescent="0.2">
      <c r="D3351" s="785" t="str">
        <f>Price_List_BA!D362</f>
        <v>Urine Bag (TZ)</v>
      </c>
      <c r="E3351" s="786"/>
      <c r="F3351" s="786"/>
      <c r="G3351" s="786"/>
      <c r="J3351" s="668" t="str">
        <f>Price_List_BA!J362</f>
        <v>one bag</v>
      </c>
      <c r="L3351" s="127">
        <f>Price_List_BA!L362</f>
        <v>0.21249999999999999</v>
      </c>
    </row>
    <row r="3352" spans="4:12" s="348" customFormat="1" ht="12.75" hidden="1" customHeight="1" outlineLevel="2" x14ac:dyDescent="0.2">
      <c r="D3352" s="785" t="str">
        <f>Price_List_BA!D363</f>
        <v>Washing powder (ZM)</v>
      </c>
      <c r="E3352" s="786"/>
      <c r="F3352" s="786"/>
      <c r="G3352" s="786"/>
      <c r="J3352" s="668" t="str">
        <f>Price_List_BA!J363</f>
        <v>gram</v>
      </c>
      <c r="L3352" s="127">
        <f>Price_List_BA!L363</f>
        <v>3.0000000000000001E-3</v>
      </c>
    </row>
    <row r="3353" spans="4:12" s="348" customFormat="1" ht="12.75" hidden="1" customHeight="1" outlineLevel="2" x14ac:dyDescent="0.2">
      <c r="D3353" s="785" t="str">
        <f>Price_List_BA!D364</f>
        <v>Wire electrode (UG)</v>
      </c>
      <c r="E3353" s="786"/>
      <c r="F3353" s="786"/>
      <c r="G3353" s="786"/>
      <c r="J3353" s="668" t="str">
        <f>Price_List_BA!J364</f>
        <v>electrode</v>
      </c>
      <c r="L3353" s="127">
        <f>Price_List_BA!L364</f>
        <v>9</v>
      </c>
    </row>
    <row r="3354" spans="4:12" s="348" customFormat="1" ht="12.75" hidden="1" customHeight="1" outlineLevel="2" x14ac:dyDescent="0.2">
      <c r="D3354" s="785" t="str">
        <f>Price_List_BA!D365</f>
        <v>Wood stick (ZM)</v>
      </c>
      <c r="E3354" s="786"/>
      <c r="F3354" s="786"/>
      <c r="G3354" s="786"/>
      <c r="J3354" s="668" t="str">
        <f>Price_List_BA!J365</f>
        <v>stick</v>
      </c>
      <c r="L3354" s="127">
        <f>Price_List_BA!L365</f>
        <v>2.0052E-3</v>
      </c>
    </row>
    <row r="3355" spans="4:12" s="348" customFormat="1" ht="12.75" hidden="1" customHeight="1" outlineLevel="2" x14ac:dyDescent="0.2">
      <c r="D3355" s="785" t="str">
        <f>Price_List_BA!D366</f>
        <v>Wood stick (TZ)</v>
      </c>
      <c r="E3355" s="786"/>
      <c r="F3355" s="786"/>
      <c r="G3355" s="786"/>
      <c r="J3355" s="668" t="str">
        <f>Price_List_BA!J366</f>
        <v>one stick</v>
      </c>
      <c r="L3355" s="127">
        <f>Price_List_BA!L366</f>
        <v>1.2500000000000001E-2</v>
      </c>
    </row>
    <row r="3356" spans="4:12" s="348" customFormat="1" ht="12.75" hidden="1" customHeight="1" outlineLevel="2" x14ac:dyDescent="0.2">
      <c r="D3356" s="785" t="str">
        <f>Price_List_BA!D367</f>
        <v>Supplies Category 158</v>
      </c>
      <c r="E3356" s="786"/>
      <c r="F3356" s="786"/>
      <c r="G3356" s="786"/>
      <c r="J3356" s="668" t="str">
        <f>Price_List_BA!J367</f>
        <v>SU</v>
      </c>
      <c r="L3356" s="127">
        <f>Price_List_BA!L367</f>
        <v>0</v>
      </c>
    </row>
    <row r="3357" spans="4:12" s="348" customFormat="1" ht="12.75" hidden="1" customHeight="1" outlineLevel="2" x14ac:dyDescent="0.2">
      <c r="D3357" s="785" t="str">
        <f>Price_List_BA!D368</f>
        <v>Supplies Category 159</v>
      </c>
      <c r="E3357" s="786"/>
      <c r="F3357" s="786"/>
      <c r="G3357" s="786"/>
      <c r="J3357" s="668" t="str">
        <f>Price_List_BA!J368</f>
        <v>SU</v>
      </c>
      <c r="L3357" s="127">
        <f>Price_List_BA!L368</f>
        <v>0</v>
      </c>
    </row>
    <row r="3358" spans="4:12" s="348" customFormat="1" ht="12.75" hidden="1" customHeight="1" outlineLevel="2" x14ac:dyDescent="0.2">
      <c r="D3358" s="785" t="str">
        <f>Price_List_BA!D369</f>
        <v>Supplies Category 160</v>
      </c>
      <c r="E3358" s="786"/>
      <c r="F3358" s="786"/>
      <c r="G3358" s="786"/>
      <c r="J3358" s="668" t="str">
        <f>Price_List_BA!J369</f>
        <v>SU</v>
      </c>
      <c r="L3358" s="127">
        <f>Price_List_BA!L369</f>
        <v>0</v>
      </c>
    </row>
    <row r="3359" spans="4:12" s="348" customFormat="1" ht="12.75" hidden="1" customHeight="1" outlineLevel="2" x14ac:dyDescent="0.2">
      <c r="D3359" s="785" t="str">
        <f>Price_List_BA!D370</f>
        <v>Supplies Category 161</v>
      </c>
      <c r="E3359" s="786"/>
      <c r="F3359" s="786"/>
      <c r="G3359" s="786"/>
      <c r="J3359" s="668" t="str">
        <f>Price_List_BA!J370</f>
        <v>SU</v>
      </c>
      <c r="L3359" s="127">
        <f>Price_List_BA!L370</f>
        <v>0</v>
      </c>
    </row>
    <row r="3360" spans="4:12" s="348" customFormat="1" ht="12.75" hidden="1" customHeight="1" outlineLevel="2" x14ac:dyDescent="0.2">
      <c r="D3360" s="785" t="str">
        <f>Price_List_BA!D371</f>
        <v>Supplies Category 162</v>
      </c>
      <c r="E3360" s="786"/>
      <c r="F3360" s="786"/>
      <c r="G3360" s="786"/>
      <c r="J3360" s="668" t="str">
        <f>Price_List_BA!J371</f>
        <v>SU</v>
      </c>
      <c r="L3360" s="127">
        <f>Price_List_BA!L371</f>
        <v>0</v>
      </c>
    </row>
    <row r="3361" spans="4:12" s="348" customFormat="1" ht="12.75" hidden="1" customHeight="1" outlineLevel="2" x14ac:dyDescent="0.2">
      <c r="D3361" s="785" t="str">
        <f>Price_List_BA!D372</f>
        <v>Supplies Category 163</v>
      </c>
      <c r="E3361" s="786"/>
      <c r="F3361" s="786"/>
      <c r="G3361" s="786"/>
      <c r="J3361" s="668" t="str">
        <f>Price_List_BA!J372</f>
        <v>SU</v>
      </c>
      <c r="L3361" s="127">
        <f>Price_List_BA!L372</f>
        <v>0</v>
      </c>
    </row>
    <row r="3362" spans="4:12" s="348" customFormat="1" ht="12.75" hidden="1" customHeight="1" outlineLevel="2" x14ac:dyDescent="0.2">
      <c r="D3362" s="785" t="str">
        <f>Price_List_BA!D373</f>
        <v>Other Supply (Specify)</v>
      </c>
      <c r="E3362" s="786"/>
      <c r="F3362" s="786"/>
      <c r="G3362" s="786"/>
      <c r="J3362" s="668" t="str">
        <f>Price_List_BA!J373</f>
        <v>SU</v>
      </c>
      <c r="L3362" s="127">
        <f>Price_List_BA!L373</f>
        <v>0</v>
      </c>
    </row>
    <row r="3363" spans="4:12" s="348" customFormat="1" ht="12.75" hidden="1" customHeight="1" outlineLevel="2" x14ac:dyDescent="0.2">
      <c r="D3363" s="785" t="str">
        <f>Price_List_BA!D374</f>
        <v>Other Supply (Specify)</v>
      </c>
      <c r="E3363" s="786"/>
      <c r="F3363" s="786"/>
      <c r="G3363" s="786"/>
      <c r="J3363" s="668" t="str">
        <f>Price_List_BA!J374</f>
        <v>SU</v>
      </c>
      <c r="L3363" s="127">
        <f>Price_List_BA!L374</f>
        <v>0</v>
      </c>
    </row>
    <row r="3364" spans="4:12" s="348" customFormat="1" ht="12.75" hidden="1" customHeight="1" outlineLevel="2" x14ac:dyDescent="0.2">
      <c r="D3364" s="785" t="str">
        <f>Price_List_BA!D375</f>
        <v>Other Supply (Specify)</v>
      </c>
      <c r="E3364" s="786"/>
      <c r="F3364" s="786"/>
      <c r="G3364" s="786"/>
      <c r="J3364" s="668" t="str">
        <f>Price_List_BA!J375</f>
        <v>SU</v>
      </c>
      <c r="L3364" s="127">
        <f>Price_List_BA!L375</f>
        <v>0</v>
      </c>
    </row>
    <row r="3365" spans="4:12" s="348" customFormat="1" ht="12.95" hidden="1" customHeight="1" outlineLevel="2" x14ac:dyDescent="0.2">
      <c r="D3365" s="785" t="str">
        <f>Price_List_BA!D376</f>
        <v>Other Supply (Specify)</v>
      </c>
      <c r="E3365" s="786"/>
      <c r="F3365" s="786"/>
      <c r="G3365" s="786"/>
      <c r="J3365" s="668" t="str">
        <f>Price_List_BA!J376</f>
        <v>SU</v>
      </c>
      <c r="L3365" s="127">
        <f>Price_List_BA!L376</f>
        <v>0</v>
      </c>
    </row>
    <row r="3366" spans="4:12" s="348" customFormat="1" hidden="1" outlineLevel="2" x14ac:dyDescent="0.2"/>
    <row r="3367" spans="4:12" s="348" customFormat="1" ht="25.5" hidden="1" outlineLevel="2" x14ac:dyDescent="0.2">
      <c r="D3367" s="667" t="s">
        <v>313</v>
      </c>
      <c r="J3367" s="365" t="str">
        <f>"Cost per Unit ("&amp;$I$3130&amp;"/Unit)"</f>
        <v>Cost per Unit (USD/Unit)</v>
      </c>
      <c r="K3367" s="365" t="str">
        <f>"Annual Financial Cost ("&amp;$I$3130&amp;"/Unit)"</f>
        <v>Annual Financial Cost (USD/Unit)</v>
      </c>
      <c r="L3367" s="312" t="str">
        <f>"Annual Economic Cost ("&amp;$I$3130&amp;"/Unit)"</f>
        <v>Annual Economic Cost (USD/Unit)</v>
      </c>
    </row>
    <row r="3368" spans="4:12" s="348" customFormat="1" ht="12.75" hidden="1" customHeight="1" outlineLevel="2" x14ac:dyDescent="0.2">
      <c r="D3368" s="785" t="str">
        <f>Price_List_BA!D84</f>
        <v>_Not Applicable</v>
      </c>
      <c r="E3368" s="786"/>
      <c r="F3368" s="786"/>
      <c r="G3368" s="786"/>
      <c r="J3368" s="127">
        <f>Price_List_BA!L84</f>
        <v>0</v>
      </c>
      <c r="K3368" s="127">
        <f>Price_List_BA!O84</f>
        <v>0</v>
      </c>
      <c r="L3368" s="127">
        <f>Price_List_BA!P84</f>
        <v>0</v>
      </c>
    </row>
    <row r="3369" spans="4:12" s="348" customFormat="1" ht="12.75" hidden="1" customHeight="1" outlineLevel="2" x14ac:dyDescent="0.2">
      <c r="D3369" s="785" t="str">
        <f>Price_List_BA!D85</f>
        <v>Aluminum pail with lid (TZ)</v>
      </c>
      <c r="E3369" s="786"/>
      <c r="F3369" s="786"/>
      <c r="G3369" s="786"/>
      <c r="J3369" s="127">
        <f>Price_List_BA!L85</f>
        <v>11.25</v>
      </c>
      <c r="K3369" s="127">
        <f>Price_List_BA!O85</f>
        <v>1.125</v>
      </c>
      <c r="L3369" s="127">
        <f>Price_List_BA!P85</f>
        <v>1.3188431993080456</v>
      </c>
    </row>
    <row r="3370" spans="4:12" s="348" customFormat="1" ht="12.75" hidden="1" customHeight="1" outlineLevel="2" x14ac:dyDescent="0.2">
      <c r="D3370" s="785" t="str">
        <f>Price_List_BA!D86</f>
        <v>Autoclaving Machine (ZM)</v>
      </c>
      <c r="E3370" s="786"/>
      <c r="F3370" s="786"/>
      <c r="G3370" s="786"/>
      <c r="J3370" s="127">
        <f>Price_List_BA!L86</f>
        <v>5610</v>
      </c>
      <c r="K3370" s="127">
        <f>Price_List_BA!O86</f>
        <v>2805</v>
      </c>
      <c r="L3370" s="127">
        <f>Price_List_BA!P86</f>
        <v>2931.8467980295582</v>
      </c>
    </row>
    <row r="3371" spans="4:12" s="348" customFormat="1" hidden="1" outlineLevel="2" x14ac:dyDescent="0.2">
      <c r="D3371" s="785" t="str">
        <f>Price_List_BA!D87</f>
        <v>Ball electrode  5mm/Ellman (ZM)</v>
      </c>
      <c r="E3371" s="786"/>
      <c r="F3371" s="786"/>
      <c r="G3371" s="786"/>
      <c r="J3371" s="127">
        <f>Price_List_BA!L87</f>
        <v>37.200000000000003</v>
      </c>
      <c r="K3371" s="127">
        <f>Price_List_BA!O87</f>
        <v>37.200000000000003</v>
      </c>
      <c r="L3371" s="127">
        <f>Price_List_BA!P87</f>
        <v>38.315999999999967</v>
      </c>
    </row>
    <row r="3372" spans="4:12" s="348" customFormat="1" ht="12.75" hidden="1" customHeight="1" outlineLevel="2" x14ac:dyDescent="0.2">
      <c r="D3372" s="785" t="str">
        <f>Price_List_BA!D88</f>
        <v>Basin (for examination couch) (ZM)</v>
      </c>
      <c r="E3372" s="786"/>
      <c r="F3372" s="786"/>
      <c r="G3372" s="786"/>
      <c r="J3372" s="127">
        <f>Price_List_BA!L88</f>
        <v>2</v>
      </c>
      <c r="K3372" s="127">
        <f>Price_List_BA!O88</f>
        <v>1</v>
      </c>
      <c r="L3372" s="127">
        <f>Price_List_BA!P88</f>
        <v>1.0452216748768479</v>
      </c>
    </row>
    <row r="3373" spans="4:12" s="348" customFormat="1" ht="12.75" hidden="1" customHeight="1" outlineLevel="2" x14ac:dyDescent="0.2">
      <c r="D3373" s="785" t="str">
        <f>Price_List_BA!D89</f>
        <v>Battery Charger (ZM)</v>
      </c>
      <c r="E3373" s="786"/>
      <c r="F3373" s="786"/>
      <c r="G3373" s="786"/>
      <c r="J3373" s="127">
        <f>Price_List_BA!L89</f>
        <v>50</v>
      </c>
      <c r="K3373" s="127">
        <f>Price_List_BA!O89</f>
        <v>16.666666666666668</v>
      </c>
      <c r="L3373" s="127">
        <f>Price_List_BA!P89</f>
        <v>17.676518166229901</v>
      </c>
    </row>
    <row r="3374" spans="4:12" s="348" customFormat="1" ht="12.75" hidden="1" customHeight="1" outlineLevel="2" x14ac:dyDescent="0.2">
      <c r="D3374" s="785" t="str">
        <f>Price_List_BA!D90</f>
        <v>Bucket (UG)</v>
      </c>
      <c r="E3374" s="786"/>
      <c r="F3374" s="786"/>
      <c r="G3374" s="786"/>
      <c r="J3374" s="127">
        <f>Price_List_BA!L90</f>
        <v>42.303199999999997</v>
      </c>
      <c r="K3374" s="127">
        <f>Price_List_BA!O90</f>
        <v>4.2303199999999999</v>
      </c>
      <c r="L3374" s="127">
        <f>Price_List_BA!P90</f>
        <v>4.9592255670193879</v>
      </c>
    </row>
    <row r="3375" spans="4:12" s="348" customFormat="1" ht="12.75" hidden="1" customHeight="1" outlineLevel="2" x14ac:dyDescent="0.2">
      <c r="D3375" s="785" t="str">
        <f>Price_List_BA!D91</f>
        <v>Bucket 20Lt plastic with lid (ZM)</v>
      </c>
      <c r="E3375" s="786"/>
      <c r="F3375" s="786"/>
      <c r="G3375" s="786"/>
      <c r="J3375" s="127">
        <f>Price_List_BA!L91</f>
        <v>4</v>
      </c>
      <c r="K3375" s="127">
        <f>Price_List_BA!O91</f>
        <v>0.8</v>
      </c>
      <c r="L3375" s="127">
        <f>Price_List_BA!P91</f>
        <v>0.87341828560230483</v>
      </c>
    </row>
    <row r="3376" spans="4:12" s="348" customFormat="1" ht="12.95" hidden="1" customHeight="1" outlineLevel="2" x14ac:dyDescent="0.2">
      <c r="D3376" s="785" t="str">
        <f>Price_List_BA!D92</f>
        <v>Camera Rechargeable batteries ( set of 6) (ZM)</v>
      </c>
      <c r="E3376" s="786"/>
      <c r="F3376" s="786"/>
      <c r="G3376" s="786"/>
      <c r="J3376" s="127">
        <f>Price_List_BA!L92</f>
        <v>20</v>
      </c>
      <c r="K3376" s="127">
        <f>Price_List_BA!O92</f>
        <v>2</v>
      </c>
      <c r="L3376" s="127">
        <f>Price_List_BA!P92</f>
        <v>2.3446101321031922</v>
      </c>
    </row>
    <row r="3377" spans="4:12" s="348" customFormat="1" ht="12.75" hidden="1" customHeight="1" outlineLevel="2" x14ac:dyDescent="0.2">
      <c r="D3377" s="785" t="str">
        <f>Price_List_BA!D93</f>
        <v>Card Reader (ZM)</v>
      </c>
      <c r="E3377" s="786"/>
      <c r="F3377" s="786"/>
      <c r="G3377" s="786"/>
      <c r="J3377" s="127">
        <f>Price_List_BA!L93</f>
        <v>40</v>
      </c>
      <c r="K3377" s="127">
        <f>Price_List_BA!O93</f>
        <v>20</v>
      </c>
      <c r="L3377" s="127">
        <f>Price_List_BA!P93</f>
        <v>20.904433497536957</v>
      </c>
    </row>
    <row r="3378" spans="4:12" s="348" customFormat="1" ht="12.75" hidden="1" customHeight="1" outlineLevel="2" x14ac:dyDescent="0.2">
      <c r="D3378" s="785" t="str">
        <f>Price_List_BA!D94</f>
        <v>CareHPV Machine (kit set) (ZM)</v>
      </c>
      <c r="E3378" s="786"/>
      <c r="F3378" s="786"/>
      <c r="G3378" s="786"/>
      <c r="J3378" s="127">
        <f>Price_List_BA!L94</f>
        <v>150</v>
      </c>
      <c r="K3378" s="127">
        <f>Price_List_BA!O94</f>
        <v>16.666666666666668</v>
      </c>
      <c r="L3378" s="127">
        <f>Price_List_BA!P94</f>
        <v>19.265078552715515</v>
      </c>
    </row>
    <row r="3379" spans="4:12" s="348" customFormat="1" ht="12.75" hidden="1" customHeight="1" outlineLevel="2" x14ac:dyDescent="0.2">
      <c r="D3379" s="785" t="str">
        <f>Price_List_BA!D95</f>
        <v>CareHPV Machine (kit)  (TZ)</v>
      </c>
      <c r="E3379" s="786"/>
      <c r="F3379" s="786"/>
      <c r="G3379" s="786"/>
      <c r="J3379" s="127">
        <f>Price_List_BA!L95</f>
        <v>1000</v>
      </c>
      <c r="K3379" s="127">
        <f>Price_List_BA!O95</f>
        <v>500</v>
      </c>
      <c r="L3379" s="127">
        <f>Price_List_BA!P95</f>
        <v>522.61083743842391</v>
      </c>
    </row>
    <row r="3380" spans="4:12" s="348" customFormat="1" ht="12.75" hidden="1" customHeight="1" outlineLevel="2" x14ac:dyDescent="0.2">
      <c r="D3380" s="785" t="str">
        <f>Price_List_BA!D96</f>
        <v>Cauterizer (ZM)</v>
      </c>
      <c r="E3380" s="786"/>
      <c r="F3380" s="786"/>
      <c r="G3380" s="786"/>
      <c r="J3380" s="127">
        <f>Price_List_BA!L96</f>
        <v>100</v>
      </c>
      <c r="K3380" s="127">
        <f>Price_List_BA!O96</f>
        <v>10</v>
      </c>
      <c r="L3380" s="127">
        <f>Price_List_BA!P96</f>
        <v>11.723050660515961</v>
      </c>
    </row>
    <row r="3381" spans="4:12" s="348" customFormat="1" ht="12.75" hidden="1" customHeight="1" outlineLevel="2" x14ac:dyDescent="0.2">
      <c r="D3381" s="785" t="str">
        <f>Price_List_BA!D97</f>
        <v>Cauterizer  (TZ)</v>
      </c>
      <c r="E3381" s="786"/>
      <c r="F3381" s="786"/>
      <c r="G3381" s="786"/>
      <c r="J3381" s="127">
        <f>Price_List_BA!L97</f>
        <v>18.75</v>
      </c>
      <c r="K3381" s="127">
        <f>Price_List_BA!O97</f>
        <v>3.75</v>
      </c>
      <c r="L3381" s="127">
        <f>Price_List_BA!P97</f>
        <v>4.0941482137608034</v>
      </c>
    </row>
    <row r="3382" spans="4:12" s="348" customFormat="1" hidden="1" outlineLevel="2" x14ac:dyDescent="0.2">
      <c r="D3382" s="785" t="str">
        <f>Price_List_BA!D98</f>
        <v>Cervical Cold Coagulator with Instrument Cable and Therapy Probe (ZM)</v>
      </c>
      <c r="E3382" s="786"/>
      <c r="F3382" s="786"/>
      <c r="G3382" s="786"/>
      <c r="J3382" s="127">
        <f>Price_List_BA!L98</f>
        <v>2367</v>
      </c>
      <c r="K3382" s="127">
        <f>Price_List_BA!O98</f>
        <v>473.4</v>
      </c>
      <c r="L3382" s="127">
        <f>Price_List_BA!P98</f>
        <v>516.84527050516385</v>
      </c>
    </row>
    <row r="3383" spans="4:12" s="348" customFormat="1" ht="12.75" hidden="1" customHeight="1" outlineLevel="2" x14ac:dyDescent="0.2">
      <c r="D3383" s="785" t="str">
        <f>Price_List_BA!D99</f>
        <v>Chair (ZM)</v>
      </c>
      <c r="E3383" s="786"/>
      <c r="F3383" s="786"/>
      <c r="G3383" s="786"/>
      <c r="J3383" s="127">
        <f>Price_List_BA!L99</f>
        <v>80</v>
      </c>
      <c r="K3383" s="127">
        <f>Price_List_BA!O99</f>
        <v>20</v>
      </c>
      <c r="L3383" s="127">
        <f>Price_List_BA!P99</f>
        <v>21.522163615446605</v>
      </c>
    </row>
    <row r="3384" spans="4:12" s="348" customFormat="1" ht="12.75" hidden="1" customHeight="1" outlineLevel="2" x14ac:dyDescent="0.2">
      <c r="D3384" s="785" t="str">
        <f>Price_List_BA!D100</f>
        <v>Cheetal forceps (UG)</v>
      </c>
      <c r="E3384" s="786"/>
      <c r="F3384" s="786"/>
      <c r="G3384" s="786"/>
      <c r="J3384" s="127">
        <f>Price_List_BA!L100</f>
        <v>8.1560000000000006</v>
      </c>
      <c r="K3384" s="127">
        <f>Price_List_BA!O100</f>
        <v>4.0780000000000003</v>
      </c>
      <c r="L3384" s="127">
        <f>Price_List_BA!P100</f>
        <v>4.2624139901477864</v>
      </c>
    </row>
    <row r="3385" spans="4:12" s="348" customFormat="1" ht="12.75" hidden="1" customHeight="1" outlineLevel="2" x14ac:dyDescent="0.2">
      <c r="D3385" s="785" t="str">
        <f>Price_List_BA!D101</f>
        <v>Colposcope (set) (ZM)</v>
      </c>
      <c r="E3385" s="786"/>
      <c r="F3385" s="786"/>
      <c r="G3385" s="786"/>
      <c r="J3385" s="127">
        <f>Price_List_BA!L101</f>
        <v>10000</v>
      </c>
      <c r="K3385" s="127">
        <f>Price_List_BA!O101</f>
        <v>1428.5714285714287</v>
      </c>
      <c r="L3385" s="127">
        <f>Price_List_BA!P101</f>
        <v>1605.0635375427203</v>
      </c>
    </row>
    <row r="3386" spans="4:12" s="348" customFormat="1" ht="12.75" hidden="1" customHeight="1" outlineLevel="2" x14ac:dyDescent="0.2">
      <c r="D3386" s="785" t="str">
        <f>Price_List_BA!D102</f>
        <v>Colposcope (UG)</v>
      </c>
      <c r="E3386" s="786"/>
      <c r="F3386" s="786"/>
      <c r="G3386" s="786"/>
      <c r="J3386" s="127">
        <f>Price_List_BA!L102</f>
        <v>3100</v>
      </c>
      <c r="K3386" s="127">
        <f>Price_List_BA!O102</f>
        <v>620</v>
      </c>
      <c r="L3386" s="127">
        <f>Price_List_BA!P102</f>
        <v>676.8991713417862</v>
      </c>
    </row>
    <row r="3387" spans="4:12" s="348" customFormat="1" ht="12.95" hidden="1" customHeight="1" outlineLevel="2" x14ac:dyDescent="0.2">
      <c r="D3387" s="785" t="str">
        <f>Price_List_BA!D103</f>
        <v>Colposcopy equipment (TZ)</v>
      </c>
      <c r="E3387" s="786"/>
      <c r="F3387" s="786"/>
      <c r="G3387" s="786"/>
      <c r="J3387" s="127">
        <f>Price_List_BA!L103</f>
        <v>6250</v>
      </c>
      <c r="K3387" s="127">
        <f>Price_List_BA!O103</f>
        <v>625</v>
      </c>
      <c r="L3387" s="127">
        <f>Price_List_BA!P103</f>
        <v>732.69066628224755</v>
      </c>
    </row>
    <row r="3388" spans="4:12" s="348" customFormat="1" ht="12.95" hidden="1" customHeight="1" outlineLevel="2" x14ac:dyDescent="0.2">
      <c r="D3388" s="785" t="str">
        <f>Price_List_BA!D104</f>
        <v>Cryotherapy unit (UG)</v>
      </c>
      <c r="E3388" s="786"/>
      <c r="F3388" s="786"/>
      <c r="G3388" s="786"/>
      <c r="J3388" s="127">
        <f>Price_List_BA!L104</f>
        <v>1091</v>
      </c>
      <c r="K3388" s="127">
        <f>Price_List_BA!O104</f>
        <v>218.2</v>
      </c>
      <c r="L3388" s="127">
        <f>Price_List_BA!P104</f>
        <v>238.22483739802863</v>
      </c>
    </row>
    <row r="3389" spans="4:12" s="348" customFormat="1" ht="12.95" hidden="1" customHeight="1" outlineLevel="2" x14ac:dyDescent="0.2">
      <c r="D3389" s="785" t="str">
        <f>Price_List_BA!D105</f>
        <v>Cryotherapy Unit with cryotips (set) (ZM)</v>
      </c>
      <c r="E3389" s="786"/>
      <c r="F3389" s="786"/>
      <c r="G3389" s="786"/>
      <c r="J3389" s="127">
        <f>Price_List_BA!L105</f>
        <v>500</v>
      </c>
      <c r="K3389" s="127">
        <f>Price_List_BA!O105</f>
        <v>125</v>
      </c>
      <c r="L3389" s="127">
        <f>Price_List_BA!P105</f>
        <v>134.51352259654129</v>
      </c>
    </row>
    <row r="3390" spans="4:12" s="348" customFormat="1" ht="12.95" hidden="1" customHeight="1" outlineLevel="2" x14ac:dyDescent="0.2">
      <c r="D3390" s="785" t="str">
        <f>Price_List_BA!D106</f>
        <v>Cryotherapy Unit with cryotips (TZ)</v>
      </c>
      <c r="E3390" s="786"/>
      <c r="F3390" s="786"/>
      <c r="G3390" s="786"/>
      <c r="J3390" s="127">
        <f>Price_List_BA!L106</f>
        <v>1875</v>
      </c>
      <c r="K3390" s="127">
        <f>Price_List_BA!O106</f>
        <v>187.5</v>
      </c>
      <c r="L3390" s="127">
        <f>Price_List_BA!P106</f>
        <v>219.80719988467428</v>
      </c>
    </row>
    <row r="3391" spans="4:12" s="348" customFormat="1" ht="12.95" hidden="1" customHeight="1" outlineLevel="2" x14ac:dyDescent="0.2">
      <c r="D3391" s="785" t="str">
        <f>Price_List_BA!D107</f>
        <v>Digital Camera (ZM)</v>
      </c>
      <c r="E3391" s="786"/>
      <c r="F3391" s="786"/>
      <c r="G3391" s="786"/>
      <c r="J3391" s="127">
        <f>Price_List_BA!L107</f>
        <v>700</v>
      </c>
      <c r="K3391" s="127">
        <f>Price_List_BA!O107</f>
        <v>77.777777777777771</v>
      </c>
      <c r="L3391" s="127">
        <f>Price_List_BA!P107</f>
        <v>89.903699912672408</v>
      </c>
    </row>
    <row r="3392" spans="4:12" s="348" customFormat="1" ht="12.95" hidden="1" customHeight="1" outlineLevel="2" x14ac:dyDescent="0.2">
      <c r="D3392" s="785" t="str">
        <f>Price_List_BA!D108</f>
        <v>Dissecting forceps – 12.5 cm  (TZ)</v>
      </c>
      <c r="E3392" s="786"/>
      <c r="F3392" s="786"/>
      <c r="G3392" s="786"/>
      <c r="J3392" s="127">
        <f>Price_List_BA!L108</f>
        <v>5.8125</v>
      </c>
      <c r="K3392" s="127">
        <f>Price_List_BA!O108</f>
        <v>0.64583333333333337</v>
      </c>
      <c r="L3392" s="127">
        <f>Price_List_BA!P108</f>
        <v>0.74652179391772622</v>
      </c>
    </row>
    <row r="3393" spans="4:12" s="348" customFormat="1" ht="12.95" hidden="1" customHeight="1" outlineLevel="2" x14ac:dyDescent="0.2">
      <c r="D3393" s="785" t="str">
        <f>Price_List_BA!D109</f>
        <v>Doctor's Stool (ZM)</v>
      </c>
      <c r="E3393" s="786"/>
      <c r="F3393" s="786"/>
      <c r="G3393" s="786"/>
      <c r="J3393" s="127">
        <f>Price_List_BA!L109</f>
        <v>100</v>
      </c>
      <c r="K3393" s="127">
        <f>Price_List_BA!O109</f>
        <v>16.666666666666668</v>
      </c>
      <c r="L3393" s="127">
        <f>Price_List_BA!P109</f>
        <v>18.459750045017728</v>
      </c>
    </row>
    <row r="3394" spans="4:12" s="348" customFormat="1" ht="12.95" hidden="1" customHeight="1" outlineLevel="2" x14ac:dyDescent="0.2">
      <c r="D3394" s="785" t="str">
        <f>Price_List_BA!D110</f>
        <v>Endocervical speculum  (UG)</v>
      </c>
      <c r="E3394" s="786"/>
      <c r="F3394" s="786"/>
      <c r="G3394" s="786"/>
      <c r="J3394" s="127">
        <f>Price_List_BA!L110</f>
        <v>100</v>
      </c>
      <c r="K3394" s="127">
        <f>Price_List_BA!O110</f>
        <v>50</v>
      </c>
      <c r="L3394" s="127">
        <f>Price_List_BA!P110</f>
        <v>52.261083743842391</v>
      </c>
    </row>
    <row r="3395" spans="4:12" s="348" customFormat="1" ht="12.95" hidden="1" customHeight="1" outlineLevel="2" x14ac:dyDescent="0.2">
      <c r="D3395" s="785" t="str">
        <f>Price_List_BA!D111</f>
        <v>Examination bed (UG)</v>
      </c>
      <c r="E3395" s="786"/>
      <c r="F3395" s="786"/>
      <c r="G3395" s="786"/>
      <c r="J3395" s="127">
        <f>Price_List_BA!L111</f>
        <v>197.1369</v>
      </c>
      <c r="K3395" s="127">
        <f>Price_List_BA!O111</f>
        <v>39.427379999999999</v>
      </c>
      <c r="L3395" s="127">
        <f>Price_List_BA!P111</f>
        <v>43.045743306738252</v>
      </c>
    </row>
    <row r="3396" spans="4:12" s="348" customFormat="1" ht="12.95" hidden="1" customHeight="1" outlineLevel="2" x14ac:dyDescent="0.2">
      <c r="D3396" s="785" t="str">
        <f>Price_List_BA!D112</f>
        <v>Examination couch (with Stirrups) (ZM)</v>
      </c>
      <c r="E3396" s="786"/>
      <c r="F3396" s="786"/>
      <c r="G3396" s="786"/>
      <c r="J3396" s="127">
        <f>Price_List_BA!L112</f>
        <v>446.5</v>
      </c>
      <c r="K3396" s="127">
        <f>Price_List_BA!O112</f>
        <v>89.3</v>
      </c>
      <c r="L3396" s="127">
        <f>Price_List_BA!P112</f>
        <v>97.495316130357267</v>
      </c>
    </row>
    <row r="3397" spans="4:12" s="348" customFormat="1" ht="12.95" hidden="1" customHeight="1" outlineLevel="2" x14ac:dyDescent="0.2">
      <c r="D3397" s="785" t="str">
        <f>Price_List_BA!D113</f>
        <v>Examination light (Halogen, no bulb) (ZM)</v>
      </c>
      <c r="E3397" s="786"/>
      <c r="F3397" s="786"/>
      <c r="G3397" s="786"/>
      <c r="J3397" s="127">
        <f>Price_List_BA!L113</f>
        <v>370</v>
      </c>
      <c r="K3397" s="127">
        <f>Price_List_BA!O113</f>
        <v>61.666666666666664</v>
      </c>
      <c r="L3397" s="127">
        <f>Price_List_BA!P113</f>
        <v>68.301075166565596</v>
      </c>
    </row>
    <row r="3398" spans="4:12" s="348" customFormat="1" ht="12.75" hidden="1" customHeight="1" outlineLevel="2" x14ac:dyDescent="0.2">
      <c r="D3398" s="785" t="str">
        <f>Price_List_BA!D114</f>
        <v>Examination light source  (TZ)</v>
      </c>
      <c r="E3398" s="786"/>
      <c r="F3398" s="786"/>
      <c r="G3398" s="786"/>
      <c r="J3398" s="127">
        <f>Price_List_BA!L114</f>
        <v>40.625</v>
      </c>
      <c r="K3398" s="127">
        <f>Price_List_BA!O114</f>
        <v>8.125</v>
      </c>
      <c r="L3398" s="127">
        <f>Price_List_BA!P114</f>
        <v>8.8706544631484086</v>
      </c>
    </row>
    <row r="3399" spans="4:12" s="348" customFormat="1" ht="12.75" hidden="1" customHeight="1" outlineLevel="2" x14ac:dyDescent="0.2">
      <c r="D3399" s="785" t="str">
        <f>Price_List_BA!D115</f>
        <v>Examination light source (Halogen) with bulb (set) (ZM)</v>
      </c>
      <c r="E3399" s="786"/>
      <c r="F3399" s="786"/>
      <c r="G3399" s="786"/>
      <c r="J3399" s="127">
        <f>Price_List_BA!L115</f>
        <v>430</v>
      </c>
      <c r="K3399" s="127">
        <f>Price_List_BA!O115</f>
        <v>86</v>
      </c>
      <c r="L3399" s="127">
        <f>Price_List_BA!P115</f>
        <v>93.892465702247762</v>
      </c>
    </row>
    <row r="3400" spans="4:12" s="348" customFormat="1" ht="12.75" hidden="1" customHeight="1" outlineLevel="2" x14ac:dyDescent="0.2">
      <c r="D3400" s="785" t="str">
        <f>Price_List_BA!D116</f>
        <v>Examination table (UG)</v>
      </c>
      <c r="E3400" s="786"/>
      <c r="F3400" s="786"/>
      <c r="G3400" s="786"/>
      <c r="J3400" s="127">
        <f>Price_List_BA!L116</f>
        <v>197.1369</v>
      </c>
      <c r="K3400" s="127">
        <f>Price_List_BA!O116</f>
        <v>39.427379999999999</v>
      </c>
      <c r="L3400" s="127">
        <f>Price_List_BA!P116</f>
        <v>43.045743306738252</v>
      </c>
    </row>
    <row r="3401" spans="4:12" s="348" customFormat="1" ht="12.75" hidden="1" customHeight="1" outlineLevel="2" x14ac:dyDescent="0.2">
      <c r="D3401" s="785" t="str">
        <f>Price_List_BA!D117</f>
        <v>Filing Cabinet (ZM)</v>
      </c>
      <c r="E3401" s="786"/>
      <c r="F3401" s="786"/>
      <c r="G3401" s="786"/>
      <c r="J3401" s="127">
        <f>Price_List_BA!L117</f>
        <v>354</v>
      </c>
      <c r="K3401" s="127">
        <f>Price_List_BA!O117</f>
        <v>35.4</v>
      </c>
      <c r="L3401" s="127">
        <f>Price_List_BA!P117</f>
        <v>41.499599338226503</v>
      </c>
    </row>
    <row r="3402" spans="4:12" s="348" customFormat="1" ht="12.75" hidden="1" customHeight="1" outlineLevel="2" x14ac:dyDescent="0.2">
      <c r="D3402" s="785" t="str">
        <f>Price_List_BA!D118</f>
        <v>Forceps (UG)</v>
      </c>
      <c r="E3402" s="786"/>
      <c r="F3402" s="786"/>
      <c r="G3402" s="786"/>
      <c r="J3402" s="127">
        <f>Price_List_BA!L118</f>
        <v>8.1560000000000006</v>
      </c>
      <c r="K3402" s="127">
        <f>Price_List_BA!O118</f>
        <v>1.6312000000000002</v>
      </c>
      <c r="L3402" s="127">
        <f>Price_List_BA!P118</f>
        <v>1.7808998843430996</v>
      </c>
    </row>
    <row r="3403" spans="4:12" s="348" customFormat="1" ht="12.75" hidden="1" customHeight="1" outlineLevel="2" x14ac:dyDescent="0.2">
      <c r="D3403" s="785" t="str">
        <f>Price_List_BA!D119</f>
        <v>Forceps Babcocks  (ZM)</v>
      </c>
      <c r="E3403" s="786"/>
      <c r="F3403" s="786"/>
      <c r="G3403" s="786"/>
      <c r="J3403" s="127">
        <f>Price_List_BA!L119</f>
        <v>13</v>
      </c>
      <c r="K3403" s="127">
        <f>Price_List_BA!O119</f>
        <v>1.4444444444444444</v>
      </c>
      <c r="L3403" s="127">
        <f>Price_List_BA!P119</f>
        <v>1.6696401412353445</v>
      </c>
    </row>
    <row r="3404" spans="4:12" s="348" customFormat="1" ht="12.75" hidden="1" customHeight="1" outlineLevel="2" x14ac:dyDescent="0.2">
      <c r="D3404" s="785" t="str">
        <f>Price_List_BA!D120</f>
        <v>Forceps tissue - babcocks  (TZ)</v>
      </c>
      <c r="E3404" s="786"/>
      <c r="F3404" s="786"/>
      <c r="G3404" s="786"/>
      <c r="J3404" s="127">
        <f>Price_List_BA!L120</f>
        <v>3.75</v>
      </c>
      <c r="K3404" s="127">
        <f>Price_List_BA!O120</f>
        <v>0.75</v>
      </c>
      <c r="L3404" s="127">
        <f>Price_List_BA!P120</f>
        <v>0.81882964275216075</v>
      </c>
    </row>
    <row r="3405" spans="4:12" s="348" customFormat="1" ht="12.75" hidden="1" customHeight="1" outlineLevel="2" x14ac:dyDescent="0.2">
      <c r="D3405" s="785" t="str">
        <f>Price_List_BA!D121</f>
        <v>Forceps tissue - long  (TZ)</v>
      </c>
      <c r="E3405" s="786"/>
      <c r="F3405" s="786"/>
      <c r="G3405" s="786"/>
      <c r="J3405" s="127">
        <f>Price_List_BA!L121</f>
        <v>8.75</v>
      </c>
      <c r="K3405" s="127">
        <f>Price_List_BA!O121</f>
        <v>1.75</v>
      </c>
      <c r="L3405" s="127">
        <f>Price_List_BA!P121</f>
        <v>1.9106024997550417</v>
      </c>
    </row>
    <row r="3406" spans="4:12" s="348" customFormat="1" ht="12.75" hidden="1" customHeight="1" outlineLevel="2" x14ac:dyDescent="0.2">
      <c r="D3406" s="785" t="str">
        <f>Price_List_BA!D122</f>
        <v>Forceps tissue- litlewoods 19 cm  (TZ)</v>
      </c>
      <c r="E3406" s="786"/>
      <c r="F3406" s="786"/>
      <c r="G3406" s="786"/>
      <c r="J3406" s="127">
        <f>Price_List_BA!L122</f>
        <v>10.625</v>
      </c>
      <c r="K3406" s="127">
        <f>Price_List_BA!O122</f>
        <v>2.125</v>
      </c>
      <c r="L3406" s="127">
        <f>Price_List_BA!P122</f>
        <v>2.3200173211311221</v>
      </c>
    </row>
    <row r="3407" spans="4:12" s="348" customFormat="1" ht="12.75" hidden="1" customHeight="1" outlineLevel="2" x14ac:dyDescent="0.2">
      <c r="D3407" s="785" t="str">
        <f>Price_List_BA!D123</f>
        <v>Forceps, Cheetal (ZM)</v>
      </c>
      <c r="E3407" s="786"/>
      <c r="F3407" s="786"/>
      <c r="G3407" s="786"/>
      <c r="J3407" s="127">
        <f>Price_List_BA!L123</f>
        <v>15</v>
      </c>
      <c r="K3407" s="127">
        <f>Price_List_BA!O123</f>
        <v>3.75</v>
      </c>
      <c r="L3407" s="127">
        <f>Price_List_BA!P123</f>
        <v>4.0354056778962386</v>
      </c>
    </row>
    <row r="3408" spans="4:12" s="348" customFormat="1" ht="12.75" hidden="1" customHeight="1" outlineLevel="2" x14ac:dyDescent="0.2">
      <c r="D3408" s="785" t="str">
        <f>Price_List_BA!D124</f>
        <v>Forceps, Dissecting - 12.5 cm (ZM)</v>
      </c>
      <c r="E3408" s="786"/>
      <c r="F3408" s="786"/>
      <c r="G3408" s="786"/>
      <c r="J3408" s="127">
        <f>Price_List_BA!L124</f>
        <v>16.899999999999999</v>
      </c>
      <c r="K3408" s="127">
        <f>Price_List_BA!O124</f>
        <v>1.8777777777777775</v>
      </c>
      <c r="L3408" s="127">
        <f>Price_List_BA!P124</f>
        <v>2.1705321836059479</v>
      </c>
    </row>
    <row r="3409" spans="4:12" s="348" customFormat="1" ht="12.75" hidden="1" customHeight="1" outlineLevel="2" x14ac:dyDescent="0.2">
      <c r="D3409" s="785" t="str">
        <f>Price_List_BA!D125</f>
        <v>Forceps, Littlewoods 19 cm (ZM)</v>
      </c>
      <c r="E3409" s="786"/>
      <c r="F3409" s="786"/>
      <c r="G3409" s="786"/>
      <c r="J3409" s="127">
        <f>Price_List_BA!L125</f>
        <v>17</v>
      </c>
      <c r="K3409" s="127">
        <f>Price_List_BA!O125</f>
        <v>8.5</v>
      </c>
      <c r="L3409" s="127">
        <f>Price_List_BA!P125</f>
        <v>8.884384236453208</v>
      </c>
    </row>
    <row r="3410" spans="4:12" s="348" customFormat="1" ht="12.75" hidden="1" customHeight="1" outlineLevel="2" x14ac:dyDescent="0.2">
      <c r="D3410" s="785" t="str">
        <f>Price_List_BA!D126</f>
        <v>Forceps, Long  (ZM)</v>
      </c>
      <c r="E3410" s="786"/>
      <c r="F3410" s="786"/>
      <c r="G3410" s="786"/>
      <c r="J3410" s="127">
        <f>Price_List_BA!L126</f>
        <v>15</v>
      </c>
      <c r="K3410" s="127">
        <f>Price_List_BA!O126</f>
        <v>2.5</v>
      </c>
      <c r="L3410" s="127">
        <f>Price_List_BA!P126</f>
        <v>2.7689625067526591</v>
      </c>
    </row>
    <row r="3411" spans="4:12" s="348" customFormat="1" ht="12.75" hidden="1" customHeight="1" outlineLevel="2" x14ac:dyDescent="0.2">
      <c r="D3411" s="785" t="str">
        <f>Price_List_BA!D127</f>
        <v>Forceps, ovum (ZM)</v>
      </c>
      <c r="E3411" s="786"/>
      <c r="F3411" s="786"/>
      <c r="G3411" s="786"/>
      <c r="J3411" s="127">
        <f>Price_List_BA!L127</f>
        <v>15</v>
      </c>
      <c r="K3411" s="127">
        <f>Price_List_BA!O127</f>
        <v>2.5</v>
      </c>
      <c r="L3411" s="127">
        <f>Price_List_BA!P127</f>
        <v>2.7689625067526591</v>
      </c>
    </row>
    <row r="3412" spans="4:12" s="348" customFormat="1" ht="12.75" hidden="1" customHeight="1" outlineLevel="2" x14ac:dyDescent="0.2">
      <c r="D3412" s="785" t="str">
        <f>Price_List_BA!D128</f>
        <v>Forceps, ovum  (TZ)</v>
      </c>
      <c r="E3412" s="786"/>
      <c r="F3412" s="786"/>
      <c r="G3412" s="786"/>
      <c r="J3412" s="127">
        <f>Price_List_BA!L128</f>
        <v>3.4375</v>
      </c>
      <c r="K3412" s="127">
        <f>Price_List_BA!O128</f>
        <v>0.6875</v>
      </c>
      <c r="L3412" s="127">
        <f>Price_List_BA!P128</f>
        <v>0.75059383918948064</v>
      </c>
    </row>
    <row r="3413" spans="4:12" s="348" customFormat="1" ht="12.75" hidden="1" customHeight="1" outlineLevel="2" x14ac:dyDescent="0.2">
      <c r="D3413" s="785" t="str">
        <f>Price_List_BA!D129</f>
        <v>Forceps, Punch biopsy (ZM)</v>
      </c>
      <c r="E3413" s="786"/>
      <c r="F3413" s="786"/>
      <c r="G3413" s="786"/>
      <c r="J3413" s="127">
        <f>Price_List_BA!L129</f>
        <v>15</v>
      </c>
      <c r="K3413" s="127">
        <f>Price_List_BA!O129</f>
        <v>3.75</v>
      </c>
      <c r="L3413" s="127">
        <f>Price_List_BA!P129</f>
        <v>4.0354056778962386</v>
      </c>
    </row>
    <row r="3414" spans="4:12" s="348" customFormat="1" ht="12.75" hidden="1" customHeight="1" outlineLevel="2" x14ac:dyDescent="0.2">
      <c r="D3414" s="785" t="str">
        <f>Price_List_BA!D130</f>
        <v>Forceps, punch biopsy (TZ)</v>
      </c>
      <c r="E3414" s="786"/>
      <c r="F3414" s="786"/>
      <c r="G3414" s="786"/>
      <c r="J3414" s="127">
        <f>Price_List_BA!L130</f>
        <v>37.5</v>
      </c>
      <c r="K3414" s="127">
        <f>Price_List_BA!O130</f>
        <v>7.5</v>
      </c>
      <c r="L3414" s="127">
        <f>Price_List_BA!P130</f>
        <v>8.1882964275216068</v>
      </c>
    </row>
    <row r="3415" spans="4:12" s="348" customFormat="1" ht="12.75" hidden="1" customHeight="1" outlineLevel="2" x14ac:dyDescent="0.2">
      <c r="D3415" s="785" t="str">
        <f>Price_List_BA!D131</f>
        <v>Forceps, Sponge holder (ZM)</v>
      </c>
      <c r="E3415" s="786"/>
      <c r="F3415" s="786"/>
      <c r="G3415" s="786"/>
      <c r="J3415" s="127">
        <f>Price_List_BA!L131</f>
        <v>12</v>
      </c>
      <c r="K3415" s="127">
        <f>Price_List_BA!O131</f>
        <v>1.5</v>
      </c>
      <c r="L3415" s="127">
        <f>Price_List_BA!P131</f>
        <v>1.709476665926871</v>
      </c>
    </row>
    <row r="3416" spans="4:12" s="348" customFormat="1" ht="12.75" hidden="1" customHeight="1" outlineLevel="2" x14ac:dyDescent="0.2">
      <c r="D3416" s="785" t="str">
        <f>Price_List_BA!D132</f>
        <v>Forceps, sponge holder  (TZ)</v>
      </c>
      <c r="E3416" s="786"/>
      <c r="F3416" s="786"/>
      <c r="G3416" s="786"/>
      <c r="J3416" s="127">
        <f>Price_List_BA!L132</f>
        <v>3.4375</v>
      </c>
      <c r="K3416" s="127">
        <f>Price_List_BA!O132</f>
        <v>0.6875</v>
      </c>
      <c r="L3416" s="127">
        <f>Price_List_BA!P132</f>
        <v>0.75059383918948064</v>
      </c>
    </row>
    <row r="3417" spans="4:12" s="348" customFormat="1" ht="12.75" hidden="1" customHeight="1" outlineLevel="2" x14ac:dyDescent="0.2">
      <c r="D3417" s="785" t="str">
        <f>Price_List_BA!D133</f>
        <v>Gallipot (ZM)</v>
      </c>
      <c r="E3417" s="786"/>
      <c r="F3417" s="786"/>
      <c r="G3417" s="786"/>
      <c r="J3417" s="127">
        <f>Price_List_BA!L133</f>
        <v>10</v>
      </c>
      <c r="K3417" s="127">
        <f>Price_List_BA!O133</f>
        <v>1.1111111111111112</v>
      </c>
      <c r="L3417" s="127">
        <f>Price_List_BA!P133</f>
        <v>1.2843385701810344</v>
      </c>
    </row>
    <row r="3418" spans="4:12" s="348" customFormat="1" ht="12.75" hidden="1" customHeight="1" outlineLevel="2" x14ac:dyDescent="0.2">
      <c r="D3418" s="785" t="str">
        <f>Price_List_BA!D134</f>
        <v>Gallipot (UG)</v>
      </c>
      <c r="E3418" s="786"/>
      <c r="F3418" s="786"/>
      <c r="G3418" s="786"/>
      <c r="J3418" s="127">
        <f>Price_List_BA!L134</f>
        <v>3.9441999999999999</v>
      </c>
      <c r="K3418" s="127">
        <f>Price_List_BA!O134</f>
        <v>0.78883999999999999</v>
      </c>
      <c r="L3418" s="127">
        <f>Price_List_BA!P134</f>
        <v>0.86123410051815263</v>
      </c>
    </row>
    <row r="3419" spans="4:12" s="348" customFormat="1" ht="12.75" hidden="1" customHeight="1" outlineLevel="2" x14ac:dyDescent="0.2">
      <c r="D3419" s="785" t="str">
        <f>Price_List_BA!D135</f>
        <v>Gas cylinder adaptor (ZM)</v>
      </c>
      <c r="E3419" s="786"/>
      <c r="F3419" s="786"/>
      <c r="G3419" s="786"/>
      <c r="J3419" s="127">
        <f>Price_List_BA!L135</f>
        <v>15</v>
      </c>
      <c r="K3419" s="127">
        <f>Price_List_BA!O135</f>
        <v>1.875</v>
      </c>
      <c r="L3419" s="127">
        <f>Price_List_BA!P135</f>
        <v>2.1368458324085888</v>
      </c>
    </row>
    <row r="3420" spans="4:12" s="348" customFormat="1" ht="12.75" hidden="1" customHeight="1" outlineLevel="2" x14ac:dyDescent="0.2">
      <c r="D3420" s="785" t="str">
        <f>Price_List_BA!D136</f>
        <v>Gas cylinder adaptor  (TZ)</v>
      </c>
      <c r="E3420" s="786"/>
      <c r="F3420" s="786"/>
      <c r="G3420" s="786"/>
      <c r="J3420" s="127">
        <f>Price_List_BA!L136</f>
        <v>82.5</v>
      </c>
      <c r="K3420" s="127">
        <f>Price_List_BA!O136</f>
        <v>8.25</v>
      </c>
      <c r="L3420" s="127">
        <f>Price_List_BA!P136</f>
        <v>9.6715167949256688</v>
      </c>
    </row>
    <row r="3421" spans="4:12" s="348" customFormat="1" ht="12.75" hidden="1" customHeight="1" outlineLevel="2" x14ac:dyDescent="0.2">
      <c r="D3421" s="785" t="str">
        <f>Price_List_BA!D137</f>
        <v>Gynecological examination bed  (TZ)</v>
      </c>
      <c r="E3421" s="786"/>
      <c r="F3421" s="786"/>
      <c r="G3421" s="786"/>
      <c r="J3421" s="127">
        <f>Price_List_BA!L137</f>
        <v>346.875</v>
      </c>
      <c r="K3421" s="127">
        <f>Price_List_BA!O137</f>
        <v>173.4375</v>
      </c>
      <c r="L3421" s="127">
        <f>Price_List_BA!P137</f>
        <v>181.2806342364533</v>
      </c>
    </row>
    <row r="3422" spans="4:12" s="348" customFormat="1" ht="12.75" hidden="1" customHeight="1" outlineLevel="2" x14ac:dyDescent="0.2">
      <c r="D3422" s="785" t="str">
        <f>Price_List_BA!D138</f>
        <v>Halogen Bulbs (ZM)</v>
      </c>
      <c r="E3422" s="786"/>
      <c r="F3422" s="786"/>
      <c r="G3422" s="786"/>
      <c r="J3422" s="127">
        <f>Price_List_BA!L138</f>
        <v>50</v>
      </c>
      <c r="K3422" s="127">
        <f>Price_List_BA!O138</f>
        <v>5</v>
      </c>
      <c r="L3422" s="127">
        <f>Price_List_BA!P138</f>
        <v>5.8615253302579804</v>
      </c>
    </row>
    <row r="3423" spans="4:12" s="348" customFormat="1" ht="12.75" hidden="1" customHeight="1" outlineLevel="2" x14ac:dyDescent="0.2">
      <c r="D3423" s="785" t="str">
        <f>Price_List_BA!D139</f>
        <v>Hysterectomy Set (ZM)</v>
      </c>
      <c r="E3423" s="786"/>
      <c r="F3423" s="786"/>
      <c r="G3423" s="786"/>
      <c r="J3423" s="127">
        <f>Price_List_BA!L139</f>
        <v>120</v>
      </c>
      <c r="K3423" s="127">
        <f>Price_List_BA!O139</f>
        <v>24</v>
      </c>
      <c r="L3423" s="127">
        <f>Price_List_BA!P139</f>
        <v>26.202548568069144</v>
      </c>
    </row>
    <row r="3424" spans="4:12" s="348" customFormat="1" ht="12.75" hidden="1" customHeight="1" outlineLevel="2" x14ac:dyDescent="0.2">
      <c r="D3424" s="785" t="str">
        <f>Price_List_BA!D140</f>
        <v>Instrument tray (ZM)</v>
      </c>
      <c r="E3424" s="786"/>
      <c r="F3424" s="786"/>
      <c r="G3424" s="786"/>
      <c r="J3424" s="127">
        <f>Price_List_BA!L140</f>
        <v>20</v>
      </c>
      <c r="K3424" s="127">
        <f>Price_List_BA!O140</f>
        <v>5</v>
      </c>
      <c r="L3424" s="127">
        <f>Price_List_BA!P140</f>
        <v>5.3805409038616512</v>
      </c>
    </row>
    <row r="3425" spans="4:12" s="348" customFormat="1" ht="12.75" hidden="1" customHeight="1" outlineLevel="2" x14ac:dyDescent="0.2">
      <c r="D3425" s="785" t="str">
        <f>Price_List_BA!D141</f>
        <v>Instrument tray  (TZ)</v>
      </c>
      <c r="E3425" s="786"/>
      <c r="F3425" s="786"/>
      <c r="G3425" s="786"/>
      <c r="J3425" s="127">
        <f>Price_List_BA!L141</f>
        <v>7.5</v>
      </c>
      <c r="K3425" s="127">
        <f>Price_List_BA!O141</f>
        <v>3.75</v>
      </c>
      <c r="L3425" s="127">
        <f>Price_List_BA!P141</f>
        <v>3.9195812807881798</v>
      </c>
    </row>
    <row r="3426" spans="4:12" s="348" customFormat="1" ht="12.75" hidden="1" customHeight="1" outlineLevel="2" x14ac:dyDescent="0.2">
      <c r="D3426" s="785" t="str">
        <f>Price_List_BA!D142</f>
        <v>Kidney Dish (ZM)</v>
      </c>
      <c r="E3426" s="786"/>
      <c r="F3426" s="786"/>
      <c r="G3426" s="786"/>
      <c r="J3426" s="127">
        <f>Price_List_BA!L142</f>
        <v>20</v>
      </c>
      <c r="K3426" s="127">
        <f>Price_List_BA!O142</f>
        <v>2.5</v>
      </c>
      <c r="L3426" s="127">
        <f>Price_List_BA!P142</f>
        <v>2.8491277765447851</v>
      </c>
    </row>
    <row r="3427" spans="4:12" s="348" customFormat="1" ht="12.75" hidden="1" customHeight="1" outlineLevel="2" x14ac:dyDescent="0.2">
      <c r="D3427" s="785" t="str">
        <f>Price_List_BA!D143</f>
        <v>Kidney Dish (UG)</v>
      </c>
      <c r="E3427" s="786"/>
      <c r="F3427" s="786"/>
      <c r="G3427" s="786"/>
      <c r="J3427" s="127">
        <f>Price_List_BA!L143</f>
        <v>4.1161000000000003</v>
      </c>
      <c r="K3427" s="127">
        <f>Price_List_BA!O143</f>
        <v>0.41161000000000003</v>
      </c>
      <c r="L3427" s="127">
        <f>Price_List_BA!P143</f>
        <v>0.4825324882374975</v>
      </c>
    </row>
    <row r="3428" spans="4:12" s="348" customFormat="1" ht="12.75" hidden="1" customHeight="1" outlineLevel="2" x14ac:dyDescent="0.2">
      <c r="D3428" s="785" t="str">
        <f>Price_List_BA!D144</f>
        <v>Lamp (UG)</v>
      </c>
      <c r="E3428" s="786"/>
      <c r="F3428" s="786"/>
      <c r="G3428" s="786"/>
      <c r="J3428" s="127">
        <f>Price_List_BA!L144</f>
        <v>49.744300000000003</v>
      </c>
      <c r="K3428" s="127">
        <f>Price_List_BA!O144</f>
        <v>4.9744299999999999</v>
      </c>
      <c r="L3428" s="127">
        <f>Price_List_BA!P144</f>
        <v>5.8315494897190421</v>
      </c>
    </row>
    <row r="3429" spans="4:12" s="348" customFormat="1" ht="12.95" hidden="1" customHeight="1" outlineLevel="2" x14ac:dyDescent="0.2">
      <c r="D3429" s="785" t="str">
        <f>Price_List_BA!D145</f>
        <v>Laptop / Desktop Computer (ZM)</v>
      </c>
      <c r="E3429" s="786"/>
      <c r="F3429" s="786"/>
      <c r="G3429" s="786"/>
      <c r="J3429" s="127">
        <f>Price_List_BA!L145</f>
        <v>1100</v>
      </c>
      <c r="K3429" s="127">
        <f>Price_List_BA!O145</f>
        <v>220</v>
      </c>
      <c r="L3429" s="127">
        <f>Price_List_BA!P145</f>
        <v>240.19002854063382</v>
      </c>
    </row>
    <row r="3430" spans="4:12" s="348" customFormat="1" ht="12.75" hidden="1" customHeight="1" outlineLevel="2" x14ac:dyDescent="0.2">
      <c r="D3430" s="785" t="str">
        <f>Price_List_BA!D146</f>
        <v>LEEP Equipment  (TZ)</v>
      </c>
      <c r="E3430" s="786"/>
      <c r="F3430" s="786"/>
      <c r="G3430" s="786"/>
      <c r="J3430" s="127">
        <f>Price_List_BA!L146</f>
        <v>11838.75</v>
      </c>
      <c r="K3430" s="127">
        <f>Price_List_BA!O146</f>
        <v>1479.84375</v>
      </c>
      <c r="L3430" s="127">
        <f>Price_List_BA!P146</f>
        <v>1686.5055732284786</v>
      </c>
    </row>
    <row r="3431" spans="4:12" s="348" customFormat="1" ht="12.75" hidden="1" customHeight="1" outlineLevel="2" x14ac:dyDescent="0.2">
      <c r="D3431" s="785" t="str">
        <f>Price_List_BA!D147</f>
        <v>LEEP machine plus smoke evacuator system plus accessories (ZM)</v>
      </c>
      <c r="E3431" s="786"/>
      <c r="F3431" s="786"/>
      <c r="G3431" s="786"/>
      <c r="J3431" s="127">
        <f>Price_List_BA!L147</f>
        <v>6000</v>
      </c>
      <c r="K3431" s="127">
        <f>Price_List_BA!O147</f>
        <v>666.66666666666663</v>
      </c>
      <c r="L3431" s="127">
        <f>Price_List_BA!P147</f>
        <v>770.60314210862055</v>
      </c>
    </row>
    <row r="3432" spans="4:12" s="348" customFormat="1" ht="12.75" hidden="1" customHeight="1" outlineLevel="2" x14ac:dyDescent="0.2">
      <c r="D3432" s="785" t="str">
        <f>Price_List_BA!D148</f>
        <v>LEEP machine  with coated speculums (UG)</v>
      </c>
      <c r="E3432" s="786"/>
      <c r="F3432" s="786"/>
      <c r="G3432" s="786"/>
      <c r="J3432" s="127">
        <f>Price_List_BA!L148</f>
        <v>5055</v>
      </c>
      <c r="K3432" s="127">
        <f>Price_List_BA!O148</f>
        <v>842.5</v>
      </c>
      <c r="L3432" s="127">
        <f>Price_List_BA!P148</f>
        <v>933.14036477564616</v>
      </c>
    </row>
    <row r="3433" spans="4:12" s="348" customFormat="1" ht="12.75" hidden="1" customHeight="1" outlineLevel="2" x14ac:dyDescent="0.2">
      <c r="D3433" s="785" t="str">
        <f>Price_List_BA!D149</f>
        <v>Lensmate SX 40 Filter Adapter 58mm (ZM)</v>
      </c>
      <c r="E3433" s="786"/>
      <c r="F3433" s="786"/>
      <c r="G3433" s="786"/>
      <c r="J3433" s="127">
        <f>Price_List_BA!L149</f>
        <v>100</v>
      </c>
      <c r="K3433" s="127">
        <f>Price_List_BA!O149</f>
        <v>25</v>
      </c>
      <c r="L3433" s="127">
        <f>Price_List_BA!P149</f>
        <v>26.902704519308259</v>
      </c>
    </row>
    <row r="3434" spans="4:12" s="348" customFormat="1" hidden="1" outlineLevel="2" x14ac:dyDescent="0.2">
      <c r="D3434" s="785" t="str">
        <f>Price_List_BA!D150</f>
        <v>Loop Electrodes - 5 mm x 5mm (Ellman) (ZM)</v>
      </c>
      <c r="E3434" s="786"/>
      <c r="F3434" s="786"/>
      <c r="G3434" s="786"/>
      <c r="J3434" s="127">
        <f>Price_List_BA!L150</f>
        <v>37.200000000000003</v>
      </c>
      <c r="K3434" s="127">
        <f>Price_List_BA!O150</f>
        <v>37.200000000000003</v>
      </c>
      <c r="L3434" s="127">
        <f>Price_List_BA!P150</f>
        <v>38.315999999999967</v>
      </c>
    </row>
    <row r="3435" spans="4:12" s="348" customFormat="1" hidden="1" outlineLevel="2" x14ac:dyDescent="0.2">
      <c r="D3435" s="785" t="str">
        <f>Price_List_BA!D151</f>
        <v>Loop Electrodes - 10 mm x 10mm (Ellman) (ZM)</v>
      </c>
      <c r="E3435" s="786"/>
      <c r="F3435" s="786"/>
      <c r="G3435" s="786"/>
      <c r="J3435" s="127">
        <f>Price_List_BA!L151</f>
        <v>37.200000000000003</v>
      </c>
      <c r="K3435" s="127">
        <f>Price_List_BA!O151</f>
        <v>37.200000000000003</v>
      </c>
      <c r="L3435" s="127">
        <f>Price_List_BA!P151</f>
        <v>38.315999999999967</v>
      </c>
    </row>
    <row r="3436" spans="4:12" s="348" customFormat="1" hidden="1" outlineLevel="2" x14ac:dyDescent="0.2">
      <c r="D3436" s="785" t="str">
        <f>Price_List_BA!D152</f>
        <v>Loop Electrodes - 20 mm x 8mm (Ellman) (ZM)</v>
      </c>
      <c r="E3436" s="786"/>
      <c r="F3436" s="786"/>
      <c r="G3436" s="786"/>
      <c r="J3436" s="127">
        <f>Price_List_BA!L152</f>
        <v>37.200000000000003</v>
      </c>
      <c r="K3436" s="127">
        <f>Price_List_BA!O152</f>
        <v>37.200000000000003</v>
      </c>
      <c r="L3436" s="127">
        <f>Price_List_BA!P152</f>
        <v>38.315999999999967</v>
      </c>
    </row>
    <row r="3437" spans="4:12" s="348" customFormat="1" hidden="1" outlineLevel="2" x14ac:dyDescent="0.2">
      <c r="D3437" s="785" t="str">
        <f>Price_List_BA!D153</f>
        <v>Loop Electrodes - 20 mm x 15mm (Ellman) (ZM)</v>
      </c>
      <c r="E3437" s="786"/>
      <c r="F3437" s="786"/>
      <c r="G3437" s="786"/>
      <c r="J3437" s="127">
        <f>Price_List_BA!L153</f>
        <v>37.200000000000003</v>
      </c>
      <c r="K3437" s="127">
        <f>Price_List_BA!O153</f>
        <v>37.200000000000003</v>
      </c>
      <c r="L3437" s="127">
        <f>Price_List_BA!P153</f>
        <v>38.315999999999967</v>
      </c>
    </row>
    <row r="3438" spans="4:12" s="348" customFormat="1" ht="12.75" hidden="1" customHeight="1" outlineLevel="2" x14ac:dyDescent="0.2">
      <c r="D3438" s="785" t="str">
        <f>Price_List_BA!D154</f>
        <v>Mackintosh (Plastic sheet for exam couch) (ZM)</v>
      </c>
      <c r="E3438" s="786"/>
      <c r="F3438" s="786"/>
      <c r="G3438" s="786"/>
      <c r="J3438" s="127">
        <f>Price_List_BA!L154</f>
        <v>20</v>
      </c>
      <c r="K3438" s="127">
        <f>Price_List_BA!O154</f>
        <v>10</v>
      </c>
      <c r="L3438" s="127">
        <f>Price_List_BA!P154</f>
        <v>10.452216748768478</v>
      </c>
    </row>
    <row r="3439" spans="4:12" s="348" customFormat="1" ht="12.75" hidden="1" customHeight="1" outlineLevel="2" x14ac:dyDescent="0.2">
      <c r="D3439" s="785" t="str">
        <f>Price_List_BA!D155</f>
        <v>Magnification Lens (ZM)</v>
      </c>
      <c r="E3439" s="786"/>
      <c r="F3439" s="786"/>
      <c r="G3439" s="786"/>
      <c r="J3439" s="127">
        <f>Price_List_BA!L155</f>
        <v>150</v>
      </c>
      <c r="K3439" s="127">
        <f>Price_List_BA!O155</f>
        <v>15</v>
      </c>
      <c r="L3439" s="127">
        <f>Price_List_BA!P155</f>
        <v>17.584575990773942</v>
      </c>
    </row>
    <row r="3440" spans="4:12" s="348" customFormat="1" ht="12.75" hidden="1" customHeight="1" outlineLevel="2" x14ac:dyDescent="0.2">
      <c r="D3440" s="785" t="str">
        <f>Price_List_BA!D156</f>
        <v>Medical Rubber Mackintosh Sheet (ZM)</v>
      </c>
      <c r="E3440" s="786"/>
      <c r="F3440" s="786"/>
      <c r="G3440" s="786"/>
      <c r="J3440" s="127">
        <f>Price_List_BA!L156</f>
        <v>30</v>
      </c>
      <c r="K3440" s="127">
        <f>Price_List_BA!O156</f>
        <v>3.3333333333333335</v>
      </c>
      <c r="L3440" s="127">
        <f>Price_List_BA!P156</f>
        <v>3.8530157105431031</v>
      </c>
    </row>
    <row r="3441" spans="4:12" s="348" customFormat="1" ht="12.75" hidden="1" customHeight="1" outlineLevel="2" x14ac:dyDescent="0.2">
      <c r="D3441" s="785" t="str">
        <f>Price_List_BA!D157</f>
        <v>Medical Rubber Mackintosh Sheet   (TZ)</v>
      </c>
      <c r="E3441" s="786"/>
      <c r="F3441" s="786"/>
      <c r="G3441" s="786"/>
      <c r="J3441" s="127">
        <f>Price_List_BA!L157</f>
        <v>46.875</v>
      </c>
      <c r="K3441" s="127">
        <f>Price_List_BA!O157</f>
        <v>9.375</v>
      </c>
      <c r="L3441" s="127">
        <f>Price_List_BA!P157</f>
        <v>10.235370534402009</v>
      </c>
    </row>
    <row r="3442" spans="4:12" s="348" customFormat="1" ht="12.75" hidden="1" customHeight="1" outlineLevel="2" x14ac:dyDescent="0.2">
      <c r="D3442" s="785" t="str">
        <f>Price_List_BA!D158</f>
        <v>Memory Card (ZM)</v>
      </c>
      <c r="E3442" s="786"/>
      <c r="F3442" s="786"/>
      <c r="G3442" s="786"/>
      <c r="J3442" s="127">
        <f>Price_List_BA!L158</f>
        <v>36</v>
      </c>
      <c r="K3442" s="127">
        <f>Price_List_BA!O158</f>
        <v>4.5</v>
      </c>
      <c r="L3442" s="127">
        <f>Price_List_BA!P158</f>
        <v>5.1284299977806134</v>
      </c>
    </row>
    <row r="3443" spans="4:12" s="348" customFormat="1" ht="12.75" hidden="1" customHeight="1" outlineLevel="2" x14ac:dyDescent="0.2">
      <c r="D3443" s="785" t="str">
        <f>Price_List_BA!D159</f>
        <v>Multi-Tip Cryo-Probe System with British adapter for NO2 includes gun, regulator, hose(2/3Tips included) (set) (ZM)</v>
      </c>
      <c r="E3443" s="786"/>
      <c r="F3443" s="786"/>
      <c r="G3443" s="786"/>
      <c r="J3443" s="127">
        <f>Price_List_BA!L159</f>
        <v>1800</v>
      </c>
      <c r="K3443" s="127">
        <f>Price_List_BA!O159</f>
        <v>360</v>
      </c>
      <c r="L3443" s="127">
        <f>Price_List_BA!P159</f>
        <v>393.03822852103718</v>
      </c>
    </row>
    <row r="3444" spans="4:12" s="348" customFormat="1" ht="12.75" hidden="1" customHeight="1" outlineLevel="2" x14ac:dyDescent="0.2">
      <c r="D3444" s="785" t="str">
        <f>Price_List_BA!D160</f>
        <v>Non-conducting speculum  Pederson  (ZM)</v>
      </c>
      <c r="E3444" s="786"/>
      <c r="F3444" s="786"/>
      <c r="G3444" s="786"/>
      <c r="J3444" s="127">
        <f>Price_List_BA!L160</f>
        <v>40</v>
      </c>
      <c r="K3444" s="127">
        <f>Price_List_BA!O160</f>
        <v>4.4444444444444446</v>
      </c>
      <c r="L3444" s="127">
        <f>Price_List_BA!P160</f>
        <v>5.1373542807241375</v>
      </c>
    </row>
    <row r="3445" spans="4:12" s="348" customFormat="1" ht="12.75" hidden="1" customHeight="1" outlineLevel="2" x14ac:dyDescent="0.2">
      <c r="D3445" s="785" t="str">
        <f>Price_List_BA!D161</f>
        <v>Non-conducting speculum (UG)</v>
      </c>
      <c r="E3445" s="786"/>
      <c r="F3445" s="786"/>
      <c r="G3445" s="786"/>
      <c r="J3445" s="127">
        <f>Price_List_BA!L161</f>
        <v>90</v>
      </c>
      <c r="K3445" s="127">
        <f>Price_List_BA!O161</f>
        <v>18</v>
      </c>
      <c r="L3445" s="127">
        <f>Price_List_BA!P161</f>
        <v>19.651911426051857</v>
      </c>
    </row>
    <row r="3446" spans="4:12" s="348" customFormat="1" ht="12.75" hidden="1" customHeight="1" outlineLevel="2" x14ac:dyDescent="0.2">
      <c r="D3446" s="785" t="str">
        <f>Price_List_BA!D162</f>
        <v>Nurses Table (ZM)</v>
      </c>
      <c r="E3446" s="786"/>
      <c r="F3446" s="786"/>
      <c r="G3446" s="786"/>
      <c r="J3446" s="127">
        <f>Price_List_BA!L162</f>
        <v>160</v>
      </c>
      <c r="K3446" s="127">
        <f>Price_List_BA!O162</f>
        <v>16</v>
      </c>
      <c r="L3446" s="127">
        <f>Price_List_BA!P162</f>
        <v>18.756881056825538</v>
      </c>
    </row>
    <row r="3447" spans="4:12" s="348" customFormat="1" ht="12.75" hidden="1" customHeight="1" outlineLevel="2" x14ac:dyDescent="0.2">
      <c r="D3447" s="785" t="str">
        <f>Price_List_BA!D163</f>
        <v>Pillow (ZM)</v>
      </c>
      <c r="E3447" s="786"/>
      <c r="F3447" s="786"/>
      <c r="G3447" s="786"/>
      <c r="J3447" s="127">
        <f>Price_List_BA!L163</f>
        <v>16</v>
      </c>
      <c r="K3447" s="127">
        <f>Price_List_BA!O163</f>
        <v>8</v>
      </c>
      <c r="L3447" s="127">
        <f>Price_List_BA!P163</f>
        <v>8.3617733990147833</v>
      </c>
    </row>
    <row r="3448" spans="4:12" s="348" customFormat="1" ht="12.75" hidden="1" customHeight="1" outlineLevel="2" x14ac:dyDescent="0.2">
      <c r="D3448" s="785" t="str">
        <f>Price_List_BA!D164</f>
        <v>Plastic apron (ZM)</v>
      </c>
      <c r="E3448" s="786"/>
      <c r="F3448" s="786"/>
      <c r="G3448" s="786"/>
      <c r="J3448" s="127">
        <f>Price_List_BA!L164</f>
        <v>5</v>
      </c>
      <c r="K3448" s="127">
        <f>Price_List_BA!O164</f>
        <v>1.6666666666666667</v>
      </c>
      <c r="L3448" s="127">
        <f>Price_List_BA!P164</f>
        <v>1.7676518166229902</v>
      </c>
    </row>
    <row r="3449" spans="4:12" s="348" customFormat="1" ht="12.75" hidden="1" customHeight="1" outlineLevel="2" x14ac:dyDescent="0.2">
      <c r="D3449" s="785" t="str">
        <f>Price_List_BA!D165</f>
        <v>Plastic apron  (TZ)</v>
      </c>
      <c r="E3449" s="786"/>
      <c r="F3449" s="786"/>
      <c r="G3449" s="786"/>
      <c r="J3449" s="127">
        <f>Price_List_BA!L165</f>
        <v>10.625</v>
      </c>
      <c r="K3449" s="127">
        <f>Price_List_BA!O165</f>
        <v>1.1805555555555556</v>
      </c>
      <c r="L3449" s="127">
        <f>Price_List_BA!P165</f>
        <v>1.364609730817349</v>
      </c>
    </row>
    <row r="3450" spans="4:12" s="348" customFormat="1" ht="12.75" hidden="1" customHeight="1" outlineLevel="2" x14ac:dyDescent="0.2">
      <c r="D3450" s="785" t="str">
        <f>Price_List_BA!D166</f>
        <v>Privacy screen (portable) (ZM)</v>
      </c>
      <c r="E3450" s="786"/>
      <c r="F3450" s="786"/>
      <c r="G3450" s="786"/>
      <c r="J3450" s="127">
        <f>Price_List_BA!L166</f>
        <v>18</v>
      </c>
      <c r="K3450" s="127">
        <f>Price_List_BA!O166</f>
        <v>2.5714285714285716</v>
      </c>
      <c r="L3450" s="127">
        <f>Price_List_BA!P166</f>
        <v>2.8891143675768967</v>
      </c>
    </row>
    <row r="3451" spans="4:12" s="348" customFormat="1" ht="12.75" hidden="1" customHeight="1" outlineLevel="2" x14ac:dyDescent="0.2">
      <c r="D3451" s="785" t="str">
        <f>Price_List_BA!D167</f>
        <v>Privacy screen (portable) (TZ)</v>
      </c>
      <c r="E3451" s="786"/>
      <c r="F3451" s="786"/>
      <c r="G3451" s="786"/>
      <c r="J3451" s="127">
        <f>Price_List_BA!L167</f>
        <v>106.25</v>
      </c>
      <c r="K3451" s="127">
        <f>Price_List_BA!O167</f>
        <v>53.125</v>
      </c>
      <c r="L3451" s="127">
        <f>Price_List_BA!P167</f>
        <v>55.527401477832541</v>
      </c>
    </row>
    <row r="3452" spans="4:12" s="348" customFormat="1" ht="12.75" hidden="1" customHeight="1" outlineLevel="2" x14ac:dyDescent="0.2">
      <c r="D3452" s="785" t="str">
        <f>Price_List_BA!D168</f>
        <v>Punch Biopsy Forceps  Titanium 10" (ZM)</v>
      </c>
      <c r="E3452" s="786"/>
      <c r="F3452" s="786"/>
      <c r="G3452" s="786"/>
      <c r="J3452" s="127">
        <f>Price_List_BA!L168</f>
        <v>215</v>
      </c>
      <c r="K3452" s="127">
        <f>Price_List_BA!O168</f>
        <v>53.75</v>
      </c>
      <c r="L3452" s="127">
        <f>Price_List_BA!P168</f>
        <v>57.840814716512753</v>
      </c>
    </row>
    <row r="3453" spans="4:12" s="348" customFormat="1" ht="12.75" hidden="1" customHeight="1" outlineLevel="2" x14ac:dyDescent="0.2">
      <c r="D3453" s="785" t="str">
        <f>Price_List_BA!D169</f>
        <v>Punch Biopsy Forceps (UG)</v>
      </c>
      <c r="E3453" s="786"/>
      <c r="F3453" s="786"/>
      <c r="G3453" s="786"/>
      <c r="J3453" s="127">
        <f>Price_List_BA!L169</f>
        <v>195</v>
      </c>
      <c r="K3453" s="127">
        <f>Price_List_BA!O169</f>
        <v>48.75</v>
      </c>
      <c r="L3453" s="127">
        <f>Price_List_BA!P169</f>
        <v>52.460273812651103</v>
      </c>
    </row>
    <row r="3454" spans="4:12" s="348" customFormat="1" ht="12.75" hidden="1" customHeight="1" outlineLevel="2" x14ac:dyDescent="0.2">
      <c r="D3454" s="785" t="str">
        <f>Price_List_BA!D170</f>
        <v>Radiotherapy Machine - intra-cavity ( internal)  (TZ)</v>
      </c>
      <c r="E3454" s="786"/>
      <c r="F3454" s="786"/>
      <c r="G3454" s="786"/>
      <c r="J3454" s="127">
        <f>Price_List_BA!L170</f>
        <v>125000</v>
      </c>
      <c r="K3454" s="127">
        <f>Price_List_BA!O170</f>
        <v>31250</v>
      </c>
      <c r="L3454" s="127">
        <f>Price_List_BA!P170</f>
        <v>33628.380649135324</v>
      </c>
    </row>
    <row r="3455" spans="4:12" s="348" customFormat="1" ht="12.75" hidden="1" customHeight="1" outlineLevel="2" x14ac:dyDescent="0.2">
      <c r="D3455" s="785" t="str">
        <f>Price_List_BA!D171</f>
        <v>Radiotherapy Machine - teletherapy (external) Cobalt-60  (TZ)</v>
      </c>
      <c r="E3455" s="786"/>
      <c r="F3455" s="786"/>
      <c r="G3455" s="786"/>
      <c r="J3455" s="127">
        <f>Price_List_BA!L171</f>
        <v>625000</v>
      </c>
      <c r="K3455" s="127">
        <f>Price_List_BA!O171</f>
        <v>78125</v>
      </c>
      <c r="L3455" s="127">
        <f>Price_List_BA!P171</f>
        <v>89035.243017024535</v>
      </c>
    </row>
    <row r="3456" spans="4:12" s="348" customFormat="1" ht="12.75" hidden="1" customHeight="1" outlineLevel="2" x14ac:dyDescent="0.2">
      <c r="D3456" s="785" t="str">
        <f>Price_List_BA!D172</f>
        <v>Radiotherapy Treatment Couch  (TZ)</v>
      </c>
      <c r="E3456" s="786"/>
      <c r="F3456" s="786"/>
      <c r="G3456" s="786"/>
      <c r="J3456" s="127">
        <f>Price_List_BA!L172</f>
        <v>93750</v>
      </c>
      <c r="K3456" s="127">
        <f>Price_List_BA!O172</f>
        <v>18750</v>
      </c>
      <c r="L3456" s="127">
        <f>Price_List_BA!P172</f>
        <v>20470.741068804018</v>
      </c>
    </row>
    <row r="3457" spans="4:12" s="348" customFormat="1" ht="12.75" hidden="1" customHeight="1" outlineLevel="2" x14ac:dyDescent="0.2">
      <c r="D3457" s="785" t="str">
        <f>Price_List_BA!D173</f>
        <v>Registration book, patient  (TZ)</v>
      </c>
      <c r="E3457" s="786"/>
      <c r="F3457" s="786"/>
      <c r="G3457" s="786"/>
      <c r="J3457" s="127">
        <f>Price_List_BA!L173</f>
        <v>2.1875</v>
      </c>
      <c r="K3457" s="127">
        <f>Price_List_BA!O173</f>
        <v>0.24305555555555555</v>
      </c>
      <c r="L3457" s="127">
        <f>Price_List_BA!P173</f>
        <v>0.28094906222710125</v>
      </c>
    </row>
    <row r="3458" spans="4:12" s="348" customFormat="1" hidden="1" outlineLevel="2" x14ac:dyDescent="0.2">
      <c r="D3458" s="785" t="str">
        <f>Price_List_BA!D174</f>
        <v>Retractor 3.5" Coated Lateral Wall (ZM)</v>
      </c>
      <c r="E3458" s="786"/>
      <c r="F3458" s="786"/>
      <c r="G3458" s="786"/>
      <c r="J3458" s="127">
        <f>Price_List_BA!L174</f>
        <v>165</v>
      </c>
      <c r="K3458" s="127">
        <f>Price_List_BA!O174</f>
        <v>33</v>
      </c>
      <c r="L3458" s="127">
        <f>Price_List_BA!P174</f>
        <v>36.028504281095074</v>
      </c>
    </row>
    <row r="3459" spans="4:12" s="348" customFormat="1" hidden="1" outlineLevel="2" x14ac:dyDescent="0.2">
      <c r="D3459" s="785" t="str">
        <f>Price_List_BA!D175</f>
        <v>Smoke evacuator (UG)</v>
      </c>
      <c r="E3459" s="786"/>
      <c r="F3459" s="786"/>
      <c r="G3459" s="786"/>
      <c r="J3459" s="127">
        <f>Price_List_BA!L175</f>
        <v>1990</v>
      </c>
      <c r="K3459" s="127">
        <f>Price_List_BA!O175</f>
        <v>497.5</v>
      </c>
      <c r="L3459" s="127">
        <f>Price_List_BA!P175</f>
        <v>535.36381993423436</v>
      </c>
    </row>
    <row r="3460" spans="4:12" s="348" customFormat="1" hidden="1" outlineLevel="2" x14ac:dyDescent="0.2">
      <c r="D3460" s="785" t="str">
        <f>Price_List_BA!D176</f>
        <v>Specimen Tube rack  (TZ)</v>
      </c>
      <c r="E3460" s="786"/>
      <c r="F3460" s="786"/>
      <c r="G3460" s="786"/>
      <c r="J3460" s="127">
        <f>Price_List_BA!L176</f>
        <v>10</v>
      </c>
      <c r="K3460" s="127">
        <f>Price_List_BA!O176</f>
        <v>5</v>
      </c>
      <c r="L3460" s="127">
        <f>Price_List_BA!P176</f>
        <v>5.2261083743842391</v>
      </c>
    </row>
    <row r="3461" spans="4:12" s="348" customFormat="1" hidden="1" outlineLevel="2" x14ac:dyDescent="0.2">
      <c r="D3461" s="785" t="str">
        <f>Price_List_BA!D177</f>
        <v>Speculum  (TZ)</v>
      </c>
      <c r="E3461" s="786"/>
      <c r="F3461" s="786"/>
      <c r="G3461" s="786"/>
      <c r="J3461" s="127">
        <f>Price_List_BA!L177</f>
        <v>18.75</v>
      </c>
      <c r="K3461" s="127">
        <f>Price_List_BA!O177</f>
        <v>1.875</v>
      </c>
      <c r="L3461" s="127">
        <f>Price_List_BA!P177</f>
        <v>2.1980719988467428</v>
      </c>
    </row>
    <row r="3462" spans="4:12" s="348" customFormat="1" hidden="1" outlineLevel="2" x14ac:dyDescent="0.2">
      <c r="D3462" s="785" t="str">
        <f>Price_List_BA!D178</f>
        <v>Speculum (reusable) (UG)</v>
      </c>
      <c r="E3462" s="786"/>
      <c r="F3462" s="786"/>
      <c r="G3462" s="786"/>
      <c r="J3462" s="127">
        <f>Price_List_BA!L178</f>
        <v>8.4809000000000001</v>
      </c>
      <c r="K3462" s="127">
        <f>Price_List_BA!O178</f>
        <v>0.94232222222222228</v>
      </c>
      <c r="L3462" s="127">
        <f>Price_List_BA!P178</f>
        <v>1.0892346979848335</v>
      </c>
    </row>
    <row r="3463" spans="4:12" s="348" customFormat="1" hidden="1" outlineLevel="2" x14ac:dyDescent="0.2">
      <c r="D3463" s="785" t="str">
        <f>Price_List_BA!D179</f>
        <v>Speculum (UG)</v>
      </c>
      <c r="E3463" s="786"/>
      <c r="F3463" s="786"/>
      <c r="G3463" s="786"/>
      <c r="J3463" s="127">
        <f>Price_List_BA!L179</f>
        <v>8.4809000000000001</v>
      </c>
      <c r="K3463" s="127">
        <f>Price_List_BA!O179</f>
        <v>1.0601125</v>
      </c>
      <c r="L3463" s="127">
        <f>Price_List_BA!P179</f>
        <v>1.2081583880049334</v>
      </c>
    </row>
    <row r="3464" spans="4:12" s="348" customFormat="1" hidden="1" outlineLevel="2" x14ac:dyDescent="0.2">
      <c r="D3464" s="785" t="str">
        <f>Price_List_BA!D180</f>
        <v>Speculum Graves' large  (ZM)</v>
      </c>
      <c r="E3464" s="786"/>
      <c r="F3464" s="786"/>
      <c r="G3464" s="786"/>
      <c r="J3464" s="127">
        <f>Price_List_BA!L180</f>
        <v>14</v>
      </c>
      <c r="K3464" s="127">
        <f>Price_List_BA!O180</f>
        <v>2.3333333333333335</v>
      </c>
      <c r="L3464" s="127">
        <f>Price_List_BA!P180</f>
        <v>2.5843650063024817</v>
      </c>
    </row>
    <row r="3465" spans="4:12" s="348" customFormat="1" hidden="1" outlineLevel="2" x14ac:dyDescent="0.2">
      <c r="D3465" s="785" t="str">
        <f>Price_List_BA!D181</f>
        <v>Speculum Graves' Medium (ZM)</v>
      </c>
      <c r="E3465" s="786"/>
      <c r="F3465" s="786"/>
      <c r="G3465" s="786"/>
      <c r="J3465" s="127">
        <f>Price_List_BA!L181</f>
        <v>14</v>
      </c>
      <c r="K3465" s="127">
        <f>Price_List_BA!O181</f>
        <v>2.3333333333333335</v>
      </c>
      <c r="L3465" s="127">
        <f>Price_List_BA!P181</f>
        <v>2.5843650063024817</v>
      </c>
    </row>
    <row r="3466" spans="4:12" s="348" customFormat="1" hidden="1" outlineLevel="2" x14ac:dyDescent="0.2">
      <c r="D3466" s="785" t="str">
        <f>Price_List_BA!D182</f>
        <v>Speculum  Graves'  Small (ZM)</v>
      </c>
      <c r="E3466" s="786"/>
      <c r="F3466" s="786"/>
      <c r="G3466" s="786"/>
      <c r="J3466" s="127">
        <f>Price_List_BA!L182</f>
        <v>14</v>
      </c>
      <c r="K3466" s="127">
        <f>Price_List_BA!O182</f>
        <v>4.666666666666667</v>
      </c>
      <c r="L3466" s="127">
        <f>Price_List_BA!P182</f>
        <v>4.9494250865443723</v>
      </c>
    </row>
    <row r="3467" spans="4:12" s="348" customFormat="1" ht="12.75" hidden="1" customHeight="1" outlineLevel="2" x14ac:dyDescent="0.2">
      <c r="D3467" s="785" t="str">
        <f>Price_List_BA!D183</f>
        <v>Speculum, endocervical (ZM)</v>
      </c>
      <c r="E3467" s="786"/>
      <c r="F3467" s="786"/>
      <c r="G3467" s="786"/>
      <c r="J3467" s="127">
        <f>Price_List_BA!L183</f>
        <v>50</v>
      </c>
      <c r="K3467" s="127">
        <f>Price_List_BA!O183</f>
        <v>16.666666666666668</v>
      </c>
      <c r="L3467" s="127">
        <f>Price_List_BA!P183</f>
        <v>17.676518166229901</v>
      </c>
    </row>
    <row r="3468" spans="4:12" s="348" customFormat="1" ht="12.75" hidden="1" customHeight="1" outlineLevel="2" x14ac:dyDescent="0.2">
      <c r="D3468" s="785" t="str">
        <f>Price_List_BA!D184</f>
        <v>Sponge holding forceps (UG)</v>
      </c>
      <c r="E3468" s="786"/>
      <c r="F3468" s="786"/>
      <c r="G3468" s="786"/>
      <c r="J3468" s="127">
        <f>Price_List_BA!L184</f>
        <v>8.1560000000000006</v>
      </c>
      <c r="K3468" s="127">
        <f>Price_List_BA!O184</f>
        <v>2.718666666666667</v>
      </c>
      <c r="L3468" s="127">
        <f>Price_List_BA!P184</f>
        <v>2.8833936432754217</v>
      </c>
    </row>
    <row r="3469" spans="4:12" s="348" customFormat="1" ht="12.75" hidden="1" customHeight="1" outlineLevel="2" x14ac:dyDescent="0.2">
      <c r="D3469" s="785" t="str">
        <f>Price_List_BA!D185</f>
        <v>Steel trolley (Two/three shelves) (ZM)</v>
      </c>
      <c r="E3469" s="786"/>
      <c r="F3469" s="786"/>
      <c r="G3469" s="786"/>
      <c r="J3469" s="127">
        <f>Price_List_BA!L185</f>
        <v>220</v>
      </c>
      <c r="K3469" s="127">
        <f>Price_List_BA!O185</f>
        <v>55</v>
      </c>
      <c r="L3469" s="127">
        <f>Price_List_BA!P185</f>
        <v>59.185949942478167</v>
      </c>
    </row>
    <row r="3470" spans="4:12" s="348" customFormat="1" ht="12.75" hidden="1" customHeight="1" outlineLevel="2" x14ac:dyDescent="0.2">
      <c r="D3470" s="785" t="str">
        <f>Price_List_BA!D186</f>
        <v>Step-on stool (ZM)</v>
      </c>
      <c r="E3470" s="786"/>
      <c r="F3470" s="786"/>
      <c r="G3470" s="786"/>
      <c r="J3470" s="127">
        <f>Price_List_BA!L186</f>
        <v>120</v>
      </c>
      <c r="K3470" s="127">
        <f>Price_List_BA!O186</f>
        <v>13.333333333333334</v>
      </c>
      <c r="L3470" s="127">
        <f>Price_List_BA!P186</f>
        <v>15.412062842172412</v>
      </c>
    </row>
    <row r="3471" spans="4:12" s="348" customFormat="1" ht="12.75" hidden="1" customHeight="1" outlineLevel="2" x14ac:dyDescent="0.2">
      <c r="D3471" s="785" t="str">
        <f>Price_List_BA!D187</f>
        <v>Sterilising Drum (ZM)</v>
      </c>
      <c r="E3471" s="786"/>
      <c r="F3471" s="786"/>
      <c r="G3471" s="786"/>
      <c r="J3471" s="127">
        <f>Price_List_BA!L187</f>
        <v>40</v>
      </c>
      <c r="K3471" s="127">
        <f>Price_List_BA!O187</f>
        <v>10</v>
      </c>
      <c r="L3471" s="127">
        <f>Price_List_BA!P187</f>
        <v>10.761081807723302</v>
      </c>
    </row>
    <row r="3472" spans="4:12" s="348" customFormat="1" ht="12.75" hidden="1" customHeight="1" outlineLevel="2" x14ac:dyDescent="0.2">
      <c r="D3472" s="785" t="str">
        <f>Price_List_BA!D188</f>
        <v>Sterilizer (UG)</v>
      </c>
      <c r="E3472" s="786"/>
      <c r="F3472" s="786"/>
      <c r="G3472" s="786"/>
      <c r="J3472" s="127">
        <f>Price_List_BA!L188</f>
        <v>1189.78</v>
      </c>
      <c r="K3472" s="127">
        <f>Price_List_BA!O188</f>
        <v>198.29666666666665</v>
      </c>
      <c r="L3472" s="127">
        <f>Price_List_BA!P188</f>
        <v>219.6304140856119</v>
      </c>
    </row>
    <row r="3473" spans="4:12" s="348" customFormat="1" ht="12.75" hidden="1" customHeight="1" outlineLevel="2" x14ac:dyDescent="0.2">
      <c r="D3473" s="785" t="str">
        <f>Price_List_BA!D189</f>
        <v>Television set (ZM)</v>
      </c>
      <c r="E3473" s="786"/>
      <c r="F3473" s="786"/>
      <c r="G3473" s="786"/>
      <c r="J3473" s="127">
        <f>Price_List_BA!L189</f>
        <v>200</v>
      </c>
      <c r="K3473" s="127">
        <f>Price_List_BA!O189</f>
        <v>66.666666666666671</v>
      </c>
      <c r="L3473" s="127">
        <f>Price_List_BA!P189</f>
        <v>70.706072664919603</v>
      </c>
    </row>
    <row r="3474" spans="4:12" s="348" customFormat="1" ht="12.75" hidden="1" customHeight="1" outlineLevel="2" x14ac:dyDescent="0.2">
      <c r="D3474" s="785" t="str">
        <f>Price_List_BA!D190</f>
        <v>Timer / wall clock (UG)</v>
      </c>
      <c r="E3474" s="786"/>
      <c r="F3474" s="786"/>
      <c r="G3474" s="786"/>
      <c r="J3474" s="127">
        <f>Price_List_BA!L190</f>
        <v>4.9939999999999998</v>
      </c>
      <c r="K3474" s="127">
        <f>Price_List_BA!O190</f>
        <v>1.2484999999999999</v>
      </c>
      <c r="L3474" s="127">
        <f>Price_List_BA!P190</f>
        <v>1.3435210636942543</v>
      </c>
    </row>
    <row r="3475" spans="4:12" s="348" customFormat="1" ht="12.75" hidden="1" customHeight="1" outlineLevel="2" x14ac:dyDescent="0.2">
      <c r="D3475" s="785" t="str">
        <f>Price_List_BA!D191</f>
        <v>Torch (UG)</v>
      </c>
      <c r="E3475" s="786"/>
      <c r="F3475" s="786"/>
      <c r="G3475" s="786"/>
      <c r="J3475" s="127">
        <f>Price_List_BA!L191</f>
        <v>39.595100000000002</v>
      </c>
      <c r="K3475" s="127">
        <f>Price_List_BA!O191</f>
        <v>4.3994555555555559</v>
      </c>
      <c r="L3475" s="127">
        <f>Price_List_BA!P191</f>
        <v>5.0853514120175074</v>
      </c>
    </row>
    <row r="3476" spans="4:12" s="348" customFormat="1" ht="12.75" hidden="1" customHeight="1" outlineLevel="2" x14ac:dyDescent="0.2">
      <c r="D3476" s="785" t="str">
        <f>Price_List_BA!D192</f>
        <v>Uterine Cervical Dilator (ZM)</v>
      </c>
      <c r="E3476" s="786"/>
      <c r="F3476" s="786"/>
      <c r="G3476" s="786"/>
      <c r="J3476" s="127">
        <f>Price_List_BA!L192</f>
        <v>30</v>
      </c>
      <c r="K3476" s="127">
        <f>Price_List_BA!O192</f>
        <v>4.2857142857142856</v>
      </c>
      <c r="L3476" s="127">
        <f>Price_List_BA!P192</f>
        <v>4.8151906126281609</v>
      </c>
    </row>
    <row r="3477" spans="4:12" s="348" customFormat="1" ht="12.75" hidden="1" customHeight="1" outlineLevel="2" x14ac:dyDescent="0.2">
      <c r="D3477" s="785" t="str">
        <f>Price_List_BA!D193</f>
        <v>Uterine Cervical Dilator  (TZ)</v>
      </c>
      <c r="E3477" s="786"/>
      <c r="F3477" s="786"/>
      <c r="G3477" s="786"/>
      <c r="J3477" s="127">
        <f>Price_List_BA!L193</f>
        <v>875</v>
      </c>
      <c r="K3477" s="127">
        <f>Price_List_BA!O193</f>
        <v>291.66666666666669</v>
      </c>
      <c r="L3477" s="127">
        <f>Price_List_BA!P193</f>
        <v>309.3390679090233</v>
      </c>
    </row>
    <row r="3478" spans="4:12" s="348" customFormat="1" ht="12.75" hidden="1" customHeight="1" outlineLevel="2" x14ac:dyDescent="0.2">
      <c r="D3478" s="785" t="str">
        <f>Price_List_BA!D194</f>
        <v>Uterine Probe (ZM)</v>
      </c>
      <c r="E3478" s="786"/>
      <c r="F3478" s="786"/>
      <c r="G3478" s="786"/>
      <c r="J3478" s="127">
        <f>Price_List_BA!L194</f>
        <v>46</v>
      </c>
      <c r="K3478" s="127">
        <f>Price_List_BA!O194</f>
        <v>5.1111111111111107</v>
      </c>
      <c r="L3478" s="127">
        <f>Price_List_BA!P194</f>
        <v>5.9079574228327578</v>
      </c>
    </row>
    <row r="3479" spans="4:12" s="348" customFormat="1" ht="12.75" hidden="1" customHeight="1" outlineLevel="2" x14ac:dyDescent="0.2">
      <c r="D3479" s="785" t="str">
        <f>Price_List_BA!D195</f>
        <v>Uterine Probe  (TZ)</v>
      </c>
      <c r="E3479" s="786"/>
      <c r="F3479" s="786"/>
      <c r="G3479" s="786"/>
      <c r="J3479" s="127">
        <f>Price_List_BA!L195</f>
        <v>43.75</v>
      </c>
      <c r="K3479" s="127">
        <f>Price_List_BA!O195</f>
        <v>4.8611111111111107</v>
      </c>
      <c r="L3479" s="127">
        <f>Price_List_BA!P195</f>
        <v>5.6189812445420255</v>
      </c>
    </row>
    <row r="3480" spans="4:12" s="348" customFormat="1" ht="12.75" hidden="1" customHeight="1" outlineLevel="2" x14ac:dyDescent="0.2">
      <c r="D3480" s="785" t="str">
        <f>Price_List_BA!D196</f>
        <v>Equipment Category 113</v>
      </c>
      <c r="E3480" s="786"/>
      <c r="F3480" s="786"/>
      <c r="G3480" s="786"/>
      <c r="J3480" s="127">
        <f>Price_List_BA!L196</f>
        <v>0</v>
      </c>
      <c r="K3480" s="127">
        <f>Price_List_BA!O196</f>
        <v>0</v>
      </c>
      <c r="L3480" s="127">
        <f>Price_List_BA!P196</f>
        <v>0</v>
      </c>
    </row>
    <row r="3481" spans="4:12" s="348" customFormat="1" ht="12.75" hidden="1" customHeight="1" outlineLevel="2" x14ac:dyDescent="0.2">
      <c r="D3481" s="785" t="str">
        <f>Price_List_BA!D197</f>
        <v>Equipment Category 114</v>
      </c>
      <c r="E3481" s="786"/>
      <c r="F3481" s="786"/>
      <c r="G3481" s="786"/>
      <c r="J3481" s="127">
        <f>Price_List_BA!L197</f>
        <v>0</v>
      </c>
      <c r="K3481" s="127">
        <f>Price_List_BA!O197</f>
        <v>0</v>
      </c>
      <c r="L3481" s="127">
        <f>Price_List_BA!P197</f>
        <v>0</v>
      </c>
    </row>
    <row r="3482" spans="4:12" s="348" customFormat="1" ht="12.75" hidden="1" customHeight="1" outlineLevel="2" x14ac:dyDescent="0.2">
      <c r="D3482" s="785" t="str">
        <f>Price_List_BA!D198</f>
        <v>Equipment Category 115</v>
      </c>
      <c r="E3482" s="786"/>
      <c r="F3482" s="786"/>
      <c r="G3482" s="786"/>
      <c r="J3482" s="127">
        <f>Price_List_BA!L198</f>
        <v>0</v>
      </c>
      <c r="K3482" s="127">
        <f>Price_List_BA!O198</f>
        <v>0</v>
      </c>
      <c r="L3482" s="127">
        <f>Price_List_BA!P198</f>
        <v>0</v>
      </c>
    </row>
    <row r="3483" spans="4:12" s="348" customFormat="1" ht="12.75" hidden="1" customHeight="1" outlineLevel="2" x14ac:dyDescent="0.2">
      <c r="D3483" s="785" t="str">
        <f>Price_List_BA!D199</f>
        <v>Equipment Category 116</v>
      </c>
      <c r="E3483" s="786"/>
      <c r="F3483" s="786"/>
      <c r="G3483" s="786"/>
      <c r="J3483" s="127">
        <f>Price_List_BA!L199</f>
        <v>0</v>
      </c>
      <c r="K3483" s="127">
        <f>Price_List_BA!O199</f>
        <v>0</v>
      </c>
      <c r="L3483" s="127">
        <f>Price_List_BA!P199</f>
        <v>0</v>
      </c>
    </row>
    <row r="3484" spans="4:12" s="348" customFormat="1" ht="12.75" hidden="1" customHeight="1" outlineLevel="2" x14ac:dyDescent="0.2">
      <c r="D3484" s="785" t="str">
        <f>Price_List_BA!D200</f>
        <v>Equipment Category 117</v>
      </c>
      <c r="E3484" s="786"/>
      <c r="F3484" s="786"/>
      <c r="G3484" s="786"/>
      <c r="J3484" s="127">
        <f>Price_List_BA!L200</f>
        <v>0</v>
      </c>
      <c r="K3484" s="127">
        <f>Price_List_BA!O200</f>
        <v>0</v>
      </c>
      <c r="L3484" s="127">
        <f>Price_List_BA!P200</f>
        <v>0</v>
      </c>
    </row>
    <row r="3485" spans="4:12" s="348" customFormat="1" ht="12.75" hidden="1" customHeight="1" outlineLevel="2" x14ac:dyDescent="0.2">
      <c r="D3485" s="785" t="str">
        <f>Price_List_BA!D201</f>
        <v>Equipment Category 118</v>
      </c>
      <c r="E3485" s="786"/>
      <c r="F3485" s="786"/>
      <c r="G3485" s="786"/>
      <c r="J3485" s="127">
        <f>Price_List_BA!L201</f>
        <v>0</v>
      </c>
      <c r="K3485" s="127">
        <f>Price_List_BA!O201</f>
        <v>0</v>
      </c>
      <c r="L3485" s="127">
        <f>Price_List_BA!P201</f>
        <v>0</v>
      </c>
    </row>
    <row r="3486" spans="4:12" s="348" customFormat="1" ht="12.75" hidden="1" customHeight="1" outlineLevel="2" x14ac:dyDescent="0.2">
      <c r="D3486" s="785" t="str">
        <f>Price_List_BA!D202</f>
        <v>Equipment Category 119</v>
      </c>
      <c r="E3486" s="786"/>
      <c r="F3486" s="786"/>
      <c r="G3486" s="786"/>
      <c r="J3486" s="127">
        <f>Price_List_BA!L202</f>
        <v>0</v>
      </c>
      <c r="K3486" s="127">
        <f>Price_List_BA!O202</f>
        <v>0</v>
      </c>
      <c r="L3486" s="127">
        <f>Price_List_BA!P202</f>
        <v>0</v>
      </c>
    </row>
    <row r="3487" spans="4:12" s="348" customFormat="1" ht="12.75" hidden="1" customHeight="1" outlineLevel="2" x14ac:dyDescent="0.2">
      <c r="D3487" s="785" t="str">
        <f>Price_List_BA!D203</f>
        <v>Equipment Category 120</v>
      </c>
      <c r="E3487" s="786"/>
      <c r="F3487" s="786"/>
      <c r="G3487" s="786"/>
      <c r="J3487" s="127">
        <f>Price_List_BA!L203</f>
        <v>0</v>
      </c>
      <c r="K3487" s="127">
        <f>Price_List_BA!O203</f>
        <v>0</v>
      </c>
      <c r="L3487" s="127">
        <f>Price_List_BA!P203</f>
        <v>0</v>
      </c>
    </row>
    <row r="3488" spans="4:12" s="348" customFormat="1" ht="12.75" hidden="1" customHeight="1" outlineLevel="2" x14ac:dyDescent="0.2">
      <c r="D3488" s="785" t="str">
        <f>Price_List_BA!D204</f>
        <v>Equipment Category 121</v>
      </c>
      <c r="E3488" s="786"/>
      <c r="F3488" s="786"/>
      <c r="G3488" s="786"/>
      <c r="J3488" s="127">
        <f>Price_List_BA!L204</f>
        <v>0</v>
      </c>
      <c r="K3488" s="127">
        <f>Price_List_BA!O204</f>
        <v>0</v>
      </c>
      <c r="L3488" s="127">
        <f>Price_List_BA!P204</f>
        <v>0</v>
      </c>
    </row>
    <row r="3489" spans="4:12" s="348" customFormat="1" ht="12.75" hidden="1" customHeight="1" outlineLevel="2" x14ac:dyDescent="0.2">
      <c r="D3489" s="785" t="str">
        <f>Price_List_BA!D205</f>
        <v>Equipment Category 122</v>
      </c>
      <c r="E3489" s="786"/>
      <c r="F3489" s="786"/>
      <c r="G3489" s="786"/>
      <c r="J3489" s="127">
        <f>Price_List_BA!L205</f>
        <v>0</v>
      </c>
      <c r="K3489" s="127">
        <f>Price_List_BA!O205</f>
        <v>0</v>
      </c>
      <c r="L3489" s="127">
        <f>Price_List_BA!P205</f>
        <v>0</v>
      </c>
    </row>
    <row r="3490" spans="4:12" s="348" customFormat="1" ht="12.75" hidden="1" customHeight="1" outlineLevel="2" x14ac:dyDescent="0.2">
      <c r="D3490" s="785" t="str">
        <f>Price_List_BA!D206</f>
        <v>Equipment Category 123</v>
      </c>
      <c r="E3490" s="786"/>
      <c r="F3490" s="786"/>
      <c r="G3490" s="786"/>
      <c r="J3490" s="127">
        <f>Price_List_BA!L206</f>
        <v>0</v>
      </c>
      <c r="K3490" s="127">
        <f>Price_List_BA!O206</f>
        <v>0</v>
      </c>
      <c r="L3490" s="127">
        <f>Price_List_BA!P206</f>
        <v>0</v>
      </c>
    </row>
    <row r="3491" spans="4:12" s="348" customFormat="1" hidden="1" outlineLevel="2" x14ac:dyDescent="0.2"/>
    <row r="3492" spans="4:12" s="348" customFormat="1" ht="25.5" hidden="1" outlineLevel="2" x14ac:dyDescent="0.2">
      <c r="D3492" s="667" t="s">
        <v>186</v>
      </c>
      <c r="L3492" s="312" t="str">
        <f>"Cost per Unit ("&amp;$I$3130&amp;"/Unit)"</f>
        <v>Cost per Unit (USD/Unit)</v>
      </c>
    </row>
    <row r="3493" spans="4:12" s="348" customFormat="1" ht="12.95" hidden="1" customHeight="1" outlineLevel="2" x14ac:dyDescent="0.2">
      <c r="D3493" s="785" t="str">
        <f>Price_List_BA!D381</f>
        <v>_Not Applicable</v>
      </c>
      <c r="E3493" s="786"/>
      <c r="F3493" s="786"/>
      <c r="G3493" s="786"/>
      <c r="L3493" s="127">
        <f>Price_List_BA!L381</f>
        <v>0</v>
      </c>
    </row>
    <row r="3494" spans="4:12" s="348" customFormat="1" ht="12.95" hidden="1" customHeight="1" outlineLevel="2" x14ac:dyDescent="0.2">
      <c r="D3494" s="785" t="str">
        <f>Price_List_BA!D382</f>
        <v>Biopsy Pathology (ZM)</v>
      </c>
      <c r="E3494" s="786"/>
      <c r="F3494" s="786"/>
      <c r="G3494" s="786"/>
      <c r="L3494" s="127">
        <f>Price_List_BA!L382</f>
        <v>10.45</v>
      </c>
    </row>
    <row r="3495" spans="4:12" s="348" customFormat="1" ht="12.95" hidden="1" customHeight="1" outlineLevel="2" x14ac:dyDescent="0.2">
      <c r="D3495" s="785" t="str">
        <f>Price_List_BA!D383</f>
        <v>Blood chemistry (TZ)</v>
      </c>
      <c r="E3495" s="786"/>
      <c r="F3495" s="786"/>
      <c r="G3495" s="786"/>
      <c r="L3495" s="127">
        <f>Price_List_BA!L383</f>
        <v>21.875</v>
      </c>
    </row>
    <row r="3496" spans="4:12" s="348" customFormat="1" ht="12.95" hidden="1" customHeight="1" outlineLevel="2" x14ac:dyDescent="0.2">
      <c r="D3496" s="785" t="str">
        <f>Price_List_BA!D384</f>
        <v>Blood slide for malaria (TZ)</v>
      </c>
      <c r="E3496" s="786"/>
      <c r="F3496" s="786"/>
      <c r="G3496" s="786"/>
      <c r="L3496" s="127">
        <f>Price_List_BA!L384</f>
        <v>1.25</v>
      </c>
    </row>
    <row r="3497" spans="4:12" s="348" customFormat="1" ht="12.95" hidden="1" customHeight="1" outlineLevel="2" x14ac:dyDescent="0.2">
      <c r="D3497" s="785" t="str">
        <f>Price_List_BA!D385</f>
        <v>CareHPV test (TZ)</v>
      </c>
      <c r="E3497" s="786"/>
      <c r="F3497" s="786"/>
      <c r="G3497" s="786"/>
      <c r="L3497" s="127">
        <f>Price_List_BA!L385</f>
        <v>5</v>
      </c>
    </row>
    <row r="3498" spans="4:12" s="348" customFormat="1" ht="12.95" hidden="1" customHeight="1" outlineLevel="2" x14ac:dyDescent="0.2">
      <c r="D3498" s="785" t="str">
        <f>Price_List_BA!D386</f>
        <v>Chest X-ray (ZM)</v>
      </c>
      <c r="E3498" s="786"/>
      <c r="F3498" s="786"/>
      <c r="G3498" s="786"/>
      <c r="L3498" s="127">
        <f>Price_List_BA!L386</f>
        <v>1.67</v>
      </c>
    </row>
    <row r="3499" spans="4:12" s="348" customFormat="1" ht="12.95" hidden="1" customHeight="1" outlineLevel="2" x14ac:dyDescent="0.2">
      <c r="D3499" s="785" t="str">
        <f>Price_List_BA!D387</f>
        <v>Chest x-ray (TZ)</v>
      </c>
      <c r="E3499" s="786"/>
      <c r="F3499" s="786"/>
      <c r="G3499" s="786"/>
      <c r="L3499" s="127">
        <f>Price_List_BA!L387</f>
        <v>3.75</v>
      </c>
    </row>
    <row r="3500" spans="4:12" s="348" customFormat="1" ht="12.95" hidden="1" customHeight="1" outlineLevel="2" x14ac:dyDescent="0.2">
      <c r="D3500" s="785" t="str">
        <f>Price_List_BA!D388</f>
        <v>Full Blood Count (ZM)</v>
      </c>
      <c r="E3500" s="786"/>
      <c r="F3500" s="786"/>
      <c r="G3500" s="786"/>
      <c r="L3500" s="127">
        <f>Price_List_BA!L388</f>
        <v>2.5</v>
      </c>
    </row>
    <row r="3501" spans="4:12" s="348" customFormat="1" ht="12.95" hidden="1" customHeight="1" outlineLevel="2" x14ac:dyDescent="0.2">
      <c r="D3501" s="785" t="str">
        <f>Price_List_BA!D389</f>
        <v>Full blood picture (TZ)</v>
      </c>
      <c r="E3501" s="786"/>
      <c r="F3501" s="786"/>
      <c r="G3501" s="786"/>
      <c r="L3501" s="127">
        <f>Price_List_BA!L389</f>
        <v>6.25</v>
      </c>
    </row>
    <row r="3502" spans="4:12" s="348" customFormat="1" ht="12.75" hidden="1" customHeight="1" outlineLevel="2" x14ac:dyDescent="0.2">
      <c r="D3502" s="785" t="str">
        <f>Price_List_BA!D390</f>
        <v>Grouping, X matching (TZ)</v>
      </c>
      <c r="E3502" s="786"/>
      <c r="F3502" s="786"/>
      <c r="G3502" s="786"/>
      <c r="L3502" s="127">
        <f>Price_List_BA!L390</f>
        <v>1.875</v>
      </c>
    </row>
    <row r="3503" spans="4:12" s="348" customFormat="1" ht="12.75" hidden="1" customHeight="1" outlineLevel="2" x14ac:dyDescent="0.2">
      <c r="D3503" s="785" t="str">
        <f>Price_List_BA!D391</f>
        <v>Haemoglobin (TZ)</v>
      </c>
      <c r="E3503" s="786"/>
      <c r="F3503" s="786"/>
      <c r="G3503" s="786"/>
      <c r="L3503" s="127">
        <f>Price_List_BA!L391</f>
        <v>0.625</v>
      </c>
    </row>
    <row r="3504" spans="4:12" s="348" customFormat="1" ht="12.75" hidden="1" customHeight="1" outlineLevel="2" x14ac:dyDescent="0.2">
      <c r="D3504" s="785" t="str">
        <f>Price_List_BA!D392</f>
        <v>Histopathology (TZ)</v>
      </c>
      <c r="E3504" s="786"/>
      <c r="F3504" s="786"/>
      <c r="G3504" s="786"/>
      <c r="L3504" s="127">
        <f>Price_List_BA!L392</f>
        <v>31.25</v>
      </c>
    </row>
    <row r="3505" spans="4:12" s="348" customFormat="1" ht="12.75" hidden="1" customHeight="1" outlineLevel="2" x14ac:dyDescent="0.2">
      <c r="D3505" s="785" t="str">
        <f>Price_List_BA!D393</f>
        <v>Home Care (Day) (TZ)</v>
      </c>
      <c r="E3505" s="786"/>
      <c r="F3505" s="786"/>
      <c r="G3505" s="786"/>
      <c r="L3505" s="127">
        <f>Price_List_BA!L393</f>
        <v>12.5</v>
      </c>
    </row>
    <row r="3506" spans="4:12" s="348" customFormat="1" ht="12.75" hidden="1" customHeight="1" outlineLevel="2" x14ac:dyDescent="0.2">
      <c r="D3506" s="785" t="str">
        <f>Price_List_BA!D394</f>
        <v>Hospital Stay (Bed Day) (TZ)</v>
      </c>
      <c r="E3506" s="786"/>
      <c r="F3506" s="786"/>
      <c r="G3506" s="786"/>
      <c r="L3506" s="127">
        <f>Price_List_BA!L394</f>
        <v>18.75</v>
      </c>
    </row>
    <row r="3507" spans="4:12" s="348" customFormat="1" ht="12.75" hidden="1" customHeight="1" outlineLevel="2" x14ac:dyDescent="0.2">
      <c r="D3507" s="785" t="str">
        <f>Price_List_BA!D395</f>
        <v>Hysterectomy Pathology (ZM)</v>
      </c>
      <c r="E3507" s="786"/>
      <c r="F3507" s="786"/>
      <c r="G3507" s="786"/>
      <c r="L3507" s="127">
        <f>Price_List_BA!L395</f>
        <v>135.77000000000001</v>
      </c>
    </row>
    <row r="3508" spans="4:12" s="348" customFormat="1" ht="12.75" hidden="1" customHeight="1" outlineLevel="2" x14ac:dyDescent="0.2">
      <c r="D3508" s="785" t="str">
        <f>Price_List_BA!D396</f>
        <v>LEEP Pathology (ZM)</v>
      </c>
      <c r="E3508" s="786"/>
      <c r="F3508" s="786"/>
      <c r="G3508" s="786"/>
      <c r="L3508" s="127">
        <f>Price_List_BA!L396</f>
        <v>62.66</v>
      </c>
    </row>
    <row r="3509" spans="4:12" s="348" customFormat="1" ht="12.75" hidden="1" customHeight="1" outlineLevel="2" x14ac:dyDescent="0.2">
      <c r="D3509" s="785" t="str">
        <f>Price_List_BA!D397</f>
        <v>Liver Function (ZM)</v>
      </c>
      <c r="E3509" s="786"/>
      <c r="F3509" s="786"/>
      <c r="G3509" s="786"/>
      <c r="L3509" s="127">
        <f>Price_List_BA!L397</f>
        <v>6.67</v>
      </c>
    </row>
    <row r="3510" spans="4:12" s="348" customFormat="1" ht="12.75" hidden="1" customHeight="1" outlineLevel="2" x14ac:dyDescent="0.2">
      <c r="D3510" s="785" t="str">
        <f>Price_List_BA!D398</f>
        <v>Planning x-ray (TZ)</v>
      </c>
      <c r="E3510" s="786"/>
      <c r="F3510" s="786"/>
      <c r="G3510" s="786"/>
      <c r="L3510" s="127">
        <f>Price_List_BA!L398</f>
        <v>3.75</v>
      </c>
    </row>
    <row r="3511" spans="4:12" s="348" customFormat="1" ht="12.75" hidden="1" customHeight="1" outlineLevel="2" x14ac:dyDescent="0.2">
      <c r="D3511" s="785" t="str">
        <f>Price_List_BA!D399</f>
        <v>Renal Function (ZM)</v>
      </c>
      <c r="E3511" s="786"/>
      <c r="F3511" s="786"/>
      <c r="G3511" s="786"/>
      <c r="L3511" s="127">
        <f>Price_List_BA!L399</f>
        <v>3.33</v>
      </c>
    </row>
    <row r="3512" spans="4:12" s="348" customFormat="1" ht="12.75" hidden="1" customHeight="1" outlineLevel="2" x14ac:dyDescent="0.2">
      <c r="D3512" s="785" t="str">
        <f>Price_List_BA!D400</f>
        <v>Ultrasound (ZM)</v>
      </c>
      <c r="E3512" s="786"/>
      <c r="F3512" s="786"/>
      <c r="G3512" s="786"/>
      <c r="L3512" s="127">
        <f>Price_List_BA!L400</f>
        <v>4.17</v>
      </c>
    </row>
    <row r="3513" spans="4:12" s="348" customFormat="1" ht="12.75" hidden="1" customHeight="1" outlineLevel="2" x14ac:dyDescent="0.2">
      <c r="D3513" s="785" t="str">
        <f>Price_List_BA!D401</f>
        <v>ultrasound (abdominal &amp; pelvic) (TZ)</v>
      </c>
      <c r="E3513" s="786"/>
      <c r="F3513" s="786"/>
      <c r="G3513" s="786"/>
      <c r="L3513" s="127">
        <f>Price_List_BA!L401</f>
        <v>15.625</v>
      </c>
    </row>
    <row r="3514" spans="4:12" s="348" customFormat="1" ht="12.75" hidden="1" customHeight="1" outlineLevel="2" x14ac:dyDescent="0.2">
      <c r="D3514" s="785" t="str">
        <f>Price_List_BA!D402</f>
        <v>Urine/stool test (TZ)</v>
      </c>
      <c r="E3514" s="786"/>
      <c r="F3514" s="786"/>
      <c r="G3514" s="786"/>
      <c r="L3514" s="127">
        <f>Price_List_BA!L402</f>
        <v>2.5</v>
      </c>
    </row>
    <row r="3515" spans="4:12" s="348" customFormat="1" ht="12.75" hidden="1" customHeight="1" outlineLevel="2" x14ac:dyDescent="0.2">
      <c r="D3515" s="785" t="str">
        <f>Price_List_BA!D403</f>
        <v>Lab Tests &amp; Other Direct Costs Category 23</v>
      </c>
      <c r="E3515" s="786"/>
      <c r="F3515" s="786"/>
      <c r="G3515" s="786"/>
      <c r="L3515" s="127">
        <f>Price_List_BA!L403</f>
        <v>0</v>
      </c>
    </row>
    <row r="3516" spans="4:12" s="348" customFormat="1" ht="12.95" hidden="1" customHeight="1" outlineLevel="2" x14ac:dyDescent="0.2">
      <c r="D3516" s="785" t="str">
        <f>Price_List_BA!D404</f>
        <v>Lab Tests &amp; Other Direct Costs Category 24</v>
      </c>
      <c r="E3516" s="786"/>
      <c r="F3516" s="786"/>
      <c r="G3516" s="786"/>
      <c r="L3516" s="127">
        <f>Price_List_BA!L404</f>
        <v>0</v>
      </c>
    </row>
    <row r="3517" spans="4:12" s="348" customFormat="1" ht="12.95" hidden="1" customHeight="1" outlineLevel="2" x14ac:dyDescent="0.2">
      <c r="D3517" s="785" t="str">
        <f>Price_List_BA!D405</f>
        <v>Lab Tests &amp; Other Direct Costs Category 25</v>
      </c>
      <c r="E3517" s="786"/>
      <c r="F3517" s="786"/>
      <c r="G3517" s="786"/>
      <c r="L3517" s="127">
        <f>Price_List_BA!L405</f>
        <v>0</v>
      </c>
    </row>
    <row r="3518" spans="4:12" s="348" customFormat="1" ht="12.95" hidden="1" customHeight="1" outlineLevel="2" x14ac:dyDescent="0.2">
      <c r="D3518" s="785" t="str">
        <f>Price_List_BA!D406</f>
        <v>Lab Tests &amp; Other Direct Costs Category 26</v>
      </c>
      <c r="E3518" s="786"/>
      <c r="F3518" s="786"/>
      <c r="G3518" s="786"/>
      <c r="L3518" s="127">
        <f>Price_List_BA!L406</f>
        <v>0</v>
      </c>
    </row>
    <row r="3519" spans="4:12" s="348" customFormat="1" ht="12.95" hidden="1" customHeight="1" outlineLevel="2" x14ac:dyDescent="0.2">
      <c r="D3519" s="785" t="str">
        <f>Price_List_BA!D407</f>
        <v>Lab Tests &amp; Other Direct Costs Category 27</v>
      </c>
      <c r="E3519" s="786"/>
      <c r="F3519" s="786"/>
      <c r="G3519" s="786"/>
      <c r="L3519" s="127">
        <f>Price_List_BA!L407</f>
        <v>0</v>
      </c>
    </row>
    <row r="3520" spans="4:12" s="348" customFormat="1" ht="12.95" hidden="1" customHeight="1" outlineLevel="2" x14ac:dyDescent="0.2">
      <c r="D3520" s="785" t="str">
        <f>Price_List_BA!D408</f>
        <v>Lab Tests &amp; Other Direct Costs Category 28</v>
      </c>
      <c r="E3520" s="786"/>
      <c r="F3520" s="786"/>
      <c r="G3520" s="786"/>
      <c r="L3520" s="127">
        <f>Price_List_BA!L408</f>
        <v>0</v>
      </c>
    </row>
    <row r="3521" spans="3:12" s="348" customFormat="1" ht="12.95" hidden="1" customHeight="1" outlineLevel="2" x14ac:dyDescent="0.2">
      <c r="D3521" s="785" t="str">
        <f>Price_List_BA!D409</f>
        <v>Lab Tests &amp; Other Direct Costs Category 29</v>
      </c>
      <c r="E3521" s="786"/>
      <c r="F3521" s="786"/>
      <c r="G3521" s="786"/>
      <c r="L3521" s="127">
        <f>Price_List_BA!L409</f>
        <v>0</v>
      </c>
    </row>
    <row r="3522" spans="3:12" s="348" customFormat="1" ht="12.95" hidden="1" customHeight="1" outlineLevel="2" x14ac:dyDescent="0.2">
      <c r="D3522" s="785" t="str">
        <f>Price_List_BA!D410</f>
        <v>Lab Tests &amp; Other Direct Costs Category 30</v>
      </c>
      <c r="E3522" s="786"/>
      <c r="F3522" s="786"/>
      <c r="G3522" s="786"/>
      <c r="L3522" s="127">
        <f>Price_List_BA!L410</f>
        <v>0</v>
      </c>
    </row>
    <row r="3523" spans="3:12" s="348" customFormat="1" ht="12.95" hidden="1" customHeight="1" outlineLevel="2" x14ac:dyDescent="0.2">
      <c r="D3523" s="785" t="str">
        <f>Price_List_BA!D411</f>
        <v>Lab Tests &amp; Other Direct Costs Category 31</v>
      </c>
      <c r="E3523" s="786"/>
      <c r="F3523" s="786"/>
      <c r="G3523" s="786"/>
      <c r="L3523" s="127">
        <f>Price_List_BA!L411</f>
        <v>0</v>
      </c>
    </row>
    <row r="3524" spans="3:12" s="348" customFormat="1" ht="12.75" hidden="1" customHeight="1" outlineLevel="2" x14ac:dyDescent="0.2">
      <c r="D3524" s="785" t="str">
        <f>Price_List_BA!D412</f>
        <v>Lab Tests &amp; Other Direct Costs Category 32</v>
      </c>
      <c r="E3524" s="786"/>
      <c r="F3524" s="786"/>
      <c r="G3524" s="786"/>
      <c r="L3524" s="127">
        <f>Price_List_BA!L412</f>
        <v>0</v>
      </c>
    </row>
    <row r="3525" spans="3:12" s="348" customFormat="1" ht="12.75" hidden="1" customHeight="1" outlineLevel="2" x14ac:dyDescent="0.2">
      <c r="D3525" s="785" t="str">
        <f>Price_List_BA!D413</f>
        <v>Last ODC Row</v>
      </c>
      <c r="E3525" s="786"/>
      <c r="F3525" s="786"/>
      <c r="G3525" s="786"/>
      <c r="L3525" s="127">
        <f>Price_List_BA!L413</f>
        <v>0</v>
      </c>
    </row>
    <row r="3526" spans="3:12" s="348" customFormat="1" hidden="1" outlineLevel="2" collapsed="1" x14ac:dyDescent="0.2"/>
    <row r="3527" spans="3:12" s="348" customFormat="1" hidden="1" outlineLevel="2" x14ac:dyDescent="0.2">
      <c r="D3527" s="671" t="s">
        <v>312</v>
      </c>
      <c r="I3527" s="130">
        <f>IF(ISERROR(SUM(U$3029:U$3036,U$3048:U$3050,U$3063:U$3065,U$3078:U$3080,U$3093:U$3103,U3130)),1,MIN(SUM(U$3029:U$3036,U$3048:U$3050,U$3063:U$3065,U$3078:U$3080,U$3093:U$3103,U3130),1))</f>
        <v>0</v>
      </c>
    </row>
    <row r="3528" spans="3:12" s="348" customFormat="1" collapsed="1" x14ac:dyDescent="0.2">
      <c r="C3528" s="671" t="s">
        <v>23</v>
      </c>
      <c r="I3528" s="131">
        <f>IF(ISERROR(SUM(I3527)),1,MIN(SUM(I3527),1))</f>
        <v>0</v>
      </c>
    </row>
    <row r="3529" spans="3:12" s="348" customFormat="1" x14ac:dyDescent="0.2"/>
    <row r="3530" spans="3:12" s="348" customFormat="1" x14ac:dyDescent="0.2">
      <c r="C3530" s="722" t="str">
        <f>"Go to "&amp;HL_Intv_6_Ann_Ass</f>
        <v>Go to Intervention Services - Annual Assumptions</v>
      </c>
      <c r="D3530" s="777"/>
      <c r="E3530" s="777"/>
      <c r="F3530" s="777"/>
      <c r="G3530" s="777"/>
      <c r="H3530" s="777"/>
      <c r="I3530" s="777"/>
    </row>
    <row r="3531" spans="3:12" s="348" customFormat="1" x14ac:dyDescent="0.2">
      <c r="C3531" s="722" t="str">
        <f>"Go to "&amp;HL_Intv_6_Out</f>
        <v>Go to Palliative Care</v>
      </c>
      <c r="D3531" s="777"/>
      <c r="E3531" s="777"/>
      <c r="F3531" s="777"/>
      <c r="G3531" s="777"/>
      <c r="H3531" s="777"/>
      <c r="I3531" s="777"/>
    </row>
  </sheetData>
  <sheetProtection password="F0F4" sheet="1" scenarios="1"/>
  <mergeCells count="3423">
    <mergeCell ref="D3307:G3307"/>
    <mergeCell ref="D355:G355"/>
    <mergeCell ref="D948:G948"/>
    <mergeCell ref="D2719:G2719"/>
    <mergeCell ref="D1535:G1535"/>
    <mergeCell ref="D2127:G2127"/>
    <mergeCell ref="D3304:G3304"/>
    <mergeCell ref="D356:G356"/>
    <mergeCell ref="D2720:G2720"/>
    <mergeCell ref="D2128:G2128"/>
    <mergeCell ref="D3305:G3305"/>
    <mergeCell ref="D1265:G1265"/>
    <mergeCell ref="H1265:I1265"/>
    <mergeCell ref="D1264:G1264"/>
    <mergeCell ref="H1264:I1264"/>
    <mergeCell ref="D1263:G1263"/>
    <mergeCell ref="H1263:I1263"/>
    <mergeCell ref="D3302:G3302"/>
    <mergeCell ref="D360:G360"/>
    <mergeCell ref="D954:G954"/>
    <mergeCell ref="D2728:G2728"/>
    <mergeCell ref="D1542:G1542"/>
    <mergeCell ref="D2135:G2135"/>
    <mergeCell ref="D359:G359"/>
    <mergeCell ref="D953:G953"/>
    <mergeCell ref="D2727:G2727"/>
    <mergeCell ref="D1541:G1541"/>
    <mergeCell ref="D2134:G2134"/>
    <mergeCell ref="D3301:G3301"/>
    <mergeCell ref="D358:G358"/>
    <mergeCell ref="D951:G951"/>
    <mergeCell ref="D2722:G2722"/>
    <mergeCell ref="D3253:G3253"/>
    <mergeCell ref="D323:G323"/>
    <mergeCell ref="D916:G916"/>
    <mergeCell ref="D2687:G2687"/>
    <mergeCell ref="D1503:G1503"/>
    <mergeCell ref="D2095:G2095"/>
    <mergeCell ref="D3272:G3272"/>
    <mergeCell ref="D336:G336"/>
    <mergeCell ref="D929:G929"/>
    <mergeCell ref="D2700:G2700"/>
    <mergeCell ref="D1516:G1516"/>
    <mergeCell ref="D2108:G2108"/>
    <mergeCell ref="D3285:G3285"/>
    <mergeCell ref="D353:G353"/>
    <mergeCell ref="D946:G946"/>
    <mergeCell ref="D2717:G2717"/>
    <mergeCell ref="D1533:G1533"/>
    <mergeCell ref="D2125:G2125"/>
    <mergeCell ref="D1241:I1241"/>
    <mergeCell ref="D1828:I1828"/>
    <mergeCell ref="D2420:I2420"/>
    <mergeCell ref="D3005:I3005"/>
    <mergeCell ref="D2735:G2735"/>
    <mergeCell ref="D2418:I2418"/>
    <mergeCell ref="D2743:G2743"/>
    <mergeCell ref="D1164:G1164"/>
    <mergeCell ref="D444:G444"/>
    <mergeCell ref="D1621:G1621"/>
    <mergeCell ref="D2213:G2213"/>
    <mergeCell ref="D3010:I3010"/>
    <mergeCell ref="D1925:G1925"/>
    <mergeCell ref="D3011:I3011"/>
    <mergeCell ref="D2657:G2657"/>
    <mergeCell ref="D1473:G1473"/>
    <mergeCell ref="D2065:G2065"/>
    <mergeCell ref="D3242:G3242"/>
    <mergeCell ref="D300:G300"/>
    <mergeCell ref="D893:G893"/>
    <mergeCell ref="D2664:G2664"/>
    <mergeCell ref="D1480:G1480"/>
    <mergeCell ref="D2072:G2072"/>
    <mergeCell ref="D3249:G3249"/>
    <mergeCell ref="D304:G304"/>
    <mergeCell ref="D897:G897"/>
    <mergeCell ref="D2668:G2668"/>
    <mergeCell ref="D1484:G1484"/>
    <mergeCell ref="D2076:G2076"/>
    <mergeCell ref="D966:G966"/>
    <mergeCell ref="D2737:G2737"/>
    <mergeCell ref="D1553:G1553"/>
    <mergeCell ref="D2145:G2145"/>
    <mergeCell ref="D1619:G1619"/>
    <mergeCell ref="D1538:G1538"/>
    <mergeCell ref="D409:G409"/>
    <mergeCell ref="D1002:G1002"/>
    <mergeCell ref="D2417:I2417"/>
    <mergeCell ref="D1244:I1244"/>
    <mergeCell ref="D392:G392"/>
    <mergeCell ref="D384:G384"/>
    <mergeCell ref="H1867:I1867"/>
    <mergeCell ref="H2454:I2454"/>
    <mergeCell ref="D1166:G1166"/>
    <mergeCell ref="D2413:I2413"/>
    <mergeCell ref="D2721:G2721"/>
    <mergeCell ref="D3371:G3371"/>
    <mergeCell ref="D730:G730"/>
    <mergeCell ref="O730:Q730"/>
    <mergeCell ref="D729:G729"/>
    <mergeCell ref="O729:Q729"/>
    <mergeCell ref="D728:G728"/>
    <mergeCell ref="O728:Q728"/>
    <mergeCell ref="D3456:G3456"/>
    <mergeCell ref="D491:G491"/>
    <mergeCell ref="D1087:G1087"/>
    <mergeCell ref="D2867:G2867"/>
    <mergeCell ref="D1677:G1677"/>
    <mergeCell ref="D2272:G2272"/>
    <mergeCell ref="D3455:G3455"/>
    <mergeCell ref="D490:G490"/>
    <mergeCell ref="D1086:G1086"/>
    <mergeCell ref="D2866:G2866"/>
    <mergeCell ref="D1676:G1676"/>
    <mergeCell ref="D2271:G2271"/>
    <mergeCell ref="D3454:G3454"/>
    <mergeCell ref="D1085:G1085"/>
    <mergeCell ref="D2865:G2865"/>
    <mergeCell ref="D1675:G1675"/>
    <mergeCell ref="D2270:G2270"/>
    <mergeCell ref="N711:P711"/>
    <mergeCell ref="D710:G710"/>
    <mergeCell ref="N710:P710"/>
    <mergeCell ref="H2457:I2457"/>
    <mergeCell ref="H3048:I3048"/>
    <mergeCell ref="H3049:I3049"/>
    <mergeCell ref="H2442:I2442"/>
    <mergeCell ref="K3012:N3012"/>
    <mergeCell ref="D3325:G3325"/>
    <mergeCell ref="D3348:G3348"/>
    <mergeCell ref="D3326:G3326"/>
    <mergeCell ref="D3364:G3364"/>
    <mergeCell ref="K3107:P3107"/>
    <mergeCell ref="K3109:P3109"/>
    <mergeCell ref="H3050:I3050"/>
    <mergeCell ref="K1286:P1286"/>
    <mergeCell ref="D1015:G1015"/>
    <mergeCell ref="D2786:G2786"/>
    <mergeCell ref="D1602:G1602"/>
    <mergeCell ref="D2194:G2194"/>
    <mergeCell ref="D372:G372"/>
    <mergeCell ref="D965:G965"/>
    <mergeCell ref="D2736:G2736"/>
    <mergeCell ref="D1552:G1552"/>
    <mergeCell ref="D2144:G2144"/>
    <mergeCell ref="D406:G406"/>
    <mergeCell ref="D999:G999"/>
    <mergeCell ref="D2770:G2770"/>
    <mergeCell ref="D1586:G1586"/>
    <mergeCell ref="D2178:G2178"/>
    <mergeCell ref="D3355:G3355"/>
    <mergeCell ref="D405:G405"/>
    <mergeCell ref="D3015:I3015"/>
    <mergeCell ref="D3007:I3007"/>
    <mergeCell ref="D3008:I3008"/>
    <mergeCell ref="D1551:G1551"/>
    <mergeCell ref="D2143:G2143"/>
    <mergeCell ref="D407:G407"/>
    <mergeCell ref="D1846:G1846"/>
    <mergeCell ref="H1846:I1846"/>
    <mergeCell ref="D3354:G3354"/>
    <mergeCell ref="D2744:G2744"/>
    <mergeCell ref="D2738:G2738"/>
    <mergeCell ref="D1300:G1300"/>
    <mergeCell ref="D377:G377"/>
    <mergeCell ref="D1078:G1078"/>
    <mergeCell ref="D2849:G2849"/>
    <mergeCell ref="L13:N13"/>
    <mergeCell ref="L591:N591"/>
    <mergeCell ref="L1184:N1184"/>
    <mergeCell ref="L1771:N1771"/>
    <mergeCell ref="L2363:N2363"/>
    <mergeCell ref="L2955:N2955"/>
    <mergeCell ref="D706:G706"/>
    <mergeCell ref="N706:P706"/>
    <mergeCell ref="D332:G332"/>
    <mergeCell ref="D925:G925"/>
    <mergeCell ref="D2696:G2696"/>
    <mergeCell ref="D1512:G1512"/>
    <mergeCell ref="D2104:G2104"/>
    <mergeCell ref="D3281:G3281"/>
    <mergeCell ref="D708:G708"/>
    <mergeCell ref="N708:P708"/>
    <mergeCell ref="D707:G707"/>
    <mergeCell ref="N707:P707"/>
    <mergeCell ref="D3351:G3351"/>
    <mergeCell ref="D3349:G3349"/>
    <mergeCell ref="K3015:N3015"/>
    <mergeCell ref="H101:I101"/>
    <mergeCell ref="H102:I102"/>
    <mergeCell ref="H679:I679"/>
    <mergeCell ref="H680:I680"/>
    <mergeCell ref="K3014:N3014"/>
    <mergeCell ref="K74:N74"/>
    <mergeCell ref="K651:N651"/>
    <mergeCell ref="K1244:N1244"/>
    <mergeCell ref="K1831:N1831"/>
    <mergeCell ref="K2423:N2423"/>
    <mergeCell ref="K645:N645"/>
    <mergeCell ref="K1238:N1238"/>
    <mergeCell ref="K1825:N1825"/>
    <mergeCell ref="K2417:N2417"/>
    <mergeCell ref="K3009:N3009"/>
    <mergeCell ref="K657:N657"/>
    <mergeCell ref="K81:N81"/>
    <mergeCell ref="K658:N658"/>
    <mergeCell ref="N1299:P1299"/>
    <mergeCell ref="N698:P698"/>
    <mergeCell ref="N705:P705"/>
    <mergeCell ref="N1293:P1293"/>
    <mergeCell ref="O1275:O1276"/>
    <mergeCell ref="N1275:N1276"/>
    <mergeCell ref="N709:P709"/>
    <mergeCell ref="K2418:N2418"/>
    <mergeCell ref="K3010:N3010"/>
    <mergeCell ref="N1926:P1926"/>
    <mergeCell ref="K1321:P1321"/>
    <mergeCell ref="N1925:P1925"/>
    <mergeCell ref="K648:N648"/>
    <mergeCell ref="K3005:N3005"/>
    <mergeCell ref="K161:P161"/>
    <mergeCell ref="K754:P754"/>
    <mergeCell ref="K1341:P1341"/>
    <mergeCell ref="K1933:P1933"/>
    <mergeCell ref="K2525:P2525"/>
    <mergeCell ref="K70:N70"/>
    <mergeCell ref="K647:N647"/>
    <mergeCell ref="K1240:N1240"/>
    <mergeCell ref="K1827:N1827"/>
    <mergeCell ref="K2419:N2419"/>
    <mergeCell ref="K2485:P2485"/>
    <mergeCell ref="K145:P145"/>
    <mergeCell ref="K2461:P2461"/>
    <mergeCell ref="K671:P671"/>
    <mergeCell ref="N2476:P2476"/>
    <mergeCell ref="N2475:P2475"/>
    <mergeCell ref="O2500:Q2500"/>
    <mergeCell ref="O2498:Q2498"/>
    <mergeCell ref="K2486:P2486"/>
    <mergeCell ref="O2497:Q2497"/>
    <mergeCell ref="K1247:N1247"/>
    <mergeCell ref="N695:P695"/>
    <mergeCell ref="N1298:P1298"/>
    <mergeCell ref="N1924:P1924"/>
    <mergeCell ref="K642:N642"/>
    <mergeCell ref="K73:N73"/>
    <mergeCell ref="K650:N650"/>
    <mergeCell ref="K1243:N1243"/>
    <mergeCell ref="K1830:N1830"/>
    <mergeCell ref="K2422:N2422"/>
    <mergeCell ref="K3007:N3007"/>
    <mergeCell ref="K3008:N3008"/>
    <mergeCell ref="K672:P672"/>
    <mergeCell ref="K1270:P1270"/>
    <mergeCell ref="K1861:P1861"/>
    <mergeCell ref="K2448:P2448"/>
    <mergeCell ref="K97:P97"/>
    <mergeCell ref="K93:P93"/>
    <mergeCell ref="K78:N78"/>
    <mergeCell ref="N2478:P2478"/>
    <mergeCell ref="O1909:Q1909"/>
    <mergeCell ref="N2469:P2469"/>
    <mergeCell ref="O1910:Q1910"/>
    <mergeCell ref="O1905:Q1905"/>
    <mergeCell ref="O1906:Q1906"/>
    <mergeCell ref="K1822:N1822"/>
    <mergeCell ref="K2414:N2414"/>
    <mergeCell ref="K1269:P1269"/>
    <mergeCell ref="K640:N640"/>
    <mergeCell ref="K1233:N1233"/>
    <mergeCell ref="K1820:N1820"/>
    <mergeCell ref="K2412:N2412"/>
    <mergeCell ref="O1313:Q1313"/>
    <mergeCell ref="O1315:Q1315"/>
    <mergeCell ref="K1866:M1866"/>
    <mergeCell ref="K1285:P1285"/>
    <mergeCell ref="K2421:N2421"/>
    <mergeCell ref="K717:P717"/>
    <mergeCell ref="K1306:P1306"/>
    <mergeCell ref="K2487:P2487"/>
    <mergeCell ref="K649:N649"/>
    <mergeCell ref="K1242:N1242"/>
    <mergeCell ref="K2523:P2523"/>
    <mergeCell ref="K127:P127"/>
    <mergeCell ref="K109:P109"/>
    <mergeCell ref="K688:P688"/>
    <mergeCell ref="K2464:P2464"/>
    <mergeCell ref="K69:N69"/>
    <mergeCell ref="K646:N646"/>
    <mergeCell ref="K1239:N1239"/>
    <mergeCell ref="K1826:N1826"/>
    <mergeCell ref="K2508:P2508"/>
    <mergeCell ref="K740:P740"/>
    <mergeCell ref="K80:N80"/>
    <mergeCell ref="K1918:P1918"/>
    <mergeCell ref="K1821:N1821"/>
    <mergeCell ref="N2477:P2477"/>
    <mergeCell ref="K2451:P2451"/>
    <mergeCell ref="K2488:P2488"/>
    <mergeCell ref="K71:N71"/>
    <mergeCell ref="K1828:N1828"/>
    <mergeCell ref="K2420:N2420"/>
    <mergeCell ref="K72:N72"/>
    <mergeCell ref="K1829:N1829"/>
    <mergeCell ref="K2413:N2413"/>
    <mergeCell ref="D2250:G2250"/>
    <mergeCell ref="D2252:G2252"/>
    <mergeCell ref="D1979:G1979"/>
    <mergeCell ref="K66:N66"/>
    <mergeCell ref="K643:N643"/>
    <mergeCell ref="K1236:N1236"/>
    <mergeCell ref="K1823:N1823"/>
    <mergeCell ref="K2415:N2415"/>
    <mergeCell ref="K67:N67"/>
    <mergeCell ref="K644:N644"/>
    <mergeCell ref="K1237:N1237"/>
    <mergeCell ref="K1824:N1824"/>
    <mergeCell ref="K2416:N2416"/>
    <mergeCell ref="K68:N68"/>
    <mergeCell ref="K159:P159"/>
    <mergeCell ref="K752:P752"/>
    <mergeCell ref="K1339:P1339"/>
    <mergeCell ref="K1931:P1931"/>
    <mergeCell ref="D2152:G2152"/>
    <mergeCell ref="D2179:G2179"/>
    <mergeCell ref="D967:G967"/>
    <mergeCell ref="D1554:G1554"/>
    <mergeCell ref="D2146:G2146"/>
    <mergeCell ref="D1297:G1297"/>
    <mergeCell ref="D374:G374"/>
    <mergeCell ref="D373:G373"/>
    <mergeCell ref="D1234:I1234"/>
    <mergeCell ref="D1821:I1821"/>
    <mergeCell ref="D293:G293"/>
    <mergeCell ref="D886:G886"/>
    <mergeCell ref="D411:G411"/>
    <mergeCell ref="D410:G410"/>
    <mergeCell ref="D2132:G2132"/>
    <mergeCell ref="D422:G422"/>
    <mergeCell ref="D403:G403"/>
    <mergeCell ref="D978:G978"/>
    <mergeCell ref="D2416:I2416"/>
    <mergeCell ref="D371:G371"/>
    <mergeCell ref="D964:G964"/>
    <mergeCell ref="D69:I69"/>
    <mergeCell ref="D646:I646"/>
    <mergeCell ref="D1239:I1239"/>
    <mergeCell ref="D1826:I1826"/>
    <mergeCell ref="D70:I70"/>
    <mergeCell ref="D647:I647"/>
    <mergeCell ref="D1240:I1240"/>
    <mergeCell ref="D71:I71"/>
    <mergeCell ref="D648:I648"/>
    <mergeCell ref="D379:G379"/>
    <mergeCell ref="D972:G972"/>
    <mergeCell ref="D1559:G1559"/>
    <mergeCell ref="D2151:G2151"/>
    <mergeCell ref="D1006:G1006"/>
    <mergeCell ref="D1070:G1070"/>
    <mergeCell ref="D72:I72"/>
    <mergeCell ref="D649:I649"/>
    <mergeCell ref="D1242:I1242"/>
    <mergeCell ref="D1829:I1829"/>
    <mergeCell ref="D73:I73"/>
    <mergeCell ref="D74:I74"/>
    <mergeCell ref="D651:I651"/>
    <mergeCell ref="D492:G492"/>
    <mergeCell ref="D1088:G1088"/>
    <mergeCell ref="D1678:G1678"/>
    <mergeCell ref="D2273:G2273"/>
    <mergeCell ref="D404:G404"/>
    <mergeCell ref="D997:G997"/>
    <mergeCell ref="D380:G380"/>
    <mergeCell ref="D3436:G3436"/>
    <mergeCell ref="D486:G486"/>
    <mergeCell ref="D413:G413"/>
    <mergeCell ref="D414:G414"/>
    <mergeCell ref="H2455:I2455"/>
    <mergeCell ref="D2130:G2130"/>
    <mergeCell ref="D1145:G1145"/>
    <mergeCell ref="H681:I681"/>
    <mergeCell ref="H1277:I1277"/>
    <mergeCell ref="H1278:I1278"/>
    <mergeCell ref="H1279:I1279"/>
    <mergeCell ref="H1868:I1868"/>
    <mergeCell ref="H1869:I1869"/>
    <mergeCell ref="H1870:I1870"/>
    <mergeCell ref="H2456:I2456"/>
    <mergeCell ref="D442:G442"/>
    <mergeCell ref="D436:G436"/>
    <mergeCell ref="D2458:G2458"/>
    <mergeCell ref="D812:G812"/>
    <mergeCell ref="D415:G415"/>
    <mergeCell ref="D446:G446"/>
    <mergeCell ref="D1754:G1754"/>
    <mergeCell ref="D2346:G2346"/>
    <mergeCell ref="D2456:G2456"/>
    <mergeCell ref="D1322:I1322"/>
    <mergeCell ref="D1917:I1917"/>
    <mergeCell ref="D856:G856"/>
    <mergeCell ref="D855:G855"/>
    <mergeCell ref="D854:G854"/>
    <mergeCell ref="D871:G871"/>
    <mergeCell ref="D1978:G1978"/>
    <mergeCell ref="D2133:G2133"/>
    <mergeCell ref="D3356:G3356"/>
    <mergeCell ref="D2773:G2773"/>
    <mergeCell ref="D1589:G1589"/>
    <mergeCell ref="D3499:G3499"/>
    <mergeCell ref="D3516:G3516"/>
    <mergeCell ref="D3500:G3500"/>
    <mergeCell ref="D3501:G3501"/>
    <mergeCell ref="D2181:G2181"/>
    <mergeCell ref="D408:G408"/>
    <mergeCell ref="D1001:G1001"/>
    <mergeCell ref="D2772:G2772"/>
    <mergeCell ref="D1588:G1588"/>
    <mergeCell ref="D2180:G2180"/>
    <mergeCell ref="D1000:G1000"/>
    <mergeCell ref="D2771:G2771"/>
    <mergeCell ref="D1587:G1587"/>
    <mergeCell ref="D3006:I3006"/>
    <mergeCell ref="D645:I645"/>
    <mergeCell ref="D1238:I1238"/>
    <mergeCell ref="D1825:I1825"/>
    <mergeCell ref="D970:G970"/>
    <mergeCell ref="D3428:G3428"/>
    <mergeCell ref="D3453:G3453"/>
    <mergeCell ref="D1665:G1665"/>
    <mergeCell ref="D2257:G2257"/>
    <mergeCell ref="D3434:G3434"/>
    <mergeCell ref="D1081:G1081"/>
    <mergeCell ref="D2852:G2852"/>
    <mergeCell ref="D1668:G1668"/>
    <mergeCell ref="D2260:G2260"/>
    <mergeCell ref="D3437:G3437"/>
    <mergeCell ref="D1080:G1080"/>
    <mergeCell ref="D3319:G3319"/>
    <mergeCell ref="D968:G968"/>
    <mergeCell ref="D2739:G2739"/>
    <mergeCell ref="D1555:G1555"/>
    <mergeCell ref="D3517:G3517"/>
    <mergeCell ref="D3320:G3320"/>
    <mergeCell ref="D3387:G3387"/>
    <mergeCell ref="D3493:G3493"/>
    <mergeCell ref="D3494:G3494"/>
    <mergeCell ref="D3495:G3495"/>
    <mergeCell ref="D3358:G3358"/>
    <mergeCell ref="D382:G382"/>
    <mergeCell ref="D975:G975"/>
    <mergeCell ref="D2746:G2746"/>
    <mergeCell ref="D1562:G1562"/>
    <mergeCell ref="D2154:G2154"/>
    <mergeCell ref="D381:G381"/>
    <mergeCell ref="D974:G974"/>
    <mergeCell ref="D2745:G2745"/>
    <mergeCell ref="D1561:G1561"/>
    <mergeCell ref="D2153:G2153"/>
    <mergeCell ref="D1583:G1583"/>
    <mergeCell ref="D2175:G2175"/>
    <mergeCell ref="D3352:G3352"/>
    <mergeCell ref="D402:G402"/>
    <mergeCell ref="D995:G995"/>
    <mergeCell ref="D2766:G2766"/>
    <mergeCell ref="D1582:G1582"/>
    <mergeCell ref="D386:G386"/>
    <mergeCell ref="D979:G979"/>
    <mergeCell ref="D2750:G2750"/>
    <mergeCell ref="D3357:G3357"/>
    <mergeCell ref="H3047:I3047"/>
    <mergeCell ref="D1299:G1299"/>
    <mergeCell ref="D3233:G3233"/>
    <mergeCell ref="D3232:G3232"/>
    <mergeCell ref="D3353:G3353"/>
    <mergeCell ref="D996:G996"/>
    <mergeCell ref="D2767:G2767"/>
    <mergeCell ref="D976:G976"/>
    <mergeCell ref="D2747:G2747"/>
    <mergeCell ref="D1563:G1563"/>
    <mergeCell ref="D3324:G3324"/>
    <mergeCell ref="D3350:G3350"/>
    <mergeCell ref="D400:G400"/>
    <mergeCell ref="D993:G993"/>
    <mergeCell ref="D2764:G2764"/>
    <mergeCell ref="D1580:G1580"/>
    <mergeCell ref="D2172:G2172"/>
    <mergeCell ref="D985:G985"/>
    <mergeCell ref="D3322:G3322"/>
    <mergeCell ref="D977:G977"/>
    <mergeCell ref="D2748:G2748"/>
    <mergeCell ref="D1564:G1564"/>
    <mergeCell ref="D2156:G2156"/>
    <mergeCell ref="D2174:G2174"/>
    <mergeCell ref="D1831:I1831"/>
    <mergeCell ref="D2423:I2423"/>
    <mergeCell ref="H678:I678"/>
    <mergeCell ref="H1276:I1276"/>
    <mergeCell ref="D969:G969"/>
    <mergeCell ref="D2740:G2740"/>
    <mergeCell ref="D1556:G1556"/>
    <mergeCell ref="D2148:G2148"/>
    <mergeCell ref="D3056:I3056"/>
    <mergeCell ref="D1039:G1039"/>
    <mergeCell ref="D2810:G2810"/>
    <mergeCell ref="D1626:G1626"/>
    <mergeCell ref="D2478:G2478"/>
    <mergeCell ref="D2464:I2464"/>
    <mergeCell ref="D3328:G3328"/>
    <mergeCell ref="D971:G971"/>
    <mergeCell ref="D2742:G2742"/>
    <mergeCell ref="D1558:G1558"/>
    <mergeCell ref="D2150:G2150"/>
    <mergeCell ref="D2768:G2768"/>
    <mergeCell ref="D1584:G1584"/>
    <mergeCell ref="D2176:G2176"/>
    <mergeCell ref="D2147:G2147"/>
    <mergeCell ref="D998:G998"/>
    <mergeCell ref="D2769:G2769"/>
    <mergeCell ref="D1585:G1585"/>
    <mergeCell ref="D2177:G2177"/>
    <mergeCell ref="D2868:G2868"/>
    <mergeCell ref="D2164:G2164"/>
    <mergeCell ref="D2925:G2925"/>
    <mergeCell ref="D1752:G1752"/>
    <mergeCell ref="D2155:G2155"/>
    <mergeCell ref="D1566:G1566"/>
    <mergeCell ref="D2158:G2158"/>
    <mergeCell ref="D2441:G2441"/>
    <mergeCell ref="D2749:G2749"/>
    <mergeCell ref="D1565:G1565"/>
    <mergeCell ref="D2157:G2157"/>
    <mergeCell ref="D2741:G2741"/>
    <mergeCell ref="D1557:G1557"/>
    <mergeCell ref="D2173:G2173"/>
    <mergeCell ref="D2160:G2160"/>
    <mergeCell ref="D2940:G2940"/>
    <mergeCell ref="D709:G709"/>
    <mergeCell ref="D711:G711"/>
    <mergeCell ref="D485:G485"/>
    <mergeCell ref="D487:G487"/>
    <mergeCell ref="D2259:G2259"/>
    <mergeCell ref="D2842:G2842"/>
    <mergeCell ref="D1838:I1838"/>
    <mergeCell ref="D2476:G2476"/>
    <mergeCell ref="D870:G870"/>
    <mergeCell ref="D875:G875"/>
    <mergeCell ref="D1864:I1864"/>
    <mergeCell ref="D2451:I2451"/>
    <mergeCell ref="D2733:G2733"/>
    <mergeCell ref="D2029:G2029"/>
    <mergeCell ref="D2622:G2622"/>
    <mergeCell ref="D2581:G2581"/>
    <mergeCell ref="D1572:G1572"/>
    <mergeCell ref="D1962:G1962"/>
    <mergeCell ref="D2024:G2024"/>
    <mergeCell ref="D489:G489"/>
    <mergeCell ref="D641:I641"/>
    <mergeCell ref="D2851:G2851"/>
    <mergeCell ref="D1667:G1667"/>
    <mergeCell ref="D859:G859"/>
    <mergeCell ref="D850:G850"/>
    <mergeCell ref="D643:I643"/>
    <mergeCell ref="D1236:I1236"/>
    <mergeCell ref="D1823:I1823"/>
    <mergeCell ref="D2415:I2415"/>
    <mergeCell ref="D2171:G2171"/>
    <mergeCell ref="D412:G412"/>
    <mergeCell ref="D1005:G1005"/>
    <mergeCell ref="D2776:G2776"/>
    <mergeCell ref="D1592:G1592"/>
    <mergeCell ref="D2184:G2184"/>
    <mergeCell ref="D3321:G3321"/>
    <mergeCell ref="D2440:G2440"/>
    <mergeCell ref="D2443:G2443"/>
    <mergeCell ref="D2442:G2442"/>
    <mergeCell ref="D981:G981"/>
    <mergeCell ref="D2752:G2752"/>
    <mergeCell ref="D1568:G1568"/>
    <mergeCell ref="D989:G989"/>
    <mergeCell ref="D2760:G2760"/>
    <mergeCell ref="D1576:G1576"/>
    <mergeCell ref="D2168:G2168"/>
    <mergeCell ref="D1459:G1459"/>
    <mergeCell ref="D980:G980"/>
    <mergeCell ref="D2751:G2751"/>
    <mergeCell ref="D1567:G1567"/>
    <mergeCell ref="D2159:G2159"/>
    <mergeCell ref="D982:G982"/>
    <mergeCell ref="D2753:G2753"/>
    <mergeCell ref="D1569:G1569"/>
    <mergeCell ref="D2161:G2161"/>
    <mergeCell ref="D2756:G2756"/>
    <mergeCell ref="D2841:G2841"/>
    <mergeCell ref="D3214:G3214"/>
    <mergeCell ref="D994:G994"/>
    <mergeCell ref="D2765:G2765"/>
    <mergeCell ref="D1581:G1581"/>
    <mergeCell ref="D3391:G3391"/>
    <mergeCell ref="D3521:G3521"/>
    <mergeCell ref="D3343:G3343"/>
    <mergeCell ref="D3316:G3316"/>
    <mergeCell ref="D3315:G3315"/>
    <mergeCell ref="D990:G990"/>
    <mergeCell ref="D851:G851"/>
    <mergeCell ref="D3345:G3345"/>
    <mergeCell ref="D3330:G3330"/>
    <mergeCell ref="D1458:G1458"/>
    <mergeCell ref="D1457:G1457"/>
    <mergeCell ref="D1003:G1003"/>
    <mergeCell ref="D2774:G2774"/>
    <mergeCell ref="D1590:G1590"/>
    <mergeCell ref="D2182:G2182"/>
    <mergeCell ref="D3359:G3359"/>
    <mergeCell ref="D3327:G3327"/>
    <mergeCell ref="D1753:G1753"/>
    <mergeCell ref="D1747:G1747"/>
    <mergeCell ref="D1748:G1748"/>
    <mergeCell ref="D1749:G1749"/>
    <mergeCell ref="D2048:G2048"/>
    <mergeCell ref="D1888:G1888"/>
    <mergeCell ref="D1995:G1995"/>
    <mergeCell ref="D3520:G3520"/>
    <mergeCell ref="D3398:G3398"/>
    <mergeCell ref="D3518:G3518"/>
    <mergeCell ref="D3519:G3519"/>
    <mergeCell ref="D3426:G3426"/>
    <mergeCell ref="D858:G858"/>
    <mergeCell ref="D853:G853"/>
    <mergeCell ref="D3392:G3392"/>
    <mergeCell ref="D3317:G3317"/>
    <mergeCell ref="D2775:G2775"/>
    <mergeCell ref="D1591:G1591"/>
    <mergeCell ref="D2183:G2183"/>
    <mergeCell ref="D2758:G2758"/>
    <mergeCell ref="D1574:G1574"/>
    <mergeCell ref="D2166:G2166"/>
    <mergeCell ref="D3332:G3332"/>
    <mergeCell ref="D2757:G2757"/>
    <mergeCell ref="D1573:G1573"/>
    <mergeCell ref="D2165:G2165"/>
    <mergeCell ref="D3331:G3331"/>
    <mergeCell ref="D2762:G2762"/>
    <mergeCell ref="D1578:G1578"/>
    <mergeCell ref="D2170:G2170"/>
    <mergeCell ref="D3347:G3347"/>
    <mergeCell ref="D3323:G3323"/>
    <mergeCell ref="D2755:G2755"/>
    <mergeCell ref="D2163:G2163"/>
    <mergeCell ref="D3329:G3329"/>
    <mergeCell ref="D3346:G3346"/>
    <mergeCell ref="D2924:G2924"/>
    <mergeCell ref="D1751:G1751"/>
    <mergeCell ref="D1595:G1595"/>
    <mergeCell ref="D2187:G2187"/>
    <mergeCell ref="D2142:G2142"/>
    <mergeCell ref="D3187:G3187"/>
    <mergeCell ref="D2806:G2806"/>
    <mergeCell ref="D3044:I3044"/>
    <mergeCell ref="D2342:G2342"/>
    <mergeCell ref="D2763:G2763"/>
    <mergeCell ref="D1579:G1579"/>
    <mergeCell ref="D3496:G3496"/>
    <mergeCell ref="D3497:G3497"/>
    <mergeCell ref="D3498:G3498"/>
    <mergeCell ref="D3393:G3393"/>
    <mergeCell ref="D571:G571"/>
    <mergeCell ref="D3189:G3189"/>
    <mergeCell ref="D2343:G2343"/>
    <mergeCell ref="D1593:G1593"/>
    <mergeCell ref="D2185:G2185"/>
    <mergeCell ref="D3362:G3362"/>
    <mergeCell ref="D1007:G1007"/>
    <mergeCell ref="D2778:G2778"/>
    <mergeCell ref="D1594:G1594"/>
    <mergeCell ref="D2186:G2186"/>
    <mergeCell ref="D716:I716"/>
    <mergeCell ref="D777:G777"/>
    <mergeCell ref="D747:G747"/>
    <mergeCell ref="D788:G788"/>
    <mergeCell ref="D778:G778"/>
    <mergeCell ref="H2441:I2441"/>
    <mergeCell ref="H2440:I2440"/>
    <mergeCell ref="H2443:I2443"/>
    <mergeCell ref="D572:G572"/>
    <mergeCell ref="D3397:G3397"/>
    <mergeCell ref="D863:G863"/>
    <mergeCell ref="D2723:G2723"/>
    <mergeCell ref="D3361:G3361"/>
    <mergeCell ref="D3396:G3396"/>
    <mergeCell ref="D1143:G1143"/>
    <mergeCell ref="D1144:G1144"/>
    <mergeCell ref="D1160:G1160"/>
    <mergeCell ref="D3394:G3394"/>
    <mergeCell ref="D2603:G2603"/>
    <mergeCell ref="D1419:G1419"/>
    <mergeCell ref="D3429:G3429"/>
    <mergeCell ref="D449:G449"/>
    <mergeCell ref="D1042:G1042"/>
    <mergeCell ref="D2813:G2813"/>
    <mergeCell ref="D1629:G1629"/>
    <mergeCell ref="D2221:G2221"/>
    <mergeCell ref="D2011:G2011"/>
    <mergeCell ref="D958:G958"/>
    <mergeCell ref="D952:G952"/>
    <mergeCell ref="D569:G569"/>
    <mergeCell ref="D570:G570"/>
    <mergeCell ref="D1137:G1137"/>
    <mergeCell ref="D1138:G1138"/>
    <mergeCell ref="D1139:G1139"/>
    <mergeCell ref="D1140:G1140"/>
    <mergeCell ref="D3395:G3395"/>
    <mergeCell ref="D477:G477"/>
    <mergeCell ref="D3188:G3188"/>
    <mergeCell ref="D2571:G2571"/>
    <mergeCell ref="D1387:G1387"/>
    <mergeCell ref="D3156:G3156"/>
    <mergeCell ref="D3427:G3427"/>
    <mergeCell ref="D479:G479"/>
    <mergeCell ref="D1072:G1072"/>
    <mergeCell ref="D2843:G2843"/>
    <mergeCell ref="D2251:G2251"/>
    <mergeCell ref="D545:G545"/>
    <mergeCell ref="D3110:I3110"/>
    <mergeCell ref="D3388:G3388"/>
    <mergeCell ref="D3314:G3314"/>
    <mergeCell ref="K3110:P3110"/>
    <mergeCell ref="D962:G962"/>
    <mergeCell ref="D961:G961"/>
    <mergeCell ref="D960:G960"/>
    <mergeCell ref="D959:G959"/>
    <mergeCell ref="D207:G207"/>
    <mergeCell ref="D800:G800"/>
    <mergeCell ref="D447:G447"/>
    <mergeCell ref="D1040:G1040"/>
    <mergeCell ref="D2811:G2811"/>
    <mergeCell ref="D1627:G1627"/>
    <mergeCell ref="D448:G448"/>
    <mergeCell ref="D1041:G1041"/>
    <mergeCell ref="D2812:G2812"/>
    <mergeCell ref="D1628:G1628"/>
    <mergeCell ref="D2344:G2344"/>
    <mergeCell ref="D264:G264"/>
    <mergeCell ref="D2320:G2320"/>
    <mergeCell ref="D480:G480"/>
    <mergeCell ref="D2844:G2844"/>
    <mergeCell ref="K3108:P3108"/>
    <mergeCell ref="D238:G238"/>
    <mergeCell ref="D831:G831"/>
    <mergeCell ref="D2602:G2602"/>
    <mergeCell ref="D1418:G1418"/>
    <mergeCell ref="D2010:G2010"/>
    <mergeCell ref="K1932:P1932"/>
    <mergeCell ref="K2524:P2524"/>
    <mergeCell ref="D949:G949"/>
    <mergeCell ref="D568:G568"/>
    <mergeCell ref="D1335:G1335"/>
    <mergeCell ref="K3089:P3089"/>
    <mergeCell ref="D2525:I2525"/>
    <mergeCell ref="D1161:G1161"/>
    <mergeCell ref="D1162:G1162"/>
    <mergeCell ref="D1163:G1163"/>
    <mergeCell ref="D544:G544"/>
    <mergeCell ref="D478:G478"/>
    <mergeCell ref="D1071:G1071"/>
    <mergeCell ref="D574:G574"/>
    <mergeCell ref="D1167:G1167"/>
    <mergeCell ref="D2797:G2797"/>
    <mergeCell ref="D1420:G1420"/>
    <mergeCell ref="D2463:I2463"/>
    <mergeCell ref="K1893:P1893"/>
    <mergeCell ref="D1339:I1339"/>
    <mergeCell ref="D2345:G2345"/>
    <mergeCell ref="D2169:G2169"/>
    <mergeCell ref="D2149:G2149"/>
    <mergeCell ref="D573:G573"/>
    <mergeCell ref="D1730:G1730"/>
    <mergeCell ref="D1731:G1731"/>
    <mergeCell ref="D1732:G1732"/>
    <mergeCell ref="D2042:G2042"/>
    <mergeCell ref="D2056:G2056"/>
    <mergeCell ref="D2448:I2448"/>
    <mergeCell ref="K1241:N1241"/>
    <mergeCell ref="D2419:I2419"/>
    <mergeCell ref="D642:I642"/>
    <mergeCell ref="D1235:I1235"/>
    <mergeCell ref="D1822:I1822"/>
    <mergeCell ref="D2414:I2414"/>
    <mergeCell ref="D2421:I2421"/>
    <mergeCell ref="D650:I650"/>
    <mergeCell ref="K3087:P3087"/>
    <mergeCell ref="K3071:P3071"/>
    <mergeCell ref="D3087:I3087"/>
    <mergeCell ref="K3056:P3056"/>
    <mergeCell ref="K3041:P3041"/>
    <mergeCell ref="D1724:G1724"/>
    <mergeCell ref="K3006:N3006"/>
    <mergeCell ref="K3011:N3011"/>
    <mergeCell ref="K3013:N3013"/>
    <mergeCell ref="D2321:G2321"/>
    <mergeCell ref="D2623:G2623"/>
    <mergeCell ref="D2604:G2604"/>
    <mergeCell ref="D2616:G2616"/>
    <mergeCell ref="D2617:G2617"/>
    <mergeCell ref="D2587:G2587"/>
    <mergeCell ref="D2519:G2519"/>
    <mergeCell ref="D1977:G1977"/>
    <mergeCell ref="D1855:G1855"/>
    <mergeCell ref="H1855:I1855"/>
    <mergeCell ref="D1856:G1856"/>
    <mergeCell ref="H1856:I1856"/>
    <mergeCell ref="D1924:G1924"/>
    <mergeCell ref="D1926:G1926"/>
    <mergeCell ref="D2524:I2524"/>
    <mergeCell ref="D2488:I2488"/>
    <mergeCell ref="D2508:I2508"/>
    <mergeCell ref="K1895:P1895"/>
    <mergeCell ref="D3072:I3072"/>
    <mergeCell ref="D2809:G2809"/>
    <mergeCell ref="D2570:G2570"/>
    <mergeCell ref="K3057:P3057"/>
    <mergeCell ref="D1933:I1933"/>
    <mergeCell ref="K2463:P2463"/>
    <mergeCell ref="D1445:G1445"/>
    <mergeCell ref="D1549:G1549"/>
    <mergeCell ref="D1540:G1540"/>
    <mergeCell ref="D1571:G1571"/>
    <mergeCell ref="D983:G983"/>
    <mergeCell ref="D1008:G1008"/>
    <mergeCell ref="D1004:G1004"/>
    <mergeCell ref="D862:G862"/>
    <mergeCell ref="D861:G861"/>
    <mergeCell ref="D860:G860"/>
    <mergeCell ref="K1323:P1323"/>
    <mergeCell ref="D1304:I1304"/>
    <mergeCell ref="D1453:G1453"/>
    <mergeCell ref="D1827:I1827"/>
    <mergeCell ref="C2362:I2362"/>
    <mergeCell ref="D1835:I1835"/>
    <mergeCell ref="D1440:G1440"/>
    <mergeCell ref="D1570:G1570"/>
    <mergeCell ref="D1341:I1341"/>
    <mergeCell ref="D1243:I1243"/>
    <mergeCell ref="D1830:I1830"/>
    <mergeCell ref="D2422:I2422"/>
    <mergeCell ref="D1340:I1340"/>
    <mergeCell ref="D2444:G2444"/>
    <mergeCell ref="D2200:G2200"/>
    <mergeCell ref="D1434:G1434"/>
    <mergeCell ref="D1623:G1623"/>
    <mergeCell ref="D1883:G1883"/>
    <mergeCell ref="D1599:G1599"/>
    <mergeCell ref="D1600:G1600"/>
    <mergeCell ref="D1601:G1601"/>
    <mergeCell ref="K1930:P1930"/>
    <mergeCell ref="D950:G950"/>
    <mergeCell ref="D868:G868"/>
    <mergeCell ref="D866:G866"/>
    <mergeCell ref="K1307:P1307"/>
    <mergeCell ref="K1896:P1896"/>
    <mergeCell ref="D754:I754"/>
    <mergeCell ref="K1235:N1235"/>
    <mergeCell ref="D1461:G1461"/>
    <mergeCell ref="D1435:G1435"/>
    <mergeCell ref="D1728:G1728"/>
    <mergeCell ref="D816:G816"/>
    <mergeCell ref="D1725:G1725"/>
    <mergeCell ref="D1905:G1905"/>
    <mergeCell ref="D1330:G1330"/>
    <mergeCell ref="D1329:G1329"/>
    <mergeCell ref="D1314:G1314"/>
    <mergeCell ref="D1315:G1315"/>
    <mergeCell ref="D1606:G1606"/>
    <mergeCell ref="D1334:G1334"/>
    <mergeCell ref="D1614:G1614"/>
    <mergeCell ref="D1414:G1414"/>
    <mergeCell ref="D832:G832"/>
    <mergeCell ref="D992:G992"/>
    <mergeCell ref="D1237:I1237"/>
    <mergeCell ref="D1824:I1824"/>
    <mergeCell ref="D973:G973"/>
    <mergeCell ref="D1560:G1560"/>
    <mergeCell ref="K1340:P1340"/>
    <mergeCell ref="K1916:P1916"/>
    <mergeCell ref="K1304:P1304"/>
    <mergeCell ref="K741:P741"/>
    <mergeCell ref="K1322:P1322"/>
    <mergeCell ref="D799:G799"/>
    <mergeCell ref="D1386:G1386"/>
    <mergeCell ref="D1142:G1142"/>
    <mergeCell ref="D752:I752"/>
    <mergeCell ref="D1543:G1543"/>
    <mergeCell ref="D1659:G1659"/>
    <mergeCell ref="D1462:G1462"/>
    <mergeCell ref="D1608:G1608"/>
    <mergeCell ref="D1610:G1610"/>
    <mergeCell ref="D1577:G1577"/>
    <mergeCell ref="D1455:G1455"/>
    <mergeCell ref="D794:G794"/>
    <mergeCell ref="D753:I753"/>
    <mergeCell ref="D849:G849"/>
    <mergeCell ref="D848:G848"/>
    <mergeCell ref="D847:G847"/>
    <mergeCell ref="K1305:P1305"/>
    <mergeCell ref="K1894:P1894"/>
    <mergeCell ref="D1165:G1165"/>
    <mergeCell ref="D984:G984"/>
    <mergeCell ref="K1280:M1280"/>
    <mergeCell ref="K751:P751"/>
    <mergeCell ref="K1338:P1338"/>
    <mergeCell ref="D3390:G3390"/>
    <mergeCell ref="D2804:G2804"/>
    <mergeCell ref="D2212:G2212"/>
    <mergeCell ref="D3389:G3389"/>
    <mergeCell ref="D2627:G2627"/>
    <mergeCell ref="D2035:G2035"/>
    <mergeCell ref="D3212:G3212"/>
    <mergeCell ref="D2034:G2034"/>
    <mergeCell ref="D2211:G2211"/>
    <mergeCell ref="D2210:G2210"/>
    <mergeCell ref="D2033:G2033"/>
    <mergeCell ref="D2031:G2031"/>
    <mergeCell ref="D2037:G2037"/>
    <mergeCell ref="D3108:I3108"/>
    <mergeCell ref="D3213:G3213"/>
    <mergeCell ref="D2136:G2136"/>
    <mergeCell ref="D3055:I3055"/>
    <mergeCell ref="D3057:I3057"/>
    <mergeCell ref="D2319:G2319"/>
    <mergeCell ref="D3313:G3313"/>
    <mergeCell ref="D3043:I3043"/>
    <mergeCell ref="D2162:G2162"/>
    <mergeCell ref="D3089:I3089"/>
    <mergeCell ref="D2426:I2426"/>
    <mergeCell ref="D2439:G2439"/>
    <mergeCell ref="D2427:I2427"/>
    <mergeCell ref="D2642:G2642"/>
    <mergeCell ref="D2754:G2754"/>
    <mergeCell ref="D3360:G3360"/>
    <mergeCell ref="D2485:I2485"/>
    <mergeCell ref="D2486:I2486"/>
    <mergeCell ref="D3070:I3070"/>
    <mergeCell ref="D2729:G2729"/>
    <mergeCell ref="D1545:G1545"/>
    <mergeCell ref="D2137:G2137"/>
    <mergeCell ref="D2718:G2718"/>
    <mergeCell ref="D1544:G1544"/>
    <mergeCell ref="D432:G432"/>
    <mergeCell ref="D2139:G2139"/>
    <mergeCell ref="D128:I128"/>
    <mergeCell ref="D718:I718"/>
    <mergeCell ref="D1307:I1307"/>
    <mergeCell ref="D1726:G1726"/>
    <mergeCell ref="D1727:G1727"/>
    <mergeCell ref="D1729:G1729"/>
    <mergeCell ref="D1895:I1895"/>
    <mergeCell ref="D2487:I2487"/>
    <mergeCell ref="D2055:G2055"/>
    <mergeCell ref="D2206:G2206"/>
    <mergeCell ref="D2012:G2012"/>
    <mergeCell ref="D1931:I1931"/>
    <mergeCell ref="D1930:I1930"/>
    <mergeCell ref="D365:G365"/>
    <mergeCell ref="D270:G270"/>
    <mergeCell ref="D1450:G1450"/>
    <mergeCell ref="D275:G275"/>
    <mergeCell ref="D147:I147"/>
    <mergeCell ref="D743:I743"/>
    <mergeCell ref="D1324:I1324"/>
    <mergeCell ref="D1141:G1141"/>
    <mergeCell ref="D1013:G1013"/>
    <mergeCell ref="D957:G957"/>
    <mergeCell ref="D956:G956"/>
    <mergeCell ref="D955:G955"/>
    <mergeCell ref="D3054:I3054"/>
    <mergeCell ref="D441:G441"/>
    <mergeCell ref="D440:G440"/>
    <mergeCell ref="D268:G268"/>
    <mergeCell ref="D240:G240"/>
    <mergeCell ref="D833:G833"/>
    <mergeCell ref="D146:I146"/>
    <mergeCell ref="D742:I742"/>
    <mergeCell ref="D1323:I1323"/>
    <mergeCell ref="D1918:I1918"/>
    <mergeCell ref="D144:I144"/>
    <mergeCell ref="D740:I740"/>
    <mergeCell ref="D2447:I2447"/>
    <mergeCell ref="D3040:I3040"/>
    <mergeCell ref="D2497:G2497"/>
    <mergeCell ref="D2498:G2498"/>
    <mergeCell ref="D435:G435"/>
    <mergeCell ref="D1438:G1438"/>
    <mergeCell ref="D1622:G1622"/>
    <mergeCell ref="D865:G865"/>
    <mergeCell ref="D864:G864"/>
    <mergeCell ref="D1247:I1247"/>
    <mergeCell ref="D1834:I1834"/>
    <mergeCell ref="D2635:G2635"/>
    <mergeCell ref="D1964:G1964"/>
    <mergeCell ref="D687:I687"/>
    <mergeCell ref="D1285:I1285"/>
    <mergeCell ref="D265:G265"/>
    <mergeCell ref="D1444:G1444"/>
    <mergeCell ref="D273:G273"/>
    <mergeCell ref="D717:I717"/>
    <mergeCell ref="D1306:I1306"/>
    <mergeCell ref="K3044:P3044"/>
    <mergeCell ref="K1860:P1860"/>
    <mergeCell ref="K2447:P2447"/>
    <mergeCell ref="D2140:G2140"/>
    <mergeCell ref="D685:I685"/>
    <mergeCell ref="D1283:I1283"/>
    <mergeCell ref="D1874:I1874"/>
    <mergeCell ref="D2461:I2461"/>
    <mergeCell ref="D2522:I2522"/>
    <mergeCell ref="D2634:G2634"/>
    <mergeCell ref="D2514:G2514"/>
    <mergeCell ref="I2545:J2545"/>
    <mergeCell ref="D269:G269"/>
    <mergeCell ref="D1989:G1989"/>
    <mergeCell ref="D2583:G2583"/>
    <mergeCell ref="D1397:G1397"/>
    <mergeCell ref="D1990:G1990"/>
    <mergeCell ref="D1870:G1870"/>
    <mergeCell ref="D1871:G1871"/>
    <mergeCell ref="D640:I640"/>
    <mergeCell ref="D1233:I1233"/>
    <mergeCell ref="D2202:G2202"/>
    <mergeCell ref="D654:I654"/>
    <mergeCell ref="D388:G388"/>
    <mergeCell ref="D431:G431"/>
    <mergeCell ref="D1456:G1456"/>
    <mergeCell ref="D366:G366"/>
    <mergeCell ref="D1546:G1546"/>
    <mergeCell ref="D2036:G2036"/>
    <mergeCell ref="D1038:G1038"/>
    <mergeCell ref="D1293:G1293"/>
    <mergeCell ref="D688:I688"/>
    <mergeCell ref="D1932:I1932"/>
    <mergeCell ref="D1442:G1442"/>
    <mergeCell ref="D2028:G2028"/>
    <mergeCell ref="D811:G811"/>
    <mergeCell ref="D1398:G1398"/>
    <mergeCell ref="D1448:G1448"/>
    <mergeCell ref="D1876:I1876"/>
    <mergeCell ref="D2044:G2044"/>
    <mergeCell ref="D443:G443"/>
    <mergeCell ref="D1286:I1286"/>
    <mergeCell ref="D1877:I1877"/>
    <mergeCell ref="D741:I741"/>
    <mergeCell ref="D1902:G1902"/>
    <mergeCell ref="D857:G857"/>
    <mergeCell ref="D367:G367"/>
    <mergeCell ref="D1321:I1321"/>
    <mergeCell ref="D1073:G1073"/>
    <mergeCell ref="D1625:G1625"/>
    <mergeCell ref="D1620:G1620"/>
    <mergeCell ref="D1443:G1443"/>
    <mergeCell ref="D546:G546"/>
    <mergeCell ref="D547:G547"/>
    <mergeCell ref="D548:G548"/>
    <mergeCell ref="D549:G549"/>
    <mergeCell ref="D550:G550"/>
    <mergeCell ref="D551:G551"/>
    <mergeCell ref="D552:G552"/>
    <mergeCell ref="D1298:G1298"/>
    <mergeCell ref="D751:I751"/>
    <mergeCell ref="D1338:I1338"/>
    <mergeCell ref="D987:G987"/>
    <mergeCell ref="D681:G681"/>
    <mergeCell ref="K3054:P3054"/>
    <mergeCell ref="D107:I107"/>
    <mergeCell ref="D686:I686"/>
    <mergeCell ref="D1284:I1284"/>
    <mergeCell ref="D1875:I1875"/>
    <mergeCell ref="D2462:I2462"/>
    <mergeCell ref="K107:P107"/>
    <mergeCell ref="K686:P686"/>
    <mergeCell ref="K1284:P1284"/>
    <mergeCell ref="K1875:P1875"/>
    <mergeCell ref="K2462:P2462"/>
    <mergeCell ref="D1750:G1750"/>
    <mergeCell ref="D2316:G2316"/>
    <mergeCell ref="D2317:G2317"/>
    <mergeCell ref="D2318:G2318"/>
    <mergeCell ref="K108:P108"/>
    <mergeCell ref="K1876:P1876"/>
    <mergeCell ref="K674:P674"/>
    <mergeCell ref="K1272:P1272"/>
    <mergeCell ref="K1863:P1863"/>
    <mergeCell ref="K2450:P2450"/>
    <mergeCell ref="D2509:I2509"/>
    <mergeCell ref="D1033:G1033"/>
    <mergeCell ref="D3012:I3012"/>
    <mergeCell ref="D3013:I3013"/>
    <mergeCell ref="D3014:I3014"/>
    <mergeCell ref="D2628:G2628"/>
    <mergeCell ref="D2637:G2637"/>
    <mergeCell ref="D2045:G2045"/>
    <mergeCell ref="D2636:G2636"/>
    <mergeCell ref="D2633:G2633"/>
    <mergeCell ref="D1449:G1449"/>
    <mergeCell ref="D1447:G1447"/>
    <mergeCell ref="D2039:G2039"/>
    <mergeCell ref="D266:G266"/>
    <mergeCell ref="D2630:G2630"/>
    <mergeCell ref="D1446:G1446"/>
    <mergeCell ref="D2038:G2038"/>
    <mergeCell ref="D2032:G2032"/>
    <mergeCell ref="D1451:G1451"/>
    <mergeCell ref="D2043:G2043"/>
    <mergeCell ref="D263:G263"/>
    <mergeCell ref="D1833:I1833"/>
    <mergeCell ref="D1269:I1269"/>
    <mergeCell ref="D792:G792"/>
    <mergeCell ref="D429:G429"/>
    <mergeCell ref="D277:G277"/>
    <mergeCell ref="D272:G272"/>
    <mergeCell ref="D1452:G1452"/>
    <mergeCell ref="D271:G271"/>
    <mergeCell ref="D368:G368"/>
    <mergeCell ref="D2477:G2477"/>
    <mergeCell ref="D430:G430"/>
    <mergeCell ref="D434:G434"/>
    <mergeCell ref="D276:G276"/>
    <mergeCell ref="D274:G274"/>
    <mergeCell ref="C590:I590"/>
    <mergeCell ref="D780:G780"/>
    <mergeCell ref="D695:G695"/>
    <mergeCell ref="D2051:G2051"/>
    <mergeCell ref="D675:I675"/>
    <mergeCell ref="D1273:I1273"/>
    <mergeCell ref="D1896:I1896"/>
    <mergeCell ref="D567:G567"/>
    <mergeCell ref="K1835:N1835"/>
    <mergeCell ref="D829:G829"/>
    <mergeCell ref="D1416:G1416"/>
    <mergeCell ref="D2008:G2008"/>
    <mergeCell ref="D1820:I1820"/>
    <mergeCell ref="D2412:I2412"/>
    <mergeCell ref="G2359:J2359"/>
    <mergeCell ref="K675:P675"/>
    <mergeCell ref="K1273:P1273"/>
    <mergeCell ref="D1021:G1021"/>
    <mergeCell ref="D827:G827"/>
    <mergeCell ref="D1436:G1436"/>
    <mergeCell ref="D876:G876"/>
    <mergeCell ref="D874:G874"/>
    <mergeCell ref="K1266:M1266"/>
    <mergeCell ref="D1266:G1266"/>
    <mergeCell ref="D867:G867"/>
    <mergeCell ref="D1280:G1280"/>
    <mergeCell ref="D986:G986"/>
    <mergeCell ref="D852:G852"/>
    <mergeCell ref="N1291:P1291"/>
    <mergeCell ref="D846:G846"/>
    <mergeCell ref="G1767:J1767"/>
    <mergeCell ref="D715:I715"/>
    <mergeCell ref="D1032:G1032"/>
    <mergeCell ref="D1270:I1270"/>
    <mergeCell ref="D1861:I1861"/>
    <mergeCell ref="D1909:G1909"/>
    <mergeCell ref="D1272:I1272"/>
    <mergeCell ref="D1863:I1863"/>
    <mergeCell ref="D1031:G1031"/>
    <mergeCell ref="D1618:G1618"/>
    <mergeCell ref="D3523:G3523"/>
    <mergeCell ref="D2785:G2785"/>
    <mergeCell ref="D1658:G1658"/>
    <mergeCell ref="D3334:G3334"/>
    <mergeCell ref="D3333:G3333"/>
    <mergeCell ref="D3363:G3363"/>
    <mergeCell ref="D75:I75"/>
    <mergeCell ref="D652:I652"/>
    <mergeCell ref="D1245:I1245"/>
    <mergeCell ref="D1832:I1832"/>
    <mergeCell ref="D2424:I2424"/>
    <mergeCell ref="D3016:I3016"/>
    <mergeCell ref="K75:N75"/>
    <mergeCell ref="K652:N652"/>
    <mergeCell ref="K1245:N1245"/>
    <mergeCell ref="K1832:N1832"/>
    <mergeCell ref="K2424:N2424"/>
    <mergeCell ref="K3016:N3016"/>
    <mergeCell ref="D76:I76"/>
    <mergeCell ref="D653:I653"/>
    <mergeCell ref="K76:N76"/>
    <mergeCell ref="K653:N653"/>
    <mergeCell ref="K1246:N1246"/>
    <mergeCell ref="K1833:N1833"/>
    <mergeCell ref="D2619:G2619"/>
    <mergeCell ref="D2640:G2640"/>
    <mergeCell ref="D2761:G2761"/>
    <mergeCell ref="D2724:G2724"/>
    <mergeCell ref="D3337:G3337"/>
    <mergeCell ref="D3336:G3336"/>
    <mergeCell ref="D3335:G3335"/>
    <mergeCell ref="D1028:G1028"/>
    <mergeCell ref="D3050:G3050"/>
    <mergeCell ref="D3051:G3051"/>
    <mergeCell ref="D2649:G2649"/>
    <mergeCell ref="D2582:G2582"/>
    <mergeCell ref="D2648:G2648"/>
    <mergeCell ref="D2324:G2324"/>
    <mergeCell ref="D2339:G2339"/>
    <mergeCell ref="D2340:G2340"/>
    <mergeCell ref="D2249:G2249"/>
    <mergeCell ref="D2457:G2457"/>
    <mergeCell ref="D3019:I3019"/>
    <mergeCell ref="D1972:G1972"/>
    <mergeCell ref="D2779:G2779"/>
    <mergeCell ref="D2129:G2129"/>
    <mergeCell ref="D3018:I3018"/>
    <mergeCell ref="D2006:G2006"/>
    <mergeCell ref="D2801:G2801"/>
    <mergeCell ref="D2557:G2557"/>
    <mergeCell ref="D2215:G2215"/>
    <mergeCell ref="D2629:G2629"/>
    <mergeCell ref="D2207:G2207"/>
    <mergeCell ref="D2599:G2599"/>
    <mergeCell ref="H3034:I3034"/>
    <mergeCell ref="D3021:I3021"/>
    <mergeCell ref="D1997:G1997"/>
    <mergeCell ref="D2098:G2098"/>
    <mergeCell ref="D2592:G2592"/>
    <mergeCell ref="D2589:G2589"/>
    <mergeCell ref="D2575:G2575"/>
    <mergeCell ref="D3041:I3041"/>
    <mergeCell ref="D2450:I2450"/>
    <mergeCell ref="D2802:G2802"/>
    <mergeCell ref="D2470:G2470"/>
    <mergeCell ref="D2306:G2306"/>
    <mergeCell ref="H2439:I2439"/>
    <mergeCell ref="D1605:G1605"/>
    <mergeCell ref="D1604:G1604"/>
    <mergeCell ref="D3009:I3009"/>
    <mergeCell ref="D3017:I3017"/>
    <mergeCell ref="D2548:G2548"/>
    <mergeCell ref="D2041:G2041"/>
    <mergeCell ref="D2507:I2507"/>
    <mergeCell ref="D2732:G2732"/>
    <mergeCell ref="D2731:G2731"/>
    <mergeCell ref="G2360:J2360"/>
    <mergeCell ref="D2022:G2022"/>
    <mergeCell ref="D2322:G2322"/>
    <mergeCell ref="D2323:G2323"/>
    <mergeCell ref="D2341:G2341"/>
    <mergeCell ref="C2353:I2353"/>
    <mergeCell ref="D2632:G2632"/>
    <mergeCell ref="D2726:G2726"/>
    <mergeCell ref="H2437:I2437"/>
    <mergeCell ref="H2438:I2438"/>
    <mergeCell ref="D2780:G2780"/>
    <mergeCell ref="D2803:G2803"/>
    <mergeCell ref="D2659:G2659"/>
    <mergeCell ref="D2572:G2572"/>
    <mergeCell ref="D2573:G2573"/>
    <mergeCell ref="D2777:G2777"/>
    <mergeCell ref="G2951:J2951"/>
    <mergeCell ref="G2952:J2952"/>
    <mergeCell ref="D2639:G2639"/>
    <mergeCell ref="D2631:G2631"/>
    <mergeCell ref="K3004:N3004"/>
    <mergeCell ref="D1437:G1437"/>
    <mergeCell ref="D2025:G2025"/>
    <mergeCell ref="N2470:P2470"/>
    <mergeCell ref="O2453:O2454"/>
    <mergeCell ref="D2455:G2455"/>
    <mergeCell ref="D845:G845"/>
    <mergeCell ref="D2730:G2730"/>
    <mergeCell ref="D2807:G2807"/>
    <mergeCell ref="D844:G844"/>
    <mergeCell ref="D843:G843"/>
    <mergeCell ref="D878:G878"/>
    <mergeCell ref="D2645:G2645"/>
    <mergeCell ref="D2643:G2643"/>
    <mergeCell ref="D877:G877"/>
    <mergeCell ref="K2428:N2428"/>
    <mergeCell ref="D2438:G2438"/>
    <mergeCell ref="O2435:O2436"/>
    <mergeCell ref="K2435:M2435"/>
    <mergeCell ref="D2218:G2218"/>
    <mergeCell ref="D1884:G1884"/>
    <mergeCell ref="N1884:P1884"/>
    <mergeCell ref="D1887:G1887"/>
    <mergeCell ref="K1857:M1857"/>
    <mergeCell ref="J1866:J1867"/>
    <mergeCell ref="D2615:G2615"/>
    <mergeCell ref="D2472:G2472"/>
    <mergeCell ref="D2518:G2518"/>
    <mergeCell ref="D2563:G2563"/>
    <mergeCell ref="D2564:G2564"/>
    <mergeCell ref="D1029:G1029"/>
    <mergeCell ref="D1251:I1251"/>
    <mergeCell ref="D2425:I2425"/>
    <mergeCell ref="D1433:G1433"/>
    <mergeCell ref="D1439:G1439"/>
    <mergeCell ref="D1454:G1454"/>
    <mergeCell ref="D2046:G2046"/>
    <mergeCell ref="D2551:G2551"/>
    <mergeCell ref="D1305:I1305"/>
    <mergeCell ref="D2560:G2560"/>
    <mergeCell ref="D1376:G1376"/>
    <mergeCell ref="O2499:Q2499"/>
    <mergeCell ref="N2473:P2473"/>
    <mergeCell ref="D2474:G2474"/>
    <mergeCell ref="N2474:P2474"/>
    <mergeCell ref="O1907:Q1907"/>
    <mergeCell ref="D1894:I1894"/>
    <mergeCell ref="D2600:G2600"/>
    <mergeCell ref="C1174:I1174"/>
    <mergeCell ref="D1328:G1328"/>
    <mergeCell ref="D1333:G1333"/>
    <mergeCell ref="K1283:P1283"/>
    <mergeCell ref="K1874:P1874"/>
    <mergeCell ref="K2427:N2427"/>
    <mergeCell ref="K2425:N2425"/>
    <mergeCell ref="K2458:M2458"/>
    <mergeCell ref="N2453:N2454"/>
    <mergeCell ref="D1379:G1379"/>
    <mergeCell ref="D1380:G1380"/>
    <mergeCell ref="D1603:G1603"/>
    <mergeCell ref="D1612:G1612"/>
    <mergeCell ref="D1596:G1596"/>
    <mergeCell ref="D2219:G2219"/>
    <mergeCell ref="D2437:G2437"/>
    <mergeCell ref="C1770:I1770"/>
    <mergeCell ref="K3022:N3022"/>
    <mergeCell ref="D2625:G2625"/>
    <mergeCell ref="D826:G826"/>
    <mergeCell ref="D2597:G2597"/>
    <mergeCell ref="D1413:G1413"/>
    <mergeCell ref="D2005:G2005"/>
    <mergeCell ref="D1027:G1027"/>
    <mergeCell ref="D2647:G2647"/>
    <mergeCell ref="O2496:Q2496"/>
    <mergeCell ref="D2734:G2734"/>
    <mergeCell ref="D2638:G2638"/>
    <mergeCell ref="D2646:G2646"/>
    <mergeCell ref="D2565:G2565"/>
    <mergeCell ref="D2205:G2205"/>
    <mergeCell ref="D2131:G2131"/>
    <mergeCell ref="D2204:G2204"/>
    <mergeCell ref="D1465:G1465"/>
    <mergeCell ref="D1034:G1034"/>
    <mergeCell ref="D1441:G1441"/>
    <mergeCell ref="D2027:G2027"/>
    <mergeCell ref="K3018:N3018"/>
    <mergeCell ref="D1018:G1018"/>
    <mergeCell ref="K3017:N3017"/>
    <mergeCell ref="N1330:P1330"/>
    <mergeCell ref="D1332:G1332"/>
    <mergeCell ref="N1332:P1332"/>
    <mergeCell ref="J1256:J1257"/>
    <mergeCell ref="D1365:G1365"/>
    <mergeCell ref="D828:G828"/>
    <mergeCell ref="K1256:M1256"/>
    <mergeCell ref="D1035:G1035"/>
    <mergeCell ref="N3092:P3092"/>
    <mergeCell ref="D3097:G3097"/>
    <mergeCell ref="N3097:P3097"/>
    <mergeCell ref="N3093:P3093"/>
    <mergeCell ref="D3094:G3094"/>
    <mergeCell ref="N3094:P3094"/>
    <mergeCell ref="D3095:G3095"/>
    <mergeCell ref="D3037:G3037"/>
    <mergeCell ref="O3079:Q3079"/>
    <mergeCell ref="O3080:Q3080"/>
    <mergeCell ref="L3076:N3076"/>
    <mergeCell ref="D1014:G1014"/>
    <mergeCell ref="D1258:G1258"/>
    <mergeCell ref="G1180:J1180"/>
    <mergeCell ref="D1971:G1971"/>
    <mergeCell ref="D2023:G2023"/>
    <mergeCell ref="D2195:G2195"/>
    <mergeCell ref="D2800:G2800"/>
    <mergeCell ref="D1296:G1296"/>
    <mergeCell ref="D1313:G1313"/>
    <mergeCell ref="D1381:G1381"/>
    <mergeCell ref="J2435:J2436"/>
    <mergeCell ref="D1331:G1331"/>
    <mergeCell ref="D1259:G1259"/>
    <mergeCell ref="K3019:N3019"/>
    <mergeCell ref="D3004:I3004"/>
    <mergeCell ref="D2805:G2805"/>
    <mergeCell ref="D2126:G2126"/>
    <mergeCell ref="K1834:N1834"/>
    <mergeCell ref="K2426:N2426"/>
    <mergeCell ref="D2197:G2197"/>
    <mergeCell ref="K3051:M3051"/>
    <mergeCell ref="D1431:G1431"/>
    <mergeCell ref="N1292:P1292"/>
    <mergeCell ref="D1017:G1017"/>
    <mergeCell ref="D1025:G1025"/>
    <mergeCell ref="D872:G872"/>
    <mergeCell ref="N3063:P3063"/>
    <mergeCell ref="D3064:G3064"/>
    <mergeCell ref="N3064:P3064"/>
    <mergeCell ref="D3065:G3065"/>
    <mergeCell ref="N3065:P3065"/>
    <mergeCell ref="D3029:G3029"/>
    <mergeCell ref="D3030:G3030"/>
    <mergeCell ref="K3020:N3020"/>
    <mergeCell ref="O3027:O3028"/>
    <mergeCell ref="K3027:M3027"/>
    <mergeCell ref="D2787:G2787"/>
    <mergeCell ref="D2644:G2644"/>
    <mergeCell ref="N3027:N3028"/>
    <mergeCell ref="O2493:Q2493"/>
    <mergeCell ref="L2492:N2492"/>
    <mergeCell ref="N2514:P2514"/>
    <mergeCell ref="D2808:G2808"/>
    <mergeCell ref="J3027:J3028"/>
    <mergeCell ref="D3022:I3022"/>
    <mergeCell ref="H3029:I3029"/>
    <mergeCell ref="H3030:I3030"/>
    <mergeCell ref="D2798:G2798"/>
    <mergeCell ref="D2562:G2562"/>
    <mergeCell ref="D2832:G2832"/>
    <mergeCell ref="D3048:G3048"/>
    <mergeCell ref="D2590:G2590"/>
    <mergeCell ref="D2591:G2591"/>
    <mergeCell ref="O3077:Q3077"/>
    <mergeCell ref="D3032:G3032"/>
    <mergeCell ref="D3031:G3031"/>
    <mergeCell ref="K3046:M3046"/>
    <mergeCell ref="N3046:N3047"/>
    <mergeCell ref="K2506:P2506"/>
    <mergeCell ref="D2523:I2523"/>
    <mergeCell ref="N2512:P2512"/>
    <mergeCell ref="D2513:G2513"/>
    <mergeCell ref="D2556:G2556"/>
    <mergeCell ref="D2515:G2515"/>
    <mergeCell ref="N2515:P2515"/>
    <mergeCell ref="N2513:P2513"/>
    <mergeCell ref="D2495:G2495"/>
    <mergeCell ref="D2496:G2496"/>
    <mergeCell ref="N2471:P2471"/>
    <mergeCell ref="D2479:G2479"/>
    <mergeCell ref="N2479:P2479"/>
    <mergeCell ref="D2480:G2480"/>
    <mergeCell ref="N2480:P2480"/>
    <mergeCell ref="D2481:G2481"/>
    <mergeCell ref="N2481:P2481"/>
    <mergeCell ref="D2482:G2482"/>
    <mergeCell ref="D2473:G2473"/>
    <mergeCell ref="O2494:Q2494"/>
    <mergeCell ref="D2611:G2611"/>
    <mergeCell ref="D2792:G2792"/>
    <mergeCell ref="J3046:J3047"/>
    <mergeCell ref="D2549:G2549"/>
    <mergeCell ref="K3055:P3055"/>
    <mergeCell ref="K3040:P3040"/>
    <mergeCell ref="K3043:P3043"/>
    <mergeCell ref="D1372:G1372"/>
    <mergeCell ref="D1430:G1430"/>
    <mergeCell ref="I774:J774"/>
    <mergeCell ref="D1009:G1009"/>
    <mergeCell ref="K682:M682"/>
    <mergeCell ref="D786:G786"/>
    <mergeCell ref="D696:G696"/>
    <mergeCell ref="J1275:J1276"/>
    <mergeCell ref="K1275:M1275"/>
    <mergeCell ref="D1277:G1277"/>
    <mergeCell ref="D1278:G1278"/>
    <mergeCell ref="D1279:G1279"/>
    <mergeCell ref="D785:G785"/>
    <mergeCell ref="D724:G724"/>
    <mergeCell ref="D1020:G1020"/>
    <mergeCell ref="D1262:G1262"/>
    <mergeCell ref="D702:G702"/>
    <mergeCell ref="D1294:G1294"/>
    <mergeCell ref="D1037:G1037"/>
    <mergeCell ref="D1036:G1036"/>
    <mergeCell ref="D873:G873"/>
    <mergeCell ref="L1311:N1311"/>
    <mergeCell ref="N1327:P1327"/>
    <mergeCell ref="K1249:N1249"/>
    <mergeCell ref="D748:G748"/>
    <mergeCell ref="N747:P747"/>
    <mergeCell ref="D1019:G1019"/>
    <mergeCell ref="K1250:N1250"/>
    <mergeCell ref="K1251:N1251"/>
    <mergeCell ref="N702:P702"/>
    <mergeCell ref="O727:Q727"/>
    <mergeCell ref="C1183:I1183"/>
    <mergeCell ref="O724:Q724"/>
    <mergeCell ref="O725:Q725"/>
    <mergeCell ref="O726:Q726"/>
    <mergeCell ref="O732:Q732"/>
    <mergeCell ref="O733:Q733"/>
    <mergeCell ref="D784:G784"/>
    <mergeCell ref="D734:G734"/>
    <mergeCell ref="K742:P742"/>
    <mergeCell ref="D699:G699"/>
    <mergeCell ref="O1256:O1257"/>
    <mergeCell ref="C1175:I1175"/>
    <mergeCell ref="D810:G810"/>
    <mergeCell ref="D1024:G1024"/>
    <mergeCell ref="D815:G815"/>
    <mergeCell ref="D1295:G1295"/>
    <mergeCell ref="K743:P743"/>
    <mergeCell ref="K1324:P1324"/>
    <mergeCell ref="N1300:P1300"/>
    <mergeCell ref="D991:G991"/>
    <mergeCell ref="K1234:N1234"/>
    <mergeCell ref="K718:P718"/>
    <mergeCell ref="N1256:N1257"/>
    <mergeCell ref="D1169:G1169"/>
    <mergeCell ref="D703:G703"/>
    <mergeCell ref="N1294:P1294"/>
    <mergeCell ref="D1292:G1292"/>
    <mergeCell ref="D869:G869"/>
    <mergeCell ref="K1248:N1248"/>
    <mergeCell ref="K753:P753"/>
    <mergeCell ref="N1328:P1328"/>
    <mergeCell ref="D1548:G1548"/>
    <mergeCell ref="K715:P715"/>
    <mergeCell ref="D1012:G1012"/>
    <mergeCell ref="N746:P746"/>
    <mergeCell ref="D725:G725"/>
    <mergeCell ref="N699:P699"/>
    <mergeCell ref="D700:G700"/>
    <mergeCell ref="N700:P700"/>
    <mergeCell ref="D701:G701"/>
    <mergeCell ref="L722:N722"/>
    <mergeCell ref="D712:G712"/>
    <mergeCell ref="D726:G726"/>
    <mergeCell ref="D727:G727"/>
    <mergeCell ref="D731:G731"/>
    <mergeCell ref="D732:G732"/>
    <mergeCell ref="N701:P701"/>
    <mergeCell ref="D1370:G1370"/>
    <mergeCell ref="D733:G733"/>
    <mergeCell ref="D704:G704"/>
    <mergeCell ref="D1383:G1383"/>
    <mergeCell ref="D1417:G1417"/>
    <mergeCell ref="D1403:G1403"/>
    <mergeCell ref="D1415:G1415"/>
    <mergeCell ref="N1334:P1334"/>
    <mergeCell ref="D1364:G1364"/>
    <mergeCell ref="D1547:G1547"/>
    <mergeCell ref="I1361:J1361"/>
    <mergeCell ref="H1257:I1257"/>
    <mergeCell ref="D797:G797"/>
    <mergeCell ref="O731:Q731"/>
    <mergeCell ref="D1377:G1377"/>
    <mergeCell ref="D199:G199"/>
    <mergeCell ref="D200:G200"/>
    <mergeCell ref="D155:G155"/>
    <mergeCell ref="H87:I87"/>
    <mergeCell ref="K79:N79"/>
    <mergeCell ref="D191:G191"/>
    <mergeCell ref="D190:G190"/>
    <mergeCell ref="D185:G185"/>
    <mergeCell ref="D160:I160"/>
    <mergeCell ref="D78:I78"/>
    <mergeCell ref="K144:P144"/>
    <mergeCell ref="K160:P160"/>
    <mergeCell ref="D161:I161"/>
    <mergeCell ref="K77:N77"/>
    <mergeCell ref="D79:I79"/>
    <mergeCell ref="O86:O87"/>
    <mergeCell ref="K90:M90"/>
    <mergeCell ref="K86:M86"/>
    <mergeCell ref="N119:P119"/>
    <mergeCell ref="O133:Q133"/>
    <mergeCell ref="D122:G122"/>
    <mergeCell ref="D134:G134"/>
    <mergeCell ref="D93:I93"/>
    <mergeCell ref="D94:I94"/>
    <mergeCell ref="D125:I125"/>
    <mergeCell ref="K146:P146"/>
    <mergeCell ref="D184:G184"/>
    <mergeCell ref="D192:G192"/>
    <mergeCell ref="D187:G187"/>
    <mergeCell ref="D189:G189"/>
    <mergeCell ref="O137:Q137"/>
    <mergeCell ref="D96:I96"/>
    <mergeCell ref="B3:F3"/>
    <mergeCell ref="G9:J9"/>
    <mergeCell ref="G10:J10"/>
    <mergeCell ref="J86:J87"/>
    <mergeCell ref="D101:G101"/>
    <mergeCell ref="D102:G102"/>
    <mergeCell ref="D118:G118"/>
    <mergeCell ref="D135:G135"/>
    <mergeCell ref="D138:G138"/>
    <mergeCell ref="D64:I64"/>
    <mergeCell ref="K65:N65"/>
    <mergeCell ref="D88:G88"/>
    <mergeCell ref="D89:G89"/>
    <mergeCell ref="D90:G90"/>
    <mergeCell ref="D121:G121"/>
    <mergeCell ref="D119:G119"/>
    <mergeCell ref="O134:Q134"/>
    <mergeCell ref="O135:Q135"/>
    <mergeCell ref="O138:Q138"/>
    <mergeCell ref="E56:L56"/>
    <mergeCell ref="O136:Q136"/>
    <mergeCell ref="D126:I126"/>
    <mergeCell ref="D127:I127"/>
    <mergeCell ref="D65:I65"/>
    <mergeCell ref="D66:I66"/>
    <mergeCell ref="D67:I67"/>
    <mergeCell ref="C12:I12"/>
    <mergeCell ref="D63:I63"/>
    <mergeCell ref="D77:I77"/>
    <mergeCell ref="K96:P96"/>
    <mergeCell ref="K125:P125"/>
    <mergeCell ref="K126:P126"/>
    <mergeCell ref="D196:G196"/>
    <mergeCell ref="D106:I106"/>
    <mergeCell ref="K128:P128"/>
    <mergeCell ref="D68:I68"/>
    <mergeCell ref="K64:N64"/>
    <mergeCell ref="H100:I100"/>
    <mergeCell ref="K94:P94"/>
    <mergeCell ref="D97:I97"/>
    <mergeCell ref="D81:I81"/>
    <mergeCell ref="K63:N63"/>
    <mergeCell ref="N154:P154"/>
    <mergeCell ref="D80:I80"/>
    <mergeCell ref="D95:I95"/>
    <mergeCell ref="H88:I88"/>
    <mergeCell ref="H89:I89"/>
    <mergeCell ref="E53:L53"/>
    <mergeCell ref="N38:P38"/>
    <mergeCell ref="N39:P39"/>
    <mergeCell ref="N86:N87"/>
    <mergeCell ref="K106:P106"/>
    <mergeCell ref="D108:I108"/>
    <mergeCell ref="D109:I109"/>
    <mergeCell ref="D158:I158"/>
    <mergeCell ref="K158:P158"/>
    <mergeCell ref="D159:I159"/>
    <mergeCell ref="N151:P151"/>
    <mergeCell ref="D394:G394"/>
    <mergeCell ref="D391:G391"/>
    <mergeCell ref="D390:G390"/>
    <mergeCell ref="D438:G438"/>
    <mergeCell ref="D396:G396"/>
    <mergeCell ref="D387:G387"/>
    <mergeCell ref="D461:G461"/>
    <mergeCell ref="D488:G488"/>
    <mergeCell ref="D389:G389"/>
    <mergeCell ref="D401:G401"/>
    <mergeCell ref="D376:G376"/>
    <mergeCell ref="D375:G375"/>
    <mergeCell ref="D279:G279"/>
    <mergeCell ref="D217:G217"/>
    <mergeCell ref="D222:G222"/>
    <mergeCell ref="D210:G210"/>
    <mergeCell ref="N696:P696"/>
    <mergeCell ref="N694:P694"/>
    <mergeCell ref="K655:N655"/>
    <mergeCell ref="K668:M668"/>
    <mergeCell ref="D672:I672"/>
    <mergeCell ref="D674:I674"/>
    <mergeCell ref="D267:G267"/>
    <mergeCell ref="D682:G682"/>
    <mergeCell ref="D239:G239"/>
    <mergeCell ref="D399:G399"/>
    <mergeCell ref="D644:I644"/>
    <mergeCell ref="I181:J181"/>
    <mergeCell ref="D202:G202"/>
    <mergeCell ref="D218:G218"/>
    <mergeCell ref="D186:G186"/>
    <mergeCell ref="D306:G306"/>
    <mergeCell ref="D201:G201"/>
    <mergeCell ref="D281:G281"/>
    <mergeCell ref="D282:G282"/>
    <mergeCell ref="D363:G363"/>
    <mergeCell ref="L132:N132"/>
    <mergeCell ref="N120:P120"/>
    <mergeCell ref="N99:N100"/>
    <mergeCell ref="K99:M99"/>
    <mergeCell ref="D197:G197"/>
    <mergeCell ref="D198:G198"/>
    <mergeCell ref="D296:G296"/>
    <mergeCell ref="D335:G335"/>
    <mergeCell ref="D329:G329"/>
    <mergeCell ref="D292:G292"/>
    <mergeCell ref="D206:G206"/>
    <mergeCell ref="D233:G233"/>
    <mergeCell ref="D357:G357"/>
    <mergeCell ref="D361:G361"/>
    <mergeCell ref="D234:G234"/>
    <mergeCell ref="D283:G283"/>
    <mergeCell ref="D280:G280"/>
    <mergeCell ref="D278:G278"/>
    <mergeCell ref="N152:P152"/>
    <mergeCell ref="N153:P153"/>
    <mergeCell ref="D145:I145"/>
    <mergeCell ref="K147:P147"/>
    <mergeCell ref="D193:G193"/>
    <mergeCell ref="O99:O100"/>
    <mergeCell ref="D103:G103"/>
    <mergeCell ref="K103:M103"/>
    <mergeCell ref="N114:P114"/>
    <mergeCell ref="N118:P118"/>
    <mergeCell ref="D655:I655"/>
    <mergeCell ref="D656:I656"/>
    <mergeCell ref="D290:G290"/>
    <mergeCell ref="D294:G294"/>
    <mergeCell ref="D288:G288"/>
    <mergeCell ref="D287:G287"/>
    <mergeCell ref="D464:G464"/>
    <mergeCell ref="D398:G398"/>
    <mergeCell ref="D393:G393"/>
    <mergeCell ref="H666:I666"/>
    <mergeCell ref="D673:I673"/>
    <mergeCell ref="N663:N664"/>
    <mergeCell ref="D203:G203"/>
    <mergeCell ref="D194:G194"/>
    <mergeCell ref="D285:G285"/>
    <mergeCell ref="D427:G427"/>
    <mergeCell ref="J99:J100"/>
    <mergeCell ref="D115:G115"/>
    <mergeCell ref="N115:P115"/>
    <mergeCell ref="D116:G116"/>
    <mergeCell ref="N116:P116"/>
    <mergeCell ref="D117:G117"/>
    <mergeCell ref="N117:P117"/>
    <mergeCell ref="D120:G120"/>
    <mergeCell ref="N121:P121"/>
    <mergeCell ref="N150:P150"/>
    <mergeCell ref="D154:G154"/>
    <mergeCell ref="H667:I667"/>
    <mergeCell ref="D258:G258"/>
    <mergeCell ref="D257:G257"/>
    <mergeCell ref="D256:G256"/>
    <mergeCell ref="D262:G262"/>
    <mergeCell ref="D305:G305"/>
    <mergeCell ref="D310:G310"/>
    <mergeCell ref="D303:G303"/>
    <mergeCell ref="O663:O664"/>
    <mergeCell ref="D665:G665"/>
    <mergeCell ref="D469:G469"/>
    <mergeCell ref="D536:G536"/>
    <mergeCell ref="D495:G495"/>
    <mergeCell ref="D697:G697"/>
    <mergeCell ref="N697:P697"/>
    <mergeCell ref="D698:G698"/>
    <mergeCell ref="J677:J678"/>
    <mergeCell ref="N677:N678"/>
    <mergeCell ref="K677:M677"/>
    <mergeCell ref="K687:P687"/>
    <mergeCell ref="K685:P685"/>
    <mergeCell ref="O677:O678"/>
    <mergeCell ref="K654:N654"/>
    <mergeCell ref="D553:G553"/>
    <mergeCell ref="D445:G445"/>
    <mergeCell ref="D424:G424"/>
    <mergeCell ref="D428:G428"/>
    <mergeCell ref="D423:G423"/>
    <mergeCell ref="D420:G420"/>
    <mergeCell ref="D421:G421"/>
    <mergeCell ref="D370:G370"/>
    <mergeCell ref="D437:G437"/>
    <mergeCell ref="K1917:P1917"/>
    <mergeCell ref="K1838:N1838"/>
    <mergeCell ref="N1882:P1882"/>
    <mergeCell ref="D1854:G1854"/>
    <mergeCell ref="D1860:I1860"/>
    <mergeCell ref="D1980:G1980"/>
    <mergeCell ref="D1969:G1969"/>
    <mergeCell ref="D1869:G1869"/>
    <mergeCell ref="K663:M663"/>
    <mergeCell ref="D666:G666"/>
    <mergeCell ref="D223:G223"/>
    <mergeCell ref="D219:G219"/>
    <mergeCell ref="D220:G220"/>
    <mergeCell ref="D425:G425"/>
    <mergeCell ref="D795:G795"/>
    <mergeCell ref="G588:J588"/>
    <mergeCell ref="D667:G667"/>
    <mergeCell ref="D397:G397"/>
    <mergeCell ref="D378:G378"/>
    <mergeCell ref="D383:G383"/>
    <mergeCell ref="D385:G385"/>
    <mergeCell ref="K641:N641"/>
    <mergeCell ref="D362:G362"/>
    <mergeCell ref="D364:G364"/>
    <mergeCell ref="D426:G426"/>
    <mergeCell ref="C581:I581"/>
    <mergeCell ref="C582:I582"/>
    <mergeCell ref="D351:G351"/>
    <mergeCell ref="D333:G333"/>
    <mergeCell ref="D314:G314"/>
    <mergeCell ref="D330:G330"/>
    <mergeCell ref="D657:I657"/>
    <mergeCell ref="O1901:Q1901"/>
    <mergeCell ref="D2052:G2052"/>
    <mergeCell ref="D2138:G2138"/>
    <mergeCell ref="D2007:G2007"/>
    <mergeCell ref="D2584:G2584"/>
    <mergeCell ref="D2586:G2586"/>
    <mergeCell ref="D2620:G2620"/>
    <mergeCell ref="D2621:G2621"/>
    <mergeCell ref="K1836:N1836"/>
    <mergeCell ref="N1866:N1867"/>
    <mergeCell ref="D1910:G1910"/>
    <mergeCell ref="D2054:G2054"/>
    <mergeCell ref="D1617:G1617"/>
    <mergeCell ref="D2053:G2053"/>
    <mergeCell ref="D1609:G1609"/>
    <mergeCell ref="D1908:G1908"/>
    <mergeCell ref="D1847:G1847"/>
    <mergeCell ref="N1886:P1886"/>
    <mergeCell ref="D1853:G1853"/>
    <mergeCell ref="H1853:I1853"/>
    <mergeCell ref="O1843:O1844"/>
    <mergeCell ref="D1616:G1616"/>
    <mergeCell ref="D2050:G2050"/>
    <mergeCell ref="D1959:G1959"/>
    <mergeCell ref="D1857:G1857"/>
    <mergeCell ref="H1844:I1844"/>
    <mergeCell ref="G1768:J1768"/>
    <mergeCell ref="C1762:I1762"/>
    <mergeCell ref="D2026:G2026"/>
    <mergeCell ref="D1893:I1893"/>
    <mergeCell ref="O1904:Q1904"/>
    <mergeCell ref="D1965:G1965"/>
    <mergeCell ref="D3373:G3373"/>
    <mergeCell ref="D3185:G3185"/>
    <mergeCell ref="D3311:G3311"/>
    <mergeCell ref="D3201:G3201"/>
    <mergeCell ref="C2946:I2946"/>
    <mergeCell ref="C2945:I2945"/>
    <mergeCell ref="D2209:G2209"/>
    <mergeCell ref="D3230:G3230"/>
    <mergeCell ref="D3231:G3231"/>
    <mergeCell ref="D3308:G3308"/>
    <mergeCell ref="D3104:G3104"/>
    <mergeCell ref="D3229:G3229"/>
    <mergeCell ref="D3234:G3234"/>
    <mergeCell ref="D3225:G3225"/>
    <mergeCell ref="D3151:G3151"/>
    <mergeCell ref="H2436:I2436"/>
    <mergeCell ref="D2927:G2927"/>
    <mergeCell ref="D2796:G2796"/>
    <mergeCell ref="D2794:G2794"/>
    <mergeCell ref="D2923:G2923"/>
    <mergeCell ref="D2788:G2788"/>
    <mergeCell ref="D2908:G2908"/>
    <mergeCell ref="D2791:G2791"/>
    <mergeCell ref="D2500:G2500"/>
    <mergeCell ref="D2506:I2506"/>
    <mergeCell ref="D2494:G2494"/>
    <mergeCell ref="D2499:G2499"/>
    <mergeCell ref="D2624:G2624"/>
    <mergeCell ref="D2790:G2790"/>
    <mergeCell ref="D2618:G2618"/>
    <mergeCell ref="D2783:G2783"/>
    <mergeCell ref="D2784:G2784"/>
    <mergeCell ref="D3339:G3339"/>
    <mergeCell ref="D3338:G3338"/>
    <mergeCell ref="D1369:G1369"/>
    <mergeCell ref="O1908:Q1908"/>
    <mergeCell ref="D1957:G1957"/>
    <mergeCell ref="D1611:G1611"/>
    <mergeCell ref="D1890:G1890"/>
    <mergeCell ref="O1866:O1867"/>
    <mergeCell ref="D1868:G1868"/>
    <mergeCell ref="D2793:G2793"/>
    <mergeCell ref="D3204:G3204"/>
    <mergeCell ref="D3205:G3205"/>
    <mergeCell ref="D3199:G3199"/>
    <mergeCell ref="D3203:G3203"/>
    <mergeCell ref="D1845:G1845"/>
    <mergeCell ref="D2196:G2196"/>
    <mergeCell ref="D2203:G2203"/>
    <mergeCell ref="D1961:G1961"/>
    <mergeCell ref="I1953:J1953"/>
    <mergeCell ref="D1660:G1660"/>
    <mergeCell ref="D1923:G1923"/>
    <mergeCell ref="N1923:P1923"/>
    <mergeCell ref="D1904:G1904"/>
    <mergeCell ref="N1883:P1883"/>
    <mergeCell ref="J1843:J1844"/>
    <mergeCell ref="D1974:G1974"/>
    <mergeCell ref="H1849:I1849"/>
    <mergeCell ref="D2009:G2009"/>
    <mergeCell ref="D2047:G2047"/>
    <mergeCell ref="D1903:G1903"/>
    <mergeCell ref="K1837:N1837"/>
    <mergeCell ref="K2444:M2444"/>
    <mergeCell ref="D3376:G3376"/>
    <mergeCell ref="D3379:G3379"/>
    <mergeCell ref="D3374:G3374"/>
    <mergeCell ref="D3149:G3149"/>
    <mergeCell ref="D3227:G3227"/>
    <mergeCell ref="D3167:G3167"/>
    <mergeCell ref="D3202:G3202"/>
    <mergeCell ref="H3031:I3031"/>
    <mergeCell ref="H3032:I3032"/>
    <mergeCell ref="D3370:G3370"/>
    <mergeCell ref="D3166:G3166"/>
    <mergeCell ref="D3134:G3134"/>
    <mergeCell ref="D3133:G3133"/>
    <mergeCell ref="D3375:G3375"/>
    <mergeCell ref="D3368:G3368"/>
    <mergeCell ref="D3206:G3206"/>
    <mergeCell ref="D3207:G3207"/>
    <mergeCell ref="D3033:G3033"/>
    <mergeCell ref="H3033:I3033"/>
    <mergeCell ref="D3150:G3150"/>
    <mergeCell ref="D3103:G3103"/>
    <mergeCell ref="D3099:G3099"/>
    <mergeCell ref="D3312:G3312"/>
    <mergeCell ref="D3226:G3226"/>
    <mergeCell ref="D3209:G3209"/>
    <mergeCell ref="D3171:G3171"/>
    <mergeCell ref="D3136:G3136"/>
    <mergeCell ref="D3223:G3223"/>
    <mergeCell ref="D3200:G3200"/>
    <mergeCell ref="D3049:G3049"/>
    <mergeCell ref="D3218:G3218"/>
    <mergeCell ref="D3063:G3063"/>
    <mergeCell ref="D3221:G3221"/>
    <mergeCell ref="D1061:G1061"/>
    <mergeCell ref="D1648:G1648"/>
    <mergeCell ref="D2240:G2240"/>
    <mergeCell ref="D1249:I1249"/>
    <mergeCell ref="D1836:I1836"/>
    <mergeCell ref="D2428:I2428"/>
    <mergeCell ref="D3020:I3020"/>
    <mergeCell ref="D2569:G2569"/>
    <mergeCell ref="D2550:G2550"/>
    <mergeCell ref="D1366:G1366"/>
    <mergeCell ref="D1958:G1958"/>
    <mergeCell ref="D1250:I1250"/>
    <mergeCell ref="D1837:I1837"/>
    <mergeCell ref="D1385:G1385"/>
    <mergeCell ref="H1258:I1258"/>
    <mergeCell ref="H1259:I1259"/>
    <mergeCell ref="H1262:I1262"/>
    <mergeCell ref="D1375:G1375"/>
    <mergeCell ref="D2430:I2430"/>
    <mergeCell ref="D2216:G2216"/>
    <mergeCell ref="D2192:G2192"/>
    <mergeCell ref="D2208:G2208"/>
    <mergeCell ref="D1064:G1064"/>
    <mergeCell ref="D1248:I1248"/>
    <mergeCell ref="D2019:G2019"/>
    <mergeCell ref="D2030:G2030"/>
    <mergeCell ref="D1916:I1916"/>
    <mergeCell ref="D1994:G1994"/>
    <mergeCell ref="D1373:G1373"/>
    <mergeCell ref="D1657:G1657"/>
    <mergeCell ref="D1400:G1400"/>
    <mergeCell ref="D3158:G3158"/>
    <mergeCell ref="D3159:G3159"/>
    <mergeCell ref="O3046:O3047"/>
    <mergeCell ref="D2922:G2922"/>
    <mergeCell ref="D2015:G2015"/>
    <mergeCell ref="D1487:G1487"/>
    <mergeCell ref="D1271:I1271"/>
    <mergeCell ref="D1862:I1862"/>
    <mergeCell ref="D2449:I2449"/>
    <mergeCell ref="D1906:G1906"/>
    <mergeCell ref="D1607:G1607"/>
    <mergeCell ref="D1956:G1956"/>
    <mergeCell ref="D1536:G1536"/>
    <mergeCell ref="D1301:G1301"/>
    <mergeCell ref="D1919:I1919"/>
    <mergeCell ref="D2471:G2471"/>
    <mergeCell ref="D2475:G2475"/>
    <mergeCell ref="D2598:G2598"/>
    <mergeCell ref="D2875:G2875"/>
    <mergeCell ref="D2873:G2873"/>
    <mergeCell ref="D1991:G1991"/>
    <mergeCell ref="D2049:G2049"/>
    <mergeCell ref="D1975:G1975"/>
    <mergeCell ref="D1998:G1998"/>
    <mergeCell ref="D1374:G1374"/>
    <mergeCell ref="H3028:I3028"/>
    <mergeCell ref="D2220:G2220"/>
    <mergeCell ref="C1761:I1761"/>
    <mergeCell ref="J2453:J2454"/>
    <mergeCell ref="K2453:M2453"/>
    <mergeCell ref="D2040:G2040"/>
    <mergeCell ref="D2217:G2217"/>
    <mergeCell ref="C3530:I3530"/>
    <mergeCell ref="C3531:I3531"/>
    <mergeCell ref="N3103:P3103"/>
    <mergeCell ref="N3098:P3098"/>
    <mergeCell ref="N3099:P3099"/>
    <mergeCell ref="D3522:G3522"/>
    <mergeCell ref="K3069:P3069"/>
    <mergeCell ref="K3070:P3070"/>
    <mergeCell ref="D3148:G3148"/>
    <mergeCell ref="D3142:G3142"/>
    <mergeCell ref="D3208:G3208"/>
    <mergeCell ref="D3306:G3306"/>
    <mergeCell ref="D3210:G3210"/>
    <mergeCell ref="D3172:G3172"/>
    <mergeCell ref="I3130:J3130"/>
    <mergeCell ref="D3169:G3169"/>
    <mergeCell ref="D3211:G3211"/>
    <mergeCell ref="D3372:G3372"/>
    <mergeCell ref="D3138:G3138"/>
    <mergeCell ref="D3168:G3168"/>
    <mergeCell ref="D3384:G3384"/>
    <mergeCell ref="N3100:P3100"/>
    <mergeCell ref="D3377:G3377"/>
    <mergeCell ref="D3369:G3369"/>
    <mergeCell ref="D3381:G3381"/>
    <mergeCell ref="D3386:G3386"/>
    <mergeCell ref="K3088:P3088"/>
    <mergeCell ref="D3224:G3224"/>
    <mergeCell ref="D3216:G3216"/>
    <mergeCell ref="D3215:G3215"/>
    <mergeCell ref="N3102:P3102"/>
    <mergeCell ref="D3309:G3309"/>
    <mergeCell ref="K3072:P3072"/>
    <mergeCell ref="D3135:G3135"/>
    <mergeCell ref="D3144:G3144"/>
    <mergeCell ref="D3365:G3365"/>
    <mergeCell ref="D3184:G3184"/>
    <mergeCell ref="D3141:G3141"/>
    <mergeCell ref="D3220:G3220"/>
    <mergeCell ref="D3219:G3219"/>
    <mergeCell ref="D3086:I3086"/>
    <mergeCell ref="D3088:I3088"/>
    <mergeCell ref="D3107:I3107"/>
    <mergeCell ref="D3109:I3109"/>
    <mergeCell ref="D3174:G3174"/>
    <mergeCell ref="D3160:G3160"/>
    <mergeCell ref="D3180:G3180"/>
    <mergeCell ref="D3192:G3192"/>
    <mergeCell ref="D3183:G3183"/>
    <mergeCell ref="D3265:G3265"/>
    <mergeCell ref="D3279:G3279"/>
    <mergeCell ref="D3176:G3176"/>
    <mergeCell ref="D3186:G3186"/>
    <mergeCell ref="D3181:G3181"/>
    <mergeCell ref="D3178:G3178"/>
    <mergeCell ref="D3080:G3080"/>
    <mergeCell ref="D3096:G3096"/>
    <mergeCell ref="D3153:G3153"/>
    <mergeCell ref="N3101:P3101"/>
    <mergeCell ref="N3095:P3095"/>
    <mergeCell ref="N3096:P3096"/>
    <mergeCell ref="K3086:P3086"/>
    <mergeCell ref="O3078:Q3078"/>
    <mergeCell ref="D3143:G3143"/>
    <mergeCell ref="N3062:P3062"/>
    <mergeCell ref="K3037:M3037"/>
    <mergeCell ref="N2435:N2436"/>
    <mergeCell ref="O2495:Q2495"/>
    <mergeCell ref="D2607:G2607"/>
    <mergeCell ref="H3035:I3035"/>
    <mergeCell ref="D3034:G3034"/>
    <mergeCell ref="N1922:P1922"/>
    <mergeCell ref="D1992:G1992"/>
    <mergeCell ref="K1871:M1871"/>
    <mergeCell ref="L1900:N1900"/>
    <mergeCell ref="N1888:P1888"/>
    <mergeCell ref="D1889:G1889"/>
    <mergeCell ref="N1887:P1887"/>
    <mergeCell ref="D1886:G1886"/>
    <mergeCell ref="K3021:N3021"/>
    <mergeCell ref="K2522:P2522"/>
    <mergeCell ref="K2507:P2507"/>
    <mergeCell ref="K2509:P2509"/>
    <mergeCell ref="K2430:N2430"/>
    <mergeCell ref="N2518:P2518"/>
    <mergeCell ref="N2517:P2517"/>
    <mergeCell ref="N2516:P2516"/>
    <mergeCell ref="N1885:P1885"/>
    <mergeCell ref="N2472:P2472"/>
    <mergeCell ref="D1967:G1967"/>
    <mergeCell ref="D2188:G2188"/>
    <mergeCell ref="D1973:G1973"/>
    <mergeCell ref="D1885:G1885"/>
    <mergeCell ref="D2517:G2517"/>
    <mergeCell ref="D2516:G2516"/>
    <mergeCell ref="D2799:G2799"/>
    <mergeCell ref="D312:G312"/>
    <mergeCell ref="D302:G302"/>
    <mergeCell ref="D291:G291"/>
    <mergeCell ref="D286:G286"/>
    <mergeCell ref="D289:G289"/>
    <mergeCell ref="D1157:G1157"/>
    <mergeCell ref="D1378:G1378"/>
    <mergeCell ref="D790:G790"/>
    <mergeCell ref="K3042:P3042"/>
    <mergeCell ref="D1852:G1852"/>
    <mergeCell ref="D1851:G1851"/>
    <mergeCell ref="D1850:G1850"/>
    <mergeCell ref="H1845:I1845"/>
    <mergeCell ref="H1847:I1847"/>
    <mergeCell ref="H1848:I1848"/>
    <mergeCell ref="H1850:I1850"/>
    <mergeCell ref="H1851:I1851"/>
    <mergeCell ref="H1852:I1852"/>
    <mergeCell ref="H1854:I1854"/>
    <mergeCell ref="D3036:G3036"/>
    <mergeCell ref="H3036:I3036"/>
    <mergeCell ref="D2626:G2626"/>
    <mergeCell ref="D2193:G2193"/>
    <mergeCell ref="C2354:I2354"/>
    <mergeCell ref="O1902:Q1902"/>
    <mergeCell ref="D2057:G2057"/>
    <mergeCell ref="D2566:G2566"/>
    <mergeCell ref="D1968:G1968"/>
    <mergeCell ref="D1907:G1907"/>
    <mergeCell ref="D2429:I2429"/>
    <mergeCell ref="D2201:G2201"/>
    <mergeCell ref="O1903:Q1903"/>
    <mergeCell ref="D671:I671"/>
    <mergeCell ref="D562:G562"/>
    <mergeCell ref="D892:G892"/>
    <mergeCell ref="D891:G891"/>
    <mergeCell ref="D883:G883"/>
    <mergeCell ref="G1181:J1181"/>
    <mergeCell ref="D1983:G1983"/>
    <mergeCell ref="D1402:G1402"/>
    <mergeCell ref="D195:G195"/>
    <mergeCell ref="D1406:G1406"/>
    <mergeCell ref="D227:G227"/>
    <mergeCell ref="D820:G820"/>
    <mergeCell ref="D1407:G1407"/>
    <mergeCell ref="D840:G840"/>
    <mergeCell ref="D1427:G1427"/>
    <mergeCell ref="D237:G237"/>
    <mergeCell ref="D830:G830"/>
    <mergeCell ref="D465:G465"/>
    <mergeCell ref="D1058:G1058"/>
    <mergeCell ref="D481:G481"/>
    <mergeCell ref="D1074:G1074"/>
    <mergeCell ref="D450:G450"/>
    <mergeCell ref="D538:G538"/>
    <mergeCell ref="D537:G537"/>
    <mergeCell ref="D963:G963"/>
    <mergeCell ref="D205:G205"/>
    <mergeCell ref="D798:G798"/>
    <mergeCell ref="D204:G204"/>
    <mergeCell ref="D208:G208"/>
    <mergeCell ref="D801:G801"/>
    <mergeCell ref="D1388:G1388"/>
    <mergeCell ref="D321:G321"/>
    <mergeCell ref="D209:G209"/>
    <mergeCell ref="D802:G802"/>
    <mergeCell ref="D1389:G1389"/>
    <mergeCell ref="D224:G224"/>
    <mergeCell ref="D817:G817"/>
    <mergeCell ref="D214:G214"/>
    <mergeCell ref="D213:G213"/>
    <mergeCell ref="D212:G212"/>
    <mergeCell ref="D211:G211"/>
    <mergeCell ref="D225:G225"/>
    <mergeCell ref="D231:G231"/>
    <mergeCell ref="D945:G945"/>
    <mergeCell ref="D1506:G1506"/>
    <mergeCell ref="D354:G354"/>
    <mergeCell ref="D947:G947"/>
    <mergeCell ref="D1534:G1534"/>
    <mergeCell ref="D349:G349"/>
    <mergeCell ref="D252:G252"/>
    <mergeCell ref="D251:G251"/>
    <mergeCell ref="D250:G250"/>
    <mergeCell ref="D255:G255"/>
    <mergeCell ref="D254:G254"/>
    <mergeCell ref="D253:G253"/>
    <mergeCell ref="D1367:G1367"/>
    <mergeCell ref="D319:G319"/>
    <mergeCell ref="D297:G297"/>
    <mergeCell ref="D301:G301"/>
    <mergeCell ref="D395:G395"/>
    <mergeCell ref="D918:G918"/>
    <mergeCell ref="D917:G917"/>
    <mergeCell ref="D350:G350"/>
    <mergeCell ref="D793:G793"/>
    <mergeCell ref="D261:G261"/>
    <mergeCell ref="D1756:G1756"/>
    <mergeCell ref="D2237:G2237"/>
    <mergeCell ref="D1098:G1098"/>
    <mergeCell ref="D2234:G2234"/>
    <mergeCell ref="D452:G452"/>
    <mergeCell ref="D1045:G1045"/>
    <mergeCell ref="D456:G456"/>
    <mergeCell ref="D347:G347"/>
    <mergeCell ref="D940:G940"/>
    <mergeCell ref="D226:G226"/>
    <mergeCell ref="D819:G819"/>
    <mergeCell ref="D241:G241"/>
    <mergeCell ref="D228:G228"/>
    <mergeCell ref="D821:G821"/>
    <mergeCell ref="D1408:G1408"/>
    <mergeCell ref="D2000:G2000"/>
    <mergeCell ref="D2003:G2003"/>
    <mergeCell ref="D346:G346"/>
    <mergeCell ref="D325:G325"/>
    <mergeCell ref="D324:G324"/>
    <mergeCell ref="D1504:G1504"/>
    <mergeCell ref="D2096:G2096"/>
    <mergeCell ref="D818:G818"/>
    <mergeCell ref="D1405:G1405"/>
    <mergeCell ref="D1391:G1391"/>
    <mergeCell ref="D243:G243"/>
    <mergeCell ref="D352:G352"/>
    <mergeCell ref="D658:I658"/>
    <mergeCell ref="H664:I664"/>
    <mergeCell ref="D668:G668"/>
    <mergeCell ref="H665:I665"/>
    <mergeCell ref="D236:G236"/>
    <mergeCell ref="D235:G235"/>
    <mergeCell ref="D247:G247"/>
    <mergeCell ref="D455:G455"/>
    <mergeCell ref="D453:G453"/>
    <mergeCell ref="D2225:G2225"/>
    <mergeCell ref="D295:G295"/>
    <mergeCell ref="D888:G888"/>
    <mergeCell ref="D284:G284"/>
    <mergeCell ref="D796:G796"/>
    <mergeCell ref="D229:G229"/>
    <mergeCell ref="D822:G822"/>
    <mergeCell ref="D2593:G2593"/>
    <mergeCell ref="D1409:G1409"/>
    <mergeCell ref="D2001:G2001"/>
    <mergeCell ref="D242:G242"/>
    <mergeCell ref="D1963:G1963"/>
    <mergeCell ref="D783:G783"/>
    <mergeCell ref="D1986:G1986"/>
    <mergeCell ref="D806:G806"/>
    <mergeCell ref="D2577:G2577"/>
    <mergeCell ref="D230:G230"/>
    <mergeCell ref="D823:G823"/>
    <mergeCell ref="D313:G313"/>
    <mergeCell ref="D232:G232"/>
    <mergeCell ref="D316:G316"/>
    <mergeCell ref="D311:G311"/>
    <mergeCell ref="D307:G307"/>
    <mergeCell ref="D1848:G1848"/>
    <mergeCell ref="D1550:G1550"/>
    <mergeCell ref="D1849:G1849"/>
    <mergeCell ref="D1996:G1996"/>
    <mergeCell ref="D320:G320"/>
    <mergeCell ref="D923:G923"/>
    <mergeCell ref="D2694:G2694"/>
    <mergeCell ref="D1510:G1510"/>
    <mergeCell ref="D2561:G2561"/>
    <mergeCell ref="D910:G910"/>
    <mergeCell ref="D331:G331"/>
    <mergeCell ref="D924:G924"/>
    <mergeCell ref="D2103:G2103"/>
    <mergeCell ref="D825:G825"/>
    <mergeCell ref="D2596:G2596"/>
    <mergeCell ref="D1412:G1412"/>
    <mergeCell ref="D2004:G2004"/>
    <mergeCell ref="D2641:G2641"/>
    <mergeCell ref="D2567:G2567"/>
    <mergeCell ref="D2554:G2554"/>
    <mergeCell ref="D1528:G1528"/>
    <mergeCell ref="D2120:G2120"/>
    <mergeCell ref="D369:G369"/>
    <mergeCell ref="D2141:G2141"/>
    <mergeCell ref="D1927:G1927"/>
    <mergeCell ref="D2198:G2198"/>
    <mergeCell ref="D2553:G2553"/>
    <mergeCell ref="D2568:G2568"/>
    <mergeCell ref="D1384:G1384"/>
    <mergeCell ref="D1976:G1976"/>
    <mergeCell ref="D2199:G2199"/>
    <mergeCell ref="D679:G679"/>
    <mergeCell ref="D680:G680"/>
    <mergeCell ref="D1246:I1246"/>
    <mergeCell ref="D694:G694"/>
    <mergeCell ref="D1539:G1539"/>
    <mergeCell ref="D244:G244"/>
    <mergeCell ref="D837:G837"/>
    <mergeCell ref="D2608:G2608"/>
    <mergeCell ref="D1424:G1424"/>
    <mergeCell ref="D2016:G2016"/>
    <mergeCell ref="D807:G807"/>
    <mergeCell ref="D2578:G2578"/>
    <mergeCell ref="D1394:G1394"/>
    <mergeCell ref="D318:G318"/>
    <mergeCell ref="D911:G911"/>
    <mergeCell ref="D779:G779"/>
    <mergeCell ref="D791:G791"/>
    <mergeCell ref="D787:G787"/>
    <mergeCell ref="D836:G836"/>
    <mergeCell ref="D1423:G1423"/>
    <mergeCell ref="D1399:G1399"/>
    <mergeCell ref="D1022:G1022"/>
    <mergeCell ref="D1023:G1023"/>
    <mergeCell ref="D922:G922"/>
    <mergeCell ref="D309:G309"/>
    <mergeCell ref="D315:G315"/>
    <mergeCell ref="D506:G506"/>
    <mergeCell ref="D505:G505"/>
    <mergeCell ref="D246:G246"/>
    <mergeCell ref="D839:G839"/>
    <mergeCell ref="D2018:G2018"/>
    <mergeCell ref="D260:G260"/>
    <mergeCell ref="D1410:G1410"/>
    <mergeCell ref="D259:G259"/>
    <mergeCell ref="D805:G805"/>
    <mergeCell ref="D1393:G1393"/>
    <mergeCell ref="D1985:G1985"/>
    <mergeCell ref="D3147:G3147"/>
    <mergeCell ref="D3146:G3146"/>
    <mergeCell ref="D3173:G3173"/>
    <mergeCell ref="D3042:I3042"/>
    <mergeCell ref="D2789:G2789"/>
    <mergeCell ref="C2954:I2954"/>
    <mergeCell ref="D245:G245"/>
    <mergeCell ref="D838:G838"/>
    <mergeCell ref="D2609:G2609"/>
    <mergeCell ref="D1425:G1425"/>
    <mergeCell ref="D2017:G2017"/>
    <mergeCell ref="D835:G835"/>
    <mergeCell ref="D317:G317"/>
    <mergeCell ref="D1497:G1497"/>
    <mergeCell ref="D2089:G2089"/>
    <mergeCell ref="D2682:G2682"/>
    <mergeCell ref="D1498:G1498"/>
    <mergeCell ref="D2090:G2090"/>
    <mergeCell ref="D2594:G2594"/>
    <mergeCell ref="D907:G907"/>
    <mergeCell ref="D2576:G2576"/>
    <mergeCell ref="D1392:G1392"/>
    <mergeCell ref="D1984:G1984"/>
    <mergeCell ref="D834:G834"/>
    <mergeCell ref="D308:G308"/>
    <mergeCell ref="D340:G340"/>
    <mergeCell ref="D299:G299"/>
    <mergeCell ref="D298:G298"/>
    <mergeCell ref="D1491:G1491"/>
    <mergeCell ref="D326:G326"/>
    <mergeCell ref="D919:G919"/>
    <mergeCell ref="D2690:G2690"/>
    <mergeCell ref="D328:G328"/>
    <mergeCell ref="D1532:G1532"/>
    <mergeCell ref="D2124:G2124"/>
    <mergeCell ref="D322:G322"/>
    <mergeCell ref="D915:G915"/>
    <mergeCell ref="D2686:G2686"/>
    <mergeCell ref="D1502:G1502"/>
    <mergeCell ref="D2094:G2094"/>
    <mergeCell ref="D342:G342"/>
    <mergeCell ref="D327:G327"/>
    <mergeCell ref="D472:G472"/>
    <mergeCell ref="D471:G471"/>
    <mergeCell ref="D898:G898"/>
    <mergeCell ref="D1746:G1746"/>
    <mergeCell ref="D2338:G2338"/>
    <mergeCell ref="D937:G937"/>
    <mergeCell ref="D885:G885"/>
    <mergeCell ref="D483:G483"/>
    <mergeCell ref="D482:G482"/>
    <mergeCell ref="D561:G561"/>
    <mergeCell ref="D560:G560"/>
    <mergeCell ref="D559:G559"/>
    <mergeCell ref="D2078:G2078"/>
    <mergeCell ref="D341:G341"/>
    <mergeCell ref="D1463:G1463"/>
    <mergeCell ref="D419:G419"/>
    <mergeCell ref="D2083:G2083"/>
    <mergeCell ref="D334:G334"/>
    <mergeCell ref="D927:G927"/>
    <mergeCell ref="D908:G908"/>
    <mergeCell ref="D344:G344"/>
    <mergeCell ref="D1382:G1382"/>
    <mergeCell ref="D3271:G3271"/>
    <mergeCell ref="D914:G914"/>
    <mergeCell ref="D2685:G2685"/>
    <mergeCell ref="D1501:G1501"/>
    <mergeCell ref="D2093:G2093"/>
    <mergeCell ref="D3270:G3270"/>
    <mergeCell ref="D913:G913"/>
    <mergeCell ref="D2684:G2684"/>
    <mergeCell ref="D1500:G1500"/>
    <mergeCell ref="D2092:G2092"/>
    <mergeCell ref="D3269:G3269"/>
    <mergeCell ref="D2702:G2702"/>
    <mergeCell ref="D900:G900"/>
    <mergeCell ref="D944:G944"/>
    <mergeCell ref="D2715:G2715"/>
    <mergeCell ref="D1531:G1531"/>
    <mergeCell ref="D2123:G2123"/>
    <mergeCell ref="D3195:G3195"/>
    <mergeCell ref="D2610:G2610"/>
    <mergeCell ref="D2671:G2671"/>
    <mergeCell ref="D1426:G1426"/>
    <mergeCell ref="D2695:G2695"/>
    <mergeCell ref="D2091:G2091"/>
    <mergeCell ref="D943:G943"/>
    <mergeCell ref="D1467:G1467"/>
    <mergeCell ref="D2059:G2059"/>
    <mergeCell ref="D2119:G2119"/>
    <mergeCell ref="D2835:G2835"/>
    <mergeCell ref="D1651:G1651"/>
    <mergeCell ref="D2669:G2669"/>
    <mergeCell ref="D1485:G1485"/>
    <mergeCell ref="D2077:G2077"/>
    <mergeCell ref="D3511:G3511"/>
    <mergeCell ref="D3512:G3512"/>
    <mergeCell ref="D901:G901"/>
    <mergeCell ref="D338:G338"/>
    <mergeCell ref="D931:G931"/>
    <mergeCell ref="D3278:G3278"/>
    <mergeCell ref="D942:G942"/>
    <mergeCell ref="D2713:G2713"/>
    <mergeCell ref="D1529:G1529"/>
    <mergeCell ref="D2121:G2121"/>
    <mergeCell ref="D3298:G3298"/>
    <mergeCell ref="D348:G348"/>
    <mergeCell ref="D941:G941"/>
    <mergeCell ref="D2601:G2601"/>
    <mergeCell ref="D1970:G1970"/>
    <mergeCell ref="D416:G416"/>
    <mergeCell ref="D2559:G2559"/>
    <mergeCell ref="D1981:G1981"/>
    <mergeCell ref="D3383:G3383"/>
    <mergeCell ref="D3079:G3079"/>
    <mergeCell ref="D2725:G2725"/>
    <mergeCell ref="D1016:G1016"/>
    <mergeCell ref="D824:G824"/>
    <mergeCell ref="D3258:G3258"/>
    <mergeCell ref="D1411:G1411"/>
    <mergeCell ref="D3157:G3157"/>
    <mergeCell ref="D3239:G3239"/>
    <mergeCell ref="D921:G921"/>
    <mergeCell ref="D2692:G2692"/>
    <mergeCell ref="D2716:G2716"/>
    <mergeCell ref="D3177:G3177"/>
    <mergeCell ref="D2588:G2588"/>
    <mergeCell ref="D3509:G3509"/>
    <mergeCell ref="D1527:G1527"/>
    <mergeCell ref="D3267:G3267"/>
    <mergeCell ref="D3275:G3275"/>
    <mergeCell ref="D2689:G2689"/>
    <mergeCell ref="D1505:G1505"/>
    <mergeCell ref="D2097:G2097"/>
    <mergeCell ref="D3274:G3274"/>
    <mergeCell ref="D2688:G2688"/>
    <mergeCell ref="D2333:G2333"/>
    <mergeCell ref="D2677:G2677"/>
    <mergeCell ref="D3266:G3266"/>
    <mergeCell ref="D2085:G2085"/>
    <mergeCell ref="D1511:G1511"/>
    <mergeCell ref="D3280:G3280"/>
    <mergeCell ref="D3300:G3300"/>
    <mergeCell ref="D3424:G3424"/>
    <mergeCell ref="D2714:G2714"/>
    <mergeCell ref="D1530:G1530"/>
    <mergeCell ref="D2122:G2122"/>
    <mergeCell ref="D3299:G3299"/>
    <mergeCell ref="D3179:G3179"/>
    <mergeCell ref="D2013:G2013"/>
    <mergeCell ref="D3140:G3140"/>
    <mergeCell ref="D3163:G3163"/>
    <mergeCell ref="D3162:G3162"/>
    <mergeCell ref="D3035:G3035"/>
    <mergeCell ref="D2067:G2067"/>
    <mergeCell ref="D1999:G1999"/>
    <mergeCell ref="D3069:I3069"/>
    <mergeCell ref="D3071:I3071"/>
    <mergeCell ref="D3155:G3155"/>
    <mergeCell ref="D3254:G3254"/>
    <mergeCell ref="D1518:G1518"/>
    <mergeCell ref="D2110:G2110"/>
    <mergeCell ref="D3287:G3287"/>
    <mergeCell ref="D337:G337"/>
    <mergeCell ref="D930:G930"/>
    <mergeCell ref="D2701:G2701"/>
    <mergeCell ref="D1517:G1517"/>
    <mergeCell ref="D903:G903"/>
    <mergeCell ref="D3273:G3273"/>
    <mergeCell ref="D1493:G1493"/>
    <mergeCell ref="D3259:G3259"/>
    <mergeCell ref="D3262:G3262"/>
    <mergeCell ref="D2062:G2062"/>
    <mergeCell ref="D3268:G3268"/>
    <mergeCell ref="D3246:G3246"/>
    <mergeCell ref="D933:G933"/>
    <mergeCell ref="D2704:G2704"/>
    <mergeCell ref="D1520:G1520"/>
    <mergeCell ref="D2112:G2112"/>
    <mergeCell ref="D1158:G1158"/>
    <mergeCell ref="D2921:G2921"/>
    <mergeCell ref="D902:G902"/>
    <mergeCell ref="D2673:G2673"/>
    <mergeCell ref="D1489:G1489"/>
    <mergeCell ref="D2917:G2917"/>
    <mergeCell ref="D2660:G2660"/>
    <mergeCell ref="D1476:G1476"/>
    <mergeCell ref="D2068:G2068"/>
    <mergeCell ref="D3245:G3245"/>
    <mergeCell ref="D1159:G1159"/>
    <mergeCell ref="D2926:G2926"/>
    <mergeCell ref="D3513:G3513"/>
    <mergeCell ref="D882:G882"/>
    <mergeCell ref="D2653:G2653"/>
    <mergeCell ref="D1152:G1152"/>
    <mergeCell ref="D558:G558"/>
    <mergeCell ref="D1151:G1151"/>
    <mergeCell ref="D2914:G2914"/>
    <mergeCell ref="D1738:G1738"/>
    <mergeCell ref="D2330:G2330"/>
    <mergeCell ref="D3507:G3507"/>
    <mergeCell ref="D345:G345"/>
    <mergeCell ref="D2698:G2698"/>
    <mergeCell ref="D1514:G1514"/>
    <mergeCell ref="D339:G339"/>
    <mergeCell ref="D932:G932"/>
    <mergeCell ref="D896:G896"/>
    <mergeCell ref="D2667:G2667"/>
    <mergeCell ref="D1483:G1483"/>
    <mergeCell ref="D2075:G2075"/>
    <mergeCell ref="D879:G879"/>
    <mergeCell ref="D2650:G2650"/>
    <mergeCell ref="D1466:G1466"/>
    <mergeCell ref="D2675:G2675"/>
    <mergeCell ref="D3235:G3235"/>
    <mergeCell ref="D563:G563"/>
    <mergeCell ref="D566:G566"/>
    <mergeCell ref="D554:G554"/>
    <mergeCell ref="D2910:G2910"/>
    <mergeCell ref="D1734:G1734"/>
    <mergeCell ref="D2326:G2326"/>
    <mergeCell ref="D3503:G3503"/>
    <mergeCell ref="D889:G889"/>
    <mergeCell ref="D2916:G2916"/>
    <mergeCell ref="D1740:G1740"/>
    <mergeCell ref="D2332:G2332"/>
    <mergeCell ref="D906:G906"/>
    <mergeCell ref="D909:G909"/>
    <mergeCell ref="D2656:G2656"/>
    <mergeCell ref="D1736:G1736"/>
    <mergeCell ref="D2328:G2328"/>
    <mergeCell ref="D1404:G1404"/>
    <mergeCell ref="D2915:G2915"/>
    <mergeCell ref="D1148:G1148"/>
    <mergeCell ref="D1735:G1735"/>
    <mergeCell ref="D2327:G2327"/>
    <mergeCell ref="D935:G935"/>
    <mergeCell ref="D1390:G1390"/>
    <mergeCell ref="D1685:G1685"/>
    <mergeCell ref="D2277:G2277"/>
    <mergeCell ref="D2283:G2283"/>
    <mergeCell ref="D2289:G2289"/>
    <mergeCell ref="D1109:G1109"/>
    <mergeCell ref="D2683:G2683"/>
    <mergeCell ref="D1499:G1499"/>
    <mergeCell ref="D2574:G2574"/>
    <mergeCell ref="D2605:G2605"/>
    <mergeCell ref="D1421:G1421"/>
    <mergeCell ref="D2595:G2595"/>
    <mergeCell ref="D2614:G2614"/>
    <mergeCell ref="D1521:G1521"/>
    <mergeCell ref="D2002:G2002"/>
    <mergeCell ref="D1432:G1432"/>
    <mergeCell ref="D1464:G1464"/>
    <mergeCell ref="D1460:G1460"/>
    <mergeCell ref="D3515:G3515"/>
    <mergeCell ref="D556:G556"/>
    <mergeCell ref="D555:G555"/>
    <mergeCell ref="D3514:G3514"/>
    <mergeCell ref="D926:G926"/>
    <mergeCell ref="D2697:G2697"/>
    <mergeCell ref="D1513:G1513"/>
    <mergeCell ref="D2105:G2105"/>
    <mergeCell ref="D2676:G2676"/>
    <mergeCell ref="D1492:G1492"/>
    <mergeCell ref="D2084:G2084"/>
    <mergeCell ref="D3261:G3261"/>
    <mergeCell ref="D3222:G3222"/>
    <mergeCell ref="D3066:G3066"/>
    <mergeCell ref="D3100:G3100"/>
    <mergeCell ref="D1112:G1112"/>
    <mergeCell ref="D2261:G2261"/>
    <mergeCell ref="D1745:G1745"/>
    <mergeCell ref="D1054:G1054"/>
    <mergeCell ref="D3510:G3510"/>
    <mergeCell ref="D1155:G1155"/>
    <mergeCell ref="D2918:G2918"/>
    <mergeCell ref="D1742:G1742"/>
    <mergeCell ref="D2334:G2334"/>
    <mergeCell ref="D3191:G3191"/>
    <mergeCell ref="D2710:G2710"/>
    <mergeCell ref="D1526:G1526"/>
    <mergeCell ref="D2118:G2118"/>
    <mergeCell ref="D3295:G3295"/>
    <mergeCell ref="D1149:G1149"/>
    <mergeCell ref="D2912:G2912"/>
    <mergeCell ref="D2708:G2708"/>
    <mergeCell ref="D3505:G3505"/>
    <mergeCell ref="D3237:G3237"/>
    <mergeCell ref="D3290:G3290"/>
    <mergeCell ref="D3289:G3289"/>
    <mergeCell ref="D3252:G3252"/>
    <mergeCell ref="D3243:G3243"/>
    <mergeCell ref="D3458:G3458"/>
    <mergeCell ref="D3465:G3465"/>
    <mergeCell ref="D3466:G3466"/>
    <mergeCell ref="D2818:G2818"/>
    <mergeCell ref="D1634:G1634"/>
    <mergeCell ref="D2226:G2226"/>
    <mergeCell ref="D2058:G2058"/>
    <mergeCell ref="D2828:G2828"/>
    <mergeCell ref="D2082:G2082"/>
    <mergeCell ref="D2900:G2900"/>
    <mergeCell ref="D1470:G1470"/>
    <mergeCell ref="D1474:G1474"/>
    <mergeCell ref="D2679:G2679"/>
    <mergeCell ref="D1508:G1508"/>
    <mergeCell ref="D2100:G2100"/>
    <mergeCell ref="D3194:G3194"/>
    <mergeCell ref="D3193:G3193"/>
    <mergeCell ref="D2712:G2712"/>
    <mergeCell ref="D1475:G1475"/>
    <mergeCell ref="D3093:G3093"/>
    <mergeCell ref="D3145:G3145"/>
    <mergeCell ref="D2711:G2711"/>
    <mergeCell ref="D3483:G3483"/>
    <mergeCell ref="D3487:G3487"/>
    <mergeCell ref="D3490:G3490"/>
    <mergeCell ref="D3441:G3441"/>
    <mergeCell ref="D3286:G3286"/>
    <mergeCell ref="D3248:G3248"/>
    <mergeCell ref="D3260:G3260"/>
    <mergeCell ref="D3190:G3190"/>
    <mergeCell ref="D3139:G3139"/>
    <mergeCell ref="D1371:G1371"/>
    <mergeCell ref="D3161:G3161"/>
    <mergeCell ref="D2681:G2681"/>
    <mergeCell ref="D2826:G2826"/>
    <mergeCell ref="D1515:G1515"/>
    <mergeCell ref="D3508:G3508"/>
    <mergeCell ref="D3506:G3506"/>
    <mergeCell ref="D3098:G3098"/>
    <mergeCell ref="D3101:G3101"/>
    <mergeCell ref="D3102:G3102"/>
    <mergeCell ref="D3217:G3217"/>
    <mergeCell ref="D3318:G3318"/>
    <mergeCell ref="D3175:G3175"/>
    <mergeCell ref="D3154:G3154"/>
    <mergeCell ref="D3310:G3310"/>
    <mergeCell ref="D3385:G3385"/>
    <mergeCell ref="D3380:G3380"/>
    <mergeCell ref="D3182:G3182"/>
    <mergeCell ref="D3228:G3228"/>
    <mergeCell ref="D3152:G3152"/>
    <mergeCell ref="D3196:G3196"/>
    <mergeCell ref="D2264:G2264"/>
    <mergeCell ref="E2402:L2402"/>
    <mergeCell ref="D2286:G2286"/>
    <mergeCell ref="D2066:G2066"/>
    <mergeCell ref="D2310:G2310"/>
    <mergeCell ref="D2911:G2911"/>
    <mergeCell ref="D3504:G3504"/>
    <mergeCell ref="D1642:G1642"/>
    <mergeCell ref="D3502:G3502"/>
    <mergeCell ref="D3296:G3296"/>
    <mergeCell ref="D3417:G3417"/>
    <mergeCell ref="D2239:G2239"/>
    <mergeCell ref="D3416:G3416"/>
    <mergeCell ref="D3425:G3425"/>
    <mergeCell ref="D2839:G2839"/>
    <mergeCell ref="D2709:G2709"/>
    <mergeCell ref="D1525:G1525"/>
    <mergeCell ref="D2117:G2117"/>
    <mergeCell ref="D3294:G3294"/>
    <mergeCell ref="D2665:G2665"/>
    <mergeCell ref="D1481:G1481"/>
    <mergeCell ref="D2073:G2073"/>
    <mergeCell ref="D3250:G3250"/>
    <mergeCell ref="D2703:G2703"/>
    <mergeCell ref="D1519:G1519"/>
    <mergeCell ref="D2111:G2111"/>
    <mergeCell ref="D2654:G2654"/>
    <mergeCell ref="D2829:G2829"/>
    <mergeCell ref="D1645:G1645"/>
    <mergeCell ref="D2706:G2706"/>
    <mergeCell ref="D1522:G1522"/>
    <mergeCell ref="D2114:G2114"/>
    <mergeCell ref="D1739:G1739"/>
    <mergeCell ref="D2331:G2331"/>
    <mergeCell ref="D1495:G1495"/>
    <mergeCell ref="D2087:G2087"/>
    <mergeCell ref="D1982:G1982"/>
    <mergeCell ref="D2606:G2606"/>
    <mergeCell ref="D470:G470"/>
    <mergeCell ref="D1127:G1127"/>
    <mergeCell ref="D2898:G2898"/>
    <mergeCell ref="D1714:G1714"/>
    <mergeCell ref="D1057:G1057"/>
    <mergeCell ref="D2869:G2869"/>
    <mergeCell ref="D473:G473"/>
    <mergeCell ref="D1077:G1077"/>
    <mergeCell ref="D1075:G1075"/>
    <mergeCell ref="D2254:G2254"/>
    <mergeCell ref="D2838:G2838"/>
    <mergeCell ref="D1654:G1654"/>
    <mergeCell ref="D1698:G1698"/>
    <mergeCell ref="D504:G504"/>
    <mergeCell ref="D894:G894"/>
    <mergeCell ref="D518:G518"/>
    <mergeCell ref="D2878:G2878"/>
    <mergeCell ref="D1694:G1694"/>
    <mergeCell ref="D2837:G2837"/>
    <mergeCell ref="D1691:G1691"/>
    <mergeCell ref="D1524:G1524"/>
    <mergeCell ref="D2116:G2116"/>
    <mergeCell ref="D928:G928"/>
    <mergeCell ref="D2699:G2699"/>
    <mergeCell ref="D2674:G2674"/>
    <mergeCell ref="D2107:G2107"/>
    <mergeCell ref="D1154:G1154"/>
    <mergeCell ref="D2241:G2241"/>
    <mergeCell ref="D2335:G2335"/>
    <mergeCell ref="D1153:G1153"/>
    <mergeCell ref="D803:G803"/>
    <mergeCell ref="D705:G705"/>
    <mergeCell ref="D3276:G3276"/>
    <mergeCell ref="D476:G476"/>
    <mergeCell ref="D1069:G1069"/>
    <mergeCell ref="D2840:G2840"/>
    <mergeCell ref="D1656:G1656"/>
    <mergeCell ref="D2248:G2248"/>
    <mergeCell ref="D557:G557"/>
    <mergeCell ref="D1150:G1150"/>
    <mergeCell ref="D2913:G2913"/>
    <mergeCell ref="D1737:G1737"/>
    <mergeCell ref="D2329:G2329"/>
    <mergeCell ref="D1062:G1062"/>
    <mergeCell ref="D2833:G2833"/>
    <mergeCell ref="D507:G507"/>
    <mergeCell ref="D2817:G2817"/>
    <mergeCell ref="D1633:G1633"/>
    <mergeCell ref="D2238:G2238"/>
    <mergeCell ref="D1082:G1082"/>
    <mergeCell ref="D484:G484"/>
    <mergeCell ref="D1664:G1664"/>
    <mergeCell ref="D2256:G2256"/>
    <mergeCell ref="D565:G565"/>
    <mergeCell ref="D2662:G2662"/>
    <mergeCell ref="D1478:G1478"/>
    <mergeCell ref="D2070:G2070"/>
    <mergeCell ref="D2680:G2680"/>
    <mergeCell ref="D1496:G1496"/>
    <mergeCell ref="D1422:G1422"/>
    <mergeCell ref="D2014:G2014"/>
    <mergeCell ref="D2555:G2555"/>
    <mergeCell ref="D3236:G3236"/>
    <mergeCell ref="D2919:G2919"/>
    <mergeCell ref="D3412:G3412"/>
    <mergeCell ref="D3484:G3484"/>
    <mergeCell ref="D521:G521"/>
    <mergeCell ref="D1114:G1114"/>
    <mergeCell ref="D2885:G2885"/>
    <mergeCell ref="D1701:G1701"/>
    <mergeCell ref="D2293:G2293"/>
    <mergeCell ref="D3481:G3481"/>
    <mergeCell ref="D2897:G2897"/>
    <mergeCell ref="D3482:G3482"/>
    <mergeCell ref="D2896:G2896"/>
    <mergeCell ref="D2304:G2304"/>
    <mergeCell ref="D3471:G3471"/>
    <mergeCell ref="D3480:G3480"/>
    <mergeCell ref="D2167:G2167"/>
    <mergeCell ref="D3240:G3240"/>
    <mergeCell ref="D2658:G2658"/>
    <mergeCell ref="D3406:G3406"/>
    <mergeCell ref="D1146:G1146"/>
    <mergeCell ref="D2909:G2909"/>
    <mergeCell ref="D1733:G1733"/>
    <mergeCell ref="D2325:G2325"/>
    <mergeCell ref="D1655:G1655"/>
    <mergeCell ref="D2247:G2247"/>
    <mergeCell ref="D2337:G2337"/>
    <mergeCell ref="D2663:G2663"/>
    <mergeCell ref="D1479:G1479"/>
    <mergeCell ref="D3404:G3404"/>
    <mergeCell ref="D2245:G2245"/>
    <mergeCell ref="D2243:G2243"/>
    <mergeCell ref="D2830:G2830"/>
    <mergeCell ref="D1646:G1646"/>
    <mergeCell ref="D463:G463"/>
    <mergeCell ref="D1056:G1056"/>
    <mergeCell ref="D2827:G2827"/>
    <mergeCell ref="D1643:G1643"/>
    <mergeCell ref="D2235:G2235"/>
    <mergeCell ref="D1060:G1060"/>
    <mergeCell ref="D2831:G2831"/>
    <mergeCell ref="D1647:G1647"/>
    <mergeCell ref="D462:G462"/>
    <mergeCell ref="D1055:G1055"/>
    <mergeCell ref="D520:G520"/>
    <mergeCell ref="D519:G519"/>
    <mergeCell ref="D2816:G2816"/>
    <mergeCell ref="D1632:G1632"/>
    <mergeCell ref="D2224:G2224"/>
    <mergeCell ref="D2307:G2307"/>
    <mergeCell ref="D534:G534"/>
    <mergeCell ref="D1744:G1744"/>
    <mergeCell ref="D2336:G2336"/>
    <mergeCell ref="D1472:G1472"/>
    <mergeCell ref="D2064:G2064"/>
    <mergeCell ref="D2652:G2652"/>
    <mergeCell ref="D1468:G1468"/>
    <mergeCell ref="D2060:G2060"/>
    <mergeCell ref="D2651:G2651"/>
    <mergeCell ref="D939:G939"/>
    <mergeCell ref="D1741:G1741"/>
    <mergeCell ref="D527:G527"/>
    <mergeCell ref="D1713:G1713"/>
    <mergeCell ref="D2305:G2305"/>
    <mergeCell ref="D1125:G1125"/>
    <mergeCell ref="D1712:G1712"/>
    <mergeCell ref="D457:G457"/>
    <mergeCell ref="D1050:G1050"/>
    <mergeCell ref="D2821:G2821"/>
    <mergeCell ref="D1637:G1637"/>
    <mergeCell ref="D2229:G2229"/>
    <mergeCell ref="D475:G475"/>
    <mergeCell ref="D474:G474"/>
    <mergeCell ref="D468:G468"/>
    <mergeCell ref="D467:G467"/>
    <mergeCell ref="D466:G466"/>
    <mergeCell ref="D1059:G1059"/>
    <mergeCell ref="D2845:G2845"/>
    <mergeCell ref="D1661:G1661"/>
    <mergeCell ref="D2253:G2253"/>
    <mergeCell ref="D1049:G1049"/>
    <mergeCell ref="D2820:G2820"/>
    <mergeCell ref="D1636:G1636"/>
    <mergeCell ref="D2228:G2228"/>
    <mergeCell ref="D1046:G1046"/>
    <mergeCell ref="D1716:G1716"/>
    <mergeCell ref="D2308:G2308"/>
    <mergeCell ref="D514:G514"/>
    <mergeCell ref="D1699:G1699"/>
    <mergeCell ref="D2291:G2291"/>
    <mergeCell ref="D459:G459"/>
    <mergeCell ref="D1052:G1052"/>
    <mergeCell ref="D2823:G2823"/>
    <mergeCell ref="D1639:G1639"/>
    <mergeCell ref="D2231:G2231"/>
    <mergeCell ref="D458:G458"/>
    <mergeCell ref="D1051:G1051"/>
    <mergeCell ref="D522:G522"/>
    <mergeCell ref="D460:G460"/>
    <mergeCell ref="D3344:G3344"/>
    <mergeCell ref="D1043:G1043"/>
    <mergeCell ref="D2814:G2814"/>
    <mergeCell ref="D1630:G1630"/>
    <mergeCell ref="D2214:G2214"/>
    <mergeCell ref="D3399:G3399"/>
    <mergeCell ref="D541:G541"/>
    <mergeCell ref="D1134:G1134"/>
    <mergeCell ref="D2905:G2905"/>
    <mergeCell ref="D1721:G1721"/>
    <mergeCell ref="D2313:G2313"/>
    <mergeCell ref="D2899:G2899"/>
    <mergeCell ref="D1715:G1715"/>
    <mergeCell ref="D526:G526"/>
    <mergeCell ref="D1119:G1119"/>
    <mergeCell ref="D2890:G2890"/>
    <mergeCell ref="D1706:G1706"/>
    <mergeCell ref="D2298:G2298"/>
    <mergeCell ref="D1053:G1053"/>
    <mergeCell ref="D1068:G1068"/>
    <mergeCell ref="D1067:G1067"/>
    <mergeCell ref="D535:G535"/>
    <mergeCell ref="D1471:G1471"/>
    <mergeCell ref="D2063:G2063"/>
    <mergeCell ref="D531:G531"/>
    <mergeCell ref="D1124:G1124"/>
    <mergeCell ref="D2895:G2895"/>
    <mergeCell ref="D1711:G1711"/>
    <mergeCell ref="D2303:G2303"/>
    <mergeCell ref="D528:G528"/>
    <mergeCell ref="D1126:G1126"/>
    <mergeCell ref="D3414:G3414"/>
    <mergeCell ref="D2825:G2825"/>
    <mergeCell ref="D1641:G1641"/>
    <mergeCell ref="D2233:G2233"/>
    <mergeCell ref="D3410:G3410"/>
    <mergeCell ref="D1083:G1083"/>
    <mergeCell ref="D2854:G2854"/>
    <mergeCell ref="D1670:G1670"/>
    <mergeCell ref="D1147:G1147"/>
    <mergeCell ref="D2106:G2106"/>
    <mergeCell ref="D3411:G3411"/>
    <mergeCell ref="D1649:G1649"/>
    <mergeCell ref="D1469:G1469"/>
    <mergeCell ref="D2856:G2856"/>
    <mergeCell ref="D2666:G2666"/>
    <mergeCell ref="D1482:G1482"/>
    <mergeCell ref="D2074:G2074"/>
    <mergeCell ref="D2071:G2071"/>
    <mergeCell ref="D3078:G3078"/>
    <mergeCell ref="D1490:G1490"/>
    <mergeCell ref="D2081:G2081"/>
    <mergeCell ref="D1156:G1156"/>
    <mergeCell ref="D2678:G2678"/>
    <mergeCell ref="D1743:G1743"/>
    <mergeCell ref="D2113:G2113"/>
    <mergeCell ref="D1672:G1672"/>
    <mergeCell ref="D3297:G3297"/>
    <mergeCell ref="D1674:G1674"/>
    <mergeCell ref="D2266:G2266"/>
    <mergeCell ref="D2848:G2848"/>
    <mergeCell ref="D2846:G2846"/>
    <mergeCell ref="D1662:G1662"/>
    <mergeCell ref="D3486:G3486"/>
    <mergeCell ref="D451:G451"/>
    <mergeCell ref="D1044:G1044"/>
    <mergeCell ref="D2815:G2815"/>
    <mergeCell ref="D1631:G1631"/>
    <mergeCell ref="D2223:G2223"/>
    <mergeCell ref="D3400:G3400"/>
    <mergeCell ref="D3489:G3489"/>
    <mergeCell ref="D539:G539"/>
    <mergeCell ref="D1132:G1132"/>
    <mergeCell ref="D2903:G2903"/>
    <mergeCell ref="D1719:G1719"/>
    <mergeCell ref="D2311:G2311"/>
    <mergeCell ref="D3488:G3488"/>
    <mergeCell ref="D1131:G1131"/>
    <mergeCell ref="D2902:G2902"/>
    <mergeCell ref="D1718:G1718"/>
    <mergeCell ref="D454:G454"/>
    <mergeCell ref="D1047:G1047"/>
    <mergeCell ref="D3403:G3403"/>
    <mergeCell ref="D1129:G1129"/>
    <mergeCell ref="D2655:G2655"/>
    <mergeCell ref="D3402:G3402"/>
    <mergeCell ref="D3469:G3469"/>
    <mergeCell ref="D3479:G3479"/>
    <mergeCell ref="D1130:G1130"/>
    <mergeCell ref="D2901:G2901"/>
    <mergeCell ref="D1717:G1717"/>
    <mergeCell ref="D2309:G2309"/>
    <mergeCell ref="D3476:G3476"/>
    <mergeCell ref="D3485:G3485"/>
    <mergeCell ref="D3405:G3405"/>
    <mergeCell ref="D3478:G3478"/>
    <mergeCell ref="D1121:G1121"/>
    <mergeCell ref="D2892:G2892"/>
    <mergeCell ref="D1708:G1708"/>
    <mergeCell ref="D2300:G2300"/>
    <mergeCell ref="D3477:G3477"/>
    <mergeCell ref="D1120:G1120"/>
    <mergeCell ref="D2891:G2891"/>
    <mergeCell ref="D1707:G1707"/>
    <mergeCell ref="D2299:G2299"/>
    <mergeCell ref="D3440:G3440"/>
    <mergeCell ref="D3475:G3475"/>
    <mergeCell ref="D2824:G2824"/>
    <mergeCell ref="D1640:G1640"/>
    <mergeCell ref="D2232:G2232"/>
    <mergeCell ref="D533:G533"/>
    <mergeCell ref="D532:G532"/>
    <mergeCell ref="D2244:G2244"/>
    <mergeCell ref="D3421:G3421"/>
    <mergeCell ref="D3277:G3277"/>
    <mergeCell ref="D920:G920"/>
    <mergeCell ref="D2262:G2262"/>
    <mergeCell ref="D1128:G1128"/>
    <mergeCell ref="D2853:G2853"/>
    <mergeCell ref="D2236:G2236"/>
    <mergeCell ref="D3474:G3474"/>
    <mergeCell ref="D3468:G3468"/>
    <mergeCell ref="D540:G540"/>
    <mergeCell ref="D1133:G1133"/>
    <mergeCell ref="D2904:G2904"/>
    <mergeCell ref="D1720:G1720"/>
    <mergeCell ref="D2312:G2312"/>
    <mergeCell ref="D3473:G3473"/>
    <mergeCell ref="D1116:G1116"/>
    <mergeCell ref="D2887:G2887"/>
    <mergeCell ref="D1703:G1703"/>
    <mergeCell ref="D2295:G2295"/>
    <mergeCell ref="D3472:G3472"/>
    <mergeCell ref="D1115:G1115"/>
    <mergeCell ref="D2886:G2886"/>
    <mergeCell ref="D1702:G1702"/>
    <mergeCell ref="D2294:G2294"/>
    <mergeCell ref="D3470:G3470"/>
    <mergeCell ref="D530:G530"/>
    <mergeCell ref="D1123:G1123"/>
    <mergeCell ref="D2894:G2894"/>
    <mergeCell ref="D1710:G1710"/>
    <mergeCell ref="D2302:G2302"/>
    <mergeCell ref="D2061:G2061"/>
    <mergeCell ref="D1113:G1113"/>
    <mergeCell ref="D2884:G2884"/>
    <mergeCell ref="D1700:G1700"/>
    <mergeCell ref="D2292:G2292"/>
    <mergeCell ref="D3238:G3238"/>
    <mergeCell ref="D3422:G3422"/>
    <mergeCell ref="D884:G884"/>
    <mergeCell ref="D2836:G2836"/>
    <mergeCell ref="D1652:G1652"/>
    <mergeCell ref="D2883:G2883"/>
    <mergeCell ref="D1122:G1122"/>
    <mergeCell ref="D2893:G2893"/>
    <mergeCell ref="D1709:G1709"/>
    <mergeCell ref="D2301:G2301"/>
    <mergeCell ref="D3288:G3288"/>
    <mergeCell ref="D3467:G3467"/>
    <mergeCell ref="D3438:G3438"/>
    <mergeCell ref="D3431:G3431"/>
    <mergeCell ref="D3413:G3413"/>
    <mergeCell ref="D3420:G3420"/>
    <mergeCell ref="D3448:G3448"/>
    <mergeCell ref="D3433:G3433"/>
    <mergeCell ref="D3432:G3432"/>
    <mergeCell ref="D3401:G3401"/>
    <mergeCell ref="D3408:G3408"/>
    <mergeCell ref="D1638:G1638"/>
    <mergeCell ref="D2230:G2230"/>
    <mergeCell ref="D3407:G3407"/>
    <mergeCell ref="D3409:G3409"/>
    <mergeCell ref="D2920:G2920"/>
    <mergeCell ref="D3241:G3241"/>
    <mergeCell ref="D1118:G1118"/>
    <mergeCell ref="D1644:G1644"/>
    <mergeCell ref="D1705:G1705"/>
    <mergeCell ref="D1669:G1669"/>
    <mergeCell ref="D1509:G1509"/>
    <mergeCell ref="D3256:G3256"/>
    <mergeCell ref="D2670:G2670"/>
    <mergeCell ref="D1486:G1486"/>
    <mergeCell ref="D3291:G3291"/>
    <mergeCell ref="D3443:G3443"/>
    <mergeCell ref="D3423:G3423"/>
    <mergeCell ref="D2888:G2888"/>
    <mergeCell ref="D1704:G1704"/>
    <mergeCell ref="D2296:G2296"/>
    <mergeCell ref="D2102:G2102"/>
    <mergeCell ref="D2819:G2819"/>
    <mergeCell ref="D3293:G3293"/>
    <mergeCell ref="D2759:G2759"/>
    <mergeCell ref="D1107:G1107"/>
    <mergeCell ref="D2284:G2284"/>
    <mergeCell ref="D2246:G2246"/>
    <mergeCell ref="D2281:G2281"/>
    <mergeCell ref="E1810:L1810"/>
    <mergeCell ref="D1084:G1084"/>
    <mergeCell ref="D2855:G2855"/>
    <mergeCell ref="D1671:G1671"/>
    <mergeCell ref="D2263:G2263"/>
    <mergeCell ref="D2242:G2242"/>
    <mergeCell ref="D1097:G1097"/>
    <mergeCell ref="D2863:G2863"/>
    <mergeCell ref="D1684:G1684"/>
    <mergeCell ref="D2276:G2276"/>
    <mergeCell ref="D3251:G3251"/>
    <mergeCell ref="D3284:G3284"/>
    <mergeCell ref="D2672:G2672"/>
    <mergeCell ref="D2858:G2858"/>
    <mergeCell ref="D1103:G1103"/>
    <mergeCell ref="D2874:G2874"/>
    <mergeCell ref="D2880:G2880"/>
    <mergeCell ref="D1696:G1696"/>
    <mergeCell ref="D2288:G2288"/>
    <mergeCell ref="D3244:G3244"/>
    <mergeCell ref="D3247:G3247"/>
    <mergeCell ref="D2088:G2088"/>
    <mergeCell ref="D3282:G3282"/>
    <mergeCell ref="D2661:G2661"/>
    <mergeCell ref="D1477:G1477"/>
    <mergeCell ref="D2069:G2069"/>
    <mergeCell ref="D3283:G3283"/>
    <mergeCell ref="D2693:G2693"/>
    <mergeCell ref="D1111:G1111"/>
    <mergeCell ref="D2882:G2882"/>
    <mergeCell ref="D525:G525"/>
    <mergeCell ref="D2268:G2268"/>
    <mergeCell ref="D2889:G2889"/>
    <mergeCell ref="D2222:G2222"/>
    <mergeCell ref="D2297:G2297"/>
    <mergeCell ref="D576:G576"/>
    <mergeCell ref="D2101:G2101"/>
    <mergeCell ref="D2929:G2929"/>
    <mergeCell ref="D1523:G1523"/>
    <mergeCell ref="D2115:G2115"/>
    <mergeCell ref="E2998:L2998"/>
    <mergeCell ref="E2999:L2999"/>
    <mergeCell ref="E2405:L2405"/>
    <mergeCell ref="D1110:G1110"/>
    <mergeCell ref="D2881:G2881"/>
    <mergeCell ref="D1697:G1697"/>
    <mergeCell ref="D3255:G3255"/>
    <mergeCell ref="D1076:G1076"/>
    <mergeCell ref="D2847:G2847"/>
    <mergeCell ref="D1663:G1663"/>
    <mergeCell ref="D2255:G2255"/>
    <mergeCell ref="D2822:G2822"/>
    <mergeCell ref="D2691:G2691"/>
    <mergeCell ref="D905:G905"/>
    <mergeCell ref="D904:G904"/>
    <mergeCell ref="D912:G912"/>
    <mergeCell ref="D890:G890"/>
    <mergeCell ref="D2079:G2079"/>
    <mergeCell ref="D496:G496"/>
    <mergeCell ref="D494:G494"/>
    <mergeCell ref="D3447:G3447"/>
    <mergeCell ref="D503:G503"/>
    <mergeCell ref="D3457:G3457"/>
    <mergeCell ref="D1100:G1100"/>
    <mergeCell ref="D2871:G2871"/>
    <mergeCell ref="D1687:G1687"/>
    <mergeCell ref="D2279:G2279"/>
    <mergeCell ref="D3450:G3450"/>
    <mergeCell ref="D1099:G1099"/>
    <mergeCell ref="D2870:G2870"/>
    <mergeCell ref="D1686:G1686"/>
    <mergeCell ref="D2278:G2278"/>
    <mergeCell ref="D3449:G3449"/>
    <mergeCell ref="D3439:G3439"/>
    <mergeCell ref="D3415:G3415"/>
    <mergeCell ref="D2834:G2834"/>
    <mergeCell ref="D1650:G1650"/>
    <mergeCell ref="D1092:G1092"/>
    <mergeCell ref="D988:G988"/>
    <mergeCell ref="E2994:L2994"/>
    <mergeCell ref="D1575:G1575"/>
    <mergeCell ref="D509:G509"/>
    <mergeCell ref="D1102:G1102"/>
    <mergeCell ref="D1689:G1689"/>
    <mergeCell ref="D934:G934"/>
    <mergeCell ref="D2705:G2705"/>
    <mergeCell ref="D1065:G1065"/>
    <mergeCell ref="D938:G938"/>
    <mergeCell ref="D1066:G1066"/>
    <mergeCell ref="D524:G524"/>
    <mergeCell ref="D497:G497"/>
    <mergeCell ref="D1090:G1090"/>
    <mergeCell ref="D502:G502"/>
    <mergeCell ref="D1095:G1095"/>
    <mergeCell ref="D2861:G2861"/>
    <mergeCell ref="D1682:G1682"/>
    <mergeCell ref="D2274:G2274"/>
    <mergeCell ref="D3451:G3451"/>
    <mergeCell ref="D501:G501"/>
    <mergeCell ref="D1094:G1094"/>
    <mergeCell ref="D2860:G2860"/>
    <mergeCell ref="D1681:G1681"/>
    <mergeCell ref="D2269:G2269"/>
    <mergeCell ref="D3444:G3444"/>
    <mergeCell ref="D500:G500"/>
    <mergeCell ref="D1093:G1093"/>
    <mergeCell ref="D2864:G2864"/>
    <mergeCell ref="D1680:G1680"/>
    <mergeCell ref="D1692:G1692"/>
    <mergeCell ref="D3430:G3430"/>
    <mergeCell ref="E634:L634"/>
    <mergeCell ref="D3342:G3342"/>
    <mergeCell ref="E1814:L1814"/>
    <mergeCell ref="D2287:G2287"/>
    <mergeCell ref="D1048:G1048"/>
    <mergeCell ref="D1635:G1635"/>
    <mergeCell ref="D2227:G2227"/>
    <mergeCell ref="D1079:G1079"/>
    <mergeCell ref="D564:G564"/>
    <mergeCell ref="D887:G887"/>
    <mergeCell ref="D881:G881"/>
    <mergeCell ref="D880:G880"/>
    <mergeCell ref="D510:G510"/>
    <mergeCell ref="D499:G499"/>
    <mergeCell ref="D1679:G1679"/>
    <mergeCell ref="E2996:L2996"/>
    <mergeCell ref="E633:L633"/>
    <mergeCell ref="E1226:L1226"/>
    <mergeCell ref="E1813:L1813"/>
    <mergeCell ref="D3464:G3464"/>
    <mergeCell ref="D1089:G1089"/>
    <mergeCell ref="D2850:G2850"/>
    <mergeCell ref="D1673:G1673"/>
    <mergeCell ref="D3445:G3445"/>
    <mergeCell ref="D2859:G2859"/>
    <mergeCell ref="D2282:G2282"/>
    <mergeCell ref="D3459:G3459"/>
    <mergeCell ref="D3463:G3463"/>
    <mergeCell ref="D3442:G3442"/>
    <mergeCell ref="D3435:G3435"/>
    <mergeCell ref="D3452:G3452"/>
    <mergeCell ref="D2290:G2290"/>
    <mergeCell ref="D3419:G3419"/>
    <mergeCell ref="D804:G804"/>
    <mergeCell ref="D1030:G1030"/>
    <mergeCell ref="E630:L630"/>
    <mergeCell ref="E1223:L1223"/>
    <mergeCell ref="D3257:G3257"/>
    <mergeCell ref="D3137:G3137"/>
    <mergeCell ref="D3303:G3303"/>
    <mergeCell ref="E2997:L2997"/>
    <mergeCell ref="D2795:G2795"/>
    <mergeCell ref="D3292:G3292"/>
    <mergeCell ref="D2936:G2936"/>
    <mergeCell ref="D3340:G3340"/>
    <mergeCell ref="D2938:G2938"/>
    <mergeCell ref="D3341:G3341"/>
    <mergeCell ref="D2939:G2939"/>
    <mergeCell ref="D1108:G1108"/>
    <mergeCell ref="D2879:G2879"/>
    <mergeCell ref="D1695:G1695"/>
    <mergeCell ref="D2086:G2086"/>
    <mergeCell ref="D2585:G2585"/>
    <mergeCell ref="D1401:G1401"/>
    <mergeCell ref="D1993:G1993"/>
    <mergeCell ref="D575:G575"/>
    <mergeCell ref="D1168:G1168"/>
    <mergeCell ref="D2928:G2928"/>
    <mergeCell ref="D1755:G1755"/>
    <mergeCell ref="D2347:G2347"/>
    <mergeCell ref="D513:G513"/>
    <mergeCell ref="D1106:G1106"/>
    <mergeCell ref="D2877:G2877"/>
    <mergeCell ref="D1693:G1693"/>
    <mergeCell ref="D2285:G2285"/>
    <mergeCell ref="D1104:G1104"/>
    <mergeCell ref="D3170:G3170"/>
    <mergeCell ref="D936:G936"/>
    <mergeCell ref="D2707:G2707"/>
    <mergeCell ref="D523:G523"/>
    <mergeCell ref="D1653:G1653"/>
    <mergeCell ref="D3264:G3264"/>
    <mergeCell ref="D1494:G1494"/>
    <mergeCell ref="D1117:G1117"/>
    <mergeCell ref="D529:G529"/>
    <mergeCell ref="D3263:G3263"/>
    <mergeCell ref="D2876:G2876"/>
    <mergeCell ref="D1091:G1091"/>
    <mergeCell ref="D1666:G1666"/>
    <mergeCell ref="D2862:G2862"/>
    <mergeCell ref="E2406:L2406"/>
    <mergeCell ref="D2258:G2258"/>
    <mergeCell ref="D899:G899"/>
    <mergeCell ref="D1488:G1488"/>
    <mergeCell ref="D2080:G2080"/>
    <mergeCell ref="D2109:G2109"/>
    <mergeCell ref="D1026:G1026"/>
    <mergeCell ref="D1613:G1613"/>
    <mergeCell ref="D515:G515"/>
    <mergeCell ref="D517:G517"/>
    <mergeCell ref="D516:G516"/>
    <mergeCell ref="D895:G895"/>
    <mergeCell ref="D1063:G1063"/>
    <mergeCell ref="D781:G781"/>
    <mergeCell ref="D2552:G2552"/>
    <mergeCell ref="D1368:G1368"/>
    <mergeCell ref="D1507:G1507"/>
    <mergeCell ref="D2099:G2099"/>
    <mergeCell ref="J663:J664"/>
    <mergeCell ref="D2191:G2191"/>
    <mergeCell ref="D2558:G2558"/>
    <mergeCell ref="D1537:G1537"/>
    <mergeCell ref="D1966:G1966"/>
    <mergeCell ref="D1624:G1624"/>
    <mergeCell ref="G587:J587"/>
    <mergeCell ref="D782:G782"/>
    <mergeCell ref="D789:G789"/>
    <mergeCell ref="D813:G813"/>
    <mergeCell ref="E58:L58"/>
    <mergeCell ref="E635:L635"/>
    <mergeCell ref="E1228:L1228"/>
    <mergeCell ref="E1815:L1815"/>
    <mergeCell ref="E2407:L2407"/>
    <mergeCell ref="D151:G151"/>
    <mergeCell ref="D152:G152"/>
    <mergeCell ref="D153:G153"/>
    <mergeCell ref="D136:G136"/>
    <mergeCell ref="D137:G137"/>
    <mergeCell ref="D3525:G3525"/>
    <mergeCell ref="D2930:G2930"/>
    <mergeCell ref="D2931:G2931"/>
    <mergeCell ref="D2932:G2932"/>
    <mergeCell ref="D2933:G2933"/>
    <mergeCell ref="D2934:G2934"/>
    <mergeCell ref="D2935:G2935"/>
    <mergeCell ref="D3382:G3382"/>
    <mergeCell ref="D3378:G3378"/>
    <mergeCell ref="D3524:G3524"/>
    <mergeCell ref="D3462:G3462"/>
    <mergeCell ref="D3461:G3461"/>
    <mergeCell ref="D3460:G3460"/>
    <mergeCell ref="D1690:G1690"/>
    <mergeCell ref="D493:G493"/>
    <mergeCell ref="D2348:G2348"/>
    <mergeCell ref="D3446:G3446"/>
    <mergeCell ref="D2937:G2937"/>
    <mergeCell ref="E2995:L2995"/>
    <mergeCell ref="D3418:G3418"/>
    <mergeCell ref="D1615:G1615"/>
    <mergeCell ref="D2280:G2280"/>
    <mergeCell ref="N40:P40"/>
    <mergeCell ref="N617:P617"/>
    <mergeCell ref="N1210:P1210"/>
    <mergeCell ref="N1797:P1797"/>
    <mergeCell ref="N2389:P2389"/>
    <mergeCell ref="N2981:P2981"/>
    <mergeCell ref="N44:P44"/>
    <mergeCell ref="N621:P621"/>
    <mergeCell ref="N1214:P1214"/>
    <mergeCell ref="N1801:P1801"/>
    <mergeCell ref="N2393:P2393"/>
    <mergeCell ref="N2985:P2985"/>
    <mergeCell ref="N45:P45"/>
    <mergeCell ref="N622:P622"/>
    <mergeCell ref="N1215:P1215"/>
    <mergeCell ref="N1802:P1802"/>
    <mergeCell ref="N2394:P2394"/>
    <mergeCell ref="N46:P46"/>
    <mergeCell ref="N47:P47"/>
    <mergeCell ref="N48:P48"/>
    <mergeCell ref="N2980:P2980"/>
    <mergeCell ref="K656:N656"/>
    <mergeCell ref="N693:P693"/>
    <mergeCell ref="N703:P703"/>
    <mergeCell ref="O734:Q734"/>
    <mergeCell ref="O723:Q723"/>
    <mergeCell ref="N1297:P1297"/>
    <mergeCell ref="N704:P704"/>
    <mergeCell ref="K716:P716"/>
    <mergeCell ref="N1295:P1295"/>
    <mergeCell ref="N1211:P1211"/>
    <mergeCell ref="N41:P41"/>
    <mergeCell ref="N1333:P1333"/>
    <mergeCell ref="O1314:Q1314"/>
    <mergeCell ref="K95:P95"/>
    <mergeCell ref="K673:P673"/>
    <mergeCell ref="K1271:P1271"/>
    <mergeCell ref="K1862:P1862"/>
    <mergeCell ref="K2449:P2449"/>
    <mergeCell ref="K1843:M1843"/>
    <mergeCell ref="N1843:N1844"/>
    <mergeCell ref="K1864:P1864"/>
    <mergeCell ref="K1877:P1877"/>
    <mergeCell ref="K1919:P1919"/>
    <mergeCell ref="K2429:N2429"/>
    <mergeCell ref="D498:G498"/>
    <mergeCell ref="O1312:Q1312"/>
    <mergeCell ref="N1296:P1296"/>
    <mergeCell ref="N1331:P1331"/>
    <mergeCell ref="N1889:P1889"/>
    <mergeCell ref="N1329:P1329"/>
    <mergeCell ref="D1101:G1101"/>
    <mergeCell ref="E1227:L1227"/>
    <mergeCell ref="N618:P618"/>
    <mergeCell ref="N1798:P1798"/>
    <mergeCell ref="N2390:P2390"/>
    <mergeCell ref="D221:G221"/>
    <mergeCell ref="D814:G814"/>
    <mergeCell ref="D439:G439"/>
    <mergeCell ref="D433:G433"/>
    <mergeCell ref="D343:G343"/>
    <mergeCell ref="D512:G512"/>
    <mergeCell ref="D1105:G1105"/>
    <mergeCell ref="D511:G511"/>
    <mergeCell ref="N2991:P2991"/>
    <mergeCell ref="N2986:P2986"/>
    <mergeCell ref="N615:P615"/>
    <mergeCell ref="N1208:P1208"/>
    <mergeCell ref="N1795:P1795"/>
    <mergeCell ref="N2387:P2387"/>
    <mergeCell ref="N2979:P2979"/>
    <mergeCell ref="N616:P616"/>
    <mergeCell ref="N1209:P1209"/>
    <mergeCell ref="N1796:P1796"/>
    <mergeCell ref="N2388:P2388"/>
    <mergeCell ref="N2989:P2989"/>
    <mergeCell ref="E631:L631"/>
    <mergeCell ref="E1224:L1224"/>
    <mergeCell ref="E1811:L1811"/>
    <mergeCell ref="E2403:L2403"/>
    <mergeCell ref="D1960:G1960"/>
    <mergeCell ref="D2267:G2267"/>
    <mergeCell ref="N623:P623"/>
    <mergeCell ref="N1216:P1216"/>
    <mergeCell ref="N1803:P1803"/>
    <mergeCell ref="N2395:P2395"/>
    <mergeCell ref="N2987:P2987"/>
    <mergeCell ref="N624:P624"/>
    <mergeCell ref="N1217:P1217"/>
    <mergeCell ref="N1804:P1804"/>
    <mergeCell ref="N2396:P2396"/>
    <mergeCell ref="N2988:P2988"/>
    <mergeCell ref="N625:P625"/>
    <mergeCell ref="N1218:P1218"/>
    <mergeCell ref="N1805:P1805"/>
    <mergeCell ref="N2397:P2397"/>
    <mergeCell ref="N2982:P2982"/>
    <mergeCell ref="D1260:G1260"/>
    <mergeCell ref="H1260:I1260"/>
    <mergeCell ref="D1261:G1261"/>
    <mergeCell ref="H1261:I1261"/>
    <mergeCell ref="N49:P49"/>
    <mergeCell ref="N626:P626"/>
    <mergeCell ref="N1219:P1219"/>
    <mergeCell ref="N1806:P1806"/>
    <mergeCell ref="N2398:P2398"/>
    <mergeCell ref="N2990:P2990"/>
    <mergeCell ref="N50:P50"/>
    <mergeCell ref="N627:P627"/>
    <mergeCell ref="N1220:P1220"/>
    <mergeCell ref="N1807:P1807"/>
    <mergeCell ref="N2399:P2399"/>
    <mergeCell ref="E54:L54"/>
    <mergeCell ref="E55:L55"/>
    <mergeCell ref="E632:L632"/>
    <mergeCell ref="E1225:L1225"/>
    <mergeCell ref="E1812:L1812"/>
    <mergeCell ref="E2404:L2404"/>
    <mergeCell ref="D1096:G1096"/>
    <mergeCell ref="D2857:G2857"/>
    <mergeCell ref="D1683:G1683"/>
    <mergeCell ref="D2275:G2275"/>
    <mergeCell ref="D2265:G2265"/>
    <mergeCell ref="D508:G508"/>
    <mergeCell ref="D2872:G2872"/>
    <mergeCell ref="D1688:G1688"/>
    <mergeCell ref="E57:L57"/>
    <mergeCell ref="D188:G188"/>
  </mergeCells>
  <conditionalFormatting sqref="U88:U89">
    <cfRule type="cellIs" dxfId="96" priority="1" operator="notEqual">
      <formula>0</formula>
    </cfRule>
  </conditionalFormatting>
  <conditionalFormatting sqref="U101:U102">
    <cfRule type="cellIs" dxfId="95" priority="2" operator="notEqual">
      <formula>0</formula>
    </cfRule>
  </conditionalFormatting>
  <conditionalFormatting sqref="U115:U121">
    <cfRule type="cellIs" dxfId="94" priority="3" operator="notEqual">
      <formula>0</formula>
    </cfRule>
  </conditionalFormatting>
  <conditionalFormatting sqref="U181">
    <cfRule type="cellIs" dxfId="93" priority="6" operator="notEqual">
      <formula>0</formula>
    </cfRule>
  </conditionalFormatting>
  <conditionalFormatting sqref="I578">
    <cfRule type="cellIs" dxfId="92" priority="7" operator="notEqual">
      <formula>0</formula>
    </cfRule>
  </conditionalFormatting>
  <conditionalFormatting sqref="I579">
    <cfRule type="cellIs" dxfId="91" priority="8" operator="notEqual">
      <formula>0</formula>
    </cfRule>
  </conditionalFormatting>
  <conditionalFormatting sqref="U665:U667">
    <cfRule type="cellIs" dxfId="90" priority="9" operator="notEqual">
      <formula>0</formula>
    </cfRule>
  </conditionalFormatting>
  <conditionalFormatting sqref="U679:U681">
    <cfRule type="cellIs" dxfId="89" priority="10" operator="notEqual">
      <formula>0</formula>
    </cfRule>
  </conditionalFormatting>
  <conditionalFormatting sqref="U747">
    <cfRule type="cellIs" dxfId="88" priority="13" operator="notEqual">
      <formula>0</formula>
    </cfRule>
  </conditionalFormatting>
  <conditionalFormatting sqref="U774">
    <cfRule type="cellIs" dxfId="87" priority="14" operator="notEqual">
      <formula>0</formula>
    </cfRule>
  </conditionalFormatting>
  <conditionalFormatting sqref="I1171">
    <cfRule type="cellIs" dxfId="86" priority="15" operator="notEqual">
      <formula>0</formula>
    </cfRule>
  </conditionalFormatting>
  <conditionalFormatting sqref="I1172">
    <cfRule type="cellIs" dxfId="85" priority="16" operator="notEqual">
      <formula>0</formula>
    </cfRule>
  </conditionalFormatting>
  <conditionalFormatting sqref="U2455:U2457">
    <cfRule type="cellIs" dxfId="84" priority="18" operator="notEqual">
      <formula>0</formula>
    </cfRule>
  </conditionalFormatting>
  <conditionalFormatting sqref="U2470:U2481">
    <cfRule type="cellIs" dxfId="83" priority="19" operator="notEqual">
      <formula>0</formula>
    </cfRule>
  </conditionalFormatting>
  <conditionalFormatting sqref="U2494:U2500">
    <cfRule type="cellIs" dxfId="82" priority="20" operator="notEqual">
      <formula>0</formula>
    </cfRule>
  </conditionalFormatting>
  <conditionalFormatting sqref="U2545">
    <cfRule type="cellIs" dxfId="81" priority="22" operator="notEqual">
      <formula>0</formula>
    </cfRule>
  </conditionalFormatting>
  <conditionalFormatting sqref="I2942">
    <cfRule type="cellIs" dxfId="80" priority="23" operator="notEqual">
      <formula>0</formula>
    </cfRule>
  </conditionalFormatting>
  <conditionalFormatting sqref="I2943">
    <cfRule type="cellIs" dxfId="79" priority="24" operator="notEqual">
      <formula>0</formula>
    </cfRule>
  </conditionalFormatting>
  <conditionalFormatting sqref="U1277:U1279">
    <cfRule type="cellIs" dxfId="78" priority="26" operator="notEqual">
      <formula>0</formula>
    </cfRule>
  </conditionalFormatting>
  <conditionalFormatting sqref="U1313:U1315">
    <cfRule type="cellIs" dxfId="77" priority="28" operator="notEqual">
      <formula>0</formula>
    </cfRule>
  </conditionalFormatting>
  <conditionalFormatting sqref="U1328:U1334">
    <cfRule type="cellIs" dxfId="76" priority="29" operator="notEqual">
      <formula>0</formula>
    </cfRule>
  </conditionalFormatting>
  <conditionalFormatting sqref="U1361">
    <cfRule type="cellIs" dxfId="75" priority="30" operator="notEqual">
      <formula>0</formula>
    </cfRule>
  </conditionalFormatting>
  <conditionalFormatting sqref="I1758">
    <cfRule type="cellIs" dxfId="74" priority="31" operator="notEqual">
      <formula>0</formula>
    </cfRule>
  </conditionalFormatting>
  <conditionalFormatting sqref="I1759">
    <cfRule type="cellIs" dxfId="73" priority="32" operator="notEqual">
      <formula>0</formula>
    </cfRule>
  </conditionalFormatting>
  <conditionalFormatting sqref="U1868:U1870">
    <cfRule type="cellIs" dxfId="72" priority="34" operator="notEqual">
      <formula>0</formula>
    </cfRule>
  </conditionalFormatting>
  <conditionalFormatting sqref="U1883:U1889">
    <cfRule type="cellIs" dxfId="71" priority="35" operator="notEqual">
      <formula>0</formula>
    </cfRule>
  </conditionalFormatting>
  <conditionalFormatting sqref="U1902:U1910">
    <cfRule type="cellIs" dxfId="70" priority="36" operator="notEqual">
      <formula>0</formula>
    </cfRule>
  </conditionalFormatting>
  <conditionalFormatting sqref="U1953">
    <cfRule type="cellIs" dxfId="69" priority="38" operator="notEqual">
      <formula>0</formula>
    </cfRule>
  </conditionalFormatting>
  <conditionalFormatting sqref="I2350">
    <cfRule type="cellIs" dxfId="68" priority="39" operator="notEqual">
      <formula>0</formula>
    </cfRule>
  </conditionalFormatting>
  <conditionalFormatting sqref="I2351">
    <cfRule type="cellIs" dxfId="67" priority="40" operator="notEqual">
      <formula>0</formula>
    </cfRule>
  </conditionalFormatting>
  <conditionalFormatting sqref="U3048:U3050">
    <cfRule type="cellIs" dxfId="66" priority="42" operator="notEqual">
      <formula>0</formula>
    </cfRule>
  </conditionalFormatting>
  <conditionalFormatting sqref="U3078:U3080">
    <cfRule type="cellIs" dxfId="65" priority="44" operator="notEqual">
      <formula>0</formula>
    </cfRule>
  </conditionalFormatting>
  <conditionalFormatting sqref="U3093:U3103">
    <cfRule type="cellIs" dxfId="64" priority="45" operator="notEqual">
      <formula>0</formula>
    </cfRule>
  </conditionalFormatting>
  <conditionalFormatting sqref="U3130">
    <cfRule type="cellIs" dxfId="63" priority="46" operator="notEqual">
      <formula>0</formula>
    </cfRule>
  </conditionalFormatting>
  <conditionalFormatting sqref="I3527">
    <cfRule type="cellIs" dxfId="62" priority="47" operator="notEqual">
      <formula>0</formula>
    </cfRule>
  </conditionalFormatting>
  <conditionalFormatting sqref="I3528">
    <cfRule type="cellIs" dxfId="61" priority="48" operator="notEqual">
      <formula>0</formula>
    </cfRule>
  </conditionalFormatting>
  <conditionalFormatting sqref="U2513:U2518">
    <cfRule type="cellIs" dxfId="60" priority="50" operator="notEqual">
      <formula>0</formula>
    </cfRule>
  </conditionalFormatting>
  <conditionalFormatting sqref="U3029:U3036">
    <cfRule type="cellIs" dxfId="59" priority="51" operator="notEqual">
      <formula>0</formula>
    </cfRule>
  </conditionalFormatting>
  <conditionalFormatting sqref="U1292:U1300">
    <cfRule type="cellIs" dxfId="58" priority="68" operator="notEqual">
      <formula>0</formula>
    </cfRule>
  </conditionalFormatting>
  <conditionalFormatting sqref="U2437:U2443">
    <cfRule type="cellIs" dxfId="57" priority="69" operator="notEqual">
      <formula>0</formula>
    </cfRule>
  </conditionalFormatting>
  <conditionalFormatting sqref="U694:U711">
    <cfRule type="cellIs" dxfId="56" priority="70" operator="notEqual">
      <formula>0</formula>
    </cfRule>
  </conditionalFormatting>
  <conditionalFormatting sqref="U724:U734">
    <cfRule type="cellIs" dxfId="55" priority="71" operator="notEqual">
      <formula>0</formula>
    </cfRule>
  </conditionalFormatting>
  <conditionalFormatting sqref="U151:U154">
    <cfRule type="cellIs" dxfId="54" priority="72" operator="notEqual">
      <formula>0</formula>
    </cfRule>
  </conditionalFormatting>
  <conditionalFormatting sqref="U134:U138">
    <cfRule type="cellIs" dxfId="53" priority="73" operator="notEqual">
      <formula>0</formula>
    </cfRule>
  </conditionalFormatting>
  <conditionalFormatting sqref="U1845:U1856">
    <cfRule type="cellIs" dxfId="52" priority="75" operator="notEqual">
      <formula>0</formula>
    </cfRule>
  </conditionalFormatting>
  <conditionalFormatting sqref="U1923:U1926">
    <cfRule type="cellIs" dxfId="51" priority="76" operator="notEqual">
      <formula>0</formula>
    </cfRule>
  </conditionalFormatting>
  <conditionalFormatting sqref="U3063:U3065">
    <cfRule type="cellIs" dxfId="50" priority="77" operator="notEqual">
      <formula>0</formula>
    </cfRule>
  </conditionalFormatting>
  <conditionalFormatting sqref="U1258:U1265">
    <cfRule type="cellIs" dxfId="49" priority="78" operator="notEqual">
      <formula>0</formula>
    </cfRule>
  </conditionalFormatting>
  <dataValidations count="39">
    <dataValidation type="decimal" operator="greaterThanOrEqual" allowBlank="1" showDropDown="1" showErrorMessage="1" errorTitle="Invalid Assumption" error="Assumption must be a value greater than or equal to zero." sqref="K101:N102 I3082 I140 I736 K665:N667 K88:N89 K3048:N3050 I1317 J134:K138 I1912 I2502 J2513:L2518 J1292:L1300 J747:L747 J3093:L3103 L250:L416 K1845:N1856 J1328:L1334 J3078:K3080 J115:L121 J3063:L3065 J2470:L2481 J1883:L1889 L217:L247 K2455:N2457 K1868:N1870 K1277:N1279 K679:N681 J2494:K2500 J1902:K1910 J1313:K1315 J1923:L1926 J151:L154 K3029:N3036 L184:L214 J694:L711 L544:L576 K2437:N2443 L3493:L3525 L2316:L2348 L1724:L1756 L2908:L2940 L1137:L1169 L3133:L3163 L1956:L1986 L1364:L1394 L2548:L2578 L777:L807 L3166:L3196 L1989:L2019 L1397:L1427 L2581:L2611 L810:L840 J3368:L3490 J2191:L2313 J1599:L1721 J2783:L2905 J1012:L1134 J419:L541 J724:K734 L3199:L3365 L2022:L2188 L1430:L1596 L2614:L2780 L843:L1009 K1258:N1265">
      <formula1>0</formula1>
    </dataValidation>
    <dataValidation type="decimal" showDropDown="1" showErrorMessage="1" errorTitle="Invalid Assumption" error="Assumption must be between 0% and 100%." sqref="J2362:J2363 J12:J13 J590:J591 J1183:J1184 J1770:J1771 J2954:J2955 J2958:J2964 J2366:J2372 J1774:J1780 J1187:J1193 J594:J600 J16:J22">
      <formula1>0</formula1>
      <formula2>1</formula2>
    </dataValidation>
    <dataValidation type="list" allowBlank="1" showInputMessage="1" showErrorMessage="1" errorTitle="Invalid Selection" error="Invalid selection. Please use the in-cell drop down to select the required item." sqref="D2513:G2518">
      <formula1>LU_Intv_5_Lab_Oth</formula1>
    </dataValidation>
    <dataValidation type="list" allowBlank="1" showInputMessage="1" showErrorMessage="1" errorTitle="Invalid Selection" error="Invalid selection. Please use the in-cell drop down to select the required item." sqref="D154:G154 D151:D153">
      <formula1>LU_Intv_Lab_Oth</formula1>
    </dataValidation>
    <dataValidation type="list" allowBlank="1" showInputMessage="1" showErrorMessage="1" errorTitle="Invalid Selection" error="Invalid selection. Please use the in-cell drop down to select the required item." sqref="D747:G747">
      <formula1>LU_Intv_2_Lab_Oth</formula1>
    </dataValidation>
    <dataValidation type="list" allowBlank="1" showInputMessage="1" showErrorMessage="1" errorTitle="Invalid Selection" error="Invalid selection. Please use the in-cell drop down to select the required item." sqref="D1328:G1334">
      <formula1>LU_Intv_3_Lab_Oth</formula1>
    </dataValidation>
    <dataValidation type="list" allowBlank="1" showInputMessage="1" showErrorMessage="1" errorTitle="Invalid Selection" error="Invalid selection. Please use the in-cell drop down to select the required item." sqref="D1923:G1926">
      <formula1>LU_Intv_4_Lab_Oth</formula1>
    </dataValidation>
    <dataValidation type="list" allowBlank="1" showInputMessage="1" showErrorMessage="1" errorTitle="Invalid Selection" error="Invalid selection. Please use the in-cell drop down to select the required item." sqref="D3093:G3103">
      <formula1>LU_Intv_6_Lab_Oth</formula1>
    </dataValidation>
    <dataValidation type="list" operator="lessThanOrEqual" allowBlank="1" showErrorMessage="1" errorTitle="Invalid Selection" error="Invalid selection. Please use the in-cell drop down to select the required item." sqref="D88:G89">
      <formula1>LU_Intv_Pers_Hosp</formula1>
    </dataValidation>
    <dataValidation type="list" operator="lessThanOrEqual" allowBlank="1" showErrorMessage="1" errorTitle="Invalid Selection" error="Invalid selection. Please use the in-cell drop down to select the required item." sqref="D665:G667">
      <formula1>LU_Intv_2_Pers_Hosp</formula1>
    </dataValidation>
    <dataValidation type="list" operator="lessThanOrEqual" allowBlank="1" showErrorMessage="1" errorTitle="Invalid Selection" error="Invalid selection. Please use the in-cell drop down to select the required item." sqref="D2437:G2443">
      <formula1>LU_Intv_5_Pers_Hosp</formula1>
    </dataValidation>
    <dataValidation type="list" operator="lessThanOrEqual" allowBlank="1" showErrorMessage="1" errorTitle="Invalid Selection" error="Invalid selection. Please use the in-cell drop down to select the required item." sqref="D1258:G1259 D1260:D1261 D1262:G1262 D1263:D1265">
      <formula1>LU_Intv_3_Pers_Hosp</formula1>
    </dataValidation>
    <dataValidation type="list" operator="lessThanOrEqual" allowBlank="1" showErrorMessage="1" errorTitle="Invalid Selection" error="Invalid selection. Please use the in-cell drop down to select the required item." sqref="D1845:G1854 D1856:G1856 D1855">
      <formula1>LU_Intv_4_Pers_Hosp</formula1>
    </dataValidation>
    <dataValidation type="list" operator="lessThanOrEqual" allowBlank="1" showErrorMessage="1" errorTitle="Invalid Selection" error="Invalid selection. Please use the in-cell drop down to select the required item." sqref="D3029:G3036">
      <formula1>LU_Intv_6_Pers_Hosp</formula1>
    </dataValidation>
    <dataValidation type="list" allowBlank="1" showInputMessage="1" showErrorMessage="1" errorTitle="Invalid Selection" error="Invalid selection. Please use the in-cell drop down to select the required item." sqref="D101:G102">
      <formula1>LU_Intv_Pers_Oth</formula1>
    </dataValidation>
    <dataValidation type="list" allowBlank="1" showInputMessage="1" showErrorMessage="1" errorTitle="Invalid Selection" error="Invalid selection. Please use the in-cell drop down to select the required item." sqref="D679:G681">
      <formula1>LU_Intv_2_Pers_Oth</formula1>
    </dataValidation>
    <dataValidation type="list" allowBlank="1" showInputMessage="1" showErrorMessage="1" errorTitle="Invalid Selection" error="Invalid selection. Please use the in-cell drop down to select the required item." sqref="D2455:G2457">
      <formula1>LU_Intv_5_Pers_Oth</formula1>
    </dataValidation>
    <dataValidation type="list" allowBlank="1" showInputMessage="1" showErrorMessage="1" errorTitle="Invalid Selection" error="Invalid selection. Please use the in-cell drop down to select the required item." sqref="D1277:G1279">
      <formula1>LU_Intv_3_Pers_Oth</formula1>
    </dataValidation>
    <dataValidation type="list" allowBlank="1" showInputMessage="1" showErrorMessage="1" errorTitle="Invalid Selection" error="Invalid selection. Please use the in-cell drop down to select the required item." sqref="D1868:G1870">
      <formula1>LU_Intv_4_Pers_Oth</formula1>
    </dataValidation>
    <dataValidation type="list" allowBlank="1" showInputMessage="1" showErrorMessage="1" errorTitle="Invalid Selection" error="Invalid selection. Please use the in-cell drop down to select the required item." sqref="D3048:G3050">
      <formula1>LU_Intv_6_Pers_Oth</formula1>
    </dataValidation>
    <dataValidation type="list" allowBlank="1" showInputMessage="1" showErrorMessage="1" errorTitle="Invalid Selection" error="Invalid selection. Please use the in-cell drop down to select the required item." sqref="D134:G135 D138:G138 D136:D137">
      <formula1>LU_Intv_Equip</formula1>
    </dataValidation>
    <dataValidation type="list" allowBlank="1" showInputMessage="1" showErrorMessage="1" errorTitle="Invalid Selection" error="Invalid selection. Please use the in-cell drop down to select the required item." sqref="D724:G727 D731:G734 D728:D730">
      <formula1>LU_Intv_2_Equip</formula1>
    </dataValidation>
    <dataValidation type="list" allowBlank="1" showInputMessage="1" showErrorMessage="1" errorTitle="Invalid Selection" error="Invalid selection. Please use the in-cell drop down to select the required item." sqref="D2494:G2500">
      <formula1>LU_Intv_5_Equip</formula1>
    </dataValidation>
    <dataValidation type="list" allowBlank="1" showInputMessage="1" showErrorMessage="1" errorTitle="Invalid Selection" error="Invalid selection. Please use the in-cell drop down to select the required item." sqref="D1313:G1315">
      <formula1>LU_Intv_3_Equip</formula1>
    </dataValidation>
    <dataValidation type="list" allowBlank="1" showInputMessage="1" showErrorMessage="1" errorTitle="Invalid Selection" error="Invalid selection. Please use the in-cell drop down to select the required item." sqref="D1902:G1910">
      <formula1>LU_Intv_4_Equip</formula1>
    </dataValidation>
    <dataValidation type="list" allowBlank="1" showInputMessage="1" showErrorMessage="1" errorTitle="Invalid Selection" error="Invalid selection. Please use the in-cell drop down to select the required item." sqref="D3078:G3080">
      <formula1>LU_Intv_6_Equip</formula1>
    </dataValidation>
    <dataValidation type="custom" showErrorMessage="1" errorTitle="Invalid Assumption" error="Assumption must be a number." sqref="J63:J81 J3004:J3022 J2412:J2430 J1820:J1838 J1233:J1251 J640:J658 H44:L50 H2985:L2991 H2393:L2399 H1801:L1807 H1214:L1220 H621:L627 H39:L41 H2980:L2982 H2388:L2390 H1796:L1798 H1209:L1211 H616:L618">
      <formula1>NOT(ISERROR(H39/1))</formula1>
    </dataValidation>
    <dataValidation type="list" allowBlank="1" showInputMessage="1" showErrorMessage="1" errorTitle="Invalid Selection" error="Invalid selection. Please use the in-cell drop down to select the required item." sqref="D115:G121">
      <formula1>LU_Intv_Supplies</formula1>
    </dataValidation>
    <dataValidation type="list" allowBlank="1" showInputMessage="1" showErrorMessage="1" errorTitle="Invalid Selection" error="Invalid selection. Please use the in-cell drop down to select the required item." sqref="D694:G711">
      <formula1>LU_Intv_2_Supplies</formula1>
    </dataValidation>
    <dataValidation type="list" allowBlank="1" showInputMessage="1" showErrorMessage="1" errorTitle="Invalid Selection" error="Invalid selection. Please use the in-cell drop down to select the required item." sqref="D2470:G2481">
      <formula1>LU_Intv_5_Supplies</formula1>
    </dataValidation>
    <dataValidation type="list" allowBlank="1" showInputMessage="1" showErrorMessage="1" errorTitle="Invalid Selection" error="Invalid selection. Please use the in-cell drop down to select the required item." sqref="D1292:G1300">
      <formula1>LU_Intv_3_Supplies</formula1>
    </dataValidation>
    <dataValidation type="list" allowBlank="1" showInputMessage="1" showErrorMessage="1" errorTitle="Invalid Selection" error="Invalid selection. Please use the in-cell drop down to select the required item." sqref="D1883:G1889">
      <formula1>LU_Intv_4_Supplies</formula1>
    </dataValidation>
    <dataValidation type="list" allowBlank="1" showInputMessage="1" showErrorMessage="1" errorTitle="Invalid Selection" error="Invalid selection. Please use the in-cell drop down to select the required item." sqref="D3063:G3065">
      <formula1>LU_Intv_6_Supplies</formula1>
    </dataValidation>
    <dataValidation type="list" allowBlank="1" showInputMessage="1" showErrorMessage="1" errorTitle="Invalid Selection" error="Invalid selection. Please use the in-cell drop down to select the required item." sqref="I181:J181">
      <formula1>LU_Intv_Curr</formula1>
    </dataValidation>
    <dataValidation type="list" allowBlank="1" showInputMessage="1" showErrorMessage="1" errorTitle="Invalid Selection" error="Invalid selection. Please use the in-cell drop down to select the required item." sqref="I774:J774">
      <formula1>LU_Intv_2_Curr</formula1>
    </dataValidation>
    <dataValidation type="list" allowBlank="1" showInputMessage="1" showErrorMessage="1" errorTitle="Invalid Selection" error="Invalid selection. Please use the in-cell drop down to select the required item." sqref="I2545:J2545">
      <formula1>LU_Intv_5_Curr</formula1>
    </dataValidation>
    <dataValidation type="list" allowBlank="1" showInputMessage="1" showErrorMessage="1" errorTitle="Invalid Selection" error="Invalid selection. Please use the in-cell drop down to select the required item." sqref="I1361:J1361">
      <formula1>LU_Intv_3_Curr</formula1>
    </dataValidation>
    <dataValidation type="list" allowBlank="1" showInputMessage="1" showErrorMessage="1" errorTitle="Invalid Selection" error="Invalid selection. Please use the in-cell drop down to select the required item." sqref="I1953:J1953">
      <formula1>LU_Intv_4_Curr</formula1>
    </dataValidation>
    <dataValidation type="list" allowBlank="1" showInputMessage="1" showErrorMessage="1" errorTitle="Invalid Selection" error="Invalid selection. Please use the in-cell drop down to select the required item." sqref="I3130:J3130">
      <formula1>LU_Intv_6_Curr</formula1>
    </dataValidation>
  </dataValidations>
  <hyperlinks>
    <hyperlink ref="A4" location="$A$5" tooltip="Go to Top of Sheet" display="$A$5"/>
    <hyperlink ref="C4" location="HL_Sheet_Main_27" tooltip="Go to Next Sheet" display="HL_Sheet_Main_27"/>
    <hyperlink ref="B4" location="HL_Sheet_Main_23" tooltip="Go to Previous Sheet" display="HL_Sheet_Main_23"/>
    <hyperlink ref="C581:I581" location="HL_Intv_Ann_Ass" tooltip="Click to follow hyperlink." display="HL_Intv_Ann_Ass"/>
    <hyperlink ref="C582:I582" location="HL_Intv_Out" tooltip="Click to follow hyperlink." display="HL_Intv_Out"/>
    <hyperlink ref="C1174:I1174" location="HL_Intv_2_Ann_Ass" tooltip="Click to follow hyperlink." display="HL_Intv_2_Ann_Ass"/>
    <hyperlink ref="C1175:I1175" location="HL_Intv_2_Out" tooltip="Click to follow hyperlink." display="HL_Intv_2_Out"/>
    <hyperlink ref="C2945:I2945" location="HL_Intv_5_Ann_Ass" tooltip="Click to follow hyperlink." display="HL_Intv_5_Ann_Ass"/>
    <hyperlink ref="C2946:I2946" location="HL_Intv_5_Out" tooltip="Click to follow hyperlink." display="HL_Intv_5_Out"/>
    <hyperlink ref="C1761:I1761" location="HL_Intv_3_Ann_Ass" tooltip="Click to follow hyperlink." display="HL_Intv_3_Ann_Ass"/>
    <hyperlink ref="C1762:I1762" location="HL_Intv_3_Out" tooltip="Click to follow hyperlink." display="HL_Intv_3_Out"/>
    <hyperlink ref="C2353:I2353" location="HL_Intv_4_Ann_Ass" tooltip="Click to follow hyperlink." display="HL_Intv_4_Ann_Ass"/>
    <hyperlink ref="C2354:I2354" location="HL_Intv_4_Out" tooltip="Click to follow hyperlink." display="HL_Intv_4_Out"/>
    <hyperlink ref="C3530:I3530" location="HL_Intv_6_Ann_Ass" tooltip="Click to follow hyperlink." display="HL_Intv_6_Ann_Ass"/>
    <hyperlink ref="C3531:I3531" location="HL_Intv_6_Out" tooltip="Click to follow hyperlink." display="HL_Intv_6_Out"/>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tabColor rgb="FFFFC000"/>
    <pageSetUpPr autoPageBreaks="0"/>
  </sheetPr>
  <dimension ref="A1:O1179"/>
  <sheetViews>
    <sheetView showGridLines="0" zoomScaleNormal="100" workbookViewId="0">
      <pane ySplit="9" topLeftCell="A1164" activePane="bottomLeft" state="frozen"/>
      <selection activeCell="F4" sqref="F4"/>
      <selection pane="bottomLeft" activeCell="F4" sqref="F4"/>
    </sheetView>
  </sheetViews>
  <sheetFormatPr defaultColWidth="11.7109375" defaultRowHeight="12.75" outlineLevelRow="2" outlineLevelCol="1" x14ac:dyDescent="0.2"/>
  <cols>
    <col min="1" max="1" width="3.7109375" style="105" customWidth="1"/>
    <col min="2" max="2" width="5.85546875" style="105" customWidth="1"/>
    <col min="3" max="4" width="3.85546875" style="105" customWidth="1"/>
    <col min="5" max="5" width="3.7109375" style="105" customWidth="1"/>
    <col min="6" max="6" width="11.7109375" style="105"/>
    <col min="7" max="7" width="14.7109375" style="105" customWidth="1"/>
    <col min="8" max="8" width="15.7109375" style="105" customWidth="1"/>
    <col min="9" max="9" width="11.7109375" style="105" customWidth="1"/>
    <col min="10" max="11" width="11.85546875" style="105" customWidth="1" outlineLevel="1"/>
    <col min="12" max="14" width="12.42578125" style="105" customWidth="1" outlineLevel="1"/>
    <col min="15" max="15" width="11.7109375" style="105" outlineLevel="1"/>
    <col min="16" max="16384" width="11.7109375" style="105"/>
  </cols>
  <sheetData>
    <row r="1" spans="1:15" ht="23.25" x14ac:dyDescent="0.2">
      <c r="A1" s="321"/>
      <c r="B1" s="106" t="s">
        <v>626</v>
      </c>
    </row>
    <row r="2" spans="1:15" ht="18.75" x14ac:dyDescent="0.2">
      <c r="B2" s="107" t="str">
        <f>Model_Name</f>
        <v>Zambia C4P* - Screening &amp; Treatment Tool</v>
      </c>
    </row>
    <row r="3" spans="1:15" x14ac:dyDescent="0.2">
      <c r="B3" s="722" t="s">
        <v>2</v>
      </c>
      <c r="C3" s="722"/>
      <c r="D3" s="722"/>
      <c r="E3" s="722"/>
      <c r="F3" s="722"/>
    </row>
    <row r="4" spans="1:15" x14ac:dyDescent="0.2">
      <c r="A4" s="108" t="s">
        <v>4</v>
      </c>
      <c r="B4" s="109" t="s">
        <v>6</v>
      </c>
      <c r="C4" s="353" t="s">
        <v>7</v>
      </c>
      <c r="D4" s="354" t="s">
        <v>27</v>
      </c>
      <c r="E4" s="355" t="s">
        <v>28</v>
      </c>
      <c r="F4" s="356" t="s">
        <v>29</v>
      </c>
    </row>
    <row r="5" spans="1:15" s="348" customFormat="1" x14ac:dyDescent="0.2">
      <c r="B5" s="200" t="str">
        <f>"Year Ending "&amp;INDEX(LU_TS_Mth_Names,DD_TS_Fin_Yr_End_Mth)</f>
        <v>Year Ending December</v>
      </c>
      <c r="C5" s="232"/>
      <c r="D5" s="232"/>
      <c r="E5" s="232"/>
      <c r="F5" s="232"/>
      <c r="G5" s="232"/>
      <c r="H5" s="232"/>
      <c r="I5" s="232"/>
      <c r="J5" s="455">
        <f t="shared" ref="J5:O5" si="0">J9</f>
        <v>2015</v>
      </c>
      <c r="K5" s="455">
        <f t="shared" si="0"/>
        <v>2016</v>
      </c>
      <c r="L5" s="455">
        <f t="shared" si="0"/>
        <v>2017</v>
      </c>
      <c r="M5" s="455">
        <f t="shared" si="0"/>
        <v>2018</v>
      </c>
      <c r="N5" s="455">
        <f t="shared" si="0"/>
        <v>2019</v>
      </c>
      <c r="O5" s="455">
        <f t="shared" si="0"/>
        <v>2020</v>
      </c>
    </row>
    <row r="6" spans="1:15" s="348" customFormat="1" outlineLevel="2" x14ac:dyDescent="0.2">
      <c r="B6" s="671" t="s">
        <v>70</v>
      </c>
      <c r="J6" s="118">
        <f t="shared" ref="J6:O6" si="1">EDATE(TS_Start_Date,(J8-1)*TS_Mths_In_Yr)</f>
        <v>42005</v>
      </c>
      <c r="K6" s="118">
        <f t="shared" si="1"/>
        <v>42370</v>
      </c>
      <c r="L6" s="118">
        <f t="shared" si="1"/>
        <v>42736</v>
      </c>
      <c r="M6" s="118">
        <f t="shared" si="1"/>
        <v>43101</v>
      </c>
      <c r="N6" s="118">
        <f t="shared" si="1"/>
        <v>43466</v>
      </c>
      <c r="O6" s="118">
        <f t="shared" si="1"/>
        <v>43831</v>
      </c>
    </row>
    <row r="7" spans="1:15" s="348" customFormat="1" outlineLevel="2" x14ac:dyDescent="0.2">
      <c r="B7" s="671" t="s">
        <v>71</v>
      </c>
      <c r="J7" s="118">
        <f t="shared" ref="J7:O7" si="2">EDATE(J6,TS_Mths_In_Yr)-1</f>
        <v>42369</v>
      </c>
      <c r="K7" s="118">
        <f t="shared" si="2"/>
        <v>42735</v>
      </c>
      <c r="L7" s="118">
        <f t="shared" si="2"/>
        <v>43100</v>
      </c>
      <c r="M7" s="118">
        <f t="shared" si="2"/>
        <v>43465</v>
      </c>
      <c r="N7" s="118">
        <f t="shared" si="2"/>
        <v>43830</v>
      </c>
      <c r="O7" s="118">
        <f t="shared" si="2"/>
        <v>44196</v>
      </c>
    </row>
    <row r="8" spans="1:15" s="348" customFormat="1" outlineLevel="2" x14ac:dyDescent="0.2">
      <c r="B8" s="671" t="s">
        <v>72</v>
      </c>
      <c r="J8" s="119">
        <f>COLUMNS($J8:J8)</f>
        <v>1</v>
      </c>
      <c r="K8" s="119">
        <f>COLUMNS($J8:K8)</f>
        <v>2</v>
      </c>
      <c r="L8" s="119">
        <f>COLUMNS($J8:L8)</f>
        <v>3</v>
      </c>
      <c r="M8" s="119">
        <f>COLUMNS($J8:M8)</f>
        <v>4</v>
      </c>
      <c r="N8" s="119">
        <f>COLUMNS($J8:N8)</f>
        <v>5</v>
      </c>
      <c r="O8" s="119">
        <f>COLUMNS($J8:O8)</f>
        <v>6</v>
      </c>
    </row>
    <row r="9" spans="1:15" s="348" customFormat="1" outlineLevel="2" x14ac:dyDescent="0.2">
      <c r="B9" s="120" t="s">
        <v>73</v>
      </c>
      <c r="C9" s="117"/>
      <c r="D9" s="117"/>
      <c r="E9" s="117"/>
      <c r="F9" s="117"/>
      <c r="G9" s="117"/>
      <c r="H9" s="117"/>
      <c r="I9" s="117"/>
      <c r="J9" s="121">
        <f t="shared" ref="J9:O9" si="3">YEAR(J7)</f>
        <v>2015</v>
      </c>
      <c r="K9" s="121">
        <f t="shared" si="3"/>
        <v>2016</v>
      </c>
      <c r="L9" s="121">
        <f t="shared" si="3"/>
        <v>2017</v>
      </c>
      <c r="M9" s="121">
        <f t="shared" si="3"/>
        <v>2018</v>
      </c>
      <c r="N9" s="121">
        <f t="shared" si="3"/>
        <v>2019</v>
      </c>
      <c r="O9" s="121">
        <f t="shared" si="3"/>
        <v>2020</v>
      </c>
    </row>
    <row r="10" spans="1:15" s="348" customFormat="1" x14ac:dyDescent="0.2"/>
    <row r="11" spans="1:15" s="348" customFormat="1" x14ac:dyDescent="0.2"/>
    <row r="12" spans="1:15" s="348" customFormat="1" ht="18.75" x14ac:dyDescent="0.2">
      <c r="B12" s="425" t="s">
        <v>1627</v>
      </c>
    </row>
    <row r="13" spans="1:15" s="348" customFormat="1" x14ac:dyDescent="0.2"/>
    <row r="14" spans="1:15" s="348" customFormat="1" ht="18.75" x14ac:dyDescent="0.2">
      <c r="B14" s="498" t="str">
        <f>HL_Intv_Ass</f>
        <v>Cryotherapy - Same Visit</v>
      </c>
    </row>
    <row r="15" spans="1:15" s="348" customFormat="1" x14ac:dyDescent="0.2"/>
    <row r="16" spans="1:15" s="348" customFormat="1" ht="15.75" x14ac:dyDescent="0.2">
      <c r="C16" s="124" t="str">
        <f>"Assumed Numbers of Active Facilities Offering "&amp;B14&amp;" - By Type, Service Area, and Year."</f>
        <v>Assumed Numbers of Active Facilities Offering Cryotherapy - Same Visit - By Type, Service Area, and Year.</v>
      </c>
    </row>
    <row r="17" spans="4:15" s="348" customFormat="1" ht="15" outlineLevel="1" x14ac:dyDescent="0.2">
      <c r="D17" s="667" t="s">
        <v>1611</v>
      </c>
      <c r="H17" s="372">
        <v>0</v>
      </c>
    </row>
    <row r="18" spans="4:15" s="348" customFormat="1" x14ac:dyDescent="0.2"/>
    <row r="19" spans="4:15" s="348" customFormat="1" ht="15" x14ac:dyDescent="0.2">
      <c r="D19" s="669" t="str">
        <f ca="1">OFFSET(Labels_BA!D16,0,H17)</f>
        <v>Central Referral Hospital</v>
      </c>
    </row>
    <row r="20" spans="4:15" s="348" customFormat="1" outlineLevel="1" x14ac:dyDescent="0.2"/>
    <row r="21" spans="4:15" s="348" customFormat="1" outlineLevel="1" collapsed="1" x14ac:dyDescent="0.2">
      <c r="D21" s="668" t="str">
        <f>Intv_BA!D165</f>
        <v>Central</v>
      </c>
      <c r="J21" s="183">
        <v>0</v>
      </c>
      <c r="K21" s="183">
        <v>0</v>
      </c>
      <c r="L21" s="183">
        <v>0</v>
      </c>
      <c r="M21" s="183">
        <v>0</v>
      </c>
      <c r="N21" s="183">
        <v>0</v>
      </c>
      <c r="O21" s="183">
        <v>0</v>
      </c>
    </row>
    <row r="22" spans="4:15" s="348" customFormat="1" outlineLevel="1" x14ac:dyDescent="0.2">
      <c r="D22" s="668" t="str">
        <f>Intv_BA!D166</f>
        <v>Copperbelt</v>
      </c>
      <c r="J22" s="183">
        <v>2</v>
      </c>
      <c r="K22" s="183">
        <v>2</v>
      </c>
      <c r="L22" s="183">
        <v>2</v>
      </c>
      <c r="M22" s="183">
        <v>2</v>
      </c>
      <c r="N22" s="183">
        <v>2</v>
      </c>
      <c r="O22" s="183">
        <v>2</v>
      </c>
    </row>
    <row r="23" spans="4:15" s="348" customFormat="1" outlineLevel="1" x14ac:dyDescent="0.2">
      <c r="D23" s="668" t="str">
        <f>Intv_BA!D167</f>
        <v>Eastern</v>
      </c>
      <c r="J23" s="183">
        <v>0</v>
      </c>
      <c r="K23" s="183">
        <v>0</v>
      </c>
      <c r="L23" s="183">
        <v>0</v>
      </c>
      <c r="M23" s="183">
        <v>0</v>
      </c>
      <c r="N23" s="183">
        <v>0</v>
      </c>
      <c r="O23" s="183">
        <v>0</v>
      </c>
    </row>
    <row r="24" spans="4:15" s="348" customFormat="1" outlineLevel="1" x14ac:dyDescent="0.2">
      <c r="D24" s="668" t="str">
        <f>Intv_BA!D168</f>
        <v>Luapula</v>
      </c>
      <c r="J24" s="183">
        <v>0</v>
      </c>
      <c r="K24" s="183">
        <v>0</v>
      </c>
      <c r="L24" s="183">
        <v>0</v>
      </c>
      <c r="M24" s="183">
        <v>0</v>
      </c>
      <c r="N24" s="183">
        <v>0</v>
      </c>
      <c r="O24" s="183">
        <v>0</v>
      </c>
    </row>
    <row r="25" spans="4:15" s="348" customFormat="1" outlineLevel="1" x14ac:dyDescent="0.2">
      <c r="D25" s="668" t="str">
        <f>Intv_BA!D169</f>
        <v>Lusaka</v>
      </c>
      <c r="J25" s="183">
        <v>1</v>
      </c>
      <c r="K25" s="183">
        <v>1</v>
      </c>
      <c r="L25" s="183">
        <v>1</v>
      </c>
      <c r="M25" s="183">
        <v>1</v>
      </c>
      <c r="N25" s="183">
        <v>1</v>
      </c>
      <c r="O25" s="183">
        <v>1</v>
      </c>
    </row>
    <row r="26" spans="4:15" s="348" customFormat="1" outlineLevel="1" x14ac:dyDescent="0.2">
      <c r="D26" s="668" t="str">
        <f>Intv_BA!D170</f>
        <v>Muchinga</v>
      </c>
      <c r="J26" s="183">
        <v>0</v>
      </c>
      <c r="K26" s="183">
        <v>0</v>
      </c>
      <c r="L26" s="183">
        <v>0</v>
      </c>
      <c r="M26" s="183">
        <v>0</v>
      </c>
      <c r="N26" s="183">
        <v>0</v>
      </c>
      <c r="O26" s="183">
        <v>0</v>
      </c>
    </row>
    <row r="27" spans="4:15" s="348" customFormat="1" outlineLevel="1" x14ac:dyDescent="0.2">
      <c r="D27" s="668" t="str">
        <f>Intv_BA!D171</f>
        <v>Northern</v>
      </c>
      <c r="J27" s="183">
        <v>0</v>
      </c>
      <c r="K27" s="183">
        <v>0</v>
      </c>
      <c r="L27" s="183">
        <v>0</v>
      </c>
      <c r="M27" s="183">
        <v>0</v>
      </c>
      <c r="N27" s="183">
        <v>0</v>
      </c>
      <c r="O27" s="183">
        <v>0</v>
      </c>
    </row>
    <row r="28" spans="4:15" s="348" customFormat="1" outlineLevel="1" x14ac:dyDescent="0.2">
      <c r="D28" s="668" t="str">
        <f>Intv_BA!D172</f>
        <v>North-Western</v>
      </c>
      <c r="J28" s="183">
        <v>0</v>
      </c>
      <c r="K28" s="183">
        <v>0</v>
      </c>
      <c r="L28" s="183">
        <v>0</v>
      </c>
      <c r="M28" s="183">
        <v>0</v>
      </c>
      <c r="N28" s="183">
        <v>0</v>
      </c>
      <c r="O28" s="183">
        <v>0</v>
      </c>
    </row>
    <row r="29" spans="4:15" s="348" customFormat="1" outlineLevel="1" x14ac:dyDescent="0.2">
      <c r="D29" s="668" t="str">
        <f>Intv_BA!D173</f>
        <v>Southern</v>
      </c>
      <c r="J29" s="183">
        <v>0</v>
      </c>
      <c r="K29" s="183">
        <v>0</v>
      </c>
      <c r="L29" s="183">
        <v>0</v>
      </c>
      <c r="M29" s="183">
        <v>0</v>
      </c>
      <c r="N29" s="183">
        <v>0</v>
      </c>
      <c r="O29" s="183">
        <v>0</v>
      </c>
    </row>
    <row r="30" spans="4:15" s="348" customFormat="1" outlineLevel="1" x14ac:dyDescent="0.2">
      <c r="D30" s="668" t="str">
        <f>Intv_BA!D174</f>
        <v>Western</v>
      </c>
      <c r="J30" s="183">
        <v>0</v>
      </c>
      <c r="K30" s="183">
        <v>0</v>
      </c>
      <c r="L30" s="183">
        <v>0</v>
      </c>
      <c r="M30" s="183">
        <v>0</v>
      </c>
      <c r="N30" s="183">
        <v>0</v>
      </c>
      <c r="O30" s="183">
        <v>0</v>
      </c>
    </row>
    <row r="31" spans="4:15" s="348" customFormat="1" ht="15" x14ac:dyDescent="0.2">
      <c r="D31" s="359" t="str">
        <f ca="1">"Total "&amp;D19</f>
        <v>Total Central Referral Hospital</v>
      </c>
      <c r="J31" s="131">
        <f t="shared" ref="J31:O31" si="4">SUM(J21:J30)</f>
        <v>3</v>
      </c>
      <c r="K31" s="131">
        <f t="shared" si="4"/>
        <v>3</v>
      </c>
      <c r="L31" s="131">
        <f t="shared" si="4"/>
        <v>3</v>
      </c>
      <c r="M31" s="131">
        <f t="shared" si="4"/>
        <v>3</v>
      </c>
      <c r="N31" s="131">
        <f t="shared" si="4"/>
        <v>3</v>
      </c>
      <c r="O31" s="131">
        <f t="shared" si="4"/>
        <v>3</v>
      </c>
    </row>
    <row r="32" spans="4:15" s="348" customFormat="1" x14ac:dyDescent="0.2">
      <c r="D32" s="721"/>
      <c r="E32" s="721"/>
      <c r="F32" s="721"/>
      <c r="G32" s="721"/>
      <c r="H32" s="721"/>
      <c r="I32" s="721"/>
    </row>
    <row r="33" spans="4:15" s="348" customFormat="1" ht="15" outlineLevel="1" x14ac:dyDescent="0.2">
      <c r="D33" s="667" t="s">
        <v>1611</v>
      </c>
      <c r="H33" s="372">
        <v>1</v>
      </c>
    </row>
    <row r="34" spans="4:15" s="348" customFormat="1" x14ac:dyDescent="0.2"/>
    <row r="35" spans="4:15" s="348" customFormat="1" ht="15" x14ac:dyDescent="0.2">
      <c r="D35" s="669" t="str">
        <f ca="1">OFFSET(Labels_BA!D16,0,H33)</f>
        <v>Provincial Hospital</v>
      </c>
    </row>
    <row r="36" spans="4:15" s="348" customFormat="1" outlineLevel="1" x14ac:dyDescent="0.2"/>
    <row r="37" spans="4:15" s="348" customFormat="1" outlineLevel="1" collapsed="1" x14ac:dyDescent="0.2">
      <c r="D37" s="668" t="str">
        <f>Intv_BA!D165</f>
        <v>Central</v>
      </c>
      <c r="J37" s="183">
        <v>0</v>
      </c>
      <c r="K37" s="183">
        <v>0</v>
      </c>
      <c r="L37" s="183">
        <v>0</v>
      </c>
      <c r="M37" s="183">
        <v>0</v>
      </c>
      <c r="N37" s="183">
        <v>0</v>
      </c>
      <c r="O37" s="183">
        <v>0</v>
      </c>
    </row>
    <row r="38" spans="4:15" s="348" customFormat="1" outlineLevel="1" x14ac:dyDescent="0.2">
      <c r="D38" s="668" t="str">
        <f>Intv_BA!D166</f>
        <v>Copperbelt</v>
      </c>
      <c r="J38" s="183">
        <v>1</v>
      </c>
      <c r="K38" s="183">
        <v>1</v>
      </c>
      <c r="L38" s="183">
        <v>1</v>
      </c>
      <c r="M38" s="183">
        <v>1</v>
      </c>
      <c r="N38" s="183">
        <v>1</v>
      </c>
      <c r="O38" s="183">
        <v>1</v>
      </c>
    </row>
    <row r="39" spans="4:15" s="348" customFormat="1" outlineLevel="1" x14ac:dyDescent="0.2">
      <c r="D39" s="668" t="str">
        <f>Intv_BA!D167</f>
        <v>Eastern</v>
      </c>
      <c r="J39" s="183">
        <v>2</v>
      </c>
      <c r="K39" s="183">
        <v>2</v>
      </c>
      <c r="L39" s="183">
        <v>2</v>
      </c>
      <c r="M39" s="183">
        <v>2</v>
      </c>
      <c r="N39" s="183">
        <v>2</v>
      </c>
      <c r="O39" s="183">
        <v>2</v>
      </c>
    </row>
    <row r="40" spans="4:15" s="348" customFormat="1" outlineLevel="1" x14ac:dyDescent="0.2">
      <c r="D40" s="668" t="str">
        <f>Intv_BA!D168</f>
        <v>Luapula</v>
      </c>
      <c r="J40" s="183">
        <v>1</v>
      </c>
      <c r="K40" s="183">
        <v>1</v>
      </c>
      <c r="L40" s="183">
        <v>1</v>
      </c>
      <c r="M40" s="183">
        <v>1</v>
      </c>
      <c r="N40" s="183">
        <v>1</v>
      </c>
      <c r="O40" s="183">
        <v>1</v>
      </c>
    </row>
    <row r="41" spans="4:15" s="348" customFormat="1" outlineLevel="1" x14ac:dyDescent="0.2">
      <c r="D41" s="668" t="str">
        <f>Intv_BA!D169</f>
        <v>Lusaka</v>
      </c>
      <c r="J41" s="183">
        <v>0</v>
      </c>
      <c r="K41" s="183">
        <v>0</v>
      </c>
      <c r="L41" s="183">
        <v>0</v>
      </c>
      <c r="M41" s="183">
        <v>0</v>
      </c>
      <c r="N41" s="183">
        <v>0</v>
      </c>
      <c r="O41" s="183">
        <v>0</v>
      </c>
    </row>
    <row r="42" spans="4:15" s="348" customFormat="1" outlineLevel="1" x14ac:dyDescent="0.2">
      <c r="D42" s="668" t="str">
        <f>Intv_BA!D170</f>
        <v>Muchinga</v>
      </c>
      <c r="J42" s="183">
        <v>0</v>
      </c>
      <c r="K42" s="183">
        <v>0</v>
      </c>
      <c r="L42" s="183">
        <v>0</v>
      </c>
      <c r="M42" s="183">
        <v>0</v>
      </c>
      <c r="N42" s="183">
        <v>0</v>
      </c>
      <c r="O42" s="183">
        <v>0</v>
      </c>
    </row>
    <row r="43" spans="4:15" s="348" customFormat="1" outlineLevel="1" x14ac:dyDescent="0.2">
      <c r="D43" s="668" t="str">
        <f>Intv_BA!D171</f>
        <v>Northern</v>
      </c>
      <c r="J43" s="183">
        <v>1</v>
      </c>
      <c r="K43" s="183">
        <v>1</v>
      </c>
      <c r="L43" s="183">
        <v>1</v>
      </c>
      <c r="M43" s="183">
        <v>1</v>
      </c>
      <c r="N43" s="183">
        <v>1</v>
      </c>
      <c r="O43" s="183">
        <v>1</v>
      </c>
    </row>
    <row r="44" spans="4:15" s="348" customFormat="1" outlineLevel="1" x14ac:dyDescent="0.2">
      <c r="D44" s="668" t="str">
        <f>Intv_BA!D172</f>
        <v>North-Western</v>
      </c>
      <c r="J44" s="183">
        <v>1</v>
      </c>
      <c r="K44" s="183">
        <v>1</v>
      </c>
      <c r="L44" s="183">
        <v>1</v>
      </c>
      <c r="M44" s="183">
        <v>1</v>
      </c>
      <c r="N44" s="183">
        <v>1</v>
      </c>
      <c r="O44" s="183">
        <v>1</v>
      </c>
    </row>
    <row r="45" spans="4:15" s="348" customFormat="1" outlineLevel="1" x14ac:dyDescent="0.2">
      <c r="D45" s="668" t="str">
        <f>Intv_BA!D173</f>
        <v>Southern</v>
      </c>
      <c r="J45" s="183">
        <v>2</v>
      </c>
      <c r="K45" s="183">
        <v>2</v>
      </c>
      <c r="L45" s="183">
        <v>2</v>
      </c>
      <c r="M45" s="183">
        <v>2</v>
      </c>
      <c r="N45" s="183">
        <v>2</v>
      </c>
      <c r="O45" s="183">
        <v>2</v>
      </c>
    </row>
    <row r="46" spans="4:15" s="348" customFormat="1" outlineLevel="1" x14ac:dyDescent="0.2">
      <c r="D46" s="668" t="str">
        <f>Intv_BA!D174</f>
        <v>Western</v>
      </c>
      <c r="J46" s="183">
        <v>1</v>
      </c>
      <c r="K46" s="183">
        <v>1</v>
      </c>
      <c r="L46" s="183">
        <v>1</v>
      </c>
      <c r="M46" s="183">
        <v>1</v>
      </c>
      <c r="N46" s="183">
        <v>1</v>
      </c>
      <c r="O46" s="183">
        <v>1</v>
      </c>
    </row>
    <row r="47" spans="4:15" s="348" customFormat="1" ht="15" x14ac:dyDescent="0.2">
      <c r="D47" s="359" t="str">
        <f ca="1">"Total "&amp;D35</f>
        <v>Total Provincial Hospital</v>
      </c>
      <c r="J47" s="131">
        <f t="shared" ref="J47:O47" si="5">SUM(J37:J46)</f>
        <v>9</v>
      </c>
      <c r="K47" s="131">
        <f t="shared" si="5"/>
        <v>9</v>
      </c>
      <c r="L47" s="131">
        <f t="shared" si="5"/>
        <v>9</v>
      </c>
      <c r="M47" s="131">
        <f t="shared" si="5"/>
        <v>9</v>
      </c>
      <c r="N47" s="131">
        <f t="shared" si="5"/>
        <v>9</v>
      </c>
      <c r="O47" s="131">
        <f t="shared" si="5"/>
        <v>9</v>
      </c>
    </row>
    <row r="48" spans="4:15" s="348" customFormat="1" x14ac:dyDescent="0.2">
      <c r="D48" s="721" t="s">
        <v>1884</v>
      </c>
      <c r="E48" s="721"/>
      <c r="F48" s="721"/>
      <c r="G48" s="721"/>
      <c r="H48" s="721"/>
      <c r="I48" s="721"/>
    </row>
    <row r="49" spans="4:15" s="348" customFormat="1" ht="15" outlineLevel="1" x14ac:dyDescent="0.2">
      <c r="D49" s="667" t="s">
        <v>1611</v>
      </c>
      <c r="H49" s="372">
        <v>2</v>
      </c>
    </row>
    <row r="50" spans="4:15" s="348" customFormat="1" x14ac:dyDescent="0.2"/>
    <row r="51" spans="4:15" s="348" customFormat="1" ht="15" x14ac:dyDescent="0.2">
      <c r="D51" s="669" t="str">
        <f ca="1">OFFSET(Labels_BA!D16,0,H49)</f>
        <v>District Hospital</v>
      </c>
    </row>
    <row r="52" spans="4:15" s="348" customFormat="1" outlineLevel="1" x14ac:dyDescent="0.2"/>
    <row r="53" spans="4:15" s="348" customFormat="1" outlineLevel="1" collapsed="1" x14ac:dyDescent="0.2">
      <c r="D53" s="668" t="str">
        <f>Intv_BA!D165</f>
        <v>Central</v>
      </c>
      <c r="J53" s="183">
        <v>1</v>
      </c>
      <c r="K53" s="183">
        <v>1</v>
      </c>
      <c r="L53" s="183">
        <v>1</v>
      </c>
      <c r="M53" s="183">
        <v>1</v>
      </c>
      <c r="N53" s="183">
        <v>1</v>
      </c>
      <c r="O53" s="183">
        <v>1</v>
      </c>
    </row>
    <row r="54" spans="4:15" s="348" customFormat="1" outlineLevel="1" x14ac:dyDescent="0.2">
      <c r="D54" s="668" t="str">
        <f>Intv_BA!D166</f>
        <v>Copperbelt</v>
      </c>
      <c r="J54" s="183">
        <v>0</v>
      </c>
      <c r="K54" s="183">
        <v>0</v>
      </c>
      <c r="L54" s="183">
        <v>0</v>
      </c>
      <c r="M54" s="183">
        <v>0</v>
      </c>
      <c r="N54" s="183">
        <v>0</v>
      </c>
      <c r="O54" s="183">
        <v>0</v>
      </c>
    </row>
    <row r="55" spans="4:15" s="348" customFormat="1" outlineLevel="1" x14ac:dyDescent="0.2">
      <c r="D55" s="668" t="str">
        <f>Intv_BA!D167</f>
        <v>Eastern</v>
      </c>
      <c r="J55" s="183">
        <v>1</v>
      </c>
      <c r="K55" s="183">
        <v>1</v>
      </c>
      <c r="L55" s="183">
        <v>1</v>
      </c>
      <c r="M55" s="183">
        <v>1</v>
      </c>
      <c r="N55" s="183">
        <v>1</v>
      </c>
      <c r="O55" s="183">
        <v>1</v>
      </c>
    </row>
    <row r="56" spans="4:15" s="348" customFormat="1" outlineLevel="1" x14ac:dyDescent="0.2">
      <c r="D56" s="668" t="str">
        <f>Intv_BA!D168</f>
        <v>Luapula</v>
      </c>
      <c r="J56" s="183">
        <v>1</v>
      </c>
      <c r="K56" s="183">
        <v>1</v>
      </c>
      <c r="L56" s="183">
        <v>1</v>
      </c>
      <c r="M56" s="183">
        <v>1</v>
      </c>
      <c r="N56" s="183">
        <v>1</v>
      </c>
      <c r="O56" s="183">
        <v>1</v>
      </c>
    </row>
    <row r="57" spans="4:15" s="348" customFormat="1" outlineLevel="1" x14ac:dyDescent="0.2">
      <c r="D57" s="668" t="str">
        <f>Intv_BA!D169</f>
        <v>Lusaka</v>
      </c>
      <c r="J57" s="183">
        <v>0</v>
      </c>
      <c r="K57" s="183">
        <v>0</v>
      </c>
      <c r="L57" s="183">
        <v>0</v>
      </c>
      <c r="M57" s="183">
        <v>0</v>
      </c>
      <c r="N57" s="183">
        <v>0</v>
      </c>
      <c r="O57" s="183">
        <v>0</v>
      </c>
    </row>
    <row r="58" spans="4:15" s="348" customFormat="1" outlineLevel="1" x14ac:dyDescent="0.2">
      <c r="D58" s="668" t="str">
        <f>Intv_BA!D170</f>
        <v>Muchinga</v>
      </c>
      <c r="J58" s="183">
        <v>0</v>
      </c>
      <c r="K58" s="183">
        <v>0</v>
      </c>
      <c r="L58" s="183">
        <v>0</v>
      </c>
      <c r="M58" s="183">
        <v>0</v>
      </c>
      <c r="N58" s="183">
        <v>0</v>
      </c>
      <c r="O58" s="183">
        <v>0</v>
      </c>
    </row>
    <row r="59" spans="4:15" s="348" customFormat="1" outlineLevel="1" x14ac:dyDescent="0.2">
      <c r="D59" s="668" t="str">
        <f>Intv_BA!D171</f>
        <v>Northern</v>
      </c>
      <c r="J59" s="183">
        <v>0</v>
      </c>
      <c r="K59" s="183">
        <v>0</v>
      </c>
      <c r="L59" s="183">
        <v>0</v>
      </c>
      <c r="M59" s="183">
        <v>0</v>
      </c>
      <c r="N59" s="183">
        <v>0</v>
      </c>
      <c r="O59" s="183">
        <v>0</v>
      </c>
    </row>
    <row r="60" spans="4:15" s="348" customFormat="1" outlineLevel="1" x14ac:dyDescent="0.2">
      <c r="D60" s="668" t="str">
        <f>Intv_BA!D172</f>
        <v>North-Western</v>
      </c>
      <c r="J60" s="183">
        <v>0</v>
      </c>
      <c r="K60" s="183">
        <v>0</v>
      </c>
      <c r="L60" s="183">
        <v>0</v>
      </c>
      <c r="M60" s="183">
        <v>0</v>
      </c>
      <c r="N60" s="183">
        <v>0</v>
      </c>
      <c r="O60" s="183">
        <v>0</v>
      </c>
    </row>
    <row r="61" spans="4:15" s="348" customFormat="1" outlineLevel="1" x14ac:dyDescent="0.2">
      <c r="D61" s="668" t="str">
        <f>Intv_BA!D173</f>
        <v>Southern</v>
      </c>
      <c r="J61" s="183">
        <v>0</v>
      </c>
      <c r="K61" s="183">
        <v>0</v>
      </c>
      <c r="L61" s="183">
        <v>0</v>
      </c>
      <c r="M61" s="183">
        <v>0</v>
      </c>
      <c r="N61" s="183">
        <v>0</v>
      </c>
      <c r="O61" s="183">
        <v>0</v>
      </c>
    </row>
    <row r="62" spans="4:15" s="348" customFormat="1" outlineLevel="1" x14ac:dyDescent="0.2">
      <c r="D62" s="668" t="str">
        <f>Intv_BA!D174</f>
        <v>Western</v>
      </c>
      <c r="J62" s="183">
        <v>2</v>
      </c>
      <c r="K62" s="183">
        <v>2</v>
      </c>
      <c r="L62" s="183">
        <v>2</v>
      </c>
      <c r="M62" s="183">
        <v>2</v>
      </c>
      <c r="N62" s="183">
        <v>2</v>
      </c>
      <c r="O62" s="183">
        <v>2</v>
      </c>
    </row>
    <row r="63" spans="4:15" s="348" customFormat="1" ht="15" x14ac:dyDescent="0.2">
      <c r="D63" s="359" t="str">
        <f ca="1">"Total "&amp;D51</f>
        <v>Total District Hospital</v>
      </c>
      <c r="J63" s="131">
        <f t="shared" ref="J63:O63" si="6">SUM(J53:J62)</f>
        <v>5</v>
      </c>
      <c r="K63" s="131">
        <f t="shared" si="6"/>
        <v>5</v>
      </c>
      <c r="L63" s="131">
        <f t="shared" si="6"/>
        <v>5</v>
      </c>
      <c r="M63" s="131">
        <f t="shared" si="6"/>
        <v>5</v>
      </c>
      <c r="N63" s="131">
        <f t="shared" si="6"/>
        <v>5</v>
      </c>
      <c r="O63" s="131">
        <f t="shared" si="6"/>
        <v>5</v>
      </c>
    </row>
    <row r="64" spans="4:15" s="348" customFormat="1" x14ac:dyDescent="0.2">
      <c r="D64" s="721"/>
      <c r="E64" s="721"/>
      <c r="F64" s="721"/>
      <c r="G64" s="721"/>
      <c r="H64" s="721"/>
      <c r="I64" s="721"/>
    </row>
    <row r="65" spans="4:15" s="348" customFormat="1" ht="15" outlineLevel="1" x14ac:dyDescent="0.2">
      <c r="D65" s="667" t="s">
        <v>1611</v>
      </c>
      <c r="H65" s="372">
        <v>3</v>
      </c>
    </row>
    <row r="66" spans="4:15" s="348" customFormat="1" x14ac:dyDescent="0.2"/>
    <row r="67" spans="4:15" s="348" customFormat="1" ht="15" x14ac:dyDescent="0.2">
      <c r="D67" s="669" t="str">
        <f ca="1">OFFSET(Labels_BA!D16,0,H65)</f>
        <v>Fixed Health Clinic</v>
      </c>
    </row>
    <row r="68" spans="4:15" s="348" customFormat="1" outlineLevel="1" x14ac:dyDescent="0.2"/>
    <row r="69" spans="4:15" s="348" customFormat="1" outlineLevel="1" collapsed="1" x14ac:dyDescent="0.2">
      <c r="D69" s="668" t="str">
        <f>Intv_BA!D165</f>
        <v>Central</v>
      </c>
      <c r="J69" s="183">
        <v>1</v>
      </c>
      <c r="K69" s="183">
        <v>1</v>
      </c>
      <c r="L69" s="183">
        <v>1</v>
      </c>
      <c r="M69" s="183">
        <v>1</v>
      </c>
      <c r="N69" s="183">
        <v>1</v>
      </c>
      <c r="O69" s="183">
        <v>1</v>
      </c>
    </row>
    <row r="70" spans="4:15" s="348" customFormat="1" outlineLevel="1" x14ac:dyDescent="0.2">
      <c r="D70" s="668" t="str">
        <f>Intv_BA!D166</f>
        <v>Copperbelt</v>
      </c>
      <c r="J70" s="183">
        <v>0</v>
      </c>
      <c r="K70" s="183">
        <v>0</v>
      </c>
      <c r="L70" s="183">
        <v>0</v>
      </c>
      <c r="M70" s="183">
        <v>0</v>
      </c>
      <c r="N70" s="183">
        <v>0</v>
      </c>
      <c r="O70" s="183">
        <v>0</v>
      </c>
    </row>
    <row r="71" spans="4:15" s="348" customFormat="1" outlineLevel="1" x14ac:dyDescent="0.2">
      <c r="D71" s="668" t="str">
        <f>Intv_BA!D167</f>
        <v>Eastern</v>
      </c>
      <c r="J71" s="183">
        <v>1</v>
      </c>
      <c r="K71" s="183">
        <v>1</v>
      </c>
      <c r="L71" s="183">
        <v>1</v>
      </c>
      <c r="M71" s="183">
        <v>1</v>
      </c>
      <c r="N71" s="183">
        <v>1</v>
      </c>
      <c r="O71" s="183">
        <v>1</v>
      </c>
    </row>
    <row r="72" spans="4:15" s="348" customFormat="1" outlineLevel="1" x14ac:dyDescent="0.2">
      <c r="D72" s="668" t="str">
        <f>Intv_BA!D168</f>
        <v>Luapula</v>
      </c>
      <c r="J72" s="183">
        <v>0</v>
      </c>
      <c r="K72" s="183">
        <v>0</v>
      </c>
      <c r="L72" s="183">
        <v>0</v>
      </c>
      <c r="M72" s="183">
        <v>0</v>
      </c>
      <c r="N72" s="183">
        <v>0</v>
      </c>
      <c r="O72" s="183">
        <v>0</v>
      </c>
    </row>
    <row r="73" spans="4:15" s="348" customFormat="1" outlineLevel="1" x14ac:dyDescent="0.2">
      <c r="D73" s="668" t="str">
        <f>Intv_BA!D169</f>
        <v>Lusaka</v>
      </c>
      <c r="J73" s="183">
        <v>11</v>
      </c>
      <c r="K73" s="183">
        <v>11</v>
      </c>
      <c r="L73" s="183">
        <v>11</v>
      </c>
      <c r="M73" s="183">
        <v>11</v>
      </c>
      <c r="N73" s="183">
        <v>11</v>
      </c>
      <c r="O73" s="183">
        <v>11</v>
      </c>
    </row>
    <row r="74" spans="4:15" s="348" customFormat="1" outlineLevel="1" x14ac:dyDescent="0.2">
      <c r="D74" s="668" t="str">
        <f>Intv_BA!D170</f>
        <v>Muchinga</v>
      </c>
      <c r="J74" s="183">
        <v>0</v>
      </c>
      <c r="K74" s="183">
        <v>0</v>
      </c>
      <c r="L74" s="183">
        <v>0</v>
      </c>
      <c r="M74" s="183">
        <v>0</v>
      </c>
      <c r="N74" s="183">
        <v>0</v>
      </c>
      <c r="O74" s="183">
        <v>0</v>
      </c>
    </row>
    <row r="75" spans="4:15" s="348" customFormat="1" outlineLevel="1" x14ac:dyDescent="0.2">
      <c r="D75" s="668" t="str">
        <f>Intv_BA!D171</f>
        <v>Northern</v>
      </c>
      <c r="J75" s="183">
        <v>0</v>
      </c>
      <c r="K75" s="183">
        <v>0</v>
      </c>
      <c r="L75" s="183">
        <v>0</v>
      </c>
      <c r="M75" s="183">
        <v>0</v>
      </c>
      <c r="N75" s="183">
        <v>0</v>
      </c>
      <c r="O75" s="183">
        <v>0</v>
      </c>
    </row>
    <row r="76" spans="4:15" s="348" customFormat="1" outlineLevel="1" x14ac:dyDescent="0.2">
      <c r="D76" s="668" t="str">
        <f>Intv_BA!D172</f>
        <v>North-Western</v>
      </c>
      <c r="J76" s="183">
        <v>0</v>
      </c>
      <c r="K76" s="183">
        <v>0</v>
      </c>
      <c r="L76" s="183">
        <v>0</v>
      </c>
      <c r="M76" s="183">
        <v>0</v>
      </c>
      <c r="N76" s="183">
        <v>0</v>
      </c>
      <c r="O76" s="183">
        <v>0</v>
      </c>
    </row>
    <row r="77" spans="4:15" s="348" customFormat="1" outlineLevel="1" x14ac:dyDescent="0.2">
      <c r="D77" s="668" t="str">
        <f>Intv_BA!D173</f>
        <v>Southern</v>
      </c>
      <c r="J77" s="183">
        <v>1</v>
      </c>
      <c r="K77" s="183">
        <v>1</v>
      </c>
      <c r="L77" s="183">
        <v>1</v>
      </c>
      <c r="M77" s="183">
        <v>1</v>
      </c>
      <c r="N77" s="183">
        <v>1</v>
      </c>
      <c r="O77" s="183">
        <v>1</v>
      </c>
    </row>
    <row r="78" spans="4:15" s="348" customFormat="1" outlineLevel="1" x14ac:dyDescent="0.2">
      <c r="D78" s="668" t="str">
        <f>Intv_BA!D174</f>
        <v>Western</v>
      </c>
      <c r="J78" s="183">
        <v>0</v>
      </c>
      <c r="K78" s="183">
        <v>0</v>
      </c>
      <c r="L78" s="183">
        <v>0</v>
      </c>
      <c r="M78" s="183">
        <v>0</v>
      </c>
      <c r="N78" s="183">
        <v>0</v>
      </c>
      <c r="O78" s="183">
        <v>0</v>
      </c>
    </row>
    <row r="79" spans="4:15" s="348" customFormat="1" ht="15" x14ac:dyDescent="0.2">
      <c r="D79" s="359" t="str">
        <f ca="1">"Total "&amp;D67</f>
        <v>Total Fixed Health Clinic</v>
      </c>
      <c r="J79" s="131">
        <f t="shared" ref="J79:O79" si="7">SUM(J69:J78)</f>
        <v>14</v>
      </c>
      <c r="K79" s="131">
        <f t="shared" si="7"/>
        <v>14</v>
      </c>
      <c r="L79" s="131">
        <f t="shared" si="7"/>
        <v>14</v>
      </c>
      <c r="M79" s="131">
        <f t="shared" si="7"/>
        <v>14</v>
      </c>
      <c r="N79" s="131">
        <f t="shared" si="7"/>
        <v>14</v>
      </c>
      <c r="O79" s="131">
        <f t="shared" si="7"/>
        <v>14</v>
      </c>
    </row>
    <row r="80" spans="4:15" s="348" customFormat="1" x14ac:dyDescent="0.2">
      <c r="D80" s="721"/>
      <c r="E80" s="721"/>
      <c r="F80" s="721"/>
      <c r="G80" s="721"/>
      <c r="H80" s="721"/>
      <c r="I80" s="721"/>
    </row>
    <row r="81" spans="4:15" s="348" customFormat="1" ht="15" outlineLevel="1" x14ac:dyDescent="0.2">
      <c r="D81" s="667" t="s">
        <v>1611</v>
      </c>
      <c r="H81" s="372">
        <v>4</v>
      </c>
    </row>
    <row r="82" spans="4:15" s="348" customFormat="1" x14ac:dyDescent="0.2"/>
    <row r="83" spans="4:15" s="348" customFormat="1" ht="15" x14ac:dyDescent="0.2">
      <c r="D83" s="669" t="str">
        <f ca="1">OFFSET(Labels_BA!D16,0,H81)</f>
        <v>PCI Mobile Health Team</v>
      </c>
    </row>
    <row r="84" spans="4:15" s="348" customFormat="1" hidden="1" outlineLevel="1" x14ac:dyDescent="0.2"/>
    <row r="85" spans="4:15" s="348" customFormat="1" hidden="1" outlineLevel="1" collapsed="1" x14ac:dyDescent="0.2">
      <c r="D85" s="668" t="str">
        <f>Intv_BA!D165</f>
        <v>Central</v>
      </c>
      <c r="J85" s="183">
        <v>0</v>
      </c>
      <c r="K85" s="183">
        <v>0</v>
      </c>
      <c r="L85" s="183">
        <v>0</v>
      </c>
      <c r="M85" s="183">
        <v>0</v>
      </c>
      <c r="N85" s="183">
        <v>0</v>
      </c>
      <c r="O85" s="183">
        <v>0</v>
      </c>
    </row>
    <row r="86" spans="4:15" s="348" customFormat="1" hidden="1" outlineLevel="1" x14ac:dyDescent="0.2">
      <c r="D86" s="668" t="str">
        <f>Intv_BA!D166</f>
        <v>Copperbelt</v>
      </c>
      <c r="J86" s="183">
        <v>0</v>
      </c>
      <c r="K86" s="183">
        <v>0</v>
      </c>
      <c r="L86" s="183">
        <v>0</v>
      </c>
      <c r="M86" s="183">
        <v>0</v>
      </c>
      <c r="N86" s="183">
        <v>0</v>
      </c>
      <c r="O86" s="183">
        <v>0</v>
      </c>
    </row>
    <row r="87" spans="4:15" s="348" customFormat="1" hidden="1" outlineLevel="1" x14ac:dyDescent="0.2">
      <c r="D87" s="668" t="str">
        <f>Intv_BA!D167</f>
        <v>Eastern</v>
      </c>
      <c r="J87" s="183">
        <v>0</v>
      </c>
      <c r="K87" s="183">
        <v>0</v>
      </c>
      <c r="L87" s="183">
        <v>0</v>
      </c>
      <c r="M87" s="183">
        <v>0</v>
      </c>
      <c r="N87" s="183">
        <v>0</v>
      </c>
      <c r="O87" s="183">
        <v>0</v>
      </c>
    </row>
    <row r="88" spans="4:15" s="348" customFormat="1" hidden="1" outlineLevel="1" x14ac:dyDescent="0.2">
      <c r="D88" s="668" t="str">
        <f>Intv_BA!D168</f>
        <v>Luapula</v>
      </c>
      <c r="J88" s="183">
        <v>0</v>
      </c>
      <c r="K88" s="183">
        <v>0</v>
      </c>
      <c r="L88" s="183">
        <v>0</v>
      </c>
      <c r="M88" s="183">
        <v>0</v>
      </c>
      <c r="N88" s="183">
        <v>0</v>
      </c>
      <c r="O88" s="183">
        <v>0</v>
      </c>
    </row>
    <row r="89" spans="4:15" s="348" customFormat="1" hidden="1" outlineLevel="1" x14ac:dyDescent="0.2">
      <c r="D89" s="668" t="str">
        <f>Intv_BA!D169</f>
        <v>Lusaka</v>
      </c>
      <c r="J89" s="183">
        <v>0</v>
      </c>
      <c r="K89" s="183">
        <v>0</v>
      </c>
      <c r="L89" s="183">
        <v>0</v>
      </c>
      <c r="M89" s="183">
        <v>0</v>
      </c>
      <c r="N89" s="183">
        <v>0</v>
      </c>
      <c r="O89" s="183">
        <v>0</v>
      </c>
    </row>
    <row r="90" spans="4:15" s="348" customFormat="1" hidden="1" outlineLevel="1" x14ac:dyDescent="0.2">
      <c r="D90" s="668" t="str">
        <f>Intv_BA!D170</f>
        <v>Muchinga</v>
      </c>
      <c r="J90" s="183">
        <v>0</v>
      </c>
      <c r="K90" s="183">
        <v>0</v>
      </c>
      <c r="L90" s="183">
        <v>0</v>
      </c>
      <c r="M90" s="183">
        <v>0</v>
      </c>
      <c r="N90" s="183">
        <v>0</v>
      </c>
      <c r="O90" s="183">
        <v>0</v>
      </c>
    </row>
    <row r="91" spans="4:15" s="348" customFormat="1" hidden="1" outlineLevel="1" x14ac:dyDescent="0.2">
      <c r="D91" s="668" t="str">
        <f>Intv_BA!D171</f>
        <v>Northern</v>
      </c>
      <c r="J91" s="183">
        <v>0</v>
      </c>
      <c r="K91" s="183">
        <v>0</v>
      </c>
      <c r="L91" s="183">
        <v>0</v>
      </c>
      <c r="M91" s="183">
        <v>0</v>
      </c>
      <c r="N91" s="183">
        <v>0</v>
      </c>
      <c r="O91" s="183">
        <v>0</v>
      </c>
    </row>
    <row r="92" spans="4:15" s="348" customFormat="1" hidden="1" outlineLevel="1" x14ac:dyDescent="0.2">
      <c r="D92" s="668" t="str">
        <f>Intv_BA!D172</f>
        <v>North-Western</v>
      </c>
      <c r="J92" s="183">
        <v>0</v>
      </c>
      <c r="K92" s="183">
        <v>0</v>
      </c>
      <c r="L92" s="183">
        <v>0</v>
      </c>
      <c r="M92" s="183">
        <v>0</v>
      </c>
      <c r="N92" s="183">
        <v>0</v>
      </c>
      <c r="O92" s="183">
        <v>0</v>
      </c>
    </row>
    <row r="93" spans="4:15" s="348" customFormat="1" hidden="1" outlineLevel="1" x14ac:dyDescent="0.2">
      <c r="D93" s="668" t="str">
        <f>Intv_BA!D173</f>
        <v>Southern</v>
      </c>
      <c r="J93" s="183">
        <v>0</v>
      </c>
      <c r="K93" s="183">
        <v>0</v>
      </c>
      <c r="L93" s="183">
        <v>0</v>
      </c>
      <c r="M93" s="183">
        <v>0</v>
      </c>
      <c r="N93" s="183">
        <v>0</v>
      </c>
      <c r="O93" s="183">
        <v>0</v>
      </c>
    </row>
    <row r="94" spans="4:15" s="348" customFormat="1" hidden="1" outlineLevel="1" x14ac:dyDescent="0.2">
      <c r="D94" s="668" t="str">
        <f>Intv_BA!D174</f>
        <v>Western</v>
      </c>
      <c r="J94" s="183">
        <v>0</v>
      </c>
      <c r="K94" s="183">
        <v>0</v>
      </c>
      <c r="L94" s="183">
        <v>0</v>
      </c>
      <c r="M94" s="183">
        <v>0</v>
      </c>
      <c r="N94" s="183">
        <v>0</v>
      </c>
      <c r="O94" s="183">
        <v>0</v>
      </c>
    </row>
    <row r="95" spans="4:15" s="348" customFormat="1" ht="15" collapsed="1" x14ac:dyDescent="0.2">
      <c r="D95" s="359" t="str">
        <f ca="1">"Total "&amp;D83</f>
        <v>Total PCI Mobile Health Team</v>
      </c>
      <c r="J95" s="131">
        <f t="shared" ref="J95:O95" si="8">SUM(J85:J94)</f>
        <v>0</v>
      </c>
      <c r="K95" s="131">
        <f t="shared" si="8"/>
        <v>0</v>
      </c>
      <c r="L95" s="131">
        <f t="shared" si="8"/>
        <v>0</v>
      </c>
      <c r="M95" s="131">
        <f t="shared" si="8"/>
        <v>0</v>
      </c>
      <c r="N95" s="131">
        <f t="shared" si="8"/>
        <v>0</v>
      </c>
      <c r="O95" s="131">
        <f t="shared" si="8"/>
        <v>0</v>
      </c>
    </row>
    <row r="96" spans="4:15" s="348" customFormat="1" x14ac:dyDescent="0.2">
      <c r="D96" s="721"/>
      <c r="E96" s="721"/>
      <c r="F96" s="721"/>
      <c r="G96" s="721"/>
      <c r="H96" s="721"/>
      <c r="I96" s="721"/>
    </row>
    <row r="97" spans="4:15" s="348" customFormat="1" ht="15" outlineLevel="1" x14ac:dyDescent="0.2">
      <c r="D97" s="667" t="s">
        <v>1611</v>
      </c>
      <c r="H97" s="372">
        <v>5</v>
      </c>
    </row>
    <row r="98" spans="4:15" s="348" customFormat="1" x14ac:dyDescent="0.2"/>
    <row r="99" spans="4:15" s="348" customFormat="1" ht="15" x14ac:dyDescent="0.2">
      <c r="D99" s="669" t="str">
        <f ca="1">OFFSET(Labels_BA!D16,0,H97)</f>
        <v>Gov't Mobile Health Team (Hospital)</v>
      </c>
    </row>
    <row r="100" spans="4:15" s="348" customFormat="1" hidden="1" outlineLevel="1" x14ac:dyDescent="0.2"/>
    <row r="101" spans="4:15" s="348" customFormat="1" hidden="1" outlineLevel="1" collapsed="1" x14ac:dyDescent="0.2">
      <c r="D101" s="668" t="str">
        <f>Intv_BA!D165</f>
        <v>Central</v>
      </c>
      <c r="J101" s="183">
        <v>0</v>
      </c>
      <c r="K101" s="183">
        <v>0</v>
      </c>
      <c r="L101" s="183">
        <v>0</v>
      </c>
      <c r="M101" s="183">
        <v>0</v>
      </c>
      <c r="N101" s="183">
        <v>0</v>
      </c>
      <c r="O101" s="183">
        <v>0</v>
      </c>
    </row>
    <row r="102" spans="4:15" s="348" customFormat="1" hidden="1" outlineLevel="1" x14ac:dyDescent="0.2">
      <c r="D102" s="668" t="str">
        <f>Intv_BA!D166</f>
        <v>Copperbelt</v>
      </c>
      <c r="J102" s="183">
        <v>0</v>
      </c>
      <c r="K102" s="183">
        <v>0</v>
      </c>
      <c r="L102" s="183">
        <v>0</v>
      </c>
      <c r="M102" s="183">
        <v>0</v>
      </c>
      <c r="N102" s="183">
        <v>0</v>
      </c>
      <c r="O102" s="183">
        <v>0</v>
      </c>
    </row>
    <row r="103" spans="4:15" s="348" customFormat="1" hidden="1" outlineLevel="1" x14ac:dyDescent="0.2">
      <c r="D103" s="668" t="str">
        <f>Intv_BA!D167</f>
        <v>Eastern</v>
      </c>
      <c r="J103" s="183">
        <v>0</v>
      </c>
      <c r="K103" s="183">
        <v>0</v>
      </c>
      <c r="L103" s="183">
        <v>0</v>
      </c>
      <c r="M103" s="183">
        <v>0</v>
      </c>
      <c r="N103" s="183">
        <v>0</v>
      </c>
      <c r="O103" s="183">
        <v>0</v>
      </c>
    </row>
    <row r="104" spans="4:15" s="348" customFormat="1" hidden="1" outlineLevel="1" x14ac:dyDescent="0.2">
      <c r="D104" s="668" t="str">
        <f>Intv_BA!D168</f>
        <v>Luapula</v>
      </c>
      <c r="J104" s="183">
        <v>0</v>
      </c>
      <c r="K104" s="183">
        <v>0</v>
      </c>
      <c r="L104" s="183">
        <v>0</v>
      </c>
      <c r="M104" s="183">
        <v>0</v>
      </c>
      <c r="N104" s="183">
        <v>0</v>
      </c>
      <c r="O104" s="183">
        <v>0</v>
      </c>
    </row>
    <row r="105" spans="4:15" s="348" customFormat="1" hidden="1" outlineLevel="1" x14ac:dyDescent="0.2">
      <c r="D105" s="668" t="str">
        <f>Intv_BA!D169</f>
        <v>Lusaka</v>
      </c>
      <c r="J105" s="183">
        <v>0</v>
      </c>
      <c r="K105" s="183">
        <v>0</v>
      </c>
      <c r="L105" s="183">
        <v>0</v>
      </c>
      <c r="M105" s="183">
        <v>0</v>
      </c>
      <c r="N105" s="183">
        <v>0</v>
      </c>
      <c r="O105" s="183">
        <v>0</v>
      </c>
    </row>
    <row r="106" spans="4:15" s="348" customFormat="1" hidden="1" outlineLevel="1" x14ac:dyDescent="0.2">
      <c r="D106" s="668" t="str">
        <f>Intv_BA!D170</f>
        <v>Muchinga</v>
      </c>
      <c r="J106" s="183">
        <v>0</v>
      </c>
      <c r="K106" s="183">
        <v>0</v>
      </c>
      <c r="L106" s="183">
        <v>0</v>
      </c>
      <c r="M106" s="183">
        <v>0</v>
      </c>
      <c r="N106" s="183">
        <v>0</v>
      </c>
      <c r="O106" s="183">
        <v>0</v>
      </c>
    </row>
    <row r="107" spans="4:15" s="348" customFormat="1" hidden="1" outlineLevel="1" x14ac:dyDescent="0.2">
      <c r="D107" s="668" t="str">
        <f>Intv_BA!D171</f>
        <v>Northern</v>
      </c>
      <c r="J107" s="183">
        <v>0</v>
      </c>
      <c r="K107" s="183">
        <v>0</v>
      </c>
      <c r="L107" s="183">
        <v>0</v>
      </c>
      <c r="M107" s="183">
        <v>0</v>
      </c>
      <c r="N107" s="183">
        <v>0</v>
      </c>
      <c r="O107" s="183">
        <v>0</v>
      </c>
    </row>
    <row r="108" spans="4:15" s="348" customFormat="1" hidden="1" outlineLevel="1" x14ac:dyDescent="0.2">
      <c r="D108" s="668" t="str">
        <f>Intv_BA!D172</f>
        <v>North-Western</v>
      </c>
      <c r="J108" s="183">
        <v>0</v>
      </c>
      <c r="K108" s="183">
        <v>0</v>
      </c>
      <c r="L108" s="183">
        <v>0</v>
      </c>
      <c r="M108" s="183">
        <v>0</v>
      </c>
      <c r="N108" s="183">
        <v>0</v>
      </c>
      <c r="O108" s="183">
        <v>0</v>
      </c>
    </row>
    <row r="109" spans="4:15" s="348" customFormat="1" hidden="1" outlineLevel="1" x14ac:dyDescent="0.2">
      <c r="D109" s="668" t="str">
        <f>Intv_BA!D173</f>
        <v>Southern</v>
      </c>
      <c r="J109" s="183">
        <v>0</v>
      </c>
      <c r="K109" s="183">
        <v>0</v>
      </c>
      <c r="L109" s="183">
        <v>0</v>
      </c>
      <c r="M109" s="183">
        <v>0</v>
      </c>
      <c r="N109" s="183">
        <v>0</v>
      </c>
      <c r="O109" s="183">
        <v>0</v>
      </c>
    </row>
    <row r="110" spans="4:15" s="348" customFormat="1" hidden="1" outlineLevel="1" x14ac:dyDescent="0.2">
      <c r="D110" s="668" t="str">
        <f>Intv_BA!D174</f>
        <v>Western</v>
      </c>
      <c r="J110" s="183">
        <v>0</v>
      </c>
      <c r="K110" s="183">
        <v>0</v>
      </c>
      <c r="L110" s="183">
        <v>0</v>
      </c>
      <c r="M110" s="183">
        <v>0</v>
      </c>
      <c r="N110" s="183">
        <v>0</v>
      </c>
      <c r="O110" s="183">
        <v>0</v>
      </c>
    </row>
    <row r="111" spans="4:15" s="348" customFormat="1" ht="15" collapsed="1" x14ac:dyDescent="0.2">
      <c r="D111" s="359" t="str">
        <f ca="1">"Total "&amp;D99</f>
        <v>Total Gov't Mobile Health Team (Hospital)</v>
      </c>
      <c r="J111" s="131">
        <f t="shared" ref="J111:O111" si="9">SUM(J101:J110)</f>
        <v>0</v>
      </c>
      <c r="K111" s="131">
        <f t="shared" si="9"/>
        <v>0</v>
      </c>
      <c r="L111" s="131">
        <f t="shared" si="9"/>
        <v>0</v>
      </c>
      <c r="M111" s="131">
        <f t="shared" si="9"/>
        <v>0</v>
      </c>
      <c r="N111" s="131">
        <f t="shared" si="9"/>
        <v>0</v>
      </c>
      <c r="O111" s="131">
        <f t="shared" si="9"/>
        <v>0</v>
      </c>
    </row>
    <row r="112" spans="4:15" s="348" customFormat="1" x14ac:dyDescent="0.2">
      <c r="D112" s="721"/>
      <c r="E112" s="721"/>
      <c r="F112" s="721"/>
      <c r="G112" s="721"/>
      <c r="H112" s="721"/>
      <c r="I112" s="721"/>
    </row>
    <row r="113" spans="4:15" s="348" customFormat="1" ht="15" outlineLevel="1" x14ac:dyDescent="0.2">
      <c r="D113" s="667" t="s">
        <v>1611</v>
      </c>
      <c r="H113" s="372">
        <v>6</v>
      </c>
    </row>
    <row r="114" spans="4:15" s="348" customFormat="1" x14ac:dyDescent="0.2"/>
    <row r="115" spans="4:15" s="348" customFormat="1" ht="15" x14ac:dyDescent="0.2">
      <c r="D115" s="669" t="str">
        <f ca="1">OFFSET(Labels_BA!D16,0,H113)</f>
        <v>CIDRZ Mobile Health Team</v>
      </c>
    </row>
    <row r="116" spans="4:15" s="348" customFormat="1" hidden="1" outlineLevel="1" x14ac:dyDescent="0.2"/>
    <row r="117" spans="4:15" s="348" customFormat="1" hidden="1" outlineLevel="1" collapsed="1" x14ac:dyDescent="0.2">
      <c r="D117" s="668" t="str">
        <f>Intv_BA!D165</f>
        <v>Central</v>
      </c>
      <c r="J117" s="183">
        <v>0</v>
      </c>
      <c r="K117" s="183">
        <v>0</v>
      </c>
      <c r="L117" s="183">
        <v>0</v>
      </c>
      <c r="M117" s="183">
        <v>0</v>
      </c>
      <c r="N117" s="183">
        <v>0</v>
      </c>
      <c r="O117" s="183">
        <v>0</v>
      </c>
    </row>
    <row r="118" spans="4:15" s="348" customFormat="1" hidden="1" outlineLevel="1" x14ac:dyDescent="0.2">
      <c r="D118" s="668" t="str">
        <f>Intv_BA!D166</f>
        <v>Copperbelt</v>
      </c>
      <c r="J118" s="183">
        <v>0</v>
      </c>
      <c r="K118" s="183">
        <v>0</v>
      </c>
      <c r="L118" s="183">
        <v>0</v>
      </c>
      <c r="M118" s="183">
        <v>0</v>
      </c>
      <c r="N118" s="183">
        <v>0</v>
      </c>
      <c r="O118" s="183">
        <v>0</v>
      </c>
    </row>
    <row r="119" spans="4:15" s="348" customFormat="1" hidden="1" outlineLevel="1" x14ac:dyDescent="0.2">
      <c r="D119" s="668" t="str">
        <f>Intv_BA!D167</f>
        <v>Eastern</v>
      </c>
      <c r="J119" s="183">
        <v>0</v>
      </c>
      <c r="K119" s="183">
        <v>0</v>
      </c>
      <c r="L119" s="183">
        <v>0</v>
      </c>
      <c r="M119" s="183">
        <v>0</v>
      </c>
      <c r="N119" s="183">
        <v>0</v>
      </c>
      <c r="O119" s="183">
        <v>0</v>
      </c>
    </row>
    <row r="120" spans="4:15" s="348" customFormat="1" hidden="1" outlineLevel="1" x14ac:dyDescent="0.2">
      <c r="D120" s="668" t="str">
        <f>Intv_BA!D168</f>
        <v>Luapula</v>
      </c>
      <c r="J120" s="183">
        <v>0</v>
      </c>
      <c r="K120" s="183">
        <v>0</v>
      </c>
      <c r="L120" s="183">
        <v>0</v>
      </c>
      <c r="M120" s="183">
        <v>0</v>
      </c>
      <c r="N120" s="183">
        <v>0</v>
      </c>
      <c r="O120" s="183">
        <v>0</v>
      </c>
    </row>
    <row r="121" spans="4:15" s="348" customFormat="1" hidden="1" outlineLevel="1" x14ac:dyDescent="0.2">
      <c r="D121" s="668" t="str">
        <f>Intv_BA!D169</f>
        <v>Lusaka</v>
      </c>
      <c r="J121" s="183">
        <v>0</v>
      </c>
      <c r="K121" s="183">
        <v>0</v>
      </c>
      <c r="L121" s="183">
        <v>0</v>
      </c>
      <c r="M121" s="183">
        <v>0</v>
      </c>
      <c r="N121" s="183">
        <v>0</v>
      </c>
      <c r="O121" s="183">
        <v>0</v>
      </c>
    </row>
    <row r="122" spans="4:15" s="348" customFormat="1" hidden="1" outlineLevel="1" x14ac:dyDescent="0.2">
      <c r="D122" s="668" t="str">
        <f>Intv_BA!D170</f>
        <v>Muchinga</v>
      </c>
      <c r="J122" s="183">
        <v>0</v>
      </c>
      <c r="K122" s="183">
        <v>0</v>
      </c>
      <c r="L122" s="183">
        <v>0</v>
      </c>
      <c r="M122" s="183">
        <v>0</v>
      </c>
      <c r="N122" s="183">
        <v>0</v>
      </c>
      <c r="O122" s="183">
        <v>0</v>
      </c>
    </row>
    <row r="123" spans="4:15" s="348" customFormat="1" hidden="1" outlineLevel="1" x14ac:dyDescent="0.2">
      <c r="D123" s="668" t="str">
        <f>Intv_BA!D171</f>
        <v>Northern</v>
      </c>
      <c r="J123" s="183">
        <v>0</v>
      </c>
      <c r="K123" s="183">
        <v>0</v>
      </c>
      <c r="L123" s="183">
        <v>0</v>
      </c>
      <c r="M123" s="183">
        <v>0</v>
      </c>
      <c r="N123" s="183">
        <v>0</v>
      </c>
      <c r="O123" s="183">
        <v>0</v>
      </c>
    </row>
    <row r="124" spans="4:15" s="348" customFormat="1" hidden="1" outlineLevel="1" x14ac:dyDescent="0.2">
      <c r="D124" s="668" t="str">
        <f>Intv_BA!D172</f>
        <v>North-Western</v>
      </c>
      <c r="J124" s="183">
        <v>0</v>
      </c>
      <c r="K124" s="183">
        <v>0</v>
      </c>
      <c r="L124" s="183">
        <v>0</v>
      </c>
      <c r="M124" s="183">
        <v>0</v>
      </c>
      <c r="N124" s="183">
        <v>0</v>
      </c>
      <c r="O124" s="183">
        <v>0</v>
      </c>
    </row>
    <row r="125" spans="4:15" s="348" customFormat="1" hidden="1" outlineLevel="1" x14ac:dyDescent="0.2">
      <c r="D125" s="668" t="str">
        <f>Intv_BA!D173</f>
        <v>Southern</v>
      </c>
      <c r="J125" s="183">
        <v>0</v>
      </c>
      <c r="K125" s="183">
        <v>0</v>
      </c>
      <c r="L125" s="183">
        <v>0</v>
      </c>
      <c r="M125" s="183">
        <v>0</v>
      </c>
      <c r="N125" s="183">
        <v>0</v>
      </c>
      <c r="O125" s="183">
        <v>0</v>
      </c>
    </row>
    <row r="126" spans="4:15" s="348" customFormat="1" hidden="1" outlineLevel="1" x14ac:dyDescent="0.2">
      <c r="D126" s="668" t="str">
        <f>Intv_BA!D174</f>
        <v>Western</v>
      </c>
      <c r="J126" s="183">
        <v>0</v>
      </c>
      <c r="K126" s="183">
        <v>0</v>
      </c>
      <c r="L126" s="183">
        <v>0</v>
      </c>
      <c r="M126" s="183">
        <v>0</v>
      </c>
      <c r="N126" s="183">
        <v>0</v>
      </c>
      <c r="O126" s="183">
        <v>0</v>
      </c>
    </row>
    <row r="127" spans="4:15" s="348" customFormat="1" ht="15" collapsed="1" x14ac:dyDescent="0.2">
      <c r="D127" s="359" t="str">
        <f ca="1">"Total "&amp;D115</f>
        <v>Total CIDRZ Mobile Health Team</v>
      </c>
      <c r="J127" s="131">
        <f t="shared" ref="J127:O127" si="10">SUM(J117:J126)</f>
        <v>0</v>
      </c>
      <c r="K127" s="131">
        <f t="shared" si="10"/>
        <v>0</v>
      </c>
      <c r="L127" s="131">
        <f t="shared" si="10"/>
        <v>0</v>
      </c>
      <c r="M127" s="131">
        <f t="shared" si="10"/>
        <v>0</v>
      </c>
      <c r="N127" s="131">
        <f t="shared" si="10"/>
        <v>0</v>
      </c>
      <c r="O127" s="131">
        <f t="shared" si="10"/>
        <v>0</v>
      </c>
    </row>
    <row r="128" spans="4:15" s="348" customFormat="1" x14ac:dyDescent="0.2">
      <c r="D128" s="721"/>
      <c r="E128" s="721"/>
      <c r="F128" s="721"/>
      <c r="G128" s="721"/>
      <c r="H128" s="721"/>
      <c r="I128" s="721"/>
    </row>
    <row r="129" spans="4:15" s="348" customFormat="1" ht="15" outlineLevel="1" x14ac:dyDescent="0.2">
      <c r="D129" s="667" t="s">
        <v>1611</v>
      </c>
      <c r="H129" s="372">
        <v>7</v>
      </c>
    </row>
    <row r="130" spans="4:15" s="348" customFormat="1" x14ac:dyDescent="0.2"/>
    <row r="131" spans="4:15" s="348" customFormat="1" ht="15" x14ac:dyDescent="0.2">
      <c r="D131" s="669" t="str">
        <f ca="1">OFFSET(Labels_BA!D16,0,H129)</f>
        <v>Facility Type 8</v>
      </c>
    </row>
    <row r="132" spans="4:15" s="348" customFormat="1" hidden="1" outlineLevel="1" x14ac:dyDescent="0.2"/>
    <row r="133" spans="4:15" s="348" customFormat="1" hidden="1" outlineLevel="1" collapsed="1" x14ac:dyDescent="0.2">
      <c r="D133" s="668" t="str">
        <f>Intv_BA!D165</f>
        <v>Central</v>
      </c>
      <c r="J133" s="183">
        <v>0</v>
      </c>
      <c r="K133" s="183">
        <v>0</v>
      </c>
      <c r="L133" s="183">
        <v>0</v>
      </c>
      <c r="M133" s="183">
        <v>0</v>
      </c>
      <c r="N133" s="183">
        <v>0</v>
      </c>
      <c r="O133" s="183">
        <v>0</v>
      </c>
    </row>
    <row r="134" spans="4:15" s="348" customFormat="1" hidden="1" outlineLevel="1" x14ac:dyDescent="0.2">
      <c r="D134" s="668" t="str">
        <f>Intv_BA!D166</f>
        <v>Copperbelt</v>
      </c>
      <c r="J134" s="183">
        <v>0</v>
      </c>
      <c r="K134" s="183">
        <v>0</v>
      </c>
      <c r="L134" s="183">
        <v>0</v>
      </c>
      <c r="M134" s="183">
        <v>0</v>
      </c>
      <c r="N134" s="183">
        <v>0</v>
      </c>
      <c r="O134" s="183">
        <v>0</v>
      </c>
    </row>
    <row r="135" spans="4:15" s="348" customFormat="1" hidden="1" outlineLevel="1" x14ac:dyDescent="0.2">
      <c r="D135" s="668" t="str">
        <f>Intv_BA!D167</f>
        <v>Eastern</v>
      </c>
      <c r="J135" s="183">
        <v>0</v>
      </c>
      <c r="K135" s="183">
        <v>0</v>
      </c>
      <c r="L135" s="183">
        <v>0</v>
      </c>
      <c r="M135" s="183">
        <v>0</v>
      </c>
      <c r="N135" s="183">
        <v>0</v>
      </c>
      <c r="O135" s="183">
        <v>0</v>
      </c>
    </row>
    <row r="136" spans="4:15" s="348" customFormat="1" hidden="1" outlineLevel="1" x14ac:dyDescent="0.2">
      <c r="D136" s="668" t="str">
        <f>Intv_BA!D168</f>
        <v>Luapula</v>
      </c>
      <c r="J136" s="183">
        <v>0</v>
      </c>
      <c r="K136" s="183">
        <v>0</v>
      </c>
      <c r="L136" s="183">
        <v>0</v>
      </c>
      <c r="M136" s="183">
        <v>0</v>
      </c>
      <c r="N136" s="183">
        <v>0</v>
      </c>
      <c r="O136" s="183">
        <v>0</v>
      </c>
    </row>
    <row r="137" spans="4:15" s="348" customFormat="1" hidden="1" outlineLevel="1" x14ac:dyDescent="0.2">
      <c r="D137" s="668" t="str">
        <f>Intv_BA!D169</f>
        <v>Lusaka</v>
      </c>
      <c r="J137" s="183">
        <v>0</v>
      </c>
      <c r="K137" s="183">
        <v>0</v>
      </c>
      <c r="L137" s="183">
        <v>0</v>
      </c>
      <c r="M137" s="183">
        <v>0</v>
      </c>
      <c r="N137" s="183">
        <v>0</v>
      </c>
      <c r="O137" s="183">
        <v>0</v>
      </c>
    </row>
    <row r="138" spans="4:15" s="348" customFormat="1" hidden="1" outlineLevel="1" x14ac:dyDescent="0.2">
      <c r="D138" s="668" t="str">
        <f>Intv_BA!D170</f>
        <v>Muchinga</v>
      </c>
      <c r="J138" s="183">
        <v>0</v>
      </c>
      <c r="K138" s="183">
        <v>0</v>
      </c>
      <c r="L138" s="183">
        <v>0</v>
      </c>
      <c r="M138" s="183">
        <v>0</v>
      </c>
      <c r="N138" s="183">
        <v>0</v>
      </c>
      <c r="O138" s="183">
        <v>0</v>
      </c>
    </row>
    <row r="139" spans="4:15" s="348" customFormat="1" hidden="1" outlineLevel="1" x14ac:dyDescent="0.2">
      <c r="D139" s="668" t="str">
        <f>Intv_BA!D171</f>
        <v>Northern</v>
      </c>
      <c r="J139" s="183">
        <v>0</v>
      </c>
      <c r="K139" s="183">
        <v>0</v>
      </c>
      <c r="L139" s="183">
        <v>0</v>
      </c>
      <c r="M139" s="183">
        <v>0</v>
      </c>
      <c r="N139" s="183">
        <v>0</v>
      </c>
      <c r="O139" s="183">
        <v>0</v>
      </c>
    </row>
    <row r="140" spans="4:15" s="348" customFormat="1" hidden="1" outlineLevel="1" x14ac:dyDescent="0.2">
      <c r="D140" s="668" t="str">
        <f>Intv_BA!D172</f>
        <v>North-Western</v>
      </c>
      <c r="J140" s="183">
        <v>0</v>
      </c>
      <c r="K140" s="183">
        <v>0</v>
      </c>
      <c r="L140" s="183">
        <v>0</v>
      </c>
      <c r="M140" s="183">
        <v>0</v>
      </c>
      <c r="N140" s="183">
        <v>0</v>
      </c>
      <c r="O140" s="183">
        <v>0</v>
      </c>
    </row>
    <row r="141" spans="4:15" s="348" customFormat="1" hidden="1" outlineLevel="1" x14ac:dyDescent="0.2">
      <c r="D141" s="668" t="str">
        <f>Intv_BA!D173</f>
        <v>Southern</v>
      </c>
      <c r="J141" s="183">
        <v>0</v>
      </c>
      <c r="K141" s="183">
        <v>0</v>
      </c>
      <c r="L141" s="183">
        <v>0</v>
      </c>
      <c r="M141" s="183">
        <v>0</v>
      </c>
      <c r="N141" s="183">
        <v>0</v>
      </c>
      <c r="O141" s="183">
        <v>0</v>
      </c>
    </row>
    <row r="142" spans="4:15" s="348" customFormat="1" hidden="1" outlineLevel="1" x14ac:dyDescent="0.2">
      <c r="D142" s="668" t="str">
        <f>Intv_BA!D174</f>
        <v>Western</v>
      </c>
      <c r="J142" s="183">
        <v>0</v>
      </c>
      <c r="K142" s="183">
        <v>0</v>
      </c>
      <c r="L142" s="183">
        <v>0</v>
      </c>
      <c r="M142" s="183">
        <v>0</v>
      </c>
      <c r="N142" s="183">
        <v>0</v>
      </c>
      <c r="O142" s="183">
        <v>0</v>
      </c>
    </row>
    <row r="143" spans="4:15" s="348" customFormat="1" ht="15" collapsed="1" x14ac:dyDescent="0.2">
      <c r="D143" s="359" t="str">
        <f ca="1">"Total "&amp;D131</f>
        <v>Total Facility Type 8</v>
      </c>
      <c r="J143" s="131">
        <f t="shared" ref="J143:O143" si="11">SUM(J133:J142)</f>
        <v>0</v>
      </c>
      <c r="K143" s="131">
        <f t="shared" si="11"/>
        <v>0</v>
      </c>
      <c r="L143" s="131">
        <f t="shared" si="11"/>
        <v>0</v>
      </c>
      <c r="M143" s="131">
        <f t="shared" si="11"/>
        <v>0</v>
      </c>
      <c r="N143" s="131">
        <f t="shared" si="11"/>
        <v>0</v>
      </c>
      <c r="O143" s="131">
        <f t="shared" si="11"/>
        <v>0</v>
      </c>
    </row>
    <row r="144" spans="4:15" s="348" customFormat="1" x14ac:dyDescent="0.2">
      <c r="D144" s="721"/>
      <c r="E144" s="721"/>
      <c r="F144" s="721"/>
      <c r="G144" s="721"/>
      <c r="H144" s="721"/>
      <c r="I144" s="721"/>
    </row>
    <row r="145" spans="4:15" s="348" customFormat="1" ht="15" outlineLevel="1" x14ac:dyDescent="0.2">
      <c r="D145" s="667" t="s">
        <v>1611</v>
      </c>
      <c r="H145" s="372">
        <v>8</v>
      </c>
    </row>
    <row r="146" spans="4:15" s="348" customFormat="1" x14ac:dyDescent="0.2"/>
    <row r="147" spans="4:15" s="348" customFormat="1" ht="15" x14ac:dyDescent="0.2">
      <c r="D147" s="669" t="str">
        <f ca="1">OFFSET(Labels_BA!D16,0,H145)</f>
        <v>Facility Type 9</v>
      </c>
    </row>
    <row r="148" spans="4:15" s="348" customFormat="1" hidden="1" outlineLevel="1" x14ac:dyDescent="0.2"/>
    <row r="149" spans="4:15" s="348" customFormat="1" hidden="1" outlineLevel="1" collapsed="1" x14ac:dyDescent="0.2">
      <c r="D149" s="668" t="str">
        <f>Intv_BA!D165</f>
        <v>Central</v>
      </c>
      <c r="J149" s="183">
        <v>0</v>
      </c>
      <c r="K149" s="183">
        <v>0</v>
      </c>
      <c r="L149" s="183">
        <v>0</v>
      </c>
      <c r="M149" s="183">
        <v>0</v>
      </c>
      <c r="N149" s="183">
        <v>0</v>
      </c>
      <c r="O149" s="183">
        <v>0</v>
      </c>
    </row>
    <row r="150" spans="4:15" s="348" customFormat="1" hidden="1" outlineLevel="1" x14ac:dyDescent="0.2">
      <c r="D150" s="668" t="str">
        <f>Intv_BA!D166</f>
        <v>Copperbelt</v>
      </c>
      <c r="J150" s="183">
        <v>0</v>
      </c>
      <c r="K150" s="183">
        <v>0</v>
      </c>
      <c r="L150" s="183">
        <v>0</v>
      </c>
      <c r="M150" s="183">
        <v>0</v>
      </c>
      <c r="N150" s="183">
        <v>0</v>
      </c>
      <c r="O150" s="183">
        <v>0</v>
      </c>
    </row>
    <row r="151" spans="4:15" s="348" customFormat="1" hidden="1" outlineLevel="1" x14ac:dyDescent="0.2">
      <c r="D151" s="668" t="str">
        <f>Intv_BA!D167</f>
        <v>Eastern</v>
      </c>
      <c r="J151" s="183">
        <v>0</v>
      </c>
      <c r="K151" s="183">
        <v>0</v>
      </c>
      <c r="L151" s="183">
        <v>0</v>
      </c>
      <c r="M151" s="183">
        <v>0</v>
      </c>
      <c r="N151" s="183">
        <v>0</v>
      </c>
      <c r="O151" s="183">
        <v>0</v>
      </c>
    </row>
    <row r="152" spans="4:15" s="348" customFormat="1" hidden="1" outlineLevel="1" x14ac:dyDescent="0.2">
      <c r="D152" s="668" t="str">
        <f>Intv_BA!D168</f>
        <v>Luapula</v>
      </c>
      <c r="J152" s="183">
        <v>0</v>
      </c>
      <c r="K152" s="183">
        <v>0</v>
      </c>
      <c r="L152" s="183">
        <v>0</v>
      </c>
      <c r="M152" s="183">
        <v>0</v>
      </c>
      <c r="N152" s="183">
        <v>0</v>
      </c>
      <c r="O152" s="183">
        <v>0</v>
      </c>
    </row>
    <row r="153" spans="4:15" s="348" customFormat="1" hidden="1" outlineLevel="1" x14ac:dyDescent="0.2">
      <c r="D153" s="668" t="str">
        <f>Intv_BA!D169</f>
        <v>Lusaka</v>
      </c>
      <c r="J153" s="183">
        <v>0</v>
      </c>
      <c r="K153" s="183">
        <v>0</v>
      </c>
      <c r="L153" s="183">
        <v>0</v>
      </c>
      <c r="M153" s="183">
        <v>0</v>
      </c>
      <c r="N153" s="183">
        <v>0</v>
      </c>
      <c r="O153" s="183">
        <v>0</v>
      </c>
    </row>
    <row r="154" spans="4:15" s="348" customFormat="1" hidden="1" outlineLevel="1" x14ac:dyDescent="0.2">
      <c r="D154" s="668" t="str">
        <f>Intv_BA!D170</f>
        <v>Muchinga</v>
      </c>
      <c r="J154" s="183">
        <v>0</v>
      </c>
      <c r="K154" s="183">
        <v>0</v>
      </c>
      <c r="L154" s="183">
        <v>0</v>
      </c>
      <c r="M154" s="183">
        <v>0</v>
      </c>
      <c r="N154" s="183">
        <v>0</v>
      </c>
      <c r="O154" s="183">
        <v>0</v>
      </c>
    </row>
    <row r="155" spans="4:15" s="348" customFormat="1" hidden="1" outlineLevel="1" x14ac:dyDescent="0.2">
      <c r="D155" s="668" t="str">
        <f>Intv_BA!D171</f>
        <v>Northern</v>
      </c>
      <c r="J155" s="183">
        <v>0</v>
      </c>
      <c r="K155" s="183">
        <v>0</v>
      </c>
      <c r="L155" s="183">
        <v>0</v>
      </c>
      <c r="M155" s="183">
        <v>0</v>
      </c>
      <c r="N155" s="183">
        <v>0</v>
      </c>
      <c r="O155" s="183">
        <v>0</v>
      </c>
    </row>
    <row r="156" spans="4:15" s="348" customFormat="1" hidden="1" outlineLevel="1" x14ac:dyDescent="0.2">
      <c r="D156" s="668" t="str">
        <f>Intv_BA!D172</f>
        <v>North-Western</v>
      </c>
      <c r="J156" s="183">
        <v>0</v>
      </c>
      <c r="K156" s="183">
        <v>0</v>
      </c>
      <c r="L156" s="183">
        <v>0</v>
      </c>
      <c r="M156" s="183">
        <v>0</v>
      </c>
      <c r="N156" s="183">
        <v>0</v>
      </c>
      <c r="O156" s="183">
        <v>0</v>
      </c>
    </row>
    <row r="157" spans="4:15" s="348" customFormat="1" hidden="1" outlineLevel="1" x14ac:dyDescent="0.2">
      <c r="D157" s="668" t="str">
        <f>Intv_BA!D173</f>
        <v>Southern</v>
      </c>
      <c r="J157" s="183">
        <v>0</v>
      </c>
      <c r="K157" s="183">
        <v>0</v>
      </c>
      <c r="L157" s="183">
        <v>0</v>
      </c>
      <c r="M157" s="183">
        <v>0</v>
      </c>
      <c r="N157" s="183">
        <v>0</v>
      </c>
      <c r="O157" s="183">
        <v>0</v>
      </c>
    </row>
    <row r="158" spans="4:15" s="348" customFormat="1" hidden="1" outlineLevel="1" x14ac:dyDescent="0.2">
      <c r="D158" s="668" t="str">
        <f>Intv_BA!D174</f>
        <v>Western</v>
      </c>
      <c r="J158" s="183">
        <v>0</v>
      </c>
      <c r="K158" s="183">
        <v>0</v>
      </c>
      <c r="L158" s="183">
        <v>0</v>
      </c>
      <c r="M158" s="183">
        <v>0</v>
      </c>
      <c r="N158" s="183">
        <v>0</v>
      </c>
      <c r="O158" s="183">
        <v>0</v>
      </c>
    </row>
    <row r="159" spans="4:15" s="348" customFormat="1" ht="15" collapsed="1" x14ac:dyDescent="0.2">
      <c r="D159" s="359" t="str">
        <f ca="1">"Total "&amp;D147</f>
        <v>Total Facility Type 9</v>
      </c>
      <c r="J159" s="131">
        <f t="shared" ref="J159:O159" si="12">SUM(J149:J158)</f>
        <v>0</v>
      </c>
      <c r="K159" s="131">
        <f t="shared" si="12"/>
        <v>0</v>
      </c>
      <c r="L159" s="131">
        <f t="shared" si="12"/>
        <v>0</v>
      </c>
      <c r="M159" s="131">
        <f t="shared" si="12"/>
        <v>0</v>
      </c>
      <c r="N159" s="131">
        <f t="shared" si="12"/>
        <v>0</v>
      </c>
      <c r="O159" s="131">
        <f t="shared" si="12"/>
        <v>0</v>
      </c>
    </row>
    <row r="160" spans="4:15" s="348" customFormat="1" x14ac:dyDescent="0.2">
      <c r="D160" s="721"/>
      <c r="E160" s="721"/>
      <c r="F160" s="721"/>
      <c r="G160" s="721"/>
      <c r="H160" s="721"/>
      <c r="I160" s="721"/>
    </row>
    <row r="161" spans="4:15" s="348" customFormat="1" ht="15" outlineLevel="1" x14ac:dyDescent="0.2">
      <c r="D161" s="667" t="s">
        <v>1611</v>
      </c>
      <c r="H161" s="372">
        <v>9</v>
      </c>
    </row>
    <row r="162" spans="4:15" s="348" customFormat="1" x14ac:dyDescent="0.2"/>
    <row r="163" spans="4:15" s="348" customFormat="1" ht="15" x14ac:dyDescent="0.2">
      <c r="D163" s="669" t="str">
        <f ca="1">OFFSET(Labels_BA!D16,0,H161)</f>
        <v>Facility Type 10</v>
      </c>
    </row>
    <row r="164" spans="4:15" s="348" customFormat="1" hidden="1" outlineLevel="1" x14ac:dyDescent="0.2"/>
    <row r="165" spans="4:15" s="348" customFormat="1" hidden="1" outlineLevel="1" collapsed="1" x14ac:dyDescent="0.2">
      <c r="D165" s="668" t="str">
        <f>Intv_BA!D165</f>
        <v>Central</v>
      </c>
      <c r="J165" s="183">
        <v>0</v>
      </c>
      <c r="K165" s="183">
        <v>0</v>
      </c>
      <c r="L165" s="183">
        <v>0</v>
      </c>
      <c r="M165" s="183">
        <v>0</v>
      </c>
      <c r="N165" s="183">
        <v>0</v>
      </c>
      <c r="O165" s="183">
        <v>0</v>
      </c>
    </row>
    <row r="166" spans="4:15" s="348" customFormat="1" hidden="1" outlineLevel="1" x14ac:dyDescent="0.2">
      <c r="D166" s="668" t="str">
        <f>Intv_BA!D166</f>
        <v>Copperbelt</v>
      </c>
      <c r="J166" s="183">
        <v>0</v>
      </c>
      <c r="K166" s="183">
        <v>0</v>
      </c>
      <c r="L166" s="183">
        <v>0</v>
      </c>
      <c r="M166" s="183">
        <v>0</v>
      </c>
      <c r="N166" s="183">
        <v>0</v>
      </c>
      <c r="O166" s="183">
        <v>0</v>
      </c>
    </row>
    <row r="167" spans="4:15" s="348" customFormat="1" hidden="1" outlineLevel="1" x14ac:dyDescent="0.2">
      <c r="D167" s="668" t="str">
        <f>Intv_BA!D167</f>
        <v>Eastern</v>
      </c>
      <c r="J167" s="183">
        <v>0</v>
      </c>
      <c r="K167" s="183">
        <v>0</v>
      </c>
      <c r="L167" s="183">
        <v>0</v>
      </c>
      <c r="M167" s="183">
        <v>0</v>
      </c>
      <c r="N167" s="183">
        <v>0</v>
      </c>
      <c r="O167" s="183">
        <v>0</v>
      </c>
    </row>
    <row r="168" spans="4:15" s="348" customFormat="1" hidden="1" outlineLevel="1" x14ac:dyDescent="0.2">
      <c r="D168" s="668" t="str">
        <f>Intv_BA!D168</f>
        <v>Luapula</v>
      </c>
      <c r="J168" s="183">
        <v>0</v>
      </c>
      <c r="K168" s="183">
        <v>0</v>
      </c>
      <c r="L168" s="183">
        <v>0</v>
      </c>
      <c r="M168" s="183">
        <v>0</v>
      </c>
      <c r="N168" s="183">
        <v>0</v>
      </c>
      <c r="O168" s="183">
        <v>0</v>
      </c>
    </row>
    <row r="169" spans="4:15" s="348" customFormat="1" hidden="1" outlineLevel="1" x14ac:dyDescent="0.2">
      <c r="D169" s="668" t="str">
        <f>Intv_BA!D169</f>
        <v>Lusaka</v>
      </c>
      <c r="J169" s="183">
        <v>0</v>
      </c>
      <c r="K169" s="183">
        <v>0</v>
      </c>
      <c r="L169" s="183">
        <v>0</v>
      </c>
      <c r="M169" s="183">
        <v>0</v>
      </c>
      <c r="N169" s="183">
        <v>0</v>
      </c>
      <c r="O169" s="183">
        <v>0</v>
      </c>
    </row>
    <row r="170" spans="4:15" s="348" customFormat="1" hidden="1" outlineLevel="1" x14ac:dyDescent="0.2">
      <c r="D170" s="668" t="str">
        <f>Intv_BA!D170</f>
        <v>Muchinga</v>
      </c>
      <c r="J170" s="183">
        <v>0</v>
      </c>
      <c r="K170" s="183">
        <v>0</v>
      </c>
      <c r="L170" s="183">
        <v>0</v>
      </c>
      <c r="M170" s="183">
        <v>0</v>
      </c>
      <c r="N170" s="183">
        <v>0</v>
      </c>
      <c r="O170" s="183">
        <v>0</v>
      </c>
    </row>
    <row r="171" spans="4:15" s="348" customFormat="1" hidden="1" outlineLevel="1" x14ac:dyDescent="0.2">
      <c r="D171" s="668" t="str">
        <f>Intv_BA!D171</f>
        <v>Northern</v>
      </c>
      <c r="J171" s="183">
        <v>0</v>
      </c>
      <c r="K171" s="183">
        <v>0</v>
      </c>
      <c r="L171" s="183">
        <v>0</v>
      </c>
      <c r="M171" s="183">
        <v>0</v>
      </c>
      <c r="N171" s="183">
        <v>0</v>
      </c>
      <c r="O171" s="183">
        <v>0</v>
      </c>
    </row>
    <row r="172" spans="4:15" s="348" customFormat="1" hidden="1" outlineLevel="1" x14ac:dyDescent="0.2">
      <c r="D172" s="668" t="str">
        <f>Intv_BA!D172</f>
        <v>North-Western</v>
      </c>
      <c r="J172" s="183">
        <v>0</v>
      </c>
      <c r="K172" s="183">
        <v>0</v>
      </c>
      <c r="L172" s="183">
        <v>0</v>
      </c>
      <c r="M172" s="183">
        <v>0</v>
      </c>
      <c r="N172" s="183">
        <v>0</v>
      </c>
      <c r="O172" s="183">
        <v>0</v>
      </c>
    </row>
    <row r="173" spans="4:15" s="348" customFormat="1" hidden="1" outlineLevel="1" x14ac:dyDescent="0.2">
      <c r="D173" s="668" t="str">
        <f>Intv_BA!D173</f>
        <v>Southern</v>
      </c>
      <c r="J173" s="183">
        <v>0</v>
      </c>
      <c r="K173" s="183">
        <v>0</v>
      </c>
      <c r="L173" s="183">
        <v>0</v>
      </c>
      <c r="M173" s="183">
        <v>0</v>
      </c>
      <c r="N173" s="183">
        <v>0</v>
      </c>
      <c r="O173" s="183">
        <v>0</v>
      </c>
    </row>
    <row r="174" spans="4:15" s="348" customFormat="1" hidden="1" outlineLevel="1" x14ac:dyDescent="0.2">
      <c r="D174" s="668" t="str">
        <f>Intv_BA!D174</f>
        <v>Western</v>
      </c>
      <c r="J174" s="183">
        <v>0</v>
      </c>
      <c r="K174" s="183">
        <v>0</v>
      </c>
      <c r="L174" s="183">
        <v>0</v>
      </c>
      <c r="M174" s="183">
        <v>0</v>
      </c>
      <c r="N174" s="183">
        <v>0</v>
      </c>
      <c r="O174" s="183">
        <v>0</v>
      </c>
    </row>
    <row r="175" spans="4:15" s="348" customFormat="1" ht="15" collapsed="1" x14ac:dyDescent="0.2">
      <c r="D175" s="359" t="str">
        <f ca="1">"Total "&amp;D163</f>
        <v>Total Facility Type 10</v>
      </c>
      <c r="J175" s="131">
        <f t="shared" ref="J175:O175" si="13">SUM(J165:J174)</f>
        <v>0</v>
      </c>
      <c r="K175" s="131">
        <f t="shared" si="13"/>
        <v>0</v>
      </c>
      <c r="L175" s="131">
        <f t="shared" si="13"/>
        <v>0</v>
      </c>
      <c r="M175" s="131">
        <f t="shared" si="13"/>
        <v>0</v>
      </c>
      <c r="N175" s="131">
        <f t="shared" si="13"/>
        <v>0</v>
      </c>
      <c r="O175" s="131">
        <f t="shared" si="13"/>
        <v>0</v>
      </c>
    </row>
    <row r="176" spans="4:15" s="348" customFormat="1" x14ac:dyDescent="0.2">
      <c r="D176" s="721"/>
      <c r="E176" s="721"/>
      <c r="F176" s="721"/>
      <c r="G176" s="721"/>
      <c r="H176" s="721"/>
      <c r="I176" s="721"/>
    </row>
    <row r="177" spans="3:15" s="348" customFormat="1" x14ac:dyDescent="0.2"/>
    <row r="178" spans="3:15" s="348" customFormat="1" x14ac:dyDescent="0.2"/>
    <row r="179" spans="3:15" s="348" customFormat="1" x14ac:dyDescent="0.2"/>
    <row r="180" spans="3:15" s="348" customFormat="1" ht="15.75" x14ac:dyDescent="0.2">
      <c r="C180" s="664" t="s">
        <v>141</v>
      </c>
    </row>
    <row r="181" spans="3:15" s="348" customFormat="1" x14ac:dyDescent="0.2"/>
    <row r="182" spans="3:15" s="348" customFormat="1" ht="17.25" customHeight="1" x14ac:dyDescent="0.2">
      <c r="D182" s="671" t="s">
        <v>184</v>
      </c>
      <c r="H182" s="158" t="b">
        <v>1</v>
      </c>
    </row>
    <row r="183" spans="3:15" s="348" customFormat="1" outlineLevel="1" x14ac:dyDescent="0.2"/>
    <row r="184" spans="3:15" s="348" customFormat="1" ht="15" outlineLevel="1" x14ac:dyDescent="0.2">
      <c r="D184" s="669" t="str">
        <f>Labels_BA!G10</f>
        <v>Province</v>
      </c>
    </row>
    <row r="185" spans="3:15" s="348" customFormat="1" outlineLevel="1" x14ac:dyDescent="0.2">
      <c r="D185" s="668" t="str">
        <f>Intv_BA!D165</f>
        <v>Central</v>
      </c>
      <c r="J185" s="119">
        <f ca="1">Reg_Pop_Ann_TO!J361</f>
        <v>5788</v>
      </c>
      <c r="K185" s="119">
        <f ca="1">Reg_Pop_Ann_TO!K361</f>
        <v>5788</v>
      </c>
      <c r="L185" s="119">
        <f ca="1">Reg_Pop_Ann_TO!L361</f>
        <v>5788</v>
      </c>
      <c r="M185" s="119">
        <f ca="1">Reg_Pop_Ann_TO!M361</f>
        <v>5788</v>
      </c>
      <c r="N185" s="119">
        <f ca="1">Reg_Pop_Ann_TO!N361</f>
        <v>5788</v>
      </c>
      <c r="O185" s="119">
        <f ca="1">Reg_Pop_Ann_TO!O361</f>
        <v>5788</v>
      </c>
    </row>
    <row r="186" spans="3:15" s="348" customFormat="1" outlineLevel="1" x14ac:dyDescent="0.2">
      <c r="D186" s="668" t="str">
        <f>Intv_BA!D166</f>
        <v>Copperbelt</v>
      </c>
      <c r="J186" s="119">
        <f ca="1">Reg_Pop_Ann_TO!J362</f>
        <v>8128</v>
      </c>
      <c r="K186" s="119">
        <f ca="1">Reg_Pop_Ann_TO!K362</f>
        <v>8128</v>
      </c>
      <c r="L186" s="119">
        <f ca="1">Reg_Pop_Ann_TO!L362</f>
        <v>8128</v>
      </c>
      <c r="M186" s="119">
        <f ca="1">Reg_Pop_Ann_TO!M362</f>
        <v>8128</v>
      </c>
      <c r="N186" s="119">
        <f ca="1">Reg_Pop_Ann_TO!N362</f>
        <v>8128</v>
      </c>
      <c r="O186" s="119">
        <f ca="1">Reg_Pop_Ann_TO!O362</f>
        <v>8128</v>
      </c>
    </row>
    <row r="187" spans="3:15" s="348" customFormat="1" outlineLevel="1" x14ac:dyDescent="0.2">
      <c r="D187" s="668" t="str">
        <f>Intv_BA!D167</f>
        <v>Eastern</v>
      </c>
      <c r="J187" s="119">
        <f ca="1">Reg_Pop_Ann_TO!J363</f>
        <v>10468</v>
      </c>
      <c r="K187" s="119">
        <f ca="1">Reg_Pop_Ann_TO!K363</f>
        <v>10468</v>
      </c>
      <c r="L187" s="119">
        <f ca="1">Reg_Pop_Ann_TO!L363</f>
        <v>10468</v>
      </c>
      <c r="M187" s="119">
        <f ca="1">Reg_Pop_Ann_TO!M363</f>
        <v>10468</v>
      </c>
      <c r="N187" s="119">
        <f ca="1">Reg_Pop_Ann_TO!N363</f>
        <v>10468</v>
      </c>
      <c r="O187" s="119">
        <f ca="1">Reg_Pop_Ann_TO!O363</f>
        <v>10468</v>
      </c>
    </row>
    <row r="188" spans="3:15" s="348" customFormat="1" outlineLevel="1" x14ac:dyDescent="0.2">
      <c r="D188" s="668" t="str">
        <f>Intv_BA!D168</f>
        <v>Luapula</v>
      </c>
      <c r="J188" s="119">
        <f ca="1">Reg_Pop_Ann_TO!J364</f>
        <v>8128</v>
      </c>
      <c r="K188" s="119">
        <f ca="1">Reg_Pop_Ann_TO!K364</f>
        <v>8128</v>
      </c>
      <c r="L188" s="119">
        <f ca="1">Reg_Pop_Ann_TO!L364</f>
        <v>8128</v>
      </c>
      <c r="M188" s="119">
        <f ca="1">Reg_Pop_Ann_TO!M364</f>
        <v>8128</v>
      </c>
      <c r="N188" s="119">
        <f ca="1">Reg_Pop_Ann_TO!N364</f>
        <v>8128</v>
      </c>
      <c r="O188" s="119">
        <f ca="1">Reg_Pop_Ann_TO!O364</f>
        <v>8128</v>
      </c>
    </row>
    <row r="189" spans="3:15" s="348" customFormat="1" outlineLevel="1" x14ac:dyDescent="0.2">
      <c r="D189" s="668" t="str">
        <f>Intv_BA!D169</f>
        <v>Lusaka</v>
      </c>
      <c r="J189" s="119">
        <f ca="1">Reg_Pop_Ann_TO!J365</f>
        <v>29188</v>
      </c>
      <c r="K189" s="119">
        <f ca="1">Reg_Pop_Ann_TO!K365</f>
        <v>29188</v>
      </c>
      <c r="L189" s="119">
        <f ca="1">Reg_Pop_Ann_TO!L365</f>
        <v>29188</v>
      </c>
      <c r="M189" s="119">
        <f ca="1">Reg_Pop_Ann_TO!M365</f>
        <v>29188</v>
      </c>
      <c r="N189" s="119">
        <f ca="1">Reg_Pop_Ann_TO!N365</f>
        <v>29188</v>
      </c>
      <c r="O189" s="119">
        <f ca="1">Reg_Pop_Ann_TO!O365</f>
        <v>29188</v>
      </c>
    </row>
    <row r="190" spans="3:15" s="348" customFormat="1" outlineLevel="1" x14ac:dyDescent="0.2">
      <c r="D190" s="668" t="str">
        <f>Intv_BA!D170</f>
        <v>Muchinga</v>
      </c>
      <c r="J190" s="119">
        <f ca="1">Reg_Pop_Ann_TO!J366</f>
        <v>554</v>
      </c>
      <c r="K190" s="119">
        <f ca="1">Reg_Pop_Ann_TO!K366</f>
        <v>554</v>
      </c>
      <c r="L190" s="119">
        <f ca="1">Reg_Pop_Ann_TO!L366</f>
        <v>554</v>
      </c>
      <c r="M190" s="119">
        <f ca="1">Reg_Pop_Ann_TO!M366</f>
        <v>554</v>
      </c>
      <c r="N190" s="119">
        <f ca="1">Reg_Pop_Ann_TO!N366</f>
        <v>554</v>
      </c>
      <c r="O190" s="119">
        <f ca="1">Reg_Pop_Ann_TO!O366</f>
        <v>554</v>
      </c>
    </row>
    <row r="191" spans="3:15" s="348" customFormat="1" outlineLevel="1" x14ac:dyDescent="0.2">
      <c r="D191" s="668" t="str">
        <f>Intv_BA!D171</f>
        <v>Northern</v>
      </c>
      <c r="J191" s="119">
        <f ca="1">Reg_Pop_Ann_TO!J367</f>
        <v>2894</v>
      </c>
      <c r="K191" s="119">
        <f ca="1">Reg_Pop_Ann_TO!K367</f>
        <v>2894</v>
      </c>
      <c r="L191" s="119">
        <f ca="1">Reg_Pop_Ann_TO!L367</f>
        <v>2894</v>
      </c>
      <c r="M191" s="119">
        <f ca="1">Reg_Pop_Ann_TO!M367</f>
        <v>2894</v>
      </c>
      <c r="N191" s="119">
        <f ca="1">Reg_Pop_Ann_TO!N367</f>
        <v>2894</v>
      </c>
      <c r="O191" s="119">
        <f ca="1">Reg_Pop_Ann_TO!O367</f>
        <v>2894</v>
      </c>
    </row>
    <row r="192" spans="3:15" s="348" customFormat="1" outlineLevel="1" x14ac:dyDescent="0.2">
      <c r="D192" s="668" t="str">
        <f>Intv_BA!D172</f>
        <v>North-Western</v>
      </c>
      <c r="J192" s="119">
        <f ca="1">Reg_Pop_Ann_TO!J368</f>
        <v>3448</v>
      </c>
      <c r="K192" s="119">
        <f ca="1">Reg_Pop_Ann_TO!K368</f>
        <v>3448</v>
      </c>
      <c r="L192" s="119">
        <f ca="1">Reg_Pop_Ann_TO!L368</f>
        <v>3448</v>
      </c>
      <c r="M192" s="119">
        <f ca="1">Reg_Pop_Ann_TO!M368</f>
        <v>3448</v>
      </c>
      <c r="N192" s="119">
        <f ca="1">Reg_Pop_Ann_TO!N368</f>
        <v>3448</v>
      </c>
      <c r="O192" s="119">
        <f ca="1">Reg_Pop_Ann_TO!O368</f>
        <v>3448</v>
      </c>
    </row>
    <row r="193" spans="2:15" s="348" customFormat="1" outlineLevel="1" x14ac:dyDescent="0.2">
      <c r="D193" s="668" t="str">
        <f>Intv_BA!D173</f>
        <v>Southern</v>
      </c>
      <c r="J193" s="119">
        <f ca="1">Reg_Pop_Ann_TO!J369</f>
        <v>8128</v>
      </c>
      <c r="K193" s="119">
        <f ca="1">Reg_Pop_Ann_TO!K369</f>
        <v>8128</v>
      </c>
      <c r="L193" s="119">
        <f ca="1">Reg_Pop_Ann_TO!L369</f>
        <v>8128</v>
      </c>
      <c r="M193" s="119">
        <f ca="1">Reg_Pop_Ann_TO!M369</f>
        <v>8128</v>
      </c>
      <c r="N193" s="119">
        <f ca="1">Reg_Pop_Ann_TO!N369</f>
        <v>8128</v>
      </c>
      <c r="O193" s="119">
        <f ca="1">Reg_Pop_Ann_TO!O369</f>
        <v>8128</v>
      </c>
    </row>
    <row r="194" spans="2:15" s="348" customFormat="1" outlineLevel="1" x14ac:dyDescent="0.2">
      <c r="D194" s="668" t="str">
        <f>Intv_BA!D174</f>
        <v>Western</v>
      </c>
      <c r="J194" s="119">
        <f ca="1">Reg_Pop_Ann_TO!J370</f>
        <v>8128</v>
      </c>
      <c r="K194" s="119">
        <f ca="1">Reg_Pop_Ann_TO!K370</f>
        <v>8128</v>
      </c>
      <c r="L194" s="119">
        <f ca="1">Reg_Pop_Ann_TO!L370</f>
        <v>8128</v>
      </c>
      <c r="M194" s="119">
        <f ca="1">Reg_Pop_Ann_TO!M370</f>
        <v>8128</v>
      </c>
      <c r="N194" s="119">
        <f ca="1">Reg_Pop_Ann_TO!N370</f>
        <v>8128</v>
      </c>
      <c r="O194" s="119">
        <f ca="1">Reg_Pop_Ann_TO!O370</f>
        <v>8128</v>
      </c>
    </row>
    <row r="195" spans="2:15" s="348" customFormat="1" ht="12.95" customHeight="1" x14ac:dyDescent="0.2">
      <c r="D195" s="359" t="str">
        <f>"Total "&amp;C180</f>
        <v>Total Screened Population</v>
      </c>
      <c r="J195" s="164">
        <f t="shared" ref="J195:O195" ca="1" si="14">SUM(J185:J194)</f>
        <v>84852</v>
      </c>
      <c r="K195" s="164">
        <f t="shared" ca="1" si="14"/>
        <v>84852</v>
      </c>
      <c r="L195" s="164">
        <f t="shared" ca="1" si="14"/>
        <v>84852</v>
      </c>
      <c r="M195" s="164">
        <f t="shared" ca="1" si="14"/>
        <v>84852</v>
      </c>
      <c r="N195" s="164">
        <f t="shared" ca="1" si="14"/>
        <v>84852</v>
      </c>
      <c r="O195" s="164">
        <f t="shared" ca="1" si="14"/>
        <v>84852</v>
      </c>
    </row>
    <row r="196" spans="2:15" s="348" customFormat="1" x14ac:dyDescent="0.2"/>
    <row r="197" spans="2:15" s="348" customFormat="1" ht="15.75" x14ac:dyDescent="0.2">
      <c r="C197" s="664" t="s">
        <v>212</v>
      </c>
    </row>
    <row r="198" spans="2:15" s="348" customFormat="1" outlineLevel="1" x14ac:dyDescent="0.2"/>
    <row r="199" spans="2:15" s="348" customFormat="1" ht="15" outlineLevel="1" x14ac:dyDescent="0.2">
      <c r="D199" s="667" t="s">
        <v>167</v>
      </c>
    </row>
    <row r="200" spans="2:15" s="348" customFormat="1" ht="10.5" customHeight="1" outlineLevel="1" x14ac:dyDescent="0.2">
      <c r="D200" s="785" t="str">
        <f>Econ_Ann_TA!D13</f>
        <v>USD</v>
      </c>
      <c r="E200" s="786"/>
      <c r="F200" s="786"/>
      <c r="G200" s="786"/>
      <c r="J200" s="137">
        <f>Econ_Ann_TA!J13</f>
        <v>1</v>
      </c>
      <c r="K200" s="137">
        <f>Econ_Ann_TA!K13</f>
        <v>1</v>
      </c>
      <c r="L200" s="137">
        <f>Econ_Ann_TA!L13</f>
        <v>1</v>
      </c>
      <c r="M200" s="137">
        <f>Econ_Ann_TA!M13</f>
        <v>1</v>
      </c>
      <c r="N200" s="137">
        <f>Econ_Ann_TA!N13</f>
        <v>1</v>
      </c>
      <c r="O200" s="137">
        <f>Econ_Ann_TA!O13</f>
        <v>1</v>
      </c>
    </row>
    <row r="201" spans="2:15" s="348" customFormat="1" outlineLevel="1" x14ac:dyDescent="0.2">
      <c r="D201" s="785" t="str">
        <f>Econ_Ann_TA!D14</f>
        <v>ZMW</v>
      </c>
      <c r="E201" s="786"/>
      <c r="F201" s="786"/>
      <c r="G201" s="786"/>
      <c r="J201" s="137">
        <f>Econ_Ann_TA!J14</f>
        <v>10.971399999999999</v>
      </c>
      <c r="K201" s="137">
        <f>Econ_Ann_TA!K14</f>
        <v>10.971399999999999</v>
      </c>
      <c r="L201" s="137">
        <f>Econ_Ann_TA!L14</f>
        <v>10.971399999999999</v>
      </c>
      <c r="M201" s="137">
        <f>Econ_Ann_TA!M14</f>
        <v>10.971399999999999</v>
      </c>
      <c r="N201" s="137">
        <f>Econ_Ann_TA!N14</f>
        <v>10.971399999999999</v>
      </c>
      <c r="O201" s="137">
        <f>Econ_Ann_TA!O14</f>
        <v>10.971399999999999</v>
      </c>
    </row>
    <row r="202" spans="2:15" s="348" customFormat="1" x14ac:dyDescent="0.2"/>
    <row r="203" spans="2:15" s="348" customFormat="1" x14ac:dyDescent="0.2">
      <c r="C203" s="722" t="str">
        <f>"Go to "&amp;HL_Intv_Ass</f>
        <v>Go to Cryotherapy - Same Visit</v>
      </c>
      <c r="D203" s="777"/>
      <c r="E203" s="777"/>
      <c r="F203" s="777"/>
      <c r="G203" s="777"/>
      <c r="H203" s="777"/>
      <c r="I203" s="777"/>
    </row>
    <row r="204" spans="2:15" s="348" customFormat="1" x14ac:dyDescent="0.2">
      <c r="C204" s="722" t="str">
        <f>"Go to "&amp;HL_Intv_Out</f>
        <v>Go to Cryotherapy - Same Visit</v>
      </c>
      <c r="D204" s="777"/>
      <c r="E204" s="777"/>
      <c r="F204" s="777"/>
      <c r="G204" s="777"/>
      <c r="H204" s="777"/>
      <c r="I204" s="777"/>
    </row>
    <row r="205" spans="2:15" s="348" customFormat="1" x14ac:dyDescent="0.2"/>
    <row r="206" spans="2:15" s="348" customFormat="1" x14ac:dyDescent="0.2"/>
    <row r="207" spans="2:15" s="348" customFormat="1" ht="18.75" x14ac:dyDescent="0.2">
      <c r="B207" s="425" t="s">
        <v>1627</v>
      </c>
    </row>
    <row r="208" spans="2:15" s="348" customFormat="1" x14ac:dyDescent="0.2"/>
    <row r="209" spans="2:15" s="348" customFormat="1" ht="18.75" x14ac:dyDescent="0.2">
      <c r="B209" s="498" t="str">
        <f>HL_Intv_2_Ass</f>
        <v>Loop Electrosurgical Excision Procedure  with BIOP-H</v>
      </c>
    </row>
    <row r="210" spans="2:15" s="348" customFormat="1" x14ac:dyDescent="0.2"/>
    <row r="211" spans="2:15" s="348" customFormat="1" ht="15.75" x14ac:dyDescent="0.2">
      <c r="C211" s="124" t="str">
        <f>"Assumed Numbers of Active Facilities Offering "&amp;B209&amp;" - By Type, Service Area, and Year."</f>
        <v>Assumed Numbers of Active Facilities Offering Loop Electrosurgical Excision Procedure  with BIOP-H - By Type, Service Area, and Year.</v>
      </c>
    </row>
    <row r="212" spans="2:15" s="348" customFormat="1" ht="15" outlineLevel="1" x14ac:dyDescent="0.2">
      <c r="D212" s="667" t="s">
        <v>1611</v>
      </c>
      <c r="H212" s="372">
        <v>0</v>
      </c>
    </row>
    <row r="213" spans="2:15" s="348" customFormat="1" x14ac:dyDescent="0.2"/>
    <row r="214" spans="2:15" s="348" customFormat="1" ht="15" x14ac:dyDescent="0.2">
      <c r="D214" s="669" t="str">
        <f ca="1">OFFSET(Labels_BA!D16,0,H212)</f>
        <v>Central Referral Hospital</v>
      </c>
    </row>
    <row r="215" spans="2:15" s="348" customFormat="1" outlineLevel="1" x14ac:dyDescent="0.2"/>
    <row r="216" spans="2:15" s="348" customFormat="1" outlineLevel="1" collapsed="1" x14ac:dyDescent="0.2">
      <c r="D216" s="668" t="str">
        <f>Intv_BA!D758</f>
        <v>Central</v>
      </c>
      <c r="J216" s="183">
        <v>1</v>
      </c>
      <c r="K216" s="183">
        <v>1</v>
      </c>
      <c r="L216" s="183">
        <v>1</v>
      </c>
      <c r="M216" s="183">
        <v>1</v>
      </c>
      <c r="N216" s="183">
        <v>1</v>
      </c>
      <c r="O216" s="183">
        <v>1</v>
      </c>
    </row>
    <row r="217" spans="2:15" s="348" customFormat="1" outlineLevel="1" x14ac:dyDescent="0.2">
      <c r="D217" s="668" t="str">
        <f>Intv_BA!D759</f>
        <v>Copperbelt</v>
      </c>
      <c r="J217" s="183">
        <v>2</v>
      </c>
      <c r="K217" s="183">
        <v>2</v>
      </c>
      <c r="L217" s="183">
        <v>2</v>
      </c>
      <c r="M217" s="183">
        <v>2</v>
      </c>
      <c r="N217" s="183">
        <v>2</v>
      </c>
      <c r="O217" s="183">
        <v>2</v>
      </c>
    </row>
    <row r="218" spans="2:15" s="348" customFormat="1" outlineLevel="1" x14ac:dyDescent="0.2">
      <c r="D218" s="668" t="str">
        <f>Intv_BA!D760</f>
        <v>Eastern</v>
      </c>
      <c r="J218" s="183">
        <v>0</v>
      </c>
      <c r="K218" s="183">
        <v>0</v>
      </c>
      <c r="L218" s="183">
        <v>0</v>
      </c>
      <c r="M218" s="183">
        <v>0</v>
      </c>
      <c r="N218" s="183">
        <v>0</v>
      </c>
      <c r="O218" s="183">
        <v>0</v>
      </c>
    </row>
    <row r="219" spans="2:15" s="348" customFormat="1" outlineLevel="1" x14ac:dyDescent="0.2">
      <c r="D219" s="668" t="str">
        <f>Intv_BA!D761</f>
        <v>Luapula</v>
      </c>
      <c r="J219" s="183">
        <v>0</v>
      </c>
      <c r="K219" s="183">
        <v>0</v>
      </c>
      <c r="L219" s="183">
        <v>0</v>
      </c>
      <c r="M219" s="183">
        <v>0</v>
      </c>
      <c r="N219" s="183">
        <v>0</v>
      </c>
      <c r="O219" s="183">
        <v>0</v>
      </c>
    </row>
    <row r="220" spans="2:15" s="348" customFormat="1" outlineLevel="1" x14ac:dyDescent="0.2">
      <c r="D220" s="668" t="str">
        <f>Intv_BA!D762</f>
        <v>Lusaka</v>
      </c>
      <c r="J220" s="183">
        <v>1</v>
      </c>
      <c r="K220" s="183">
        <v>1</v>
      </c>
      <c r="L220" s="183">
        <v>1</v>
      </c>
      <c r="M220" s="183">
        <v>1</v>
      </c>
      <c r="N220" s="183">
        <v>1</v>
      </c>
      <c r="O220" s="183">
        <v>1</v>
      </c>
    </row>
    <row r="221" spans="2:15" s="348" customFormat="1" outlineLevel="1" x14ac:dyDescent="0.2">
      <c r="D221" s="668" t="str">
        <f>Intv_BA!D763</f>
        <v>Muchinga</v>
      </c>
      <c r="J221" s="183">
        <v>0</v>
      </c>
      <c r="K221" s="183">
        <v>0</v>
      </c>
      <c r="L221" s="183">
        <v>0</v>
      </c>
      <c r="M221" s="183">
        <v>0</v>
      </c>
      <c r="N221" s="183">
        <v>0</v>
      </c>
      <c r="O221" s="183">
        <v>0</v>
      </c>
    </row>
    <row r="222" spans="2:15" s="348" customFormat="1" outlineLevel="1" x14ac:dyDescent="0.2">
      <c r="D222" s="668" t="str">
        <f>Intv_BA!D764</f>
        <v>Northern</v>
      </c>
      <c r="J222" s="183">
        <v>0</v>
      </c>
      <c r="K222" s="183">
        <v>0</v>
      </c>
      <c r="L222" s="183">
        <v>0</v>
      </c>
      <c r="M222" s="183">
        <v>0</v>
      </c>
      <c r="N222" s="183">
        <v>0</v>
      </c>
      <c r="O222" s="183">
        <v>0</v>
      </c>
    </row>
    <row r="223" spans="2:15" s="348" customFormat="1" outlineLevel="1" x14ac:dyDescent="0.2">
      <c r="D223" s="668" t="str">
        <f>Intv_BA!D765</f>
        <v>North-Western</v>
      </c>
      <c r="J223" s="183">
        <v>0</v>
      </c>
      <c r="K223" s="183">
        <v>0</v>
      </c>
      <c r="L223" s="183">
        <v>0</v>
      </c>
      <c r="M223" s="183">
        <v>0</v>
      </c>
      <c r="N223" s="183">
        <v>0</v>
      </c>
      <c r="O223" s="183">
        <v>0</v>
      </c>
    </row>
    <row r="224" spans="2:15" s="348" customFormat="1" outlineLevel="1" x14ac:dyDescent="0.2">
      <c r="D224" s="668" t="str">
        <f>Intv_BA!D766</f>
        <v>Southern</v>
      </c>
      <c r="J224" s="183">
        <v>0</v>
      </c>
      <c r="K224" s="183">
        <v>0</v>
      </c>
      <c r="L224" s="183">
        <v>0</v>
      </c>
      <c r="M224" s="183">
        <v>0</v>
      </c>
      <c r="N224" s="183">
        <v>0</v>
      </c>
      <c r="O224" s="183">
        <v>0</v>
      </c>
    </row>
    <row r="225" spans="4:15" s="348" customFormat="1" outlineLevel="1" x14ac:dyDescent="0.2">
      <c r="D225" s="668" t="str">
        <f>Intv_BA!D767</f>
        <v>Western</v>
      </c>
      <c r="J225" s="183">
        <v>0</v>
      </c>
      <c r="K225" s="183">
        <v>0</v>
      </c>
      <c r="L225" s="183">
        <v>0</v>
      </c>
      <c r="M225" s="183">
        <v>0</v>
      </c>
      <c r="N225" s="183">
        <v>0</v>
      </c>
      <c r="O225" s="183">
        <v>0</v>
      </c>
    </row>
    <row r="226" spans="4:15" s="348" customFormat="1" ht="15" x14ac:dyDescent="0.2">
      <c r="D226" s="359" t="str">
        <f ca="1">"Total "&amp;D214</f>
        <v>Total Central Referral Hospital</v>
      </c>
      <c r="J226" s="131">
        <f t="shared" ref="J226:O226" si="15">SUM(J216:J225)</f>
        <v>4</v>
      </c>
      <c r="K226" s="131">
        <f t="shared" si="15"/>
        <v>4</v>
      </c>
      <c r="L226" s="131">
        <f t="shared" si="15"/>
        <v>4</v>
      </c>
      <c r="M226" s="131">
        <f t="shared" si="15"/>
        <v>4</v>
      </c>
      <c r="N226" s="131">
        <f t="shared" si="15"/>
        <v>4</v>
      </c>
      <c r="O226" s="131">
        <f t="shared" si="15"/>
        <v>4</v>
      </c>
    </row>
    <row r="227" spans="4:15" s="348" customFormat="1" x14ac:dyDescent="0.2">
      <c r="D227" s="721" t="s">
        <v>1884</v>
      </c>
      <c r="E227" s="721"/>
      <c r="F227" s="721"/>
      <c r="G227" s="721"/>
      <c r="H227" s="721"/>
      <c r="I227" s="721"/>
    </row>
    <row r="228" spans="4:15" s="348" customFormat="1" ht="15" outlineLevel="1" x14ac:dyDescent="0.2">
      <c r="D228" s="667" t="s">
        <v>1611</v>
      </c>
      <c r="H228" s="372">
        <v>1</v>
      </c>
    </row>
    <row r="229" spans="4:15" s="348" customFormat="1" x14ac:dyDescent="0.2"/>
    <row r="230" spans="4:15" s="348" customFormat="1" ht="15" x14ac:dyDescent="0.2">
      <c r="D230" s="669" t="str">
        <f ca="1">OFFSET(Labels_BA!D16,0,H228)</f>
        <v>Provincial Hospital</v>
      </c>
    </row>
    <row r="231" spans="4:15" s="348" customFormat="1" outlineLevel="1" x14ac:dyDescent="0.2"/>
    <row r="232" spans="4:15" s="348" customFormat="1" outlineLevel="1" collapsed="1" x14ac:dyDescent="0.2">
      <c r="D232" s="668" t="str">
        <f>Intv_BA!D758</f>
        <v>Central</v>
      </c>
      <c r="J232" s="183">
        <v>0</v>
      </c>
      <c r="K232" s="183">
        <v>0</v>
      </c>
      <c r="L232" s="183">
        <v>0</v>
      </c>
      <c r="M232" s="183">
        <v>0</v>
      </c>
      <c r="N232" s="183">
        <v>0</v>
      </c>
      <c r="O232" s="183">
        <v>0</v>
      </c>
    </row>
    <row r="233" spans="4:15" s="348" customFormat="1" outlineLevel="1" x14ac:dyDescent="0.2">
      <c r="D233" s="668" t="str">
        <f>Intv_BA!D759</f>
        <v>Copperbelt</v>
      </c>
      <c r="J233" s="183">
        <v>1</v>
      </c>
      <c r="K233" s="183">
        <v>1</v>
      </c>
      <c r="L233" s="183">
        <v>1</v>
      </c>
      <c r="M233" s="183">
        <v>1</v>
      </c>
      <c r="N233" s="183">
        <v>1</v>
      </c>
      <c r="O233" s="183">
        <v>1</v>
      </c>
    </row>
    <row r="234" spans="4:15" s="348" customFormat="1" outlineLevel="1" x14ac:dyDescent="0.2">
      <c r="D234" s="668" t="str">
        <f>Intv_BA!D760</f>
        <v>Eastern</v>
      </c>
      <c r="J234" s="183">
        <v>2</v>
      </c>
      <c r="K234" s="183">
        <v>2</v>
      </c>
      <c r="L234" s="183">
        <v>2</v>
      </c>
      <c r="M234" s="183">
        <v>2</v>
      </c>
      <c r="N234" s="183">
        <v>2</v>
      </c>
      <c r="O234" s="183">
        <v>2</v>
      </c>
    </row>
    <row r="235" spans="4:15" s="348" customFormat="1" outlineLevel="1" x14ac:dyDescent="0.2">
      <c r="D235" s="668" t="str">
        <f>Intv_BA!D761</f>
        <v>Luapula</v>
      </c>
      <c r="J235" s="183">
        <v>1</v>
      </c>
      <c r="K235" s="183">
        <v>1</v>
      </c>
      <c r="L235" s="183">
        <v>1</v>
      </c>
      <c r="M235" s="183">
        <v>1</v>
      </c>
      <c r="N235" s="183">
        <v>1</v>
      </c>
      <c r="O235" s="183">
        <v>1</v>
      </c>
    </row>
    <row r="236" spans="4:15" s="348" customFormat="1" outlineLevel="1" x14ac:dyDescent="0.2">
      <c r="D236" s="668" t="str">
        <f>Intv_BA!D762</f>
        <v>Lusaka</v>
      </c>
      <c r="J236" s="183">
        <v>0</v>
      </c>
      <c r="K236" s="183">
        <v>0</v>
      </c>
      <c r="L236" s="183">
        <v>0</v>
      </c>
      <c r="M236" s="183">
        <v>0</v>
      </c>
      <c r="N236" s="183">
        <v>0</v>
      </c>
      <c r="O236" s="183">
        <v>0</v>
      </c>
    </row>
    <row r="237" spans="4:15" s="348" customFormat="1" outlineLevel="1" x14ac:dyDescent="0.2">
      <c r="D237" s="668" t="str">
        <f>Intv_BA!D763</f>
        <v>Muchinga</v>
      </c>
      <c r="J237" s="183">
        <v>0</v>
      </c>
      <c r="K237" s="183">
        <v>0</v>
      </c>
      <c r="L237" s="183">
        <v>0</v>
      </c>
      <c r="M237" s="183">
        <v>0</v>
      </c>
      <c r="N237" s="183">
        <v>0</v>
      </c>
      <c r="O237" s="183">
        <v>0</v>
      </c>
    </row>
    <row r="238" spans="4:15" s="348" customFormat="1" outlineLevel="1" x14ac:dyDescent="0.2">
      <c r="D238" s="668" t="str">
        <f>Intv_BA!D764</f>
        <v>Northern</v>
      </c>
      <c r="J238" s="183">
        <v>1</v>
      </c>
      <c r="K238" s="183">
        <v>1</v>
      </c>
      <c r="L238" s="183">
        <v>1</v>
      </c>
      <c r="M238" s="183">
        <v>1</v>
      </c>
      <c r="N238" s="183">
        <v>1</v>
      </c>
      <c r="O238" s="183">
        <v>1</v>
      </c>
    </row>
    <row r="239" spans="4:15" s="348" customFormat="1" outlineLevel="1" x14ac:dyDescent="0.2">
      <c r="D239" s="668" t="str">
        <f>Intv_BA!D765</f>
        <v>North-Western</v>
      </c>
      <c r="J239" s="183">
        <v>1</v>
      </c>
      <c r="K239" s="183">
        <v>1</v>
      </c>
      <c r="L239" s="183">
        <v>1</v>
      </c>
      <c r="M239" s="183">
        <v>1</v>
      </c>
      <c r="N239" s="183">
        <v>1</v>
      </c>
      <c r="O239" s="183">
        <v>1</v>
      </c>
    </row>
    <row r="240" spans="4:15" s="348" customFormat="1" outlineLevel="1" x14ac:dyDescent="0.2">
      <c r="D240" s="668" t="str">
        <f>Intv_BA!D766</f>
        <v>Southern</v>
      </c>
      <c r="J240" s="183">
        <v>2</v>
      </c>
      <c r="K240" s="183">
        <v>2</v>
      </c>
      <c r="L240" s="183">
        <v>2</v>
      </c>
      <c r="M240" s="183">
        <v>2</v>
      </c>
      <c r="N240" s="183">
        <v>2</v>
      </c>
      <c r="O240" s="183">
        <v>2</v>
      </c>
    </row>
    <row r="241" spans="4:15" s="348" customFormat="1" outlineLevel="1" x14ac:dyDescent="0.2">
      <c r="D241" s="668" t="str">
        <f>Intv_BA!D767</f>
        <v>Western</v>
      </c>
      <c r="J241" s="183">
        <v>1</v>
      </c>
      <c r="K241" s="183">
        <v>1</v>
      </c>
      <c r="L241" s="183">
        <v>1</v>
      </c>
      <c r="M241" s="183">
        <v>1</v>
      </c>
      <c r="N241" s="183">
        <v>1</v>
      </c>
      <c r="O241" s="183">
        <v>1</v>
      </c>
    </row>
    <row r="242" spans="4:15" s="348" customFormat="1" ht="15" x14ac:dyDescent="0.2">
      <c r="D242" s="359" t="str">
        <f ca="1">"Total "&amp;D230</f>
        <v>Total Provincial Hospital</v>
      </c>
      <c r="J242" s="131">
        <f t="shared" ref="J242:O242" si="16">SUM(J232:J241)</f>
        <v>9</v>
      </c>
      <c r="K242" s="131">
        <f t="shared" si="16"/>
        <v>9</v>
      </c>
      <c r="L242" s="131">
        <f t="shared" si="16"/>
        <v>9</v>
      </c>
      <c r="M242" s="131">
        <f t="shared" si="16"/>
        <v>9</v>
      </c>
      <c r="N242" s="131">
        <f t="shared" si="16"/>
        <v>9</v>
      </c>
      <c r="O242" s="131">
        <f t="shared" si="16"/>
        <v>9</v>
      </c>
    </row>
    <row r="243" spans="4:15" s="348" customFormat="1" x14ac:dyDescent="0.2">
      <c r="D243" s="721" t="s">
        <v>1884</v>
      </c>
      <c r="E243" s="721"/>
      <c r="F243" s="721"/>
      <c r="G243" s="721"/>
      <c r="H243" s="721"/>
      <c r="I243" s="721"/>
    </row>
    <row r="244" spans="4:15" s="348" customFormat="1" ht="15" outlineLevel="1" x14ac:dyDescent="0.2">
      <c r="D244" s="667" t="s">
        <v>1611</v>
      </c>
      <c r="H244" s="372">
        <v>2</v>
      </c>
    </row>
    <row r="245" spans="4:15" s="348" customFormat="1" x14ac:dyDescent="0.2"/>
    <row r="246" spans="4:15" s="348" customFormat="1" ht="15" x14ac:dyDescent="0.2">
      <c r="D246" s="669" t="str">
        <f ca="1">OFFSET(Labels_BA!D16,0,H244)</f>
        <v>District Hospital</v>
      </c>
    </row>
    <row r="247" spans="4:15" s="348" customFormat="1" outlineLevel="1" x14ac:dyDescent="0.2"/>
    <row r="248" spans="4:15" s="348" customFormat="1" outlineLevel="1" collapsed="1" x14ac:dyDescent="0.2">
      <c r="D248" s="668" t="str">
        <f>Intv_BA!D758</f>
        <v>Central</v>
      </c>
      <c r="J248" s="183">
        <v>1</v>
      </c>
      <c r="K248" s="183">
        <v>1</v>
      </c>
      <c r="L248" s="183">
        <v>1</v>
      </c>
      <c r="M248" s="183">
        <v>1</v>
      </c>
      <c r="N248" s="183">
        <v>1</v>
      </c>
      <c r="O248" s="183">
        <v>1</v>
      </c>
    </row>
    <row r="249" spans="4:15" s="348" customFormat="1" outlineLevel="1" x14ac:dyDescent="0.2">
      <c r="D249" s="668" t="str">
        <f>Intv_BA!D759</f>
        <v>Copperbelt</v>
      </c>
      <c r="J249" s="183">
        <v>0</v>
      </c>
      <c r="K249" s="183">
        <v>0</v>
      </c>
      <c r="L249" s="183">
        <v>0</v>
      </c>
      <c r="M249" s="183">
        <v>0</v>
      </c>
      <c r="N249" s="183">
        <v>0</v>
      </c>
      <c r="O249" s="183">
        <v>0</v>
      </c>
    </row>
    <row r="250" spans="4:15" s="348" customFormat="1" outlineLevel="1" x14ac:dyDescent="0.2">
      <c r="D250" s="668" t="str">
        <f>Intv_BA!D760</f>
        <v>Eastern</v>
      </c>
      <c r="J250" s="183">
        <v>1</v>
      </c>
      <c r="K250" s="183">
        <v>1</v>
      </c>
      <c r="L250" s="183">
        <v>1</v>
      </c>
      <c r="M250" s="183">
        <v>1</v>
      </c>
      <c r="N250" s="183">
        <v>1</v>
      </c>
      <c r="O250" s="183">
        <v>1</v>
      </c>
    </row>
    <row r="251" spans="4:15" s="348" customFormat="1" outlineLevel="1" x14ac:dyDescent="0.2">
      <c r="D251" s="668" t="str">
        <f>Intv_BA!D761</f>
        <v>Luapula</v>
      </c>
      <c r="J251" s="183">
        <v>1</v>
      </c>
      <c r="K251" s="183">
        <v>1</v>
      </c>
      <c r="L251" s="183">
        <v>1</v>
      </c>
      <c r="M251" s="183">
        <v>1</v>
      </c>
      <c r="N251" s="183">
        <v>1</v>
      </c>
      <c r="O251" s="183">
        <v>1</v>
      </c>
    </row>
    <row r="252" spans="4:15" s="348" customFormat="1" outlineLevel="1" x14ac:dyDescent="0.2">
      <c r="D252" s="668" t="str">
        <f>Intv_BA!D762</f>
        <v>Lusaka</v>
      </c>
      <c r="J252" s="183">
        <v>0</v>
      </c>
      <c r="K252" s="183">
        <v>0</v>
      </c>
      <c r="L252" s="183">
        <v>0</v>
      </c>
      <c r="M252" s="183">
        <v>0</v>
      </c>
      <c r="N252" s="183">
        <v>0</v>
      </c>
      <c r="O252" s="183">
        <v>0</v>
      </c>
    </row>
    <row r="253" spans="4:15" s="348" customFormat="1" outlineLevel="1" x14ac:dyDescent="0.2">
      <c r="D253" s="668" t="str">
        <f>Intv_BA!D763</f>
        <v>Muchinga</v>
      </c>
      <c r="J253" s="183">
        <v>0</v>
      </c>
      <c r="K253" s="183">
        <v>0</v>
      </c>
      <c r="L253" s="183">
        <v>0</v>
      </c>
      <c r="M253" s="183">
        <v>0</v>
      </c>
      <c r="N253" s="183">
        <v>0</v>
      </c>
      <c r="O253" s="183">
        <v>0</v>
      </c>
    </row>
    <row r="254" spans="4:15" s="348" customFormat="1" outlineLevel="1" x14ac:dyDescent="0.2">
      <c r="D254" s="668" t="str">
        <f>Intv_BA!D764</f>
        <v>Northern</v>
      </c>
      <c r="J254" s="183">
        <v>0</v>
      </c>
      <c r="K254" s="183">
        <v>0</v>
      </c>
      <c r="L254" s="183">
        <v>0</v>
      </c>
      <c r="M254" s="183">
        <v>0</v>
      </c>
      <c r="N254" s="183">
        <v>0</v>
      </c>
      <c r="O254" s="183">
        <v>0</v>
      </c>
    </row>
    <row r="255" spans="4:15" s="348" customFormat="1" outlineLevel="1" x14ac:dyDescent="0.2">
      <c r="D255" s="668" t="str">
        <f>Intv_BA!D765</f>
        <v>North-Western</v>
      </c>
      <c r="J255" s="183">
        <v>0</v>
      </c>
      <c r="K255" s="183">
        <v>0</v>
      </c>
      <c r="L255" s="183">
        <v>0</v>
      </c>
      <c r="M255" s="183">
        <v>0</v>
      </c>
      <c r="N255" s="183">
        <v>0</v>
      </c>
      <c r="O255" s="183">
        <v>0</v>
      </c>
    </row>
    <row r="256" spans="4:15" s="348" customFormat="1" outlineLevel="1" x14ac:dyDescent="0.2">
      <c r="D256" s="668" t="str">
        <f>Intv_BA!D766</f>
        <v>Southern</v>
      </c>
      <c r="J256" s="183">
        <v>0</v>
      </c>
      <c r="K256" s="183">
        <v>0</v>
      </c>
      <c r="L256" s="183">
        <v>0</v>
      </c>
      <c r="M256" s="183">
        <v>0</v>
      </c>
      <c r="N256" s="183">
        <v>0</v>
      </c>
      <c r="O256" s="183">
        <v>0</v>
      </c>
    </row>
    <row r="257" spans="4:15" s="348" customFormat="1" outlineLevel="1" x14ac:dyDescent="0.2">
      <c r="D257" s="668" t="str">
        <f>Intv_BA!D767</f>
        <v>Western</v>
      </c>
      <c r="J257" s="183">
        <v>2</v>
      </c>
      <c r="K257" s="183">
        <v>2</v>
      </c>
      <c r="L257" s="183">
        <v>2</v>
      </c>
      <c r="M257" s="183">
        <v>2</v>
      </c>
      <c r="N257" s="183">
        <v>2</v>
      </c>
      <c r="O257" s="183">
        <v>2</v>
      </c>
    </row>
    <row r="258" spans="4:15" s="348" customFormat="1" ht="15" x14ac:dyDescent="0.2">
      <c r="D258" s="359" t="str">
        <f ca="1">"Total "&amp;D246</f>
        <v>Total District Hospital</v>
      </c>
      <c r="J258" s="131">
        <f t="shared" ref="J258:O258" si="17">SUM(J248:J257)</f>
        <v>5</v>
      </c>
      <c r="K258" s="131">
        <f t="shared" si="17"/>
        <v>5</v>
      </c>
      <c r="L258" s="131">
        <f t="shared" si="17"/>
        <v>5</v>
      </c>
      <c r="M258" s="131">
        <f t="shared" si="17"/>
        <v>5</v>
      </c>
      <c r="N258" s="131">
        <f t="shared" si="17"/>
        <v>5</v>
      </c>
      <c r="O258" s="131">
        <f t="shared" si="17"/>
        <v>5</v>
      </c>
    </row>
    <row r="259" spans="4:15" s="348" customFormat="1" x14ac:dyDescent="0.2">
      <c r="D259" s="721" t="s">
        <v>1884</v>
      </c>
      <c r="E259" s="721"/>
      <c r="F259" s="721"/>
      <c r="G259" s="721"/>
      <c r="H259" s="721"/>
      <c r="I259" s="721"/>
    </row>
    <row r="260" spans="4:15" s="348" customFormat="1" ht="15" outlineLevel="1" x14ac:dyDescent="0.2">
      <c r="D260" s="667" t="s">
        <v>1611</v>
      </c>
      <c r="H260" s="372">
        <v>3</v>
      </c>
    </row>
    <row r="261" spans="4:15" s="348" customFormat="1" x14ac:dyDescent="0.2"/>
    <row r="262" spans="4:15" s="348" customFormat="1" ht="15" x14ac:dyDescent="0.2">
      <c r="D262" s="669" t="str">
        <f ca="1">OFFSET(Labels_BA!D16,0,H260)</f>
        <v>Fixed Health Clinic</v>
      </c>
    </row>
    <row r="263" spans="4:15" s="348" customFormat="1" outlineLevel="1" x14ac:dyDescent="0.2"/>
    <row r="264" spans="4:15" s="348" customFormat="1" outlineLevel="1" collapsed="1" x14ac:dyDescent="0.2">
      <c r="D264" s="668" t="str">
        <f>Intv_BA!D758</f>
        <v>Central</v>
      </c>
      <c r="J264" s="183">
        <v>0</v>
      </c>
      <c r="K264" s="183">
        <v>0</v>
      </c>
      <c r="L264" s="183">
        <v>0</v>
      </c>
      <c r="M264" s="183">
        <v>0</v>
      </c>
      <c r="N264" s="183">
        <v>0</v>
      </c>
      <c r="O264" s="183">
        <v>0</v>
      </c>
    </row>
    <row r="265" spans="4:15" s="348" customFormat="1" outlineLevel="1" x14ac:dyDescent="0.2">
      <c r="D265" s="668" t="str">
        <f>Intv_BA!D759</f>
        <v>Copperbelt</v>
      </c>
      <c r="J265" s="183">
        <v>0</v>
      </c>
      <c r="K265" s="183">
        <v>0</v>
      </c>
      <c r="L265" s="183">
        <v>0</v>
      </c>
      <c r="M265" s="183">
        <v>0</v>
      </c>
      <c r="N265" s="183">
        <v>0</v>
      </c>
      <c r="O265" s="183">
        <v>0</v>
      </c>
    </row>
    <row r="266" spans="4:15" s="348" customFormat="1" outlineLevel="1" x14ac:dyDescent="0.2">
      <c r="D266" s="668" t="str">
        <f>Intv_BA!D760</f>
        <v>Eastern</v>
      </c>
      <c r="J266" s="183">
        <v>0</v>
      </c>
      <c r="K266" s="183">
        <v>0</v>
      </c>
      <c r="L266" s="183">
        <v>0</v>
      </c>
      <c r="M266" s="183">
        <v>0</v>
      </c>
      <c r="N266" s="183">
        <v>0</v>
      </c>
      <c r="O266" s="183">
        <v>0</v>
      </c>
    </row>
    <row r="267" spans="4:15" s="348" customFormat="1" outlineLevel="1" x14ac:dyDescent="0.2">
      <c r="D267" s="668" t="str">
        <f>Intv_BA!D761</f>
        <v>Luapula</v>
      </c>
      <c r="J267" s="183">
        <v>0</v>
      </c>
      <c r="K267" s="183">
        <v>0</v>
      </c>
      <c r="L267" s="183">
        <v>0</v>
      </c>
      <c r="M267" s="183">
        <v>0</v>
      </c>
      <c r="N267" s="183">
        <v>0</v>
      </c>
      <c r="O267" s="183">
        <v>0</v>
      </c>
    </row>
    <row r="268" spans="4:15" s="348" customFormat="1" outlineLevel="1" x14ac:dyDescent="0.2">
      <c r="D268" s="668" t="str">
        <f>Intv_BA!D762</f>
        <v>Lusaka</v>
      </c>
      <c r="J268" s="183">
        <v>0</v>
      </c>
      <c r="K268" s="183">
        <v>0</v>
      </c>
      <c r="L268" s="183">
        <v>0</v>
      </c>
      <c r="M268" s="183">
        <v>0</v>
      </c>
      <c r="N268" s="183">
        <v>0</v>
      </c>
      <c r="O268" s="183">
        <v>0</v>
      </c>
    </row>
    <row r="269" spans="4:15" s="348" customFormat="1" outlineLevel="1" x14ac:dyDescent="0.2">
      <c r="D269" s="668" t="str">
        <f>Intv_BA!D763</f>
        <v>Muchinga</v>
      </c>
      <c r="J269" s="183">
        <v>0</v>
      </c>
      <c r="K269" s="183">
        <v>0</v>
      </c>
      <c r="L269" s="183">
        <v>0</v>
      </c>
      <c r="M269" s="183">
        <v>0</v>
      </c>
      <c r="N269" s="183">
        <v>0</v>
      </c>
      <c r="O269" s="183">
        <v>0</v>
      </c>
    </row>
    <row r="270" spans="4:15" s="348" customFormat="1" outlineLevel="1" x14ac:dyDescent="0.2">
      <c r="D270" s="668" t="str">
        <f>Intv_BA!D764</f>
        <v>Northern</v>
      </c>
      <c r="J270" s="183">
        <v>0</v>
      </c>
      <c r="K270" s="183">
        <v>0</v>
      </c>
      <c r="L270" s="183">
        <v>0</v>
      </c>
      <c r="M270" s="183">
        <v>0</v>
      </c>
      <c r="N270" s="183">
        <v>0</v>
      </c>
      <c r="O270" s="183">
        <v>0</v>
      </c>
    </row>
    <row r="271" spans="4:15" s="348" customFormat="1" outlineLevel="1" x14ac:dyDescent="0.2">
      <c r="D271" s="668" t="str">
        <f>Intv_BA!D765</f>
        <v>North-Western</v>
      </c>
      <c r="J271" s="183">
        <v>0</v>
      </c>
      <c r="K271" s="183">
        <v>0</v>
      </c>
      <c r="L271" s="183">
        <v>0</v>
      </c>
      <c r="M271" s="183">
        <v>0</v>
      </c>
      <c r="N271" s="183">
        <v>0</v>
      </c>
      <c r="O271" s="183">
        <v>0</v>
      </c>
    </row>
    <row r="272" spans="4:15" s="348" customFormat="1" outlineLevel="1" x14ac:dyDescent="0.2">
      <c r="D272" s="668" t="str">
        <f>Intv_BA!D766</f>
        <v>Southern</v>
      </c>
      <c r="J272" s="183">
        <v>0</v>
      </c>
      <c r="K272" s="183">
        <v>0</v>
      </c>
      <c r="L272" s="183">
        <v>0</v>
      </c>
      <c r="M272" s="183">
        <v>0</v>
      </c>
      <c r="N272" s="183">
        <v>0</v>
      </c>
      <c r="O272" s="183">
        <v>0</v>
      </c>
    </row>
    <row r="273" spans="4:15" s="348" customFormat="1" outlineLevel="1" x14ac:dyDescent="0.2">
      <c r="D273" s="668" t="str">
        <f>Intv_BA!D767</f>
        <v>Western</v>
      </c>
      <c r="J273" s="183">
        <v>0</v>
      </c>
      <c r="K273" s="183">
        <v>0</v>
      </c>
      <c r="L273" s="183">
        <v>0</v>
      </c>
      <c r="M273" s="183">
        <v>0</v>
      </c>
      <c r="N273" s="183">
        <v>0</v>
      </c>
      <c r="O273" s="183">
        <v>0</v>
      </c>
    </row>
    <row r="274" spans="4:15" s="348" customFormat="1" ht="15" x14ac:dyDescent="0.2">
      <c r="D274" s="359" t="str">
        <f ca="1">"Total "&amp;D262</f>
        <v>Total Fixed Health Clinic</v>
      </c>
      <c r="J274" s="131">
        <f t="shared" ref="J274:O274" si="18">SUM(J264:J273)</f>
        <v>0</v>
      </c>
      <c r="K274" s="131">
        <f t="shared" si="18"/>
        <v>0</v>
      </c>
      <c r="L274" s="131">
        <f t="shared" si="18"/>
        <v>0</v>
      </c>
      <c r="M274" s="131">
        <f t="shared" si="18"/>
        <v>0</v>
      </c>
      <c r="N274" s="131">
        <f t="shared" si="18"/>
        <v>0</v>
      </c>
      <c r="O274" s="131">
        <f t="shared" si="18"/>
        <v>0</v>
      </c>
    </row>
    <row r="275" spans="4:15" s="348" customFormat="1" x14ac:dyDescent="0.2">
      <c r="D275" s="721" t="s">
        <v>1884</v>
      </c>
      <c r="E275" s="721"/>
      <c r="F275" s="721"/>
      <c r="G275" s="721"/>
      <c r="H275" s="721"/>
      <c r="I275" s="721"/>
    </row>
    <row r="276" spans="4:15" s="348" customFormat="1" ht="15" outlineLevel="1" x14ac:dyDescent="0.2">
      <c r="D276" s="667" t="s">
        <v>1611</v>
      </c>
      <c r="H276" s="372">
        <v>4</v>
      </c>
    </row>
    <row r="277" spans="4:15" s="348" customFormat="1" x14ac:dyDescent="0.2"/>
    <row r="278" spans="4:15" s="348" customFormat="1" ht="15" x14ac:dyDescent="0.2">
      <c r="D278" s="669" t="str">
        <f ca="1">OFFSET(Labels_BA!D16,0,H276)</f>
        <v>PCI Mobile Health Team</v>
      </c>
    </row>
    <row r="279" spans="4:15" s="348" customFormat="1" outlineLevel="1" x14ac:dyDescent="0.2"/>
    <row r="280" spans="4:15" s="348" customFormat="1" outlineLevel="1" collapsed="1" x14ac:dyDescent="0.2">
      <c r="D280" s="668" t="str">
        <f>Intv_BA!D758</f>
        <v>Central</v>
      </c>
      <c r="J280" s="183">
        <v>0</v>
      </c>
      <c r="K280" s="183">
        <v>0</v>
      </c>
      <c r="L280" s="183">
        <v>0</v>
      </c>
      <c r="M280" s="183">
        <v>0</v>
      </c>
      <c r="N280" s="183">
        <v>0</v>
      </c>
      <c r="O280" s="183">
        <v>0</v>
      </c>
    </row>
    <row r="281" spans="4:15" s="348" customFormat="1" outlineLevel="1" x14ac:dyDescent="0.2">
      <c r="D281" s="668" t="str">
        <f>Intv_BA!D759</f>
        <v>Copperbelt</v>
      </c>
      <c r="J281" s="183">
        <v>0</v>
      </c>
      <c r="K281" s="183">
        <v>0</v>
      </c>
      <c r="L281" s="183">
        <v>0</v>
      </c>
      <c r="M281" s="183">
        <v>0</v>
      </c>
      <c r="N281" s="183">
        <v>0</v>
      </c>
      <c r="O281" s="183">
        <v>0</v>
      </c>
    </row>
    <row r="282" spans="4:15" s="348" customFormat="1" outlineLevel="1" x14ac:dyDescent="0.2">
      <c r="D282" s="668" t="str">
        <f>Intv_BA!D760</f>
        <v>Eastern</v>
      </c>
      <c r="J282" s="183">
        <v>0</v>
      </c>
      <c r="K282" s="183">
        <v>0</v>
      </c>
      <c r="L282" s="183">
        <v>0</v>
      </c>
      <c r="M282" s="183">
        <v>0</v>
      </c>
      <c r="N282" s="183">
        <v>0</v>
      </c>
      <c r="O282" s="183">
        <v>0</v>
      </c>
    </row>
    <row r="283" spans="4:15" s="348" customFormat="1" outlineLevel="1" x14ac:dyDescent="0.2">
      <c r="D283" s="668" t="str">
        <f>Intv_BA!D761</f>
        <v>Luapula</v>
      </c>
      <c r="J283" s="183">
        <v>0</v>
      </c>
      <c r="K283" s="183">
        <v>0</v>
      </c>
      <c r="L283" s="183">
        <v>0</v>
      </c>
      <c r="M283" s="183">
        <v>0</v>
      </c>
      <c r="N283" s="183">
        <v>0</v>
      </c>
      <c r="O283" s="183">
        <v>0</v>
      </c>
    </row>
    <row r="284" spans="4:15" s="348" customFormat="1" outlineLevel="1" x14ac:dyDescent="0.2">
      <c r="D284" s="668" t="str">
        <f>Intv_BA!D762</f>
        <v>Lusaka</v>
      </c>
      <c r="J284" s="183">
        <v>0</v>
      </c>
      <c r="K284" s="183">
        <v>0</v>
      </c>
      <c r="L284" s="183">
        <v>0</v>
      </c>
      <c r="M284" s="183">
        <v>0</v>
      </c>
      <c r="N284" s="183">
        <v>0</v>
      </c>
      <c r="O284" s="183">
        <v>0</v>
      </c>
    </row>
    <row r="285" spans="4:15" s="348" customFormat="1" outlineLevel="1" x14ac:dyDescent="0.2">
      <c r="D285" s="668" t="str">
        <f>Intv_BA!D763</f>
        <v>Muchinga</v>
      </c>
      <c r="J285" s="183">
        <v>0</v>
      </c>
      <c r="K285" s="183">
        <v>0</v>
      </c>
      <c r="L285" s="183">
        <v>0</v>
      </c>
      <c r="M285" s="183">
        <v>0</v>
      </c>
      <c r="N285" s="183">
        <v>0</v>
      </c>
      <c r="O285" s="183">
        <v>0</v>
      </c>
    </row>
    <row r="286" spans="4:15" s="348" customFormat="1" outlineLevel="1" x14ac:dyDescent="0.2">
      <c r="D286" s="668" t="str">
        <f>Intv_BA!D764</f>
        <v>Northern</v>
      </c>
      <c r="J286" s="183">
        <v>0</v>
      </c>
      <c r="K286" s="183">
        <v>0</v>
      </c>
      <c r="L286" s="183">
        <v>0</v>
      </c>
      <c r="M286" s="183">
        <v>0</v>
      </c>
      <c r="N286" s="183">
        <v>0</v>
      </c>
      <c r="O286" s="183">
        <v>0</v>
      </c>
    </row>
    <row r="287" spans="4:15" s="348" customFormat="1" outlineLevel="1" x14ac:dyDescent="0.2">
      <c r="D287" s="668" t="str">
        <f>Intv_BA!D765</f>
        <v>North-Western</v>
      </c>
      <c r="J287" s="183">
        <v>0</v>
      </c>
      <c r="K287" s="183">
        <v>0</v>
      </c>
      <c r="L287" s="183">
        <v>0</v>
      </c>
      <c r="M287" s="183">
        <v>0</v>
      </c>
      <c r="N287" s="183">
        <v>0</v>
      </c>
      <c r="O287" s="183">
        <v>0</v>
      </c>
    </row>
    <row r="288" spans="4:15" s="348" customFormat="1" outlineLevel="1" x14ac:dyDescent="0.2">
      <c r="D288" s="668" t="str">
        <f>Intv_BA!D766</f>
        <v>Southern</v>
      </c>
      <c r="J288" s="183">
        <v>0</v>
      </c>
      <c r="K288" s="183">
        <v>0</v>
      </c>
      <c r="L288" s="183">
        <v>0</v>
      </c>
      <c r="M288" s="183">
        <v>0</v>
      </c>
      <c r="N288" s="183">
        <v>0</v>
      </c>
      <c r="O288" s="183">
        <v>0</v>
      </c>
    </row>
    <row r="289" spans="4:15" s="348" customFormat="1" outlineLevel="1" x14ac:dyDescent="0.2">
      <c r="D289" s="668" t="str">
        <f>Intv_BA!D767</f>
        <v>Western</v>
      </c>
      <c r="J289" s="183">
        <v>0</v>
      </c>
      <c r="K289" s="183">
        <v>0</v>
      </c>
      <c r="L289" s="183">
        <v>0</v>
      </c>
      <c r="M289" s="183">
        <v>0</v>
      </c>
      <c r="N289" s="183">
        <v>0</v>
      </c>
      <c r="O289" s="183">
        <v>0</v>
      </c>
    </row>
    <row r="290" spans="4:15" s="348" customFormat="1" ht="15" x14ac:dyDescent="0.2">
      <c r="D290" s="359" t="str">
        <f ca="1">"Total "&amp;D278</f>
        <v>Total PCI Mobile Health Team</v>
      </c>
      <c r="J290" s="131">
        <f t="shared" ref="J290:O290" si="19">SUM(J280:J289)</f>
        <v>0</v>
      </c>
      <c r="K290" s="131">
        <f t="shared" si="19"/>
        <v>0</v>
      </c>
      <c r="L290" s="131">
        <f t="shared" si="19"/>
        <v>0</v>
      </c>
      <c r="M290" s="131">
        <f t="shared" si="19"/>
        <v>0</v>
      </c>
      <c r="N290" s="131">
        <f t="shared" si="19"/>
        <v>0</v>
      </c>
      <c r="O290" s="131">
        <f t="shared" si="19"/>
        <v>0</v>
      </c>
    </row>
    <row r="291" spans="4:15" s="348" customFormat="1" x14ac:dyDescent="0.2">
      <c r="D291" s="721" t="s">
        <v>1884</v>
      </c>
      <c r="E291" s="721"/>
      <c r="F291" s="721"/>
      <c r="G291" s="721"/>
      <c r="H291" s="721"/>
      <c r="I291" s="721"/>
    </row>
    <row r="292" spans="4:15" s="348" customFormat="1" ht="15" outlineLevel="1" x14ac:dyDescent="0.2">
      <c r="D292" s="667" t="s">
        <v>1611</v>
      </c>
      <c r="H292" s="372">
        <v>5</v>
      </c>
    </row>
    <row r="293" spans="4:15" s="348" customFormat="1" x14ac:dyDescent="0.2"/>
    <row r="294" spans="4:15" s="348" customFormat="1" ht="15" x14ac:dyDescent="0.2">
      <c r="D294" s="669" t="str">
        <f ca="1">OFFSET(Labels_BA!D16,0,H292)</f>
        <v>Gov't Mobile Health Team (Hospital)</v>
      </c>
    </row>
    <row r="295" spans="4:15" s="348" customFormat="1" outlineLevel="1" x14ac:dyDescent="0.2"/>
    <row r="296" spans="4:15" s="348" customFormat="1" outlineLevel="1" collapsed="1" x14ac:dyDescent="0.2">
      <c r="D296" s="668" t="str">
        <f>Intv_BA!D758</f>
        <v>Central</v>
      </c>
      <c r="J296" s="183">
        <v>0</v>
      </c>
      <c r="K296" s="183">
        <v>0</v>
      </c>
      <c r="L296" s="183">
        <v>0</v>
      </c>
      <c r="M296" s="183">
        <v>0</v>
      </c>
      <c r="N296" s="183">
        <v>0</v>
      </c>
      <c r="O296" s="183">
        <v>0</v>
      </c>
    </row>
    <row r="297" spans="4:15" s="348" customFormat="1" outlineLevel="1" x14ac:dyDescent="0.2">
      <c r="D297" s="668" t="str">
        <f>Intv_BA!D759</f>
        <v>Copperbelt</v>
      </c>
      <c r="J297" s="183">
        <v>0</v>
      </c>
      <c r="K297" s="183">
        <v>0</v>
      </c>
      <c r="L297" s="183">
        <v>0</v>
      </c>
      <c r="M297" s="183">
        <v>0</v>
      </c>
      <c r="N297" s="183">
        <v>0</v>
      </c>
      <c r="O297" s="183">
        <v>0</v>
      </c>
    </row>
    <row r="298" spans="4:15" s="348" customFormat="1" outlineLevel="1" x14ac:dyDescent="0.2">
      <c r="D298" s="668" t="str">
        <f>Intv_BA!D760</f>
        <v>Eastern</v>
      </c>
      <c r="J298" s="183">
        <v>0</v>
      </c>
      <c r="K298" s="183">
        <v>0</v>
      </c>
      <c r="L298" s="183">
        <v>0</v>
      </c>
      <c r="M298" s="183">
        <v>0</v>
      </c>
      <c r="N298" s="183">
        <v>0</v>
      </c>
      <c r="O298" s="183">
        <v>0</v>
      </c>
    </row>
    <row r="299" spans="4:15" s="348" customFormat="1" outlineLevel="1" x14ac:dyDescent="0.2">
      <c r="D299" s="668" t="str">
        <f>Intv_BA!D761</f>
        <v>Luapula</v>
      </c>
      <c r="J299" s="183">
        <v>0</v>
      </c>
      <c r="K299" s="183">
        <v>0</v>
      </c>
      <c r="L299" s="183">
        <v>0</v>
      </c>
      <c r="M299" s="183">
        <v>0</v>
      </c>
      <c r="N299" s="183">
        <v>0</v>
      </c>
      <c r="O299" s="183">
        <v>0</v>
      </c>
    </row>
    <row r="300" spans="4:15" s="348" customFormat="1" outlineLevel="1" x14ac:dyDescent="0.2">
      <c r="D300" s="668" t="str">
        <f>Intv_BA!D762</f>
        <v>Lusaka</v>
      </c>
      <c r="J300" s="183">
        <v>0</v>
      </c>
      <c r="K300" s="183">
        <v>0</v>
      </c>
      <c r="L300" s="183">
        <v>0</v>
      </c>
      <c r="M300" s="183">
        <v>0</v>
      </c>
      <c r="N300" s="183">
        <v>0</v>
      </c>
      <c r="O300" s="183">
        <v>0</v>
      </c>
    </row>
    <row r="301" spans="4:15" s="348" customFormat="1" outlineLevel="1" x14ac:dyDescent="0.2">
      <c r="D301" s="668" t="str">
        <f>Intv_BA!D763</f>
        <v>Muchinga</v>
      </c>
      <c r="J301" s="183">
        <v>0</v>
      </c>
      <c r="K301" s="183">
        <v>0</v>
      </c>
      <c r="L301" s="183">
        <v>0</v>
      </c>
      <c r="M301" s="183">
        <v>0</v>
      </c>
      <c r="N301" s="183">
        <v>0</v>
      </c>
      <c r="O301" s="183">
        <v>0</v>
      </c>
    </row>
    <row r="302" spans="4:15" s="348" customFormat="1" outlineLevel="1" x14ac:dyDescent="0.2">
      <c r="D302" s="668" t="str">
        <f>Intv_BA!D764</f>
        <v>Northern</v>
      </c>
      <c r="J302" s="183">
        <v>0</v>
      </c>
      <c r="K302" s="183">
        <v>0</v>
      </c>
      <c r="L302" s="183">
        <v>0</v>
      </c>
      <c r="M302" s="183">
        <v>0</v>
      </c>
      <c r="N302" s="183">
        <v>0</v>
      </c>
      <c r="O302" s="183">
        <v>0</v>
      </c>
    </row>
    <row r="303" spans="4:15" s="348" customFormat="1" outlineLevel="1" x14ac:dyDescent="0.2">
      <c r="D303" s="668" t="str">
        <f>Intv_BA!D765</f>
        <v>North-Western</v>
      </c>
      <c r="J303" s="183">
        <v>0</v>
      </c>
      <c r="K303" s="183">
        <v>0</v>
      </c>
      <c r="L303" s="183">
        <v>0</v>
      </c>
      <c r="M303" s="183">
        <v>0</v>
      </c>
      <c r="N303" s="183">
        <v>0</v>
      </c>
      <c r="O303" s="183">
        <v>0</v>
      </c>
    </row>
    <row r="304" spans="4:15" s="348" customFormat="1" outlineLevel="1" x14ac:dyDescent="0.2">
      <c r="D304" s="668" t="str">
        <f>Intv_BA!D766</f>
        <v>Southern</v>
      </c>
      <c r="J304" s="183">
        <v>0</v>
      </c>
      <c r="K304" s="183">
        <v>0</v>
      </c>
      <c r="L304" s="183">
        <v>0</v>
      </c>
      <c r="M304" s="183">
        <v>0</v>
      </c>
      <c r="N304" s="183">
        <v>0</v>
      </c>
      <c r="O304" s="183">
        <v>0</v>
      </c>
    </row>
    <row r="305" spans="4:15" s="348" customFormat="1" outlineLevel="1" x14ac:dyDescent="0.2">
      <c r="D305" s="668" t="str">
        <f>Intv_BA!D767</f>
        <v>Western</v>
      </c>
      <c r="J305" s="183">
        <v>0</v>
      </c>
      <c r="K305" s="183">
        <v>0</v>
      </c>
      <c r="L305" s="183">
        <v>0</v>
      </c>
      <c r="M305" s="183">
        <v>0</v>
      </c>
      <c r="N305" s="183">
        <v>0</v>
      </c>
      <c r="O305" s="183">
        <v>0</v>
      </c>
    </row>
    <row r="306" spans="4:15" s="348" customFormat="1" ht="15" x14ac:dyDescent="0.2">
      <c r="D306" s="359" t="str">
        <f ca="1">"Total "&amp;D294</f>
        <v>Total Gov't Mobile Health Team (Hospital)</v>
      </c>
      <c r="J306" s="131">
        <f t="shared" ref="J306:O306" si="20">SUM(J296:J305)</f>
        <v>0</v>
      </c>
      <c r="K306" s="131">
        <f t="shared" si="20"/>
        <v>0</v>
      </c>
      <c r="L306" s="131">
        <f t="shared" si="20"/>
        <v>0</v>
      </c>
      <c r="M306" s="131">
        <f t="shared" si="20"/>
        <v>0</v>
      </c>
      <c r="N306" s="131">
        <f t="shared" si="20"/>
        <v>0</v>
      </c>
      <c r="O306" s="131">
        <f t="shared" si="20"/>
        <v>0</v>
      </c>
    </row>
    <row r="307" spans="4:15" s="348" customFormat="1" x14ac:dyDescent="0.2">
      <c r="D307" s="721" t="s">
        <v>1884</v>
      </c>
      <c r="E307" s="721"/>
      <c r="F307" s="721"/>
      <c r="G307" s="721"/>
      <c r="H307" s="721"/>
      <c r="I307" s="721"/>
    </row>
    <row r="308" spans="4:15" s="348" customFormat="1" ht="15" outlineLevel="1" x14ac:dyDescent="0.2">
      <c r="D308" s="667" t="s">
        <v>1611</v>
      </c>
      <c r="H308" s="372">
        <v>6</v>
      </c>
    </row>
    <row r="309" spans="4:15" s="348" customFormat="1" x14ac:dyDescent="0.2"/>
    <row r="310" spans="4:15" s="348" customFormat="1" ht="15" x14ac:dyDescent="0.2">
      <c r="D310" s="669" t="str">
        <f ca="1">OFFSET(Labels_BA!D16,0,H308)</f>
        <v>CIDRZ Mobile Health Team</v>
      </c>
    </row>
    <row r="311" spans="4:15" s="348" customFormat="1" outlineLevel="1" x14ac:dyDescent="0.2"/>
    <row r="312" spans="4:15" s="348" customFormat="1" outlineLevel="1" collapsed="1" x14ac:dyDescent="0.2">
      <c r="D312" s="668" t="str">
        <f>Intv_BA!D758</f>
        <v>Central</v>
      </c>
      <c r="J312" s="183">
        <v>0</v>
      </c>
      <c r="K312" s="183">
        <v>0</v>
      </c>
      <c r="L312" s="183">
        <v>0</v>
      </c>
      <c r="M312" s="183">
        <v>0</v>
      </c>
      <c r="N312" s="183">
        <v>0</v>
      </c>
      <c r="O312" s="183">
        <v>0</v>
      </c>
    </row>
    <row r="313" spans="4:15" s="348" customFormat="1" outlineLevel="1" x14ac:dyDescent="0.2">
      <c r="D313" s="668" t="str">
        <f>Intv_BA!D759</f>
        <v>Copperbelt</v>
      </c>
      <c r="J313" s="183">
        <v>0</v>
      </c>
      <c r="K313" s="183">
        <v>0</v>
      </c>
      <c r="L313" s="183">
        <v>0</v>
      </c>
      <c r="M313" s="183">
        <v>0</v>
      </c>
      <c r="N313" s="183">
        <v>0</v>
      </c>
      <c r="O313" s="183">
        <v>0</v>
      </c>
    </row>
    <row r="314" spans="4:15" s="348" customFormat="1" outlineLevel="1" x14ac:dyDescent="0.2">
      <c r="D314" s="668" t="str">
        <f>Intv_BA!D760</f>
        <v>Eastern</v>
      </c>
      <c r="J314" s="183">
        <v>0</v>
      </c>
      <c r="K314" s="183">
        <v>0</v>
      </c>
      <c r="L314" s="183">
        <v>0</v>
      </c>
      <c r="M314" s="183">
        <v>0</v>
      </c>
      <c r="N314" s="183">
        <v>0</v>
      </c>
      <c r="O314" s="183">
        <v>0</v>
      </c>
    </row>
    <row r="315" spans="4:15" s="348" customFormat="1" outlineLevel="1" x14ac:dyDescent="0.2">
      <c r="D315" s="668" t="str">
        <f>Intv_BA!D761</f>
        <v>Luapula</v>
      </c>
      <c r="J315" s="183">
        <v>0</v>
      </c>
      <c r="K315" s="183">
        <v>0</v>
      </c>
      <c r="L315" s="183">
        <v>0</v>
      </c>
      <c r="M315" s="183">
        <v>0</v>
      </c>
      <c r="N315" s="183">
        <v>0</v>
      </c>
      <c r="O315" s="183">
        <v>0</v>
      </c>
    </row>
    <row r="316" spans="4:15" s="348" customFormat="1" outlineLevel="1" x14ac:dyDescent="0.2">
      <c r="D316" s="668" t="str">
        <f>Intv_BA!D762</f>
        <v>Lusaka</v>
      </c>
      <c r="J316" s="183">
        <v>0</v>
      </c>
      <c r="K316" s="183">
        <v>0</v>
      </c>
      <c r="L316" s="183">
        <v>0</v>
      </c>
      <c r="M316" s="183">
        <v>0</v>
      </c>
      <c r="N316" s="183">
        <v>0</v>
      </c>
      <c r="O316" s="183">
        <v>0</v>
      </c>
    </row>
    <row r="317" spans="4:15" s="348" customFormat="1" outlineLevel="1" x14ac:dyDescent="0.2">
      <c r="D317" s="668" t="str">
        <f>Intv_BA!D763</f>
        <v>Muchinga</v>
      </c>
      <c r="J317" s="183">
        <v>0</v>
      </c>
      <c r="K317" s="183">
        <v>0</v>
      </c>
      <c r="L317" s="183">
        <v>0</v>
      </c>
      <c r="M317" s="183">
        <v>0</v>
      </c>
      <c r="N317" s="183">
        <v>0</v>
      </c>
      <c r="O317" s="183">
        <v>0</v>
      </c>
    </row>
    <row r="318" spans="4:15" s="348" customFormat="1" outlineLevel="1" x14ac:dyDescent="0.2">
      <c r="D318" s="668" t="str">
        <f>Intv_BA!D764</f>
        <v>Northern</v>
      </c>
      <c r="J318" s="183">
        <v>0</v>
      </c>
      <c r="K318" s="183">
        <v>0</v>
      </c>
      <c r="L318" s="183">
        <v>0</v>
      </c>
      <c r="M318" s="183">
        <v>0</v>
      </c>
      <c r="N318" s="183">
        <v>0</v>
      </c>
      <c r="O318" s="183">
        <v>0</v>
      </c>
    </row>
    <row r="319" spans="4:15" s="348" customFormat="1" outlineLevel="1" x14ac:dyDescent="0.2">
      <c r="D319" s="668" t="str">
        <f>Intv_BA!D765</f>
        <v>North-Western</v>
      </c>
      <c r="J319" s="183">
        <v>0</v>
      </c>
      <c r="K319" s="183">
        <v>0</v>
      </c>
      <c r="L319" s="183">
        <v>0</v>
      </c>
      <c r="M319" s="183">
        <v>0</v>
      </c>
      <c r="N319" s="183">
        <v>0</v>
      </c>
      <c r="O319" s="183">
        <v>0</v>
      </c>
    </row>
    <row r="320" spans="4:15" s="348" customFormat="1" outlineLevel="1" x14ac:dyDescent="0.2">
      <c r="D320" s="668" t="str">
        <f>Intv_BA!D766</f>
        <v>Southern</v>
      </c>
      <c r="J320" s="183">
        <v>0</v>
      </c>
      <c r="K320" s="183">
        <v>0</v>
      </c>
      <c r="L320" s="183">
        <v>0</v>
      </c>
      <c r="M320" s="183">
        <v>0</v>
      </c>
      <c r="N320" s="183">
        <v>0</v>
      </c>
      <c r="O320" s="183">
        <v>0</v>
      </c>
    </row>
    <row r="321" spans="4:15" s="348" customFormat="1" outlineLevel="1" x14ac:dyDescent="0.2">
      <c r="D321" s="668" t="str">
        <f>Intv_BA!D767</f>
        <v>Western</v>
      </c>
      <c r="J321" s="183">
        <v>0</v>
      </c>
      <c r="K321" s="183">
        <v>0</v>
      </c>
      <c r="L321" s="183">
        <v>0</v>
      </c>
      <c r="M321" s="183">
        <v>0</v>
      </c>
      <c r="N321" s="183">
        <v>0</v>
      </c>
      <c r="O321" s="183">
        <v>0</v>
      </c>
    </row>
    <row r="322" spans="4:15" s="348" customFormat="1" ht="15" x14ac:dyDescent="0.2">
      <c r="D322" s="359" t="str">
        <f ca="1">"Total "&amp;D310</f>
        <v>Total CIDRZ Mobile Health Team</v>
      </c>
      <c r="J322" s="131">
        <f t="shared" ref="J322:O322" si="21">SUM(J312:J321)</f>
        <v>0</v>
      </c>
      <c r="K322" s="131">
        <f t="shared" si="21"/>
        <v>0</v>
      </c>
      <c r="L322" s="131">
        <f t="shared" si="21"/>
        <v>0</v>
      </c>
      <c r="M322" s="131">
        <f t="shared" si="21"/>
        <v>0</v>
      </c>
      <c r="N322" s="131">
        <f t="shared" si="21"/>
        <v>0</v>
      </c>
      <c r="O322" s="131">
        <f t="shared" si="21"/>
        <v>0</v>
      </c>
    </row>
    <row r="323" spans="4:15" s="348" customFormat="1" x14ac:dyDescent="0.2">
      <c r="D323" s="721" t="s">
        <v>1884</v>
      </c>
      <c r="E323" s="721"/>
      <c r="F323" s="721"/>
      <c r="G323" s="721"/>
      <c r="H323" s="721"/>
      <c r="I323" s="721"/>
    </row>
    <row r="324" spans="4:15" s="348" customFormat="1" ht="15" outlineLevel="1" x14ac:dyDescent="0.2">
      <c r="D324" s="667" t="s">
        <v>1611</v>
      </c>
      <c r="H324" s="372">
        <v>7</v>
      </c>
    </row>
    <row r="325" spans="4:15" s="348" customFormat="1" x14ac:dyDescent="0.2"/>
    <row r="326" spans="4:15" s="348" customFormat="1" ht="15" x14ac:dyDescent="0.2">
      <c r="D326" s="669" t="str">
        <f ca="1">OFFSET(Labels_BA!D16,0,H324)</f>
        <v>Facility Type 8</v>
      </c>
    </row>
    <row r="327" spans="4:15" s="348" customFormat="1" outlineLevel="1" x14ac:dyDescent="0.2"/>
    <row r="328" spans="4:15" s="348" customFormat="1" outlineLevel="1" collapsed="1" x14ac:dyDescent="0.2">
      <c r="D328" s="668" t="str">
        <f>Intv_BA!D758</f>
        <v>Central</v>
      </c>
      <c r="J328" s="183">
        <v>0</v>
      </c>
      <c r="K328" s="183">
        <v>0</v>
      </c>
      <c r="L328" s="183">
        <v>0</v>
      </c>
      <c r="M328" s="183">
        <v>0</v>
      </c>
      <c r="N328" s="183">
        <v>0</v>
      </c>
      <c r="O328" s="183">
        <v>0</v>
      </c>
    </row>
    <row r="329" spans="4:15" s="348" customFormat="1" outlineLevel="1" x14ac:dyDescent="0.2">
      <c r="D329" s="668" t="str">
        <f>Intv_BA!D759</f>
        <v>Copperbelt</v>
      </c>
      <c r="J329" s="183">
        <v>0</v>
      </c>
      <c r="K329" s="183">
        <v>0</v>
      </c>
      <c r="L329" s="183">
        <v>0</v>
      </c>
      <c r="M329" s="183">
        <v>0</v>
      </c>
      <c r="N329" s="183">
        <v>0</v>
      </c>
      <c r="O329" s="183">
        <v>0</v>
      </c>
    </row>
    <row r="330" spans="4:15" s="348" customFormat="1" outlineLevel="1" x14ac:dyDescent="0.2">
      <c r="D330" s="668" t="str">
        <f>Intv_BA!D760</f>
        <v>Eastern</v>
      </c>
      <c r="J330" s="183">
        <v>0</v>
      </c>
      <c r="K330" s="183">
        <v>0</v>
      </c>
      <c r="L330" s="183">
        <v>0</v>
      </c>
      <c r="M330" s="183">
        <v>0</v>
      </c>
      <c r="N330" s="183">
        <v>0</v>
      </c>
      <c r="O330" s="183">
        <v>0</v>
      </c>
    </row>
    <row r="331" spans="4:15" s="348" customFormat="1" outlineLevel="1" x14ac:dyDescent="0.2">
      <c r="D331" s="668" t="str">
        <f>Intv_BA!D761</f>
        <v>Luapula</v>
      </c>
      <c r="J331" s="183">
        <v>0</v>
      </c>
      <c r="K331" s="183">
        <v>0</v>
      </c>
      <c r="L331" s="183">
        <v>0</v>
      </c>
      <c r="M331" s="183">
        <v>0</v>
      </c>
      <c r="N331" s="183">
        <v>0</v>
      </c>
      <c r="O331" s="183">
        <v>0</v>
      </c>
    </row>
    <row r="332" spans="4:15" s="348" customFormat="1" outlineLevel="1" x14ac:dyDescent="0.2">
      <c r="D332" s="668" t="str">
        <f>Intv_BA!D762</f>
        <v>Lusaka</v>
      </c>
      <c r="J332" s="183">
        <v>0</v>
      </c>
      <c r="K332" s="183">
        <v>0</v>
      </c>
      <c r="L332" s="183">
        <v>0</v>
      </c>
      <c r="M332" s="183">
        <v>0</v>
      </c>
      <c r="N332" s="183">
        <v>0</v>
      </c>
      <c r="O332" s="183">
        <v>0</v>
      </c>
    </row>
    <row r="333" spans="4:15" s="348" customFormat="1" outlineLevel="1" x14ac:dyDescent="0.2">
      <c r="D333" s="668" t="str">
        <f>Intv_BA!D763</f>
        <v>Muchinga</v>
      </c>
      <c r="J333" s="183">
        <v>0</v>
      </c>
      <c r="K333" s="183">
        <v>0</v>
      </c>
      <c r="L333" s="183">
        <v>0</v>
      </c>
      <c r="M333" s="183">
        <v>0</v>
      </c>
      <c r="N333" s="183">
        <v>0</v>
      </c>
      <c r="O333" s="183">
        <v>0</v>
      </c>
    </row>
    <row r="334" spans="4:15" s="348" customFormat="1" outlineLevel="1" x14ac:dyDescent="0.2">
      <c r="D334" s="668" t="str">
        <f>Intv_BA!D764</f>
        <v>Northern</v>
      </c>
      <c r="J334" s="183">
        <v>0</v>
      </c>
      <c r="K334" s="183">
        <v>0</v>
      </c>
      <c r="L334" s="183">
        <v>0</v>
      </c>
      <c r="M334" s="183">
        <v>0</v>
      </c>
      <c r="N334" s="183">
        <v>0</v>
      </c>
      <c r="O334" s="183">
        <v>0</v>
      </c>
    </row>
    <row r="335" spans="4:15" s="348" customFormat="1" outlineLevel="1" x14ac:dyDescent="0.2">
      <c r="D335" s="668" t="str">
        <f>Intv_BA!D765</f>
        <v>North-Western</v>
      </c>
      <c r="J335" s="183">
        <v>0</v>
      </c>
      <c r="K335" s="183">
        <v>0</v>
      </c>
      <c r="L335" s="183">
        <v>0</v>
      </c>
      <c r="M335" s="183">
        <v>0</v>
      </c>
      <c r="N335" s="183">
        <v>0</v>
      </c>
      <c r="O335" s="183">
        <v>0</v>
      </c>
    </row>
    <row r="336" spans="4:15" s="348" customFormat="1" outlineLevel="1" x14ac:dyDescent="0.2">
      <c r="D336" s="668" t="str">
        <f>Intv_BA!D766</f>
        <v>Southern</v>
      </c>
      <c r="J336" s="183">
        <v>0</v>
      </c>
      <c r="K336" s="183">
        <v>0</v>
      </c>
      <c r="L336" s="183">
        <v>0</v>
      </c>
      <c r="M336" s="183">
        <v>0</v>
      </c>
      <c r="N336" s="183">
        <v>0</v>
      </c>
      <c r="O336" s="183">
        <v>0</v>
      </c>
    </row>
    <row r="337" spans="4:15" s="348" customFormat="1" outlineLevel="1" x14ac:dyDescent="0.2">
      <c r="D337" s="668" t="str">
        <f>Intv_BA!D767</f>
        <v>Western</v>
      </c>
      <c r="J337" s="183">
        <v>0</v>
      </c>
      <c r="K337" s="183">
        <v>0</v>
      </c>
      <c r="L337" s="183">
        <v>0</v>
      </c>
      <c r="M337" s="183">
        <v>0</v>
      </c>
      <c r="N337" s="183">
        <v>0</v>
      </c>
      <c r="O337" s="183">
        <v>0</v>
      </c>
    </row>
    <row r="338" spans="4:15" s="348" customFormat="1" ht="15" x14ac:dyDescent="0.2">
      <c r="D338" s="359" t="str">
        <f ca="1">"Total "&amp;D326</f>
        <v>Total Facility Type 8</v>
      </c>
      <c r="J338" s="131">
        <f t="shared" ref="J338:O338" si="22">SUM(J328:J337)</f>
        <v>0</v>
      </c>
      <c r="K338" s="131">
        <f t="shared" si="22"/>
        <v>0</v>
      </c>
      <c r="L338" s="131">
        <f t="shared" si="22"/>
        <v>0</v>
      </c>
      <c r="M338" s="131">
        <f t="shared" si="22"/>
        <v>0</v>
      </c>
      <c r="N338" s="131">
        <f t="shared" si="22"/>
        <v>0</v>
      </c>
      <c r="O338" s="131">
        <f t="shared" si="22"/>
        <v>0</v>
      </c>
    </row>
    <row r="339" spans="4:15" s="348" customFormat="1" x14ac:dyDescent="0.2">
      <c r="D339" s="721" t="s">
        <v>1884</v>
      </c>
      <c r="E339" s="721"/>
      <c r="F339" s="721"/>
      <c r="G339" s="721"/>
      <c r="H339" s="721"/>
      <c r="I339" s="721"/>
    </row>
    <row r="340" spans="4:15" s="348" customFormat="1" ht="15" outlineLevel="1" x14ac:dyDescent="0.2">
      <c r="D340" s="667" t="s">
        <v>1611</v>
      </c>
      <c r="H340" s="372">
        <v>8</v>
      </c>
    </row>
    <row r="341" spans="4:15" s="348" customFormat="1" x14ac:dyDescent="0.2"/>
    <row r="342" spans="4:15" s="348" customFormat="1" ht="15" x14ac:dyDescent="0.2">
      <c r="D342" s="669" t="str">
        <f ca="1">OFFSET(Labels_BA!D16,0,H340)</f>
        <v>Facility Type 9</v>
      </c>
    </row>
    <row r="343" spans="4:15" s="348" customFormat="1" outlineLevel="1" x14ac:dyDescent="0.2"/>
    <row r="344" spans="4:15" s="348" customFormat="1" outlineLevel="1" collapsed="1" x14ac:dyDescent="0.2">
      <c r="D344" s="668" t="str">
        <f>Intv_BA!D758</f>
        <v>Central</v>
      </c>
      <c r="J344" s="183">
        <v>0</v>
      </c>
      <c r="K344" s="183">
        <v>0</v>
      </c>
      <c r="L344" s="183">
        <v>0</v>
      </c>
      <c r="M344" s="183">
        <v>0</v>
      </c>
      <c r="N344" s="183">
        <v>0</v>
      </c>
      <c r="O344" s="183">
        <v>0</v>
      </c>
    </row>
    <row r="345" spans="4:15" s="348" customFormat="1" outlineLevel="1" x14ac:dyDescent="0.2">
      <c r="D345" s="668" t="str">
        <f>Intv_BA!D759</f>
        <v>Copperbelt</v>
      </c>
      <c r="J345" s="183">
        <v>0</v>
      </c>
      <c r="K345" s="183">
        <v>0</v>
      </c>
      <c r="L345" s="183">
        <v>0</v>
      </c>
      <c r="M345" s="183">
        <v>0</v>
      </c>
      <c r="N345" s="183">
        <v>0</v>
      </c>
      <c r="O345" s="183">
        <v>0</v>
      </c>
    </row>
    <row r="346" spans="4:15" s="348" customFormat="1" outlineLevel="1" x14ac:dyDescent="0.2">
      <c r="D346" s="668" t="str">
        <f>Intv_BA!D760</f>
        <v>Eastern</v>
      </c>
      <c r="J346" s="183">
        <v>0</v>
      </c>
      <c r="K346" s="183">
        <v>0</v>
      </c>
      <c r="L346" s="183">
        <v>0</v>
      </c>
      <c r="M346" s="183">
        <v>0</v>
      </c>
      <c r="N346" s="183">
        <v>0</v>
      </c>
      <c r="O346" s="183">
        <v>0</v>
      </c>
    </row>
    <row r="347" spans="4:15" s="348" customFormat="1" outlineLevel="1" x14ac:dyDescent="0.2">
      <c r="D347" s="668" t="str">
        <f>Intv_BA!D761</f>
        <v>Luapula</v>
      </c>
      <c r="J347" s="183">
        <v>0</v>
      </c>
      <c r="K347" s="183">
        <v>0</v>
      </c>
      <c r="L347" s="183">
        <v>0</v>
      </c>
      <c r="M347" s="183">
        <v>0</v>
      </c>
      <c r="N347" s="183">
        <v>0</v>
      </c>
      <c r="O347" s="183">
        <v>0</v>
      </c>
    </row>
    <row r="348" spans="4:15" s="348" customFormat="1" outlineLevel="1" x14ac:dyDescent="0.2">
      <c r="D348" s="668" t="str">
        <f>Intv_BA!D762</f>
        <v>Lusaka</v>
      </c>
      <c r="J348" s="183">
        <v>0</v>
      </c>
      <c r="K348" s="183">
        <v>0</v>
      </c>
      <c r="L348" s="183">
        <v>0</v>
      </c>
      <c r="M348" s="183">
        <v>0</v>
      </c>
      <c r="N348" s="183">
        <v>0</v>
      </c>
      <c r="O348" s="183">
        <v>0</v>
      </c>
    </row>
    <row r="349" spans="4:15" s="348" customFormat="1" outlineLevel="1" x14ac:dyDescent="0.2">
      <c r="D349" s="668" t="str">
        <f>Intv_BA!D763</f>
        <v>Muchinga</v>
      </c>
      <c r="J349" s="183">
        <v>0</v>
      </c>
      <c r="K349" s="183">
        <v>0</v>
      </c>
      <c r="L349" s="183">
        <v>0</v>
      </c>
      <c r="M349" s="183">
        <v>0</v>
      </c>
      <c r="N349" s="183">
        <v>0</v>
      </c>
      <c r="O349" s="183">
        <v>0</v>
      </c>
    </row>
    <row r="350" spans="4:15" s="348" customFormat="1" outlineLevel="1" x14ac:dyDescent="0.2">
      <c r="D350" s="668" t="str">
        <f>Intv_BA!D764</f>
        <v>Northern</v>
      </c>
      <c r="J350" s="183">
        <v>0</v>
      </c>
      <c r="K350" s="183">
        <v>0</v>
      </c>
      <c r="L350" s="183">
        <v>0</v>
      </c>
      <c r="M350" s="183">
        <v>0</v>
      </c>
      <c r="N350" s="183">
        <v>0</v>
      </c>
      <c r="O350" s="183">
        <v>0</v>
      </c>
    </row>
    <row r="351" spans="4:15" s="348" customFormat="1" outlineLevel="1" x14ac:dyDescent="0.2">
      <c r="D351" s="668" t="str">
        <f>Intv_BA!D765</f>
        <v>North-Western</v>
      </c>
      <c r="J351" s="183">
        <v>0</v>
      </c>
      <c r="K351" s="183">
        <v>0</v>
      </c>
      <c r="L351" s="183">
        <v>0</v>
      </c>
      <c r="M351" s="183">
        <v>0</v>
      </c>
      <c r="N351" s="183">
        <v>0</v>
      </c>
      <c r="O351" s="183">
        <v>0</v>
      </c>
    </row>
    <row r="352" spans="4:15" s="348" customFormat="1" outlineLevel="1" x14ac:dyDescent="0.2">
      <c r="D352" s="668" t="str">
        <f>Intv_BA!D766</f>
        <v>Southern</v>
      </c>
      <c r="J352" s="183">
        <v>0</v>
      </c>
      <c r="K352" s="183">
        <v>0</v>
      </c>
      <c r="L352" s="183">
        <v>0</v>
      </c>
      <c r="M352" s="183">
        <v>0</v>
      </c>
      <c r="N352" s="183">
        <v>0</v>
      </c>
      <c r="O352" s="183">
        <v>0</v>
      </c>
    </row>
    <row r="353" spans="4:15" s="348" customFormat="1" outlineLevel="1" x14ac:dyDescent="0.2">
      <c r="D353" s="668" t="str">
        <f>Intv_BA!D767</f>
        <v>Western</v>
      </c>
      <c r="J353" s="183">
        <v>0</v>
      </c>
      <c r="K353" s="183">
        <v>0</v>
      </c>
      <c r="L353" s="183">
        <v>0</v>
      </c>
      <c r="M353" s="183">
        <v>0</v>
      </c>
      <c r="N353" s="183">
        <v>0</v>
      </c>
      <c r="O353" s="183">
        <v>0</v>
      </c>
    </row>
    <row r="354" spans="4:15" s="348" customFormat="1" ht="15" x14ac:dyDescent="0.2">
      <c r="D354" s="359" t="str">
        <f ca="1">"Total "&amp;D342</f>
        <v>Total Facility Type 9</v>
      </c>
      <c r="J354" s="131">
        <f t="shared" ref="J354:O354" si="23">SUM(J344:J353)</f>
        <v>0</v>
      </c>
      <c r="K354" s="131">
        <f t="shared" si="23"/>
        <v>0</v>
      </c>
      <c r="L354" s="131">
        <f t="shared" si="23"/>
        <v>0</v>
      </c>
      <c r="M354" s="131">
        <f t="shared" si="23"/>
        <v>0</v>
      </c>
      <c r="N354" s="131">
        <f t="shared" si="23"/>
        <v>0</v>
      </c>
      <c r="O354" s="131">
        <f t="shared" si="23"/>
        <v>0</v>
      </c>
    </row>
    <row r="355" spans="4:15" s="348" customFormat="1" x14ac:dyDescent="0.2">
      <c r="D355" s="721" t="s">
        <v>1884</v>
      </c>
      <c r="E355" s="721"/>
      <c r="F355" s="721"/>
      <c r="G355" s="721"/>
      <c r="H355" s="721"/>
      <c r="I355" s="721"/>
    </row>
    <row r="356" spans="4:15" s="348" customFormat="1" ht="15" outlineLevel="1" x14ac:dyDescent="0.2">
      <c r="D356" s="667" t="s">
        <v>1611</v>
      </c>
      <c r="H356" s="372">
        <v>9</v>
      </c>
    </row>
    <row r="357" spans="4:15" s="348" customFormat="1" x14ac:dyDescent="0.2"/>
    <row r="358" spans="4:15" s="348" customFormat="1" ht="15" x14ac:dyDescent="0.2">
      <c r="D358" s="669" t="str">
        <f ca="1">OFFSET(Labels_BA!D16,0,H356)</f>
        <v>Facility Type 10</v>
      </c>
    </row>
    <row r="359" spans="4:15" s="348" customFormat="1" outlineLevel="1" x14ac:dyDescent="0.2"/>
    <row r="360" spans="4:15" s="348" customFormat="1" outlineLevel="1" collapsed="1" x14ac:dyDescent="0.2">
      <c r="D360" s="668" t="str">
        <f>Intv_BA!D758</f>
        <v>Central</v>
      </c>
      <c r="J360" s="183">
        <v>0</v>
      </c>
      <c r="K360" s="183">
        <v>0</v>
      </c>
      <c r="L360" s="183">
        <v>0</v>
      </c>
      <c r="M360" s="183">
        <v>0</v>
      </c>
      <c r="N360" s="183">
        <v>0</v>
      </c>
      <c r="O360" s="183">
        <v>0</v>
      </c>
    </row>
    <row r="361" spans="4:15" s="348" customFormat="1" outlineLevel="1" x14ac:dyDescent="0.2">
      <c r="D361" s="668" t="str">
        <f>Intv_BA!D759</f>
        <v>Copperbelt</v>
      </c>
      <c r="J361" s="183">
        <v>0</v>
      </c>
      <c r="K361" s="183">
        <v>0</v>
      </c>
      <c r="L361" s="183">
        <v>0</v>
      </c>
      <c r="M361" s="183">
        <v>0</v>
      </c>
      <c r="N361" s="183">
        <v>0</v>
      </c>
      <c r="O361" s="183">
        <v>0</v>
      </c>
    </row>
    <row r="362" spans="4:15" s="348" customFormat="1" outlineLevel="1" x14ac:dyDescent="0.2">
      <c r="D362" s="668" t="str">
        <f>Intv_BA!D760</f>
        <v>Eastern</v>
      </c>
      <c r="J362" s="183">
        <v>0</v>
      </c>
      <c r="K362" s="183">
        <v>0</v>
      </c>
      <c r="L362" s="183">
        <v>0</v>
      </c>
      <c r="M362" s="183">
        <v>0</v>
      </c>
      <c r="N362" s="183">
        <v>0</v>
      </c>
      <c r="O362" s="183">
        <v>0</v>
      </c>
    </row>
    <row r="363" spans="4:15" s="348" customFormat="1" outlineLevel="1" x14ac:dyDescent="0.2">
      <c r="D363" s="668" t="str">
        <f>Intv_BA!D761</f>
        <v>Luapula</v>
      </c>
      <c r="J363" s="183">
        <v>0</v>
      </c>
      <c r="K363" s="183">
        <v>0</v>
      </c>
      <c r="L363" s="183">
        <v>0</v>
      </c>
      <c r="M363" s="183">
        <v>0</v>
      </c>
      <c r="N363" s="183">
        <v>0</v>
      </c>
      <c r="O363" s="183">
        <v>0</v>
      </c>
    </row>
    <row r="364" spans="4:15" s="348" customFormat="1" outlineLevel="1" x14ac:dyDescent="0.2">
      <c r="D364" s="668" t="str">
        <f>Intv_BA!D762</f>
        <v>Lusaka</v>
      </c>
      <c r="J364" s="183">
        <v>0</v>
      </c>
      <c r="K364" s="183">
        <v>0</v>
      </c>
      <c r="L364" s="183">
        <v>0</v>
      </c>
      <c r="M364" s="183">
        <v>0</v>
      </c>
      <c r="N364" s="183">
        <v>0</v>
      </c>
      <c r="O364" s="183">
        <v>0</v>
      </c>
    </row>
    <row r="365" spans="4:15" s="348" customFormat="1" outlineLevel="1" x14ac:dyDescent="0.2">
      <c r="D365" s="668" t="str">
        <f>Intv_BA!D763</f>
        <v>Muchinga</v>
      </c>
      <c r="J365" s="183">
        <v>0</v>
      </c>
      <c r="K365" s="183">
        <v>0</v>
      </c>
      <c r="L365" s="183">
        <v>0</v>
      </c>
      <c r="M365" s="183">
        <v>0</v>
      </c>
      <c r="N365" s="183">
        <v>0</v>
      </c>
      <c r="O365" s="183">
        <v>0</v>
      </c>
    </row>
    <row r="366" spans="4:15" s="348" customFormat="1" outlineLevel="1" x14ac:dyDescent="0.2">
      <c r="D366" s="668" t="str">
        <f>Intv_BA!D764</f>
        <v>Northern</v>
      </c>
      <c r="J366" s="183">
        <v>0</v>
      </c>
      <c r="K366" s="183">
        <v>0</v>
      </c>
      <c r="L366" s="183">
        <v>0</v>
      </c>
      <c r="M366" s="183">
        <v>0</v>
      </c>
      <c r="N366" s="183">
        <v>0</v>
      </c>
      <c r="O366" s="183">
        <v>0</v>
      </c>
    </row>
    <row r="367" spans="4:15" s="348" customFormat="1" outlineLevel="1" x14ac:dyDescent="0.2">
      <c r="D367" s="668" t="str">
        <f>Intv_BA!D765</f>
        <v>North-Western</v>
      </c>
      <c r="J367" s="183">
        <v>0</v>
      </c>
      <c r="K367" s="183">
        <v>0</v>
      </c>
      <c r="L367" s="183">
        <v>0</v>
      </c>
      <c r="M367" s="183">
        <v>0</v>
      </c>
      <c r="N367" s="183">
        <v>0</v>
      </c>
      <c r="O367" s="183">
        <v>0</v>
      </c>
    </row>
    <row r="368" spans="4:15" s="348" customFormat="1" outlineLevel="1" x14ac:dyDescent="0.2">
      <c r="D368" s="668" t="str">
        <f>Intv_BA!D766</f>
        <v>Southern</v>
      </c>
      <c r="J368" s="183">
        <v>0</v>
      </c>
      <c r="K368" s="183">
        <v>0</v>
      </c>
      <c r="L368" s="183">
        <v>0</v>
      </c>
      <c r="M368" s="183">
        <v>0</v>
      </c>
      <c r="N368" s="183">
        <v>0</v>
      </c>
      <c r="O368" s="183">
        <v>0</v>
      </c>
    </row>
    <row r="369" spans="3:15" s="348" customFormat="1" outlineLevel="1" x14ac:dyDescent="0.2">
      <c r="D369" s="668" t="str">
        <f>Intv_BA!D767</f>
        <v>Western</v>
      </c>
      <c r="J369" s="183">
        <v>0</v>
      </c>
      <c r="K369" s="183">
        <v>0</v>
      </c>
      <c r="L369" s="183">
        <v>0</v>
      </c>
      <c r="M369" s="183">
        <v>0</v>
      </c>
      <c r="N369" s="183">
        <v>0</v>
      </c>
      <c r="O369" s="183">
        <v>0</v>
      </c>
    </row>
    <row r="370" spans="3:15" s="348" customFormat="1" ht="15" x14ac:dyDescent="0.2">
      <c r="D370" s="359" t="str">
        <f ca="1">"Total "&amp;D358</f>
        <v>Total Facility Type 10</v>
      </c>
      <c r="J370" s="131">
        <f t="shared" ref="J370:O370" si="24">SUM(J360:J369)</f>
        <v>0</v>
      </c>
      <c r="K370" s="131">
        <f t="shared" si="24"/>
        <v>0</v>
      </c>
      <c r="L370" s="131">
        <f t="shared" si="24"/>
        <v>0</v>
      </c>
      <c r="M370" s="131">
        <f t="shared" si="24"/>
        <v>0</v>
      </c>
      <c r="N370" s="131">
        <f t="shared" si="24"/>
        <v>0</v>
      </c>
      <c r="O370" s="131">
        <f t="shared" si="24"/>
        <v>0</v>
      </c>
    </row>
    <row r="371" spans="3:15" s="348" customFormat="1" x14ac:dyDescent="0.2">
      <c r="D371" s="721" t="s">
        <v>1884</v>
      </c>
      <c r="E371" s="721"/>
      <c r="F371" s="721"/>
      <c r="G371" s="721"/>
      <c r="H371" s="721"/>
      <c r="I371" s="721"/>
    </row>
    <row r="372" spans="3:15" s="348" customFormat="1" x14ac:dyDescent="0.2"/>
    <row r="373" spans="3:15" s="348" customFormat="1" x14ac:dyDescent="0.2"/>
    <row r="374" spans="3:15" s="348" customFormat="1" x14ac:dyDescent="0.2"/>
    <row r="375" spans="3:15" s="348" customFormat="1" ht="15.75" x14ac:dyDescent="0.2">
      <c r="C375" s="664" t="s">
        <v>141</v>
      </c>
    </row>
    <row r="376" spans="3:15" s="348" customFormat="1" x14ac:dyDescent="0.2"/>
    <row r="377" spans="3:15" s="348" customFormat="1" ht="17.25" customHeight="1" x14ac:dyDescent="0.2">
      <c r="D377" s="671" t="s">
        <v>184</v>
      </c>
      <c r="H377" s="158" t="b">
        <v>1</v>
      </c>
    </row>
    <row r="378" spans="3:15" s="348" customFormat="1" outlineLevel="1" x14ac:dyDescent="0.2"/>
    <row r="379" spans="3:15" s="348" customFormat="1" ht="15" outlineLevel="1" x14ac:dyDescent="0.2">
      <c r="D379" s="669" t="str">
        <f>Labels_BA!G10</f>
        <v>Province</v>
      </c>
    </row>
    <row r="380" spans="3:15" s="348" customFormat="1" outlineLevel="1" x14ac:dyDescent="0.2">
      <c r="D380" s="668" t="str">
        <f>Intv_BA!D758</f>
        <v>Central</v>
      </c>
      <c r="J380" s="119">
        <f ca="1">Reg_Pop_Ann_TO!J361</f>
        <v>5788</v>
      </c>
      <c r="K380" s="119">
        <f ca="1">Reg_Pop_Ann_TO!K361</f>
        <v>5788</v>
      </c>
      <c r="L380" s="119">
        <f ca="1">Reg_Pop_Ann_TO!L361</f>
        <v>5788</v>
      </c>
      <c r="M380" s="119">
        <f ca="1">Reg_Pop_Ann_TO!M361</f>
        <v>5788</v>
      </c>
      <c r="N380" s="119">
        <f ca="1">Reg_Pop_Ann_TO!N361</f>
        <v>5788</v>
      </c>
      <c r="O380" s="119">
        <f ca="1">Reg_Pop_Ann_TO!O361</f>
        <v>5788</v>
      </c>
    </row>
    <row r="381" spans="3:15" s="348" customFormat="1" outlineLevel="1" x14ac:dyDescent="0.2">
      <c r="D381" s="668" t="str">
        <f>Intv_BA!D759</f>
        <v>Copperbelt</v>
      </c>
      <c r="J381" s="119">
        <f ca="1">Reg_Pop_Ann_TO!J362</f>
        <v>8128</v>
      </c>
      <c r="K381" s="119">
        <f ca="1">Reg_Pop_Ann_TO!K362</f>
        <v>8128</v>
      </c>
      <c r="L381" s="119">
        <f ca="1">Reg_Pop_Ann_TO!L362</f>
        <v>8128</v>
      </c>
      <c r="M381" s="119">
        <f ca="1">Reg_Pop_Ann_TO!M362</f>
        <v>8128</v>
      </c>
      <c r="N381" s="119">
        <f ca="1">Reg_Pop_Ann_TO!N362</f>
        <v>8128</v>
      </c>
      <c r="O381" s="119">
        <f ca="1">Reg_Pop_Ann_TO!O362</f>
        <v>8128</v>
      </c>
    </row>
    <row r="382" spans="3:15" s="348" customFormat="1" outlineLevel="1" x14ac:dyDescent="0.2">
      <c r="D382" s="668" t="str">
        <f>Intv_BA!D760</f>
        <v>Eastern</v>
      </c>
      <c r="J382" s="119">
        <f ca="1">Reg_Pop_Ann_TO!J363</f>
        <v>10468</v>
      </c>
      <c r="K382" s="119">
        <f ca="1">Reg_Pop_Ann_TO!K363</f>
        <v>10468</v>
      </c>
      <c r="L382" s="119">
        <f ca="1">Reg_Pop_Ann_TO!L363</f>
        <v>10468</v>
      </c>
      <c r="M382" s="119">
        <f ca="1">Reg_Pop_Ann_TO!M363</f>
        <v>10468</v>
      </c>
      <c r="N382" s="119">
        <f ca="1">Reg_Pop_Ann_TO!N363</f>
        <v>10468</v>
      </c>
      <c r="O382" s="119">
        <f ca="1">Reg_Pop_Ann_TO!O363</f>
        <v>10468</v>
      </c>
    </row>
    <row r="383" spans="3:15" s="348" customFormat="1" outlineLevel="1" x14ac:dyDescent="0.2">
      <c r="D383" s="668" t="str">
        <f>Intv_BA!D761</f>
        <v>Luapula</v>
      </c>
      <c r="J383" s="119">
        <f ca="1">Reg_Pop_Ann_TO!J364</f>
        <v>8128</v>
      </c>
      <c r="K383" s="119">
        <f ca="1">Reg_Pop_Ann_TO!K364</f>
        <v>8128</v>
      </c>
      <c r="L383" s="119">
        <f ca="1">Reg_Pop_Ann_TO!L364</f>
        <v>8128</v>
      </c>
      <c r="M383" s="119">
        <f ca="1">Reg_Pop_Ann_TO!M364</f>
        <v>8128</v>
      </c>
      <c r="N383" s="119">
        <f ca="1">Reg_Pop_Ann_TO!N364</f>
        <v>8128</v>
      </c>
      <c r="O383" s="119">
        <f ca="1">Reg_Pop_Ann_TO!O364</f>
        <v>8128</v>
      </c>
    </row>
    <row r="384" spans="3:15" s="348" customFormat="1" outlineLevel="1" x14ac:dyDescent="0.2">
      <c r="D384" s="668" t="str">
        <f>Intv_BA!D762</f>
        <v>Lusaka</v>
      </c>
      <c r="J384" s="119">
        <f ca="1">Reg_Pop_Ann_TO!J365</f>
        <v>29188</v>
      </c>
      <c r="K384" s="119">
        <f ca="1">Reg_Pop_Ann_TO!K365</f>
        <v>29188</v>
      </c>
      <c r="L384" s="119">
        <f ca="1">Reg_Pop_Ann_TO!L365</f>
        <v>29188</v>
      </c>
      <c r="M384" s="119">
        <f ca="1">Reg_Pop_Ann_TO!M365</f>
        <v>29188</v>
      </c>
      <c r="N384" s="119">
        <f ca="1">Reg_Pop_Ann_TO!N365</f>
        <v>29188</v>
      </c>
      <c r="O384" s="119">
        <f ca="1">Reg_Pop_Ann_TO!O365</f>
        <v>29188</v>
      </c>
    </row>
    <row r="385" spans="3:15" s="348" customFormat="1" outlineLevel="1" x14ac:dyDescent="0.2">
      <c r="D385" s="668" t="str">
        <f>Intv_BA!D763</f>
        <v>Muchinga</v>
      </c>
      <c r="J385" s="119">
        <f ca="1">Reg_Pop_Ann_TO!J366</f>
        <v>554</v>
      </c>
      <c r="K385" s="119">
        <f ca="1">Reg_Pop_Ann_TO!K366</f>
        <v>554</v>
      </c>
      <c r="L385" s="119">
        <f ca="1">Reg_Pop_Ann_TO!L366</f>
        <v>554</v>
      </c>
      <c r="M385" s="119">
        <f ca="1">Reg_Pop_Ann_TO!M366</f>
        <v>554</v>
      </c>
      <c r="N385" s="119">
        <f ca="1">Reg_Pop_Ann_TO!N366</f>
        <v>554</v>
      </c>
      <c r="O385" s="119">
        <f ca="1">Reg_Pop_Ann_TO!O366</f>
        <v>554</v>
      </c>
    </row>
    <row r="386" spans="3:15" s="348" customFormat="1" outlineLevel="1" x14ac:dyDescent="0.2">
      <c r="D386" s="668" t="str">
        <f>Intv_BA!D764</f>
        <v>Northern</v>
      </c>
      <c r="J386" s="119">
        <f ca="1">Reg_Pop_Ann_TO!J367</f>
        <v>2894</v>
      </c>
      <c r="K386" s="119">
        <f ca="1">Reg_Pop_Ann_TO!K367</f>
        <v>2894</v>
      </c>
      <c r="L386" s="119">
        <f ca="1">Reg_Pop_Ann_TO!L367</f>
        <v>2894</v>
      </c>
      <c r="M386" s="119">
        <f ca="1">Reg_Pop_Ann_TO!M367</f>
        <v>2894</v>
      </c>
      <c r="N386" s="119">
        <f ca="1">Reg_Pop_Ann_TO!N367</f>
        <v>2894</v>
      </c>
      <c r="O386" s="119">
        <f ca="1">Reg_Pop_Ann_TO!O367</f>
        <v>2894</v>
      </c>
    </row>
    <row r="387" spans="3:15" s="348" customFormat="1" outlineLevel="1" x14ac:dyDescent="0.2">
      <c r="D387" s="668" t="str">
        <f>Intv_BA!D765</f>
        <v>North-Western</v>
      </c>
      <c r="J387" s="119">
        <f ca="1">Reg_Pop_Ann_TO!J368</f>
        <v>3448</v>
      </c>
      <c r="K387" s="119">
        <f ca="1">Reg_Pop_Ann_TO!K368</f>
        <v>3448</v>
      </c>
      <c r="L387" s="119">
        <f ca="1">Reg_Pop_Ann_TO!L368</f>
        <v>3448</v>
      </c>
      <c r="M387" s="119">
        <f ca="1">Reg_Pop_Ann_TO!M368</f>
        <v>3448</v>
      </c>
      <c r="N387" s="119">
        <f ca="1">Reg_Pop_Ann_TO!N368</f>
        <v>3448</v>
      </c>
      <c r="O387" s="119">
        <f ca="1">Reg_Pop_Ann_TO!O368</f>
        <v>3448</v>
      </c>
    </row>
    <row r="388" spans="3:15" s="348" customFormat="1" outlineLevel="1" x14ac:dyDescent="0.2">
      <c r="D388" s="668" t="str">
        <f>Intv_BA!D766</f>
        <v>Southern</v>
      </c>
      <c r="J388" s="119">
        <f ca="1">Reg_Pop_Ann_TO!J369</f>
        <v>8128</v>
      </c>
      <c r="K388" s="119">
        <f ca="1">Reg_Pop_Ann_TO!K369</f>
        <v>8128</v>
      </c>
      <c r="L388" s="119">
        <f ca="1">Reg_Pop_Ann_TO!L369</f>
        <v>8128</v>
      </c>
      <c r="M388" s="119">
        <f ca="1">Reg_Pop_Ann_TO!M369</f>
        <v>8128</v>
      </c>
      <c r="N388" s="119">
        <f ca="1">Reg_Pop_Ann_TO!N369</f>
        <v>8128</v>
      </c>
      <c r="O388" s="119">
        <f ca="1">Reg_Pop_Ann_TO!O369</f>
        <v>8128</v>
      </c>
    </row>
    <row r="389" spans="3:15" s="348" customFormat="1" outlineLevel="1" x14ac:dyDescent="0.2">
      <c r="D389" s="668" t="str">
        <f>Intv_BA!D767</f>
        <v>Western</v>
      </c>
      <c r="J389" s="119">
        <f ca="1">Reg_Pop_Ann_TO!J370</f>
        <v>8128</v>
      </c>
      <c r="K389" s="119">
        <f ca="1">Reg_Pop_Ann_TO!K370</f>
        <v>8128</v>
      </c>
      <c r="L389" s="119">
        <f ca="1">Reg_Pop_Ann_TO!L370</f>
        <v>8128</v>
      </c>
      <c r="M389" s="119">
        <f ca="1">Reg_Pop_Ann_TO!M370</f>
        <v>8128</v>
      </c>
      <c r="N389" s="119">
        <f ca="1">Reg_Pop_Ann_TO!N370</f>
        <v>8128</v>
      </c>
      <c r="O389" s="119">
        <f ca="1">Reg_Pop_Ann_TO!O370</f>
        <v>8128</v>
      </c>
    </row>
    <row r="390" spans="3:15" s="348" customFormat="1" ht="12.95" customHeight="1" x14ac:dyDescent="0.2">
      <c r="D390" s="359" t="str">
        <f>"Total "&amp;C375</f>
        <v>Total Screened Population</v>
      </c>
      <c r="J390" s="164">
        <f t="shared" ref="J390:O390" ca="1" si="25">SUM(J380:J389)</f>
        <v>84852</v>
      </c>
      <c r="K390" s="164">
        <f t="shared" ca="1" si="25"/>
        <v>84852</v>
      </c>
      <c r="L390" s="164">
        <f t="shared" ca="1" si="25"/>
        <v>84852</v>
      </c>
      <c r="M390" s="164">
        <f t="shared" ca="1" si="25"/>
        <v>84852</v>
      </c>
      <c r="N390" s="164">
        <f t="shared" ca="1" si="25"/>
        <v>84852</v>
      </c>
      <c r="O390" s="164">
        <f t="shared" ca="1" si="25"/>
        <v>84852</v>
      </c>
    </row>
    <row r="391" spans="3:15" s="348" customFormat="1" x14ac:dyDescent="0.2"/>
    <row r="392" spans="3:15" s="348" customFormat="1" ht="15.75" x14ac:dyDescent="0.2">
      <c r="C392" s="664" t="s">
        <v>212</v>
      </c>
    </row>
    <row r="393" spans="3:15" s="348" customFormat="1" outlineLevel="1" x14ac:dyDescent="0.2"/>
    <row r="394" spans="3:15" s="348" customFormat="1" ht="15" outlineLevel="1" x14ac:dyDescent="0.2">
      <c r="D394" s="667" t="s">
        <v>167</v>
      </c>
    </row>
    <row r="395" spans="3:15" s="348" customFormat="1" ht="10.5" customHeight="1" outlineLevel="1" x14ac:dyDescent="0.2">
      <c r="D395" s="785" t="str">
        <f>Econ_Ann_TA!D13</f>
        <v>USD</v>
      </c>
      <c r="E395" s="786"/>
      <c r="F395" s="786"/>
      <c r="G395" s="786"/>
      <c r="J395" s="137">
        <f>Econ_Ann_TA!J13</f>
        <v>1</v>
      </c>
      <c r="K395" s="137">
        <f>Econ_Ann_TA!K13</f>
        <v>1</v>
      </c>
      <c r="L395" s="137">
        <f>Econ_Ann_TA!L13</f>
        <v>1</v>
      </c>
      <c r="M395" s="137">
        <f>Econ_Ann_TA!M13</f>
        <v>1</v>
      </c>
      <c r="N395" s="137">
        <f>Econ_Ann_TA!N13</f>
        <v>1</v>
      </c>
      <c r="O395" s="137">
        <f>Econ_Ann_TA!O13</f>
        <v>1</v>
      </c>
    </row>
    <row r="396" spans="3:15" s="348" customFormat="1" outlineLevel="1" x14ac:dyDescent="0.2">
      <c r="D396" s="785" t="str">
        <f>Econ_Ann_TA!D14</f>
        <v>ZMW</v>
      </c>
      <c r="E396" s="786"/>
      <c r="F396" s="786"/>
      <c r="G396" s="786"/>
      <c r="J396" s="137">
        <f>Econ_Ann_TA!J14</f>
        <v>10.971399999999999</v>
      </c>
      <c r="K396" s="137">
        <f>Econ_Ann_TA!K14</f>
        <v>10.971399999999999</v>
      </c>
      <c r="L396" s="137">
        <f>Econ_Ann_TA!L14</f>
        <v>10.971399999999999</v>
      </c>
      <c r="M396" s="137">
        <f>Econ_Ann_TA!M14</f>
        <v>10.971399999999999</v>
      </c>
      <c r="N396" s="137">
        <f>Econ_Ann_TA!N14</f>
        <v>10.971399999999999</v>
      </c>
      <c r="O396" s="137">
        <f>Econ_Ann_TA!O14</f>
        <v>10.971399999999999</v>
      </c>
    </row>
    <row r="397" spans="3:15" s="348" customFormat="1" x14ac:dyDescent="0.2"/>
    <row r="398" spans="3:15" s="348" customFormat="1" x14ac:dyDescent="0.2">
      <c r="C398" s="722" t="str">
        <f>"Go to "&amp;HL_Intv_2_Ass</f>
        <v>Go to Loop Electrosurgical Excision Procedure  with BIOP-H</v>
      </c>
      <c r="D398" s="777"/>
      <c r="E398" s="777"/>
      <c r="F398" s="777"/>
      <c r="G398" s="777"/>
      <c r="H398" s="777"/>
      <c r="I398" s="777"/>
    </row>
    <row r="399" spans="3:15" s="348" customFormat="1" x14ac:dyDescent="0.2">
      <c r="C399" s="722" t="str">
        <f>"Go to "&amp;HL_Intv_2_Out</f>
        <v>Go to Loop Electrosurgical Excision Procedure  with BIOP-H</v>
      </c>
      <c r="D399" s="777"/>
      <c r="E399" s="777"/>
      <c r="F399" s="777"/>
      <c r="G399" s="777"/>
      <c r="H399" s="777"/>
      <c r="I399" s="777"/>
    </row>
    <row r="400" spans="3:15" s="348" customFormat="1" x14ac:dyDescent="0.2"/>
    <row r="401" spans="2:15" s="348" customFormat="1" x14ac:dyDescent="0.2"/>
    <row r="402" spans="2:15" s="348" customFormat="1" ht="18.75" x14ac:dyDescent="0.2">
      <c r="B402" s="425" t="s">
        <v>1627</v>
      </c>
    </row>
    <row r="403" spans="2:15" s="348" customFormat="1" x14ac:dyDescent="0.2"/>
    <row r="404" spans="2:15" s="348" customFormat="1" ht="18.75" x14ac:dyDescent="0.2">
      <c r="B404" s="498" t="str">
        <f>HL_Intv_5_Ass</f>
        <v>Surgery (Radical Hysterectomy plus Stump Removal)</v>
      </c>
    </row>
    <row r="405" spans="2:15" s="348" customFormat="1" x14ac:dyDescent="0.2"/>
    <row r="406" spans="2:15" s="348" customFormat="1" ht="15.75" x14ac:dyDescent="0.2">
      <c r="C406" s="124" t="str">
        <f>"Assumed Numbers of Active Facilities Offering "&amp;B404&amp;" - By Type, Service Area, and Year."</f>
        <v>Assumed Numbers of Active Facilities Offering Surgery (Radical Hysterectomy plus Stump Removal) - By Type, Service Area, and Year.</v>
      </c>
    </row>
    <row r="407" spans="2:15" s="348" customFormat="1" ht="15" outlineLevel="1" x14ac:dyDescent="0.2">
      <c r="D407" s="667" t="s">
        <v>1611</v>
      </c>
      <c r="H407" s="372">
        <v>0</v>
      </c>
    </row>
    <row r="408" spans="2:15" s="348" customFormat="1" x14ac:dyDescent="0.2"/>
    <row r="409" spans="2:15" s="348" customFormat="1" ht="15" x14ac:dyDescent="0.2">
      <c r="D409" s="669" t="str">
        <f ca="1">OFFSET(Labels_BA!D16,0,H407)</f>
        <v>Central Referral Hospital</v>
      </c>
    </row>
    <row r="410" spans="2:15" s="348" customFormat="1" outlineLevel="1" x14ac:dyDescent="0.2"/>
    <row r="411" spans="2:15" s="348" customFormat="1" outlineLevel="1" collapsed="1" x14ac:dyDescent="0.2">
      <c r="D411" s="668" t="str">
        <f>Intv_BA!D2529</f>
        <v>Central</v>
      </c>
      <c r="J411" s="183">
        <v>0</v>
      </c>
      <c r="K411" s="183">
        <v>0</v>
      </c>
      <c r="L411" s="183">
        <v>0</v>
      </c>
      <c r="M411" s="183">
        <v>0</v>
      </c>
      <c r="N411" s="183">
        <v>0</v>
      </c>
      <c r="O411" s="183">
        <v>0</v>
      </c>
    </row>
    <row r="412" spans="2:15" s="348" customFormat="1" outlineLevel="1" x14ac:dyDescent="0.2">
      <c r="D412" s="668" t="str">
        <f>Intv_BA!D2530</f>
        <v>Copperbelt</v>
      </c>
      <c r="J412" s="183">
        <v>3</v>
      </c>
      <c r="K412" s="183">
        <v>3</v>
      </c>
      <c r="L412" s="183">
        <v>3</v>
      </c>
      <c r="M412" s="183">
        <v>3</v>
      </c>
      <c r="N412" s="183">
        <v>3</v>
      </c>
      <c r="O412" s="183">
        <v>3</v>
      </c>
    </row>
    <row r="413" spans="2:15" s="348" customFormat="1" outlineLevel="1" x14ac:dyDescent="0.2">
      <c r="D413" s="668" t="str">
        <f>Intv_BA!D2531</f>
        <v>Eastern</v>
      </c>
      <c r="J413" s="183">
        <v>0</v>
      </c>
      <c r="K413" s="183">
        <v>0</v>
      </c>
      <c r="L413" s="183">
        <v>0</v>
      </c>
      <c r="M413" s="183">
        <v>0</v>
      </c>
      <c r="N413" s="183">
        <v>0</v>
      </c>
      <c r="O413" s="183">
        <v>0</v>
      </c>
    </row>
    <row r="414" spans="2:15" s="348" customFormat="1" outlineLevel="1" x14ac:dyDescent="0.2">
      <c r="D414" s="668" t="str">
        <f>Intv_BA!D2532</f>
        <v>Luapula</v>
      </c>
      <c r="J414" s="183">
        <v>0</v>
      </c>
      <c r="K414" s="183">
        <v>0</v>
      </c>
      <c r="L414" s="183">
        <v>0</v>
      </c>
      <c r="M414" s="183">
        <v>0</v>
      </c>
      <c r="N414" s="183">
        <v>0</v>
      </c>
      <c r="O414" s="183">
        <v>0</v>
      </c>
    </row>
    <row r="415" spans="2:15" s="348" customFormat="1" outlineLevel="1" x14ac:dyDescent="0.2">
      <c r="D415" s="668" t="str">
        <f>Intv_BA!D2533</f>
        <v>Lusaka</v>
      </c>
      <c r="J415" s="183">
        <v>1</v>
      </c>
      <c r="K415" s="183">
        <v>1</v>
      </c>
      <c r="L415" s="183">
        <v>1</v>
      </c>
      <c r="M415" s="183">
        <v>1</v>
      </c>
      <c r="N415" s="183">
        <v>1</v>
      </c>
      <c r="O415" s="183">
        <v>1</v>
      </c>
    </row>
    <row r="416" spans="2:15" s="348" customFormat="1" outlineLevel="1" x14ac:dyDescent="0.2">
      <c r="D416" s="668" t="str">
        <f>Intv_BA!D2534</f>
        <v>Muchinga</v>
      </c>
      <c r="J416" s="183">
        <v>0</v>
      </c>
      <c r="K416" s="183">
        <v>0</v>
      </c>
      <c r="L416" s="183">
        <v>0</v>
      </c>
      <c r="M416" s="183">
        <v>0</v>
      </c>
      <c r="N416" s="183">
        <v>0</v>
      </c>
      <c r="O416" s="183">
        <v>0</v>
      </c>
    </row>
    <row r="417" spans="4:15" s="348" customFormat="1" outlineLevel="1" x14ac:dyDescent="0.2">
      <c r="D417" s="668" t="str">
        <f>Intv_BA!D2535</f>
        <v>Northern</v>
      </c>
      <c r="J417" s="183">
        <v>0</v>
      </c>
      <c r="K417" s="183">
        <v>0</v>
      </c>
      <c r="L417" s="183">
        <v>0</v>
      </c>
      <c r="M417" s="183">
        <v>0</v>
      </c>
      <c r="N417" s="183">
        <v>0</v>
      </c>
      <c r="O417" s="183">
        <v>0</v>
      </c>
    </row>
    <row r="418" spans="4:15" s="348" customFormat="1" outlineLevel="1" x14ac:dyDescent="0.2">
      <c r="D418" s="668" t="str">
        <f>Intv_BA!D2536</f>
        <v>North-Western</v>
      </c>
      <c r="J418" s="183">
        <v>0</v>
      </c>
      <c r="K418" s="183">
        <v>0</v>
      </c>
      <c r="L418" s="183">
        <v>0</v>
      </c>
      <c r="M418" s="183">
        <v>0</v>
      </c>
      <c r="N418" s="183">
        <v>0</v>
      </c>
      <c r="O418" s="183">
        <v>0</v>
      </c>
    </row>
    <row r="419" spans="4:15" s="348" customFormat="1" outlineLevel="1" x14ac:dyDescent="0.2">
      <c r="D419" s="668" t="str">
        <f>Intv_BA!D2537</f>
        <v>Southern</v>
      </c>
      <c r="J419" s="183">
        <v>0</v>
      </c>
      <c r="K419" s="183">
        <v>0</v>
      </c>
      <c r="L419" s="183">
        <v>0</v>
      </c>
      <c r="M419" s="183">
        <v>0</v>
      </c>
      <c r="N419" s="183">
        <v>0</v>
      </c>
      <c r="O419" s="183">
        <v>0</v>
      </c>
    </row>
    <row r="420" spans="4:15" s="348" customFormat="1" outlineLevel="1" x14ac:dyDescent="0.2">
      <c r="D420" s="668" t="str">
        <f>Intv_BA!D2538</f>
        <v>Western</v>
      </c>
      <c r="J420" s="183">
        <v>0</v>
      </c>
      <c r="K420" s="183">
        <v>0</v>
      </c>
      <c r="L420" s="183">
        <v>0</v>
      </c>
      <c r="M420" s="183">
        <v>0</v>
      </c>
      <c r="N420" s="183">
        <v>0</v>
      </c>
      <c r="O420" s="183">
        <v>0</v>
      </c>
    </row>
    <row r="421" spans="4:15" s="348" customFormat="1" ht="15" x14ac:dyDescent="0.2">
      <c r="D421" s="359" t="str">
        <f ca="1">"Total "&amp;D409</f>
        <v>Total Central Referral Hospital</v>
      </c>
      <c r="J421" s="131">
        <f t="shared" ref="J421:O421" si="26">SUM(J411:J420)</f>
        <v>4</v>
      </c>
      <c r="K421" s="131">
        <f t="shared" si="26"/>
        <v>4</v>
      </c>
      <c r="L421" s="131">
        <f t="shared" si="26"/>
        <v>4</v>
      </c>
      <c r="M421" s="131">
        <f t="shared" si="26"/>
        <v>4</v>
      </c>
      <c r="N421" s="131">
        <f t="shared" si="26"/>
        <v>4</v>
      </c>
      <c r="O421" s="131">
        <f t="shared" si="26"/>
        <v>4</v>
      </c>
    </row>
    <row r="422" spans="4:15" s="348" customFormat="1" x14ac:dyDescent="0.2">
      <c r="D422" s="721"/>
      <c r="E422" s="721"/>
      <c r="F422" s="721"/>
      <c r="G422" s="721"/>
      <c r="H422" s="721"/>
      <c r="I422" s="721"/>
    </row>
    <row r="423" spans="4:15" s="348" customFormat="1" ht="15" outlineLevel="1" x14ac:dyDescent="0.2">
      <c r="D423" s="667" t="s">
        <v>1611</v>
      </c>
      <c r="H423" s="372">
        <v>1</v>
      </c>
    </row>
    <row r="424" spans="4:15" s="348" customFormat="1" x14ac:dyDescent="0.2"/>
    <row r="425" spans="4:15" s="348" customFormat="1" ht="15" x14ac:dyDescent="0.2">
      <c r="D425" s="669" t="str">
        <f ca="1">OFFSET(Labels_BA!D16,0,H423)</f>
        <v>Provincial Hospital</v>
      </c>
    </row>
    <row r="426" spans="4:15" s="348" customFormat="1" outlineLevel="1" x14ac:dyDescent="0.2"/>
    <row r="427" spans="4:15" s="348" customFormat="1" outlineLevel="1" collapsed="1" x14ac:dyDescent="0.2">
      <c r="D427" s="668" t="str">
        <f>Intv_BA!D2529</f>
        <v>Central</v>
      </c>
      <c r="J427" s="183">
        <v>0</v>
      </c>
      <c r="K427" s="183">
        <v>0</v>
      </c>
      <c r="L427" s="183">
        <v>0</v>
      </c>
      <c r="M427" s="183">
        <v>0</v>
      </c>
      <c r="N427" s="183">
        <v>0</v>
      </c>
      <c r="O427" s="183">
        <v>0</v>
      </c>
    </row>
    <row r="428" spans="4:15" s="348" customFormat="1" outlineLevel="1" x14ac:dyDescent="0.2">
      <c r="D428" s="668" t="str">
        <f>Intv_BA!D2530</f>
        <v>Copperbelt</v>
      </c>
      <c r="J428" s="183">
        <v>0</v>
      </c>
      <c r="K428" s="183">
        <v>0</v>
      </c>
      <c r="L428" s="183">
        <v>0</v>
      </c>
      <c r="M428" s="183">
        <v>0</v>
      </c>
      <c r="N428" s="183">
        <v>0</v>
      </c>
      <c r="O428" s="183">
        <v>0</v>
      </c>
    </row>
    <row r="429" spans="4:15" s="348" customFormat="1" outlineLevel="1" x14ac:dyDescent="0.2">
      <c r="D429" s="668" t="str">
        <f>Intv_BA!D2531</f>
        <v>Eastern</v>
      </c>
      <c r="J429" s="183">
        <v>0</v>
      </c>
      <c r="K429" s="183">
        <v>0</v>
      </c>
      <c r="L429" s="183">
        <v>0</v>
      </c>
      <c r="M429" s="183">
        <v>0</v>
      </c>
      <c r="N429" s="183">
        <v>0</v>
      </c>
      <c r="O429" s="183">
        <v>0</v>
      </c>
    </row>
    <row r="430" spans="4:15" s="348" customFormat="1" outlineLevel="1" x14ac:dyDescent="0.2">
      <c r="D430" s="668" t="str">
        <f>Intv_BA!D2532</f>
        <v>Luapula</v>
      </c>
      <c r="J430" s="183">
        <v>0</v>
      </c>
      <c r="K430" s="183">
        <v>0</v>
      </c>
      <c r="L430" s="183">
        <v>0</v>
      </c>
      <c r="M430" s="183">
        <v>0</v>
      </c>
      <c r="N430" s="183">
        <v>0</v>
      </c>
      <c r="O430" s="183">
        <v>0</v>
      </c>
    </row>
    <row r="431" spans="4:15" s="348" customFormat="1" outlineLevel="1" x14ac:dyDescent="0.2">
      <c r="D431" s="668" t="str">
        <f>Intv_BA!D2533</f>
        <v>Lusaka</v>
      </c>
      <c r="J431" s="183">
        <v>0</v>
      </c>
      <c r="K431" s="183">
        <v>0</v>
      </c>
      <c r="L431" s="183">
        <v>0</v>
      </c>
      <c r="M431" s="183">
        <v>0</v>
      </c>
      <c r="N431" s="183">
        <v>0</v>
      </c>
      <c r="O431" s="183">
        <v>0</v>
      </c>
    </row>
    <row r="432" spans="4:15" s="348" customFormat="1" outlineLevel="1" x14ac:dyDescent="0.2">
      <c r="D432" s="668" t="str">
        <f>Intv_BA!D2534</f>
        <v>Muchinga</v>
      </c>
      <c r="J432" s="183">
        <v>0</v>
      </c>
      <c r="K432" s="183">
        <v>0</v>
      </c>
      <c r="L432" s="183">
        <v>0</v>
      </c>
      <c r="M432" s="183">
        <v>0</v>
      </c>
      <c r="N432" s="183">
        <v>0</v>
      </c>
      <c r="O432" s="183">
        <v>0</v>
      </c>
    </row>
    <row r="433" spans="4:15" s="348" customFormat="1" outlineLevel="1" x14ac:dyDescent="0.2">
      <c r="D433" s="668" t="str">
        <f>Intv_BA!D2535</f>
        <v>Northern</v>
      </c>
      <c r="J433" s="183">
        <v>0</v>
      </c>
      <c r="K433" s="183">
        <v>0</v>
      </c>
      <c r="L433" s="183">
        <v>0</v>
      </c>
      <c r="M433" s="183">
        <v>0</v>
      </c>
      <c r="N433" s="183">
        <v>0</v>
      </c>
      <c r="O433" s="183">
        <v>0</v>
      </c>
    </row>
    <row r="434" spans="4:15" s="348" customFormat="1" outlineLevel="1" x14ac:dyDescent="0.2">
      <c r="D434" s="668" t="str">
        <f>Intv_BA!D2536</f>
        <v>North-Western</v>
      </c>
      <c r="J434" s="183">
        <v>0</v>
      </c>
      <c r="K434" s="183">
        <v>0</v>
      </c>
      <c r="L434" s="183">
        <v>0</v>
      </c>
      <c r="M434" s="183">
        <v>0</v>
      </c>
      <c r="N434" s="183">
        <v>0</v>
      </c>
      <c r="O434" s="183">
        <v>0</v>
      </c>
    </row>
    <row r="435" spans="4:15" s="348" customFormat="1" outlineLevel="1" x14ac:dyDescent="0.2">
      <c r="D435" s="668" t="str">
        <f>Intv_BA!D2537</f>
        <v>Southern</v>
      </c>
      <c r="J435" s="183">
        <v>0</v>
      </c>
      <c r="K435" s="183">
        <v>0</v>
      </c>
      <c r="L435" s="183">
        <v>0</v>
      </c>
      <c r="M435" s="183">
        <v>0</v>
      </c>
      <c r="N435" s="183">
        <v>0</v>
      </c>
      <c r="O435" s="183">
        <v>0</v>
      </c>
    </row>
    <row r="436" spans="4:15" s="348" customFormat="1" outlineLevel="1" x14ac:dyDescent="0.2">
      <c r="D436" s="668" t="str">
        <f>Intv_BA!D2538</f>
        <v>Western</v>
      </c>
      <c r="J436" s="183">
        <v>0</v>
      </c>
      <c r="K436" s="183">
        <v>0</v>
      </c>
      <c r="L436" s="183">
        <v>0</v>
      </c>
      <c r="M436" s="183">
        <v>0</v>
      </c>
      <c r="N436" s="183">
        <v>0</v>
      </c>
      <c r="O436" s="183">
        <v>0</v>
      </c>
    </row>
    <row r="437" spans="4:15" s="348" customFormat="1" ht="15" x14ac:dyDescent="0.2">
      <c r="D437" s="359" t="str">
        <f ca="1">"Total "&amp;D425</f>
        <v>Total Provincial Hospital</v>
      </c>
      <c r="J437" s="131">
        <f t="shared" ref="J437:O437" si="27">SUM(J427:J436)</f>
        <v>0</v>
      </c>
      <c r="K437" s="131">
        <f t="shared" si="27"/>
        <v>0</v>
      </c>
      <c r="L437" s="131">
        <f t="shared" si="27"/>
        <v>0</v>
      </c>
      <c r="M437" s="131">
        <f t="shared" si="27"/>
        <v>0</v>
      </c>
      <c r="N437" s="131">
        <f t="shared" si="27"/>
        <v>0</v>
      </c>
      <c r="O437" s="131">
        <f t="shared" si="27"/>
        <v>0</v>
      </c>
    </row>
    <row r="438" spans="4:15" s="348" customFormat="1" x14ac:dyDescent="0.2">
      <c r="D438" s="721"/>
      <c r="E438" s="721"/>
      <c r="F438" s="721"/>
      <c r="G438" s="721"/>
      <c r="H438" s="721"/>
      <c r="I438" s="721"/>
    </row>
    <row r="439" spans="4:15" s="348" customFormat="1" ht="15" outlineLevel="1" x14ac:dyDescent="0.2">
      <c r="D439" s="667" t="s">
        <v>1611</v>
      </c>
      <c r="H439" s="372">
        <v>2</v>
      </c>
    </row>
    <row r="440" spans="4:15" s="348" customFormat="1" x14ac:dyDescent="0.2"/>
    <row r="441" spans="4:15" s="348" customFormat="1" ht="15" x14ac:dyDescent="0.2">
      <c r="D441" s="669" t="str">
        <f ca="1">OFFSET(Labels_BA!D16,0,H439)</f>
        <v>District Hospital</v>
      </c>
    </row>
    <row r="442" spans="4:15" s="348" customFormat="1" outlineLevel="1" x14ac:dyDescent="0.2"/>
    <row r="443" spans="4:15" s="348" customFormat="1" outlineLevel="1" collapsed="1" x14ac:dyDescent="0.2">
      <c r="D443" s="668" t="str">
        <f>Intv_BA!D2529</f>
        <v>Central</v>
      </c>
      <c r="J443" s="183">
        <v>0</v>
      </c>
      <c r="K443" s="183">
        <v>0</v>
      </c>
      <c r="L443" s="183">
        <v>0</v>
      </c>
      <c r="M443" s="183">
        <v>0</v>
      </c>
      <c r="N443" s="183">
        <v>0</v>
      </c>
      <c r="O443" s="183">
        <v>0</v>
      </c>
    </row>
    <row r="444" spans="4:15" s="348" customFormat="1" outlineLevel="1" x14ac:dyDescent="0.2">
      <c r="D444" s="668" t="str">
        <f>Intv_BA!D2530</f>
        <v>Copperbelt</v>
      </c>
      <c r="J444" s="183">
        <v>0</v>
      </c>
      <c r="K444" s="183">
        <v>0</v>
      </c>
      <c r="L444" s="183">
        <v>0</v>
      </c>
      <c r="M444" s="183">
        <v>0</v>
      </c>
      <c r="N444" s="183">
        <v>0</v>
      </c>
      <c r="O444" s="183">
        <v>0</v>
      </c>
    </row>
    <row r="445" spans="4:15" s="348" customFormat="1" outlineLevel="1" x14ac:dyDescent="0.2">
      <c r="D445" s="668" t="str">
        <f>Intv_BA!D2531</f>
        <v>Eastern</v>
      </c>
      <c r="J445" s="183">
        <v>0</v>
      </c>
      <c r="K445" s="183">
        <v>0</v>
      </c>
      <c r="L445" s="183">
        <v>0</v>
      </c>
      <c r="M445" s="183">
        <v>0</v>
      </c>
      <c r="N445" s="183">
        <v>0</v>
      </c>
      <c r="O445" s="183">
        <v>0</v>
      </c>
    </row>
    <row r="446" spans="4:15" s="348" customFormat="1" outlineLevel="1" x14ac:dyDescent="0.2">
      <c r="D446" s="668" t="str">
        <f>Intv_BA!D2532</f>
        <v>Luapula</v>
      </c>
      <c r="J446" s="183">
        <v>0</v>
      </c>
      <c r="K446" s="183">
        <v>0</v>
      </c>
      <c r="L446" s="183">
        <v>0</v>
      </c>
      <c r="M446" s="183">
        <v>0</v>
      </c>
      <c r="N446" s="183">
        <v>0</v>
      </c>
      <c r="O446" s="183">
        <v>0</v>
      </c>
    </row>
    <row r="447" spans="4:15" s="348" customFormat="1" outlineLevel="1" x14ac:dyDescent="0.2">
      <c r="D447" s="668" t="str">
        <f>Intv_BA!D2533</f>
        <v>Lusaka</v>
      </c>
      <c r="J447" s="183">
        <v>0</v>
      </c>
      <c r="K447" s="183">
        <v>0</v>
      </c>
      <c r="L447" s="183">
        <v>0</v>
      </c>
      <c r="M447" s="183">
        <v>0</v>
      </c>
      <c r="N447" s="183">
        <v>0</v>
      </c>
      <c r="O447" s="183">
        <v>0</v>
      </c>
    </row>
    <row r="448" spans="4:15" s="348" customFormat="1" outlineLevel="1" x14ac:dyDescent="0.2">
      <c r="D448" s="668" t="str">
        <f>Intv_BA!D2534</f>
        <v>Muchinga</v>
      </c>
      <c r="J448" s="183">
        <v>0</v>
      </c>
      <c r="K448" s="183">
        <v>0</v>
      </c>
      <c r="L448" s="183">
        <v>0</v>
      </c>
      <c r="M448" s="183">
        <v>0</v>
      </c>
      <c r="N448" s="183">
        <v>0</v>
      </c>
      <c r="O448" s="183">
        <v>0</v>
      </c>
    </row>
    <row r="449" spans="4:15" s="348" customFormat="1" outlineLevel="1" x14ac:dyDescent="0.2">
      <c r="D449" s="668" t="str">
        <f>Intv_BA!D2535</f>
        <v>Northern</v>
      </c>
      <c r="J449" s="183">
        <v>0</v>
      </c>
      <c r="K449" s="183">
        <v>0</v>
      </c>
      <c r="L449" s="183">
        <v>0</v>
      </c>
      <c r="M449" s="183">
        <v>0</v>
      </c>
      <c r="N449" s="183">
        <v>0</v>
      </c>
      <c r="O449" s="183">
        <v>0</v>
      </c>
    </row>
    <row r="450" spans="4:15" s="348" customFormat="1" outlineLevel="1" x14ac:dyDescent="0.2">
      <c r="D450" s="668" t="str">
        <f>Intv_BA!D2536</f>
        <v>North-Western</v>
      </c>
      <c r="J450" s="183">
        <v>0</v>
      </c>
      <c r="K450" s="183">
        <v>0</v>
      </c>
      <c r="L450" s="183">
        <v>0</v>
      </c>
      <c r="M450" s="183">
        <v>0</v>
      </c>
      <c r="N450" s="183">
        <v>0</v>
      </c>
      <c r="O450" s="183">
        <v>0</v>
      </c>
    </row>
    <row r="451" spans="4:15" s="348" customFormat="1" outlineLevel="1" x14ac:dyDescent="0.2">
      <c r="D451" s="668" t="str">
        <f>Intv_BA!D2537</f>
        <v>Southern</v>
      </c>
      <c r="J451" s="183">
        <v>0</v>
      </c>
      <c r="K451" s="183">
        <v>0</v>
      </c>
      <c r="L451" s="183">
        <v>0</v>
      </c>
      <c r="M451" s="183">
        <v>0</v>
      </c>
      <c r="N451" s="183">
        <v>0</v>
      </c>
      <c r="O451" s="183">
        <v>0</v>
      </c>
    </row>
    <row r="452" spans="4:15" s="348" customFormat="1" outlineLevel="1" x14ac:dyDescent="0.2">
      <c r="D452" s="668" t="str">
        <f>Intv_BA!D2538</f>
        <v>Western</v>
      </c>
      <c r="J452" s="183">
        <v>0</v>
      </c>
      <c r="K452" s="183">
        <v>0</v>
      </c>
      <c r="L452" s="183">
        <v>0</v>
      </c>
      <c r="M452" s="183">
        <v>0</v>
      </c>
      <c r="N452" s="183">
        <v>0</v>
      </c>
      <c r="O452" s="183">
        <v>0</v>
      </c>
    </row>
    <row r="453" spans="4:15" s="348" customFormat="1" ht="15" x14ac:dyDescent="0.2">
      <c r="D453" s="359" t="str">
        <f ca="1">"Total "&amp;D441</f>
        <v>Total District Hospital</v>
      </c>
      <c r="J453" s="131">
        <f t="shared" ref="J453:O453" si="28">SUM(J443:J452)</f>
        <v>0</v>
      </c>
      <c r="K453" s="131">
        <f t="shared" si="28"/>
        <v>0</v>
      </c>
      <c r="L453" s="131">
        <f t="shared" si="28"/>
        <v>0</v>
      </c>
      <c r="M453" s="131">
        <f t="shared" si="28"/>
        <v>0</v>
      </c>
      <c r="N453" s="131">
        <f t="shared" si="28"/>
        <v>0</v>
      </c>
      <c r="O453" s="131">
        <f t="shared" si="28"/>
        <v>0</v>
      </c>
    </row>
    <row r="454" spans="4:15" s="348" customFormat="1" x14ac:dyDescent="0.2">
      <c r="D454" s="721"/>
      <c r="E454" s="721"/>
      <c r="F454" s="721"/>
      <c r="G454" s="721"/>
      <c r="H454" s="721"/>
      <c r="I454" s="721"/>
    </row>
    <row r="455" spans="4:15" s="348" customFormat="1" ht="15" outlineLevel="1" x14ac:dyDescent="0.2">
      <c r="D455" s="667" t="s">
        <v>1611</v>
      </c>
      <c r="H455" s="372">
        <v>3</v>
      </c>
    </row>
    <row r="456" spans="4:15" s="348" customFormat="1" x14ac:dyDescent="0.2"/>
    <row r="457" spans="4:15" s="348" customFormat="1" ht="15" x14ac:dyDescent="0.2">
      <c r="D457" s="669" t="str">
        <f ca="1">OFFSET(Labels_BA!D16,0,H455)</f>
        <v>Fixed Health Clinic</v>
      </c>
    </row>
    <row r="458" spans="4:15" s="348" customFormat="1" outlineLevel="1" x14ac:dyDescent="0.2"/>
    <row r="459" spans="4:15" s="348" customFormat="1" outlineLevel="1" collapsed="1" x14ac:dyDescent="0.2">
      <c r="D459" s="668" t="str">
        <f>Intv_BA!D2529</f>
        <v>Central</v>
      </c>
      <c r="J459" s="183">
        <v>0</v>
      </c>
      <c r="K459" s="183">
        <v>0</v>
      </c>
      <c r="L459" s="183">
        <v>0</v>
      </c>
      <c r="M459" s="183">
        <v>0</v>
      </c>
      <c r="N459" s="183">
        <v>0</v>
      </c>
      <c r="O459" s="183">
        <v>0</v>
      </c>
    </row>
    <row r="460" spans="4:15" s="348" customFormat="1" outlineLevel="1" x14ac:dyDescent="0.2">
      <c r="D460" s="668" t="str">
        <f>Intv_BA!D2530</f>
        <v>Copperbelt</v>
      </c>
      <c r="J460" s="183">
        <v>0</v>
      </c>
      <c r="K460" s="183">
        <v>0</v>
      </c>
      <c r="L460" s="183">
        <v>0</v>
      </c>
      <c r="M460" s="183">
        <v>0</v>
      </c>
      <c r="N460" s="183">
        <v>0</v>
      </c>
      <c r="O460" s="183">
        <v>0</v>
      </c>
    </row>
    <row r="461" spans="4:15" s="348" customFormat="1" outlineLevel="1" x14ac:dyDescent="0.2">
      <c r="D461" s="668" t="str">
        <f>Intv_BA!D2531</f>
        <v>Eastern</v>
      </c>
      <c r="J461" s="183">
        <v>0</v>
      </c>
      <c r="K461" s="183">
        <v>0</v>
      </c>
      <c r="L461" s="183">
        <v>0</v>
      </c>
      <c r="M461" s="183">
        <v>0</v>
      </c>
      <c r="N461" s="183">
        <v>0</v>
      </c>
      <c r="O461" s="183">
        <v>0</v>
      </c>
    </row>
    <row r="462" spans="4:15" s="348" customFormat="1" outlineLevel="1" x14ac:dyDescent="0.2">
      <c r="D462" s="668" t="str">
        <f>Intv_BA!D2532</f>
        <v>Luapula</v>
      </c>
      <c r="J462" s="183">
        <v>0</v>
      </c>
      <c r="K462" s="183">
        <v>0</v>
      </c>
      <c r="L462" s="183">
        <v>0</v>
      </c>
      <c r="M462" s="183">
        <v>0</v>
      </c>
      <c r="N462" s="183">
        <v>0</v>
      </c>
      <c r="O462" s="183">
        <v>0</v>
      </c>
    </row>
    <row r="463" spans="4:15" s="348" customFormat="1" outlineLevel="1" x14ac:dyDescent="0.2">
      <c r="D463" s="668" t="str">
        <f>Intv_BA!D2533</f>
        <v>Lusaka</v>
      </c>
      <c r="J463" s="183">
        <v>0</v>
      </c>
      <c r="K463" s="183">
        <v>0</v>
      </c>
      <c r="L463" s="183">
        <v>0</v>
      </c>
      <c r="M463" s="183">
        <v>0</v>
      </c>
      <c r="N463" s="183">
        <v>0</v>
      </c>
      <c r="O463" s="183">
        <v>0</v>
      </c>
    </row>
    <row r="464" spans="4:15" s="348" customFormat="1" outlineLevel="1" x14ac:dyDescent="0.2">
      <c r="D464" s="668" t="str">
        <f>Intv_BA!D2534</f>
        <v>Muchinga</v>
      </c>
      <c r="J464" s="183">
        <v>0</v>
      </c>
      <c r="K464" s="183">
        <v>0</v>
      </c>
      <c r="L464" s="183">
        <v>0</v>
      </c>
      <c r="M464" s="183">
        <v>0</v>
      </c>
      <c r="N464" s="183">
        <v>0</v>
      </c>
      <c r="O464" s="183">
        <v>0</v>
      </c>
    </row>
    <row r="465" spans="4:15" s="348" customFormat="1" outlineLevel="1" x14ac:dyDescent="0.2">
      <c r="D465" s="668" t="str">
        <f>Intv_BA!D2535</f>
        <v>Northern</v>
      </c>
      <c r="J465" s="183">
        <v>0</v>
      </c>
      <c r="K465" s="183">
        <v>0</v>
      </c>
      <c r="L465" s="183">
        <v>0</v>
      </c>
      <c r="M465" s="183">
        <v>0</v>
      </c>
      <c r="N465" s="183">
        <v>0</v>
      </c>
      <c r="O465" s="183">
        <v>0</v>
      </c>
    </row>
    <row r="466" spans="4:15" s="348" customFormat="1" outlineLevel="1" x14ac:dyDescent="0.2">
      <c r="D466" s="668" t="str">
        <f>Intv_BA!D2536</f>
        <v>North-Western</v>
      </c>
      <c r="J466" s="183">
        <v>0</v>
      </c>
      <c r="K466" s="183">
        <v>0</v>
      </c>
      <c r="L466" s="183">
        <v>0</v>
      </c>
      <c r="M466" s="183">
        <v>0</v>
      </c>
      <c r="N466" s="183">
        <v>0</v>
      </c>
      <c r="O466" s="183">
        <v>0</v>
      </c>
    </row>
    <row r="467" spans="4:15" s="348" customFormat="1" outlineLevel="1" x14ac:dyDescent="0.2">
      <c r="D467" s="668" t="str">
        <f>Intv_BA!D2537</f>
        <v>Southern</v>
      </c>
      <c r="J467" s="183">
        <v>0</v>
      </c>
      <c r="K467" s="183">
        <v>0</v>
      </c>
      <c r="L467" s="183">
        <v>0</v>
      </c>
      <c r="M467" s="183">
        <v>0</v>
      </c>
      <c r="N467" s="183">
        <v>0</v>
      </c>
      <c r="O467" s="183">
        <v>0</v>
      </c>
    </row>
    <row r="468" spans="4:15" s="348" customFormat="1" outlineLevel="1" x14ac:dyDescent="0.2">
      <c r="D468" s="668" t="str">
        <f>Intv_BA!D2538</f>
        <v>Western</v>
      </c>
      <c r="J468" s="183">
        <v>0</v>
      </c>
      <c r="K468" s="183">
        <v>0</v>
      </c>
      <c r="L468" s="183">
        <v>0</v>
      </c>
      <c r="M468" s="183">
        <v>0</v>
      </c>
      <c r="N468" s="183">
        <v>0</v>
      </c>
      <c r="O468" s="183">
        <v>0</v>
      </c>
    </row>
    <row r="469" spans="4:15" s="348" customFormat="1" ht="15" x14ac:dyDescent="0.2">
      <c r="D469" s="359" t="str">
        <f ca="1">"Total "&amp;D457</f>
        <v>Total Fixed Health Clinic</v>
      </c>
      <c r="J469" s="131">
        <f t="shared" ref="J469:O469" si="29">SUM(J459:J468)</f>
        <v>0</v>
      </c>
      <c r="K469" s="131">
        <f t="shared" si="29"/>
        <v>0</v>
      </c>
      <c r="L469" s="131">
        <f t="shared" si="29"/>
        <v>0</v>
      </c>
      <c r="M469" s="131">
        <f t="shared" si="29"/>
        <v>0</v>
      </c>
      <c r="N469" s="131">
        <f t="shared" si="29"/>
        <v>0</v>
      </c>
      <c r="O469" s="131">
        <f t="shared" si="29"/>
        <v>0</v>
      </c>
    </row>
    <row r="470" spans="4:15" s="348" customFormat="1" x14ac:dyDescent="0.2">
      <c r="D470" s="721"/>
      <c r="E470" s="721"/>
      <c r="F470" s="721"/>
      <c r="G470" s="721"/>
      <c r="H470" s="721"/>
      <c r="I470" s="721"/>
    </row>
    <row r="471" spans="4:15" s="348" customFormat="1" ht="15" outlineLevel="1" x14ac:dyDescent="0.2">
      <c r="D471" s="667" t="s">
        <v>1611</v>
      </c>
      <c r="H471" s="372">
        <v>4</v>
      </c>
    </row>
    <row r="472" spans="4:15" s="348" customFormat="1" x14ac:dyDescent="0.2"/>
    <row r="473" spans="4:15" s="348" customFormat="1" ht="15" x14ac:dyDescent="0.2">
      <c r="D473" s="669" t="str">
        <f ca="1">OFFSET(Labels_BA!D16,0,H471)</f>
        <v>PCI Mobile Health Team</v>
      </c>
    </row>
    <row r="474" spans="4:15" s="348" customFormat="1" outlineLevel="1" x14ac:dyDescent="0.2"/>
    <row r="475" spans="4:15" s="348" customFormat="1" outlineLevel="1" collapsed="1" x14ac:dyDescent="0.2">
      <c r="D475" s="668" t="str">
        <f>Intv_BA!D2529</f>
        <v>Central</v>
      </c>
      <c r="J475" s="183">
        <v>0</v>
      </c>
      <c r="K475" s="183">
        <v>0</v>
      </c>
      <c r="L475" s="183">
        <v>0</v>
      </c>
      <c r="M475" s="183">
        <v>0</v>
      </c>
      <c r="N475" s="183">
        <v>0</v>
      </c>
      <c r="O475" s="183">
        <v>0</v>
      </c>
    </row>
    <row r="476" spans="4:15" s="348" customFormat="1" outlineLevel="1" x14ac:dyDescent="0.2">
      <c r="D476" s="668" t="str">
        <f>Intv_BA!D2530</f>
        <v>Copperbelt</v>
      </c>
      <c r="J476" s="183">
        <v>0</v>
      </c>
      <c r="K476" s="183">
        <v>0</v>
      </c>
      <c r="L476" s="183">
        <v>0</v>
      </c>
      <c r="M476" s="183">
        <v>0</v>
      </c>
      <c r="N476" s="183">
        <v>0</v>
      </c>
      <c r="O476" s="183">
        <v>0</v>
      </c>
    </row>
    <row r="477" spans="4:15" s="348" customFormat="1" outlineLevel="1" x14ac:dyDescent="0.2">
      <c r="D477" s="668" t="str">
        <f>Intv_BA!D2531</f>
        <v>Eastern</v>
      </c>
      <c r="J477" s="183">
        <v>0</v>
      </c>
      <c r="K477" s="183">
        <v>0</v>
      </c>
      <c r="L477" s="183">
        <v>0</v>
      </c>
      <c r="M477" s="183">
        <v>0</v>
      </c>
      <c r="N477" s="183">
        <v>0</v>
      </c>
      <c r="O477" s="183">
        <v>0</v>
      </c>
    </row>
    <row r="478" spans="4:15" s="348" customFormat="1" outlineLevel="1" x14ac:dyDescent="0.2">
      <c r="D478" s="668" t="str">
        <f>Intv_BA!D2532</f>
        <v>Luapula</v>
      </c>
      <c r="J478" s="183">
        <v>0</v>
      </c>
      <c r="K478" s="183">
        <v>0</v>
      </c>
      <c r="L478" s="183">
        <v>0</v>
      </c>
      <c r="M478" s="183">
        <v>0</v>
      </c>
      <c r="N478" s="183">
        <v>0</v>
      </c>
      <c r="O478" s="183">
        <v>0</v>
      </c>
    </row>
    <row r="479" spans="4:15" s="348" customFormat="1" outlineLevel="1" x14ac:dyDescent="0.2">
      <c r="D479" s="668" t="str">
        <f>Intv_BA!D2533</f>
        <v>Lusaka</v>
      </c>
      <c r="J479" s="183">
        <v>0</v>
      </c>
      <c r="K479" s="183">
        <v>0</v>
      </c>
      <c r="L479" s="183">
        <v>0</v>
      </c>
      <c r="M479" s="183">
        <v>0</v>
      </c>
      <c r="N479" s="183">
        <v>0</v>
      </c>
      <c r="O479" s="183">
        <v>0</v>
      </c>
    </row>
    <row r="480" spans="4:15" s="348" customFormat="1" outlineLevel="1" x14ac:dyDescent="0.2">
      <c r="D480" s="668" t="str">
        <f>Intv_BA!D2534</f>
        <v>Muchinga</v>
      </c>
      <c r="J480" s="183">
        <v>0</v>
      </c>
      <c r="K480" s="183">
        <v>0</v>
      </c>
      <c r="L480" s="183">
        <v>0</v>
      </c>
      <c r="M480" s="183">
        <v>0</v>
      </c>
      <c r="N480" s="183">
        <v>0</v>
      </c>
      <c r="O480" s="183">
        <v>0</v>
      </c>
    </row>
    <row r="481" spans="4:15" s="348" customFormat="1" outlineLevel="1" x14ac:dyDescent="0.2">
      <c r="D481" s="668" t="str">
        <f>Intv_BA!D2535</f>
        <v>Northern</v>
      </c>
      <c r="J481" s="183">
        <v>0</v>
      </c>
      <c r="K481" s="183">
        <v>0</v>
      </c>
      <c r="L481" s="183">
        <v>0</v>
      </c>
      <c r="M481" s="183">
        <v>0</v>
      </c>
      <c r="N481" s="183">
        <v>0</v>
      </c>
      <c r="O481" s="183">
        <v>0</v>
      </c>
    </row>
    <row r="482" spans="4:15" s="348" customFormat="1" outlineLevel="1" x14ac:dyDescent="0.2">
      <c r="D482" s="668" t="str">
        <f>Intv_BA!D2536</f>
        <v>North-Western</v>
      </c>
      <c r="J482" s="183">
        <v>0</v>
      </c>
      <c r="K482" s="183">
        <v>0</v>
      </c>
      <c r="L482" s="183">
        <v>0</v>
      </c>
      <c r="M482" s="183">
        <v>0</v>
      </c>
      <c r="N482" s="183">
        <v>0</v>
      </c>
      <c r="O482" s="183">
        <v>0</v>
      </c>
    </row>
    <row r="483" spans="4:15" s="348" customFormat="1" outlineLevel="1" x14ac:dyDescent="0.2">
      <c r="D483" s="668" t="str">
        <f>Intv_BA!D2537</f>
        <v>Southern</v>
      </c>
      <c r="J483" s="183">
        <v>0</v>
      </c>
      <c r="K483" s="183">
        <v>0</v>
      </c>
      <c r="L483" s="183">
        <v>0</v>
      </c>
      <c r="M483" s="183">
        <v>0</v>
      </c>
      <c r="N483" s="183">
        <v>0</v>
      </c>
      <c r="O483" s="183">
        <v>0</v>
      </c>
    </row>
    <row r="484" spans="4:15" s="348" customFormat="1" outlineLevel="1" x14ac:dyDescent="0.2">
      <c r="D484" s="668" t="str">
        <f>Intv_BA!D2538</f>
        <v>Western</v>
      </c>
      <c r="J484" s="183">
        <v>0</v>
      </c>
      <c r="K484" s="183">
        <v>0</v>
      </c>
      <c r="L484" s="183">
        <v>0</v>
      </c>
      <c r="M484" s="183">
        <v>0</v>
      </c>
      <c r="N484" s="183">
        <v>0</v>
      </c>
      <c r="O484" s="183">
        <v>0</v>
      </c>
    </row>
    <row r="485" spans="4:15" s="348" customFormat="1" ht="15" x14ac:dyDescent="0.2">
      <c r="D485" s="359" t="str">
        <f ca="1">"Total "&amp;D473</f>
        <v>Total PCI Mobile Health Team</v>
      </c>
      <c r="J485" s="131">
        <f t="shared" ref="J485:O485" si="30">SUM(J475:J484)</f>
        <v>0</v>
      </c>
      <c r="K485" s="131">
        <f t="shared" si="30"/>
        <v>0</v>
      </c>
      <c r="L485" s="131">
        <f t="shared" si="30"/>
        <v>0</v>
      </c>
      <c r="M485" s="131">
        <f t="shared" si="30"/>
        <v>0</v>
      </c>
      <c r="N485" s="131">
        <f t="shared" si="30"/>
        <v>0</v>
      </c>
      <c r="O485" s="131">
        <f t="shared" si="30"/>
        <v>0</v>
      </c>
    </row>
    <row r="486" spans="4:15" s="348" customFormat="1" x14ac:dyDescent="0.2">
      <c r="D486" s="721"/>
      <c r="E486" s="721"/>
      <c r="F486" s="721"/>
      <c r="G486" s="721"/>
      <c r="H486" s="721"/>
      <c r="I486" s="721"/>
    </row>
    <row r="487" spans="4:15" s="348" customFormat="1" ht="15" outlineLevel="1" x14ac:dyDescent="0.2">
      <c r="D487" s="667" t="s">
        <v>1611</v>
      </c>
      <c r="H487" s="372">
        <v>5</v>
      </c>
    </row>
    <row r="488" spans="4:15" s="348" customFormat="1" x14ac:dyDescent="0.2"/>
    <row r="489" spans="4:15" s="348" customFormat="1" ht="15" x14ac:dyDescent="0.2">
      <c r="D489" s="669" t="str">
        <f ca="1">OFFSET(Labels_BA!D16,0,H487)</f>
        <v>Gov't Mobile Health Team (Hospital)</v>
      </c>
    </row>
    <row r="490" spans="4:15" s="348" customFormat="1" outlineLevel="1" x14ac:dyDescent="0.2"/>
    <row r="491" spans="4:15" s="348" customFormat="1" outlineLevel="1" collapsed="1" x14ac:dyDescent="0.2">
      <c r="D491" s="668" t="str">
        <f>Intv_BA!D2529</f>
        <v>Central</v>
      </c>
      <c r="J491" s="183">
        <v>0</v>
      </c>
      <c r="K491" s="183">
        <v>0</v>
      </c>
      <c r="L491" s="183">
        <v>0</v>
      </c>
      <c r="M491" s="183">
        <v>0</v>
      </c>
      <c r="N491" s="183">
        <v>0</v>
      </c>
      <c r="O491" s="183">
        <v>0</v>
      </c>
    </row>
    <row r="492" spans="4:15" s="348" customFormat="1" outlineLevel="1" x14ac:dyDescent="0.2">
      <c r="D492" s="668" t="str">
        <f>Intv_BA!D2530</f>
        <v>Copperbelt</v>
      </c>
      <c r="J492" s="183">
        <v>0</v>
      </c>
      <c r="K492" s="183">
        <v>0</v>
      </c>
      <c r="L492" s="183">
        <v>0</v>
      </c>
      <c r="M492" s="183">
        <v>0</v>
      </c>
      <c r="N492" s="183">
        <v>0</v>
      </c>
      <c r="O492" s="183">
        <v>0</v>
      </c>
    </row>
    <row r="493" spans="4:15" s="348" customFormat="1" outlineLevel="1" x14ac:dyDescent="0.2">
      <c r="D493" s="668" t="str">
        <f>Intv_BA!D2531</f>
        <v>Eastern</v>
      </c>
      <c r="J493" s="183">
        <v>0</v>
      </c>
      <c r="K493" s="183">
        <v>0</v>
      </c>
      <c r="L493" s="183">
        <v>0</v>
      </c>
      <c r="M493" s="183">
        <v>0</v>
      </c>
      <c r="N493" s="183">
        <v>0</v>
      </c>
      <c r="O493" s="183">
        <v>0</v>
      </c>
    </row>
    <row r="494" spans="4:15" s="348" customFormat="1" outlineLevel="1" x14ac:dyDescent="0.2">
      <c r="D494" s="668" t="str">
        <f>Intv_BA!D2532</f>
        <v>Luapula</v>
      </c>
      <c r="J494" s="183">
        <v>0</v>
      </c>
      <c r="K494" s="183">
        <v>0</v>
      </c>
      <c r="L494" s="183">
        <v>0</v>
      </c>
      <c r="M494" s="183">
        <v>0</v>
      </c>
      <c r="N494" s="183">
        <v>0</v>
      </c>
      <c r="O494" s="183">
        <v>0</v>
      </c>
    </row>
    <row r="495" spans="4:15" s="348" customFormat="1" outlineLevel="1" x14ac:dyDescent="0.2">
      <c r="D495" s="668" t="str">
        <f>Intv_BA!D2533</f>
        <v>Lusaka</v>
      </c>
      <c r="J495" s="183">
        <v>0</v>
      </c>
      <c r="K495" s="183">
        <v>0</v>
      </c>
      <c r="L495" s="183">
        <v>0</v>
      </c>
      <c r="M495" s="183">
        <v>0</v>
      </c>
      <c r="N495" s="183">
        <v>0</v>
      </c>
      <c r="O495" s="183">
        <v>0</v>
      </c>
    </row>
    <row r="496" spans="4:15" s="348" customFormat="1" outlineLevel="1" x14ac:dyDescent="0.2">
      <c r="D496" s="668" t="str">
        <f>Intv_BA!D2534</f>
        <v>Muchinga</v>
      </c>
      <c r="J496" s="183">
        <v>0</v>
      </c>
      <c r="K496" s="183">
        <v>0</v>
      </c>
      <c r="L496" s="183">
        <v>0</v>
      </c>
      <c r="M496" s="183">
        <v>0</v>
      </c>
      <c r="N496" s="183">
        <v>0</v>
      </c>
      <c r="O496" s="183">
        <v>0</v>
      </c>
    </row>
    <row r="497" spans="4:15" s="348" customFormat="1" outlineLevel="1" x14ac:dyDescent="0.2">
      <c r="D497" s="668" t="str">
        <f>Intv_BA!D2535</f>
        <v>Northern</v>
      </c>
      <c r="J497" s="183">
        <v>0</v>
      </c>
      <c r="K497" s="183">
        <v>0</v>
      </c>
      <c r="L497" s="183">
        <v>0</v>
      </c>
      <c r="M497" s="183">
        <v>0</v>
      </c>
      <c r="N497" s="183">
        <v>0</v>
      </c>
      <c r="O497" s="183">
        <v>0</v>
      </c>
    </row>
    <row r="498" spans="4:15" s="348" customFormat="1" outlineLevel="1" x14ac:dyDescent="0.2">
      <c r="D498" s="668" t="str">
        <f>Intv_BA!D2536</f>
        <v>North-Western</v>
      </c>
      <c r="J498" s="183">
        <v>0</v>
      </c>
      <c r="K498" s="183">
        <v>0</v>
      </c>
      <c r="L498" s="183">
        <v>0</v>
      </c>
      <c r="M498" s="183">
        <v>0</v>
      </c>
      <c r="N498" s="183">
        <v>0</v>
      </c>
      <c r="O498" s="183">
        <v>0</v>
      </c>
    </row>
    <row r="499" spans="4:15" s="348" customFormat="1" outlineLevel="1" x14ac:dyDescent="0.2">
      <c r="D499" s="668" t="str">
        <f>Intv_BA!D2537</f>
        <v>Southern</v>
      </c>
      <c r="J499" s="183">
        <v>0</v>
      </c>
      <c r="K499" s="183">
        <v>0</v>
      </c>
      <c r="L499" s="183">
        <v>0</v>
      </c>
      <c r="M499" s="183">
        <v>0</v>
      </c>
      <c r="N499" s="183">
        <v>0</v>
      </c>
      <c r="O499" s="183">
        <v>0</v>
      </c>
    </row>
    <row r="500" spans="4:15" s="348" customFormat="1" outlineLevel="1" x14ac:dyDescent="0.2">
      <c r="D500" s="668" t="str">
        <f>Intv_BA!D2538</f>
        <v>Western</v>
      </c>
      <c r="J500" s="183">
        <v>0</v>
      </c>
      <c r="K500" s="183">
        <v>0</v>
      </c>
      <c r="L500" s="183">
        <v>0</v>
      </c>
      <c r="M500" s="183">
        <v>0</v>
      </c>
      <c r="N500" s="183">
        <v>0</v>
      </c>
      <c r="O500" s="183">
        <v>0</v>
      </c>
    </row>
    <row r="501" spans="4:15" s="348" customFormat="1" ht="15" x14ac:dyDescent="0.2">
      <c r="D501" s="359" t="str">
        <f ca="1">"Total "&amp;D489</f>
        <v>Total Gov't Mobile Health Team (Hospital)</v>
      </c>
      <c r="J501" s="131">
        <f t="shared" ref="J501:O501" si="31">SUM(J491:J500)</f>
        <v>0</v>
      </c>
      <c r="K501" s="131">
        <f t="shared" si="31"/>
        <v>0</v>
      </c>
      <c r="L501" s="131">
        <f t="shared" si="31"/>
        <v>0</v>
      </c>
      <c r="M501" s="131">
        <f t="shared" si="31"/>
        <v>0</v>
      </c>
      <c r="N501" s="131">
        <f t="shared" si="31"/>
        <v>0</v>
      </c>
      <c r="O501" s="131">
        <f t="shared" si="31"/>
        <v>0</v>
      </c>
    </row>
    <row r="502" spans="4:15" s="348" customFormat="1" x14ac:dyDescent="0.2">
      <c r="D502" s="721"/>
      <c r="E502" s="721"/>
      <c r="F502" s="721"/>
      <c r="G502" s="721"/>
      <c r="H502" s="721"/>
      <c r="I502" s="721"/>
    </row>
    <row r="503" spans="4:15" s="348" customFormat="1" ht="15" outlineLevel="1" x14ac:dyDescent="0.2">
      <c r="D503" s="667" t="s">
        <v>1611</v>
      </c>
      <c r="H503" s="372">
        <v>6</v>
      </c>
    </row>
    <row r="504" spans="4:15" s="348" customFormat="1" x14ac:dyDescent="0.2"/>
    <row r="505" spans="4:15" s="348" customFormat="1" ht="15" x14ac:dyDescent="0.2">
      <c r="D505" s="669" t="str">
        <f ca="1">OFFSET(Labels_BA!D16,0,H503)</f>
        <v>CIDRZ Mobile Health Team</v>
      </c>
    </row>
    <row r="506" spans="4:15" s="348" customFormat="1" outlineLevel="1" x14ac:dyDescent="0.2"/>
    <row r="507" spans="4:15" s="348" customFormat="1" outlineLevel="1" collapsed="1" x14ac:dyDescent="0.2">
      <c r="D507" s="668" t="str">
        <f>Intv_BA!D2529</f>
        <v>Central</v>
      </c>
      <c r="J507" s="183">
        <v>0</v>
      </c>
      <c r="K507" s="183">
        <v>0</v>
      </c>
      <c r="L507" s="183">
        <v>0</v>
      </c>
      <c r="M507" s="183">
        <v>0</v>
      </c>
      <c r="N507" s="183">
        <v>0</v>
      </c>
      <c r="O507" s="183">
        <v>0</v>
      </c>
    </row>
    <row r="508" spans="4:15" s="348" customFormat="1" outlineLevel="1" x14ac:dyDescent="0.2">
      <c r="D508" s="668" t="str">
        <f>Intv_BA!D2530</f>
        <v>Copperbelt</v>
      </c>
      <c r="J508" s="183">
        <v>0</v>
      </c>
      <c r="K508" s="183">
        <v>0</v>
      </c>
      <c r="L508" s="183">
        <v>0</v>
      </c>
      <c r="M508" s="183">
        <v>0</v>
      </c>
      <c r="N508" s="183">
        <v>0</v>
      </c>
      <c r="O508" s="183">
        <v>0</v>
      </c>
    </row>
    <row r="509" spans="4:15" s="348" customFormat="1" outlineLevel="1" x14ac:dyDescent="0.2">
      <c r="D509" s="668" t="str">
        <f>Intv_BA!D2531</f>
        <v>Eastern</v>
      </c>
      <c r="J509" s="183">
        <v>0</v>
      </c>
      <c r="K509" s="183">
        <v>0</v>
      </c>
      <c r="L509" s="183">
        <v>0</v>
      </c>
      <c r="M509" s="183">
        <v>0</v>
      </c>
      <c r="N509" s="183">
        <v>0</v>
      </c>
      <c r="O509" s="183">
        <v>0</v>
      </c>
    </row>
    <row r="510" spans="4:15" s="348" customFormat="1" outlineLevel="1" x14ac:dyDescent="0.2">
      <c r="D510" s="668" t="str">
        <f>Intv_BA!D2532</f>
        <v>Luapula</v>
      </c>
      <c r="J510" s="183">
        <v>0</v>
      </c>
      <c r="K510" s="183">
        <v>0</v>
      </c>
      <c r="L510" s="183">
        <v>0</v>
      </c>
      <c r="M510" s="183">
        <v>0</v>
      </c>
      <c r="N510" s="183">
        <v>0</v>
      </c>
      <c r="O510" s="183">
        <v>0</v>
      </c>
    </row>
    <row r="511" spans="4:15" s="348" customFormat="1" outlineLevel="1" x14ac:dyDescent="0.2">
      <c r="D511" s="668" t="str">
        <f>Intv_BA!D2533</f>
        <v>Lusaka</v>
      </c>
      <c r="J511" s="183">
        <v>0</v>
      </c>
      <c r="K511" s="183">
        <v>0</v>
      </c>
      <c r="L511" s="183">
        <v>0</v>
      </c>
      <c r="M511" s="183">
        <v>0</v>
      </c>
      <c r="N511" s="183">
        <v>0</v>
      </c>
      <c r="O511" s="183">
        <v>0</v>
      </c>
    </row>
    <row r="512" spans="4:15" s="348" customFormat="1" outlineLevel="1" x14ac:dyDescent="0.2">
      <c r="D512" s="668" t="str">
        <f>Intv_BA!D2534</f>
        <v>Muchinga</v>
      </c>
      <c r="J512" s="183">
        <v>0</v>
      </c>
      <c r="K512" s="183">
        <v>0</v>
      </c>
      <c r="L512" s="183">
        <v>0</v>
      </c>
      <c r="M512" s="183">
        <v>0</v>
      </c>
      <c r="N512" s="183">
        <v>0</v>
      </c>
      <c r="O512" s="183">
        <v>0</v>
      </c>
    </row>
    <row r="513" spans="4:15" s="348" customFormat="1" outlineLevel="1" x14ac:dyDescent="0.2">
      <c r="D513" s="668" t="str">
        <f>Intv_BA!D2535</f>
        <v>Northern</v>
      </c>
      <c r="J513" s="183">
        <v>0</v>
      </c>
      <c r="K513" s="183">
        <v>0</v>
      </c>
      <c r="L513" s="183">
        <v>0</v>
      </c>
      <c r="M513" s="183">
        <v>0</v>
      </c>
      <c r="N513" s="183">
        <v>0</v>
      </c>
      <c r="O513" s="183">
        <v>0</v>
      </c>
    </row>
    <row r="514" spans="4:15" s="348" customFormat="1" outlineLevel="1" x14ac:dyDescent="0.2">
      <c r="D514" s="668" t="str">
        <f>Intv_BA!D2536</f>
        <v>North-Western</v>
      </c>
      <c r="J514" s="183">
        <v>0</v>
      </c>
      <c r="K514" s="183">
        <v>0</v>
      </c>
      <c r="L514" s="183">
        <v>0</v>
      </c>
      <c r="M514" s="183">
        <v>0</v>
      </c>
      <c r="N514" s="183">
        <v>0</v>
      </c>
      <c r="O514" s="183">
        <v>0</v>
      </c>
    </row>
    <row r="515" spans="4:15" s="348" customFormat="1" outlineLevel="1" x14ac:dyDescent="0.2">
      <c r="D515" s="668" t="str">
        <f>Intv_BA!D2537</f>
        <v>Southern</v>
      </c>
      <c r="J515" s="183">
        <v>0</v>
      </c>
      <c r="K515" s="183">
        <v>0</v>
      </c>
      <c r="L515" s="183">
        <v>0</v>
      </c>
      <c r="M515" s="183">
        <v>0</v>
      </c>
      <c r="N515" s="183">
        <v>0</v>
      </c>
      <c r="O515" s="183">
        <v>0</v>
      </c>
    </row>
    <row r="516" spans="4:15" s="348" customFormat="1" outlineLevel="1" x14ac:dyDescent="0.2">
      <c r="D516" s="668" t="str">
        <f>Intv_BA!D2538</f>
        <v>Western</v>
      </c>
      <c r="J516" s="183">
        <v>0</v>
      </c>
      <c r="K516" s="183">
        <v>0</v>
      </c>
      <c r="L516" s="183">
        <v>0</v>
      </c>
      <c r="M516" s="183">
        <v>0</v>
      </c>
      <c r="N516" s="183">
        <v>0</v>
      </c>
      <c r="O516" s="183">
        <v>0</v>
      </c>
    </row>
    <row r="517" spans="4:15" s="348" customFormat="1" ht="15" x14ac:dyDescent="0.2">
      <c r="D517" s="359" t="str">
        <f ca="1">"Total "&amp;D505</f>
        <v>Total CIDRZ Mobile Health Team</v>
      </c>
      <c r="J517" s="131">
        <f t="shared" ref="J517:O517" si="32">SUM(J507:J516)</f>
        <v>0</v>
      </c>
      <c r="K517" s="131">
        <f t="shared" si="32"/>
        <v>0</v>
      </c>
      <c r="L517" s="131">
        <f t="shared" si="32"/>
        <v>0</v>
      </c>
      <c r="M517" s="131">
        <f t="shared" si="32"/>
        <v>0</v>
      </c>
      <c r="N517" s="131">
        <f t="shared" si="32"/>
        <v>0</v>
      </c>
      <c r="O517" s="131">
        <f t="shared" si="32"/>
        <v>0</v>
      </c>
    </row>
    <row r="518" spans="4:15" s="348" customFormat="1" x14ac:dyDescent="0.2">
      <c r="D518" s="721"/>
      <c r="E518" s="721"/>
      <c r="F518" s="721"/>
      <c r="G518" s="721"/>
      <c r="H518" s="721"/>
      <c r="I518" s="721"/>
    </row>
    <row r="519" spans="4:15" s="348" customFormat="1" ht="15" outlineLevel="1" x14ac:dyDescent="0.2">
      <c r="D519" s="667" t="s">
        <v>1611</v>
      </c>
      <c r="H519" s="372">
        <v>7</v>
      </c>
    </row>
    <row r="520" spans="4:15" s="348" customFormat="1" x14ac:dyDescent="0.2"/>
    <row r="521" spans="4:15" s="348" customFormat="1" ht="15" x14ac:dyDescent="0.2">
      <c r="D521" s="669" t="str">
        <f ca="1">OFFSET(Labels_BA!D16,0,H519)</f>
        <v>Facility Type 8</v>
      </c>
    </row>
    <row r="522" spans="4:15" s="348" customFormat="1" outlineLevel="1" x14ac:dyDescent="0.2"/>
    <row r="523" spans="4:15" s="348" customFormat="1" outlineLevel="1" collapsed="1" x14ac:dyDescent="0.2">
      <c r="D523" s="668" t="str">
        <f>Intv_BA!D2529</f>
        <v>Central</v>
      </c>
      <c r="J523" s="183">
        <v>0</v>
      </c>
      <c r="K523" s="183">
        <v>0</v>
      </c>
      <c r="L523" s="183">
        <v>0</v>
      </c>
      <c r="M523" s="183">
        <v>0</v>
      </c>
      <c r="N523" s="183">
        <v>0</v>
      </c>
      <c r="O523" s="183">
        <v>0</v>
      </c>
    </row>
    <row r="524" spans="4:15" s="348" customFormat="1" outlineLevel="1" x14ac:dyDescent="0.2">
      <c r="D524" s="668" t="str">
        <f>Intv_BA!D2530</f>
        <v>Copperbelt</v>
      </c>
      <c r="J524" s="183">
        <v>0</v>
      </c>
      <c r="K524" s="183">
        <v>0</v>
      </c>
      <c r="L524" s="183">
        <v>0</v>
      </c>
      <c r="M524" s="183">
        <v>0</v>
      </c>
      <c r="N524" s="183">
        <v>0</v>
      </c>
      <c r="O524" s="183">
        <v>0</v>
      </c>
    </row>
    <row r="525" spans="4:15" s="348" customFormat="1" outlineLevel="1" x14ac:dyDescent="0.2">
      <c r="D525" s="668" t="str">
        <f>Intv_BA!D2531</f>
        <v>Eastern</v>
      </c>
      <c r="J525" s="183">
        <v>0</v>
      </c>
      <c r="K525" s="183">
        <v>0</v>
      </c>
      <c r="L525" s="183">
        <v>0</v>
      </c>
      <c r="M525" s="183">
        <v>0</v>
      </c>
      <c r="N525" s="183">
        <v>0</v>
      </c>
      <c r="O525" s="183">
        <v>0</v>
      </c>
    </row>
    <row r="526" spans="4:15" s="348" customFormat="1" outlineLevel="1" x14ac:dyDescent="0.2">
      <c r="D526" s="668" t="str">
        <f>Intv_BA!D2532</f>
        <v>Luapula</v>
      </c>
      <c r="J526" s="183">
        <v>0</v>
      </c>
      <c r="K526" s="183">
        <v>0</v>
      </c>
      <c r="L526" s="183">
        <v>0</v>
      </c>
      <c r="M526" s="183">
        <v>0</v>
      </c>
      <c r="N526" s="183">
        <v>0</v>
      </c>
      <c r="O526" s="183">
        <v>0</v>
      </c>
    </row>
    <row r="527" spans="4:15" s="348" customFormat="1" outlineLevel="1" x14ac:dyDescent="0.2">
      <c r="D527" s="668" t="str">
        <f>Intv_BA!D2533</f>
        <v>Lusaka</v>
      </c>
      <c r="J527" s="183">
        <v>0</v>
      </c>
      <c r="K527" s="183">
        <v>0</v>
      </c>
      <c r="L527" s="183">
        <v>0</v>
      </c>
      <c r="M527" s="183">
        <v>0</v>
      </c>
      <c r="N527" s="183">
        <v>0</v>
      </c>
      <c r="O527" s="183">
        <v>0</v>
      </c>
    </row>
    <row r="528" spans="4:15" s="348" customFormat="1" outlineLevel="1" x14ac:dyDescent="0.2">
      <c r="D528" s="668" t="str">
        <f>Intv_BA!D2534</f>
        <v>Muchinga</v>
      </c>
      <c r="J528" s="183">
        <v>0</v>
      </c>
      <c r="K528" s="183">
        <v>0</v>
      </c>
      <c r="L528" s="183">
        <v>0</v>
      </c>
      <c r="M528" s="183">
        <v>0</v>
      </c>
      <c r="N528" s="183">
        <v>0</v>
      </c>
      <c r="O528" s="183">
        <v>0</v>
      </c>
    </row>
    <row r="529" spans="4:15" s="348" customFormat="1" outlineLevel="1" x14ac:dyDescent="0.2">
      <c r="D529" s="668" t="str">
        <f>Intv_BA!D2535</f>
        <v>Northern</v>
      </c>
      <c r="J529" s="183">
        <v>0</v>
      </c>
      <c r="K529" s="183">
        <v>0</v>
      </c>
      <c r="L529" s="183">
        <v>0</v>
      </c>
      <c r="M529" s="183">
        <v>0</v>
      </c>
      <c r="N529" s="183">
        <v>0</v>
      </c>
      <c r="O529" s="183">
        <v>0</v>
      </c>
    </row>
    <row r="530" spans="4:15" s="348" customFormat="1" outlineLevel="1" x14ac:dyDescent="0.2">
      <c r="D530" s="668" t="str">
        <f>Intv_BA!D2536</f>
        <v>North-Western</v>
      </c>
      <c r="J530" s="183">
        <v>0</v>
      </c>
      <c r="K530" s="183">
        <v>0</v>
      </c>
      <c r="L530" s="183">
        <v>0</v>
      </c>
      <c r="M530" s="183">
        <v>0</v>
      </c>
      <c r="N530" s="183">
        <v>0</v>
      </c>
      <c r="O530" s="183">
        <v>0</v>
      </c>
    </row>
    <row r="531" spans="4:15" s="348" customFormat="1" outlineLevel="1" x14ac:dyDescent="0.2">
      <c r="D531" s="668" t="str">
        <f>Intv_BA!D2537</f>
        <v>Southern</v>
      </c>
      <c r="J531" s="183">
        <v>0</v>
      </c>
      <c r="K531" s="183">
        <v>0</v>
      </c>
      <c r="L531" s="183">
        <v>0</v>
      </c>
      <c r="M531" s="183">
        <v>0</v>
      </c>
      <c r="N531" s="183">
        <v>0</v>
      </c>
      <c r="O531" s="183">
        <v>0</v>
      </c>
    </row>
    <row r="532" spans="4:15" s="348" customFormat="1" outlineLevel="1" x14ac:dyDescent="0.2">
      <c r="D532" s="668" t="str">
        <f>Intv_BA!D2538</f>
        <v>Western</v>
      </c>
      <c r="J532" s="183">
        <v>0</v>
      </c>
      <c r="K532" s="183">
        <v>0</v>
      </c>
      <c r="L532" s="183">
        <v>0</v>
      </c>
      <c r="M532" s="183">
        <v>0</v>
      </c>
      <c r="N532" s="183">
        <v>0</v>
      </c>
      <c r="O532" s="183">
        <v>0</v>
      </c>
    </row>
    <row r="533" spans="4:15" s="348" customFormat="1" ht="15" x14ac:dyDescent="0.2">
      <c r="D533" s="359" t="str">
        <f ca="1">"Total "&amp;D521</f>
        <v>Total Facility Type 8</v>
      </c>
      <c r="J533" s="131">
        <f t="shared" ref="J533:O533" si="33">SUM(J523:J532)</f>
        <v>0</v>
      </c>
      <c r="K533" s="131">
        <f t="shared" si="33"/>
        <v>0</v>
      </c>
      <c r="L533" s="131">
        <f t="shared" si="33"/>
        <v>0</v>
      </c>
      <c r="M533" s="131">
        <f t="shared" si="33"/>
        <v>0</v>
      </c>
      <c r="N533" s="131">
        <f t="shared" si="33"/>
        <v>0</v>
      </c>
      <c r="O533" s="131">
        <f t="shared" si="33"/>
        <v>0</v>
      </c>
    </row>
    <row r="534" spans="4:15" s="348" customFormat="1" x14ac:dyDescent="0.2">
      <c r="D534" s="721"/>
      <c r="E534" s="721"/>
      <c r="F534" s="721"/>
      <c r="G534" s="721"/>
      <c r="H534" s="721"/>
      <c r="I534" s="721"/>
    </row>
    <row r="535" spans="4:15" s="348" customFormat="1" ht="15" outlineLevel="1" x14ac:dyDescent="0.2">
      <c r="D535" s="667" t="s">
        <v>1611</v>
      </c>
      <c r="H535" s="372">
        <v>8</v>
      </c>
    </row>
    <row r="536" spans="4:15" s="348" customFormat="1" x14ac:dyDescent="0.2"/>
    <row r="537" spans="4:15" s="348" customFormat="1" ht="15" x14ac:dyDescent="0.2">
      <c r="D537" s="669" t="str">
        <f ca="1">OFFSET(Labels_BA!D16,0,H535)</f>
        <v>Facility Type 9</v>
      </c>
    </row>
    <row r="538" spans="4:15" s="348" customFormat="1" outlineLevel="1" x14ac:dyDescent="0.2"/>
    <row r="539" spans="4:15" s="348" customFormat="1" outlineLevel="1" collapsed="1" x14ac:dyDescent="0.2">
      <c r="D539" s="668" t="str">
        <f>Intv_BA!D2529</f>
        <v>Central</v>
      </c>
      <c r="J539" s="183">
        <v>0</v>
      </c>
      <c r="K539" s="183">
        <v>0</v>
      </c>
      <c r="L539" s="183">
        <v>0</v>
      </c>
      <c r="M539" s="183">
        <v>0</v>
      </c>
      <c r="N539" s="183">
        <v>0</v>
      </c>
      <c r="O539" s="183">
        <v>0</v>
      </c>
    </row>
    <row r="540" spans="4:15" s="348" customFormat="1" outlineLevel="1" x14ac:dyDescent="0.2">
      <c r="D540" s="668" t="str">
        <f>Intv_BA!D2530</f>
        <v>Copperbelt</v>
      </c>
      <c r="J540" s="183">
        <v>0</v>
      </c>
      <c r="K540" s="183">
        <v>0</v>
      </c>
      <c r="L540" s="183">
        <v>0</v>
      </c>
      <c r="M540" s="183">
        <v>0</v>
      </c>
      <c r="N540" s="183">
        <v>0</v>
      </c>
      <c r="O540" s="183">
        <v>0</v>
      </c>
    </row>
    <row r="541" spans="4:15" s="348" customFormat="1" outlineLevel="1" x14ac:dyDescent="0.2">
      <c r="D541" s="668" t="str">
        <f>Intv_BA!D2531</f>
        <v>Eastern</v>
      </c>
      <c r="J541" s="183">
        <v>0</v>
      </c>
      <c r="K541" s="183">
        <v>0</v>
      </c>
      <c r="L541" s="183">
        <v>0</v>
      </c>
      <c r="M541" s="183">
        <v>0</v>
      </c>
      <c r="N541" s="183">
        <v>0</v>
      </c>
      <c r="O541" s="183">
        <v>0</v>
      </c>
    </row>
    <row r="542" spans="4:15" s="348" customFormat="1" outlineLevel="1" x14ac:dyDescent="0.2">
      <c r="D542" s="668" t="str">
        <f>Intv_BA!D2532</f>
        <v>Luapula</v>
      </c>
      <c r="J542" s="183">
        <v>0</v>
      </c>
      <c r="K542" s="183">
        <v>0</v>
      </c>
      <c r="L542" s="183">
        <v>0</v>
      </c>
      <c r="M542" s="183">
        <v>0</v>
      </c>
      <c r="N542" s="183">
        <v>0</v>
      </c>
      <c r="O542" s="183">
        <v>0</v>
      </c>
    </row>
    <row r="543" spans="4:15" s="348" customFormat="1" outlineLevel="1" x14ac:dyDescent="0.2">
      <c r="D543" s="668" t="str">
        <f>Intv_BA!D2533</f>
        <v>Lusaka</v>
      </c>
      <c r="J543" s="183">
        <v>0</v>
      </c>
      <c r="K543" s="183">
        <v>0</v>
      </c>
      <c r="L543" s="183">
        <v>0</v>
      </c>
      <c r="M543" s="183">
        <v>0</v>
      </c>
      <c r="N543" s="183">
        <v>0</v>
      </c>
      <c r="O543" s="183">
        <v>0</v>
      </c>
    </row>
    <row r="544" spans="4:15" s="348" customFormat="1" outlineLevel="1" x14ac:dyDescent="0.2">
      <c r="D544" s="668" t="str">
        <f>Intv_BA!D2534</f>
        <v>Muchinga</v>
      </c>
      <c r="J544" s="183">
        <v>0</v>
      </c>
      <c r="K544" s="183">
        <v>0</v>
      </c>
      <c r="L544" s="183">
        <v>0</v>
      </c>
      <c r="M544" s="183">
        <v>0</v>
      </c>
      <c r="N544" s="183">
        <v>0</v>
      </c>
      <c r="O544" s="183">
        <v>0</v>
      </c>
    </row>
    <row r="545" spans="4:15" s="348" customFormat="1" outlineLevel="1" x14ac:dyDescent="0.2">
      <c r="D545" s="668" t="str">
        <f>Intv_BA!D2535</f>
        <v>Northern</v>
      </c>
      <c r="J545" s="183">
        <v>0</v>
      </c>
      <c r="K545" s="183">
        <v>0</v>
      </c>
      <c r="L545" s="183">
        <v>0</v>
      </c>
      <c r="M545" s="183">
        <v>0</v>
      </c>
      <c r="N545" s="183">
        <v>0</v>
      </c>
      <c r="O545" s="183">
        <v>0</v>
      </c>
    </row>
    <row r="546" spans="4:15" s="348" customFormat="1" outlineLevel="1" x14ac:dyDescent="0.2">
      <c r="D546" s="668" t="str">
        <f>Intv_BA!D2536</f>
        <v>North-Western</v>
      </c>
      <c r="J546" s="183">
        <v>0</v>
      </c>
      <c r="K546" s="183">
        <v>0</v>
      </c>
      <c r="L546" s="183">
        <v>0</v>
      </c>
      <c r="M546" s="183">
        <v>0</v>
      </c>
      <c r="N546" s="183">
        <v>0</v>
      </c>
      <c r="O546" s="183">
        <v>0</v>
      </c>
    </row>
    <row r="547" spans="4:15" s="348" customFormat="1" outlineLevel="1" x14ac:dyDescent="0.2">
      <c r="D547" s="668" t="str">
        <f>Intv_BA!D2537</f>
        <v>Southern</v>
      </c>
      <c r="J547" s="183">
        <v>0</v>
      </c>
      <c r="K547" s="183">
        <v>0</v>
      </c>
      <c r="L547" s="183">
        <v>0</v>
      </c>
      <c r="M547" s="183">
        <v>0</v>
      </c>
      <c r="N547" s="183">
        <v>0</v>
      </c>
      <c r="O547" s="183">
        <v>0</v>
      </c>
    </row>
    <row r="548" spans="4:15" s="348" customFormat="1" outlineLevel="1" x14ac:dyDescent="0.2">
      <c r="D548" s="668" t="str">
        <f>Intv_BA!D2538</f>
        <v>Western</v>
      </c>
      <c r="J548" s="183">
        <v>0</v>
      </c>
      <c r="K548" s="183">
        <v>0</v>
      </c>
      <c r="L548" s="183">
        <v>0</v>
      </c>
      <c r="M548" s="183">
        <v>0</v>
      </c>
      <c r="N548" s="183">
        <v>0</v>
      </c>
      <c r="O548" s="183">
        <v>0</v>
      </c>
    </row>
    <row r="549" spans="4:15" s="348" customFormat="1" ht="15" x14ac:dyDescent="0.2">
      <c r="D549" s="359" t="str">
        <f ca="1">"Total "&amp;D537</f>
        <v>Total Facility Type 9</v>
      </c>
      <c r="J549" s="131">
        <f t="shared" ref="J549:O549" si="34">SUM(J539:J548)</f>
        <v>0</v>
      </c>
      <c r="K549" s="131">
        <f t="shared" si="34"/>
        <v>0</v>
      </c>
      <c r="L549" s="131">
        <f t="shared" si="34"/>
        <v>0</v>
      </c>
      <c r="M549" s="131">
        <f t="shared" si="34"/>
        <v>0</v>
      </c>
      <c r="N549" s="131">
        <f t="shared" si="34"/>
        <v>0</v>
      </c>
      <c r="O549" s="131">
        <f t="shared" si="34"/>
        <v>0</v>
      </c>
    </row>
    <row r="550" spans="4:15" s="348" customFormat="1" x14ac:dyDescent="0.2">
      <c r="D550" s="721"/>
      <c r="E550" s="721"/>
      <c r="F550" s="721"/>
      <c r="G550" s="721"/>
      <c r="H550" s="721"/>
      <c r="I550" s="721"/>
    </row>
    <row r="551" spans="4:15" s="348" customFormat="1" ht="15" outlineLevel="1" x14ac:dyDescent="0.2">
      <c r="D551" s="667" t="s">
        <v>1611</v>
      </c>
      <c r="H551" s="372">
        <v>9</v>
      </c>
    </row>
    <row r="552" spans="4:15" s="348" customFormat="1" x14ac:dyDescent="0.2"/>
    <row r="553" spans="4:15" s="348" customFormat="1" ht="15" x14ac:dyDescent="0.2">
      <c r="D553" s="669" t="str">
        <f ca="1">OFFSET(Labels_BA!D16,0,H551)</f>
        <v>Facility Type 10</v>
      </c>
    </row>
    <row r="554" spans="4:15" s="348" customFormat="1" outlineLevel="1" x14ac:dyDescent="0.2"/>
    <row r="555" spans="4:15" s="348" customFormat="1" outlineLevel="1" collapsed="1" x14ac:dyDescent="0.2">
      <c r="D555" s="668" t="str">
        <f>Intv_BA!D2529</f>
        <v>Central</v>
      </c>
      <c r="J555" s="183">
        <v>0</v>
      </c>
      <c r="K555" s="183">
        <v>0</v>
      </c>
      <c r="L555" s="183">
        <v>0</v>
      </c>
      <c r="M555" s="183">
        <v>0</v>
      </c>
      <c r="N555" s="183">
        <v>0</v>
      </c>
      <c r="O555" s="183">
        <v>0</v>
      </c>
    </row>
    <row r="556" spans="4:15" s="348" customFormat="1" outlineLevel="1" x14ac:dyDescent="0.2">
      <c r="D556" s="668" t="str">
        <f>Intv_BA!D2530</f>
        <v>Copperbelt</v>
      </c>
      <c r="J556" s="183">
        <v>0</v>
      </c>
      <c r="K556" s="183">
        <v>0</v>
      </c>
      <c r="L556" s="183">
        <v>0</v>
      </c>
      <c r="M556" s="183">
        <v>0</v>
      </c>
      <c r="N556" s="183">
        <v>0</v>
      </c>
      <c r="O556" s="183">
        <v>0</v>
      </c>
    </row>
    <row r="557" spans="4:15" s="348" customFormat="1" outlineLevel="1" x14ac:dyDescent="0.2">
      <c r="D557" s="668" t="str">
        <f>Intv_BA!D2531</f>
        <v>Eastern</v>
      </c>
      <c r="J557" s="183">
        <v>0</v>
      </c>
      <c r="K557" s="183">
        <v>0</v>
      </c>
      <c r="L557" s="183">
        <v>0</v>
      </c>
      <c r="M557" s="183">
        <v>0</v>
      </c>
      <c r="N557" s="183">
        <v>0</v>
      </c>
      <c r="O557" s="183">
        <v>0</v>
      </c>
    </row>
    <row r="558" spans="4:15" s="348" customFormat="1" outlineLevel="1" x14ac:dyDescent="0.2">
      <c r="D558" s="668" t="str">
        <f>Intv_BA!D2532</f>
        <v>Luapula</v>
      </c>
      <c r="J558" s="183">
        <v>0</v>
      </c>
      <c r="K558" s="183">
        <v>0</v>
      </c>
      <c r="L558" s="183">
        <v>0</v>
      </c>
      <c r="M558" s="183">
        <v>0</v>
      </c>
      <c r="N558" s="183">
        <v>0</v>
      </c>
      <c r="O558" s="183">
        <v>0</v>
      </c>
    </row>
    <row r="559" spans="4:15" s="348" customFormat="1" outlineLevel="1" x14ac:dyDescent="0.2">
      <c r="D559" s="668" t="str">
        <f>Intv_BA!D2533</f>
        <v>Lusaka</v>
      </c>
      <c r="J559" s="183">
        <v>0</v>
      </c>
      <c r="K559" s="183">
        <v>0</v>
      </c>
      <c r="L559" s="183">
        <v>0</v>
      </c>
      <c r="M559" s="183">
        <v>0</v>
      </c>
      <c r="N559" s="183">
        <v>0</v>
      </c>
      <c r="O559" s="183">
        <v>0</v>
      </c>
    </row>
    <row r="560" spans="4:15" s="348" customFormat="1" outlineLevel="1" x14ac:dyDescent="0.2">
      <c r="D560" s="668" t="str">
        <f>Intv_BA!D2534</f>
        <v>Muchinga</v>
      </c>
      <c r="J560" s="183">
        <v>0</v>
      </c>
      <c r="K560" s="183">
        <v>0</v>
      </c>
      <c r="L560" s="183">
        <v>0</v>
      </c>
      <c r="M560" s="183">
        <v>0</v>
      </c>
      <c r="N560" s="183">
        <v>0</v>
      </c>
      <c r="O560" s="183">
        <v>0</v>
      </c>
    </row>
    <row r="561" spans="3:15" s="348" customFormat="1" outlineLevel="1" x14ac:dyDescent="0.2">
      <c r="D561" s="668" t="str">
        <f>Intv_BA!D2535</f>
        <v>Northern</v>
      </c>
      <c r="J561" s="183">
        <v>0</v>
      </c>
      <c r="K561" s="183">
        <v>0</v>
      </c>
      <c r="L561" s="183">
        <v>0</v>
      </c>
      <c r="M561" s="183">
        <v>0</v>
      </c>
      <c r="N561" s="183">
        <v>0</v>
      </c>
      <c r="O561" s="183">
        <v>0</v>
      </c>
    </row>
    <row r="562" spans="3:15" s="348" customFormat="1" outlineLevel="1" x14ac:dyDescent="0.2">
      <c r="D562" s="668" t="str">
        <f>Intv_BA!D2536</f>
        <v>North-Western</v>
      </c>
      <c r="J562" s="183">
        <v>0</v>
      </c>
      <c r="K562" s="183">
        <v>0</v>
      </c>
      <c r="L562" s="183">
        <v>0</v>
      </c>
      <c r="M562" s="183">
        <v>0</v>
      </c>
      <c r="N562" s="183">
        <v>0</v>
      </c>
      <c r="O562" s="183">
        <v>0</v>
      </c>
    </row>
    <row r="563" spans="3:15" s="348" customFormat="1" outlineLevel="1" x14ac:dyDescent="0.2">
      <c r="D563" s="668" t="str">
        <f>Intv_BA!D2537</f>
        <v>Southern</v>
      </c>
      <c r="J563" s="183">
        <v>0</v>
      </c>
      <c r="K563" s="183">
        <v>0</v>
      </c>
      <c r="L563" s="183">
        <v>0</v>
      </c>
      <c r="M563" s="183">
        <v>0</v>
      </c>
      <c r="N563" s="183">
        <v>0</v>
      </c>
      <c r="O563" s="183">
        <v>0</v>
      </c>
    </row>
    <row r="564" spans="3:15" s="348" customFormat="1" outlineLevel="1" x14ac:dyDescent="0.2">
      <c r="D564" s="668" t="str">
        <f>Intv_BA!D2538</f>
        <v>Western</v>
      </c>
      <c r="J564" s="183">
        <v>0</v>
      </c>
      <c r="K564" s="183">
        <v>0</v>
      </c>
      <c r="L564" s="183">
        <v>0</v>
      </c>
      <c r="M564" s="183">
        <v>0</v>
      </c>
      <c r="N564" s="183">
        <v>0</v>
      </c>
      <c r="O564" s="183">
        <v>0</v>
      </c>
    </row>
    <row r="565" spans="3:15" s="348" customFormat="1" ht="15" x14ac:dyDescent="0.2">
      <c r="D565" s="359" t="str">
        <f ca="1">"Total "&amp;D553</f>
        <v>Total Facility Type 10</v>
      </c>
      <c r="J565" s="131">
        <f t="shared" ref="J565:O565" si="35">SUM(J555:J564)</f>
        <v>0</v>
      </c>
      <c r="K565" s="131">
        <f t="shared" si="35"/>
        <v>0</v>
      </c>
      <c r="L565" s="131">
        <f t="shared" si="35"/>
        <v>0</v>
      </c>
      <c r="M565" s="131">
        <f t="shared" si="35"/>
        <v>0</v>
      </c>
      <c r="N565" s="131">
        <f t="shared" si="35"/>
        <v>0</v>
      </c>
      <c r="O565" s="131">
        <f t="shared" si="35"/>
        <v>0</v>
      </c>
    </row>
    <row r="566" spans="3:15" s="348" customFormat="1" x14ac:dyDescent="0.2">
      <c r="D566" s="721"/>
      <c r="E566" s="721"/>
      <c r="F566" s="721"/>
      <c r="G566" s="721"/>
      <c r="H566" s="721"/>
      <c r="I566" s="721"/>
    </row>
    <row r="567" spans="3:15" s="348" customFormat="1" x14ac:dyDescent="0.2"/>
    <row r="568" spans="3:15" s="348" customFormat="1" x14ac:dyDescent="0.2"/>
    <row r="569" spans="3:15" s="348" customFormat="1" x14ac:dyDescent="0.2"/>
    <row r="570" spans="3:15" s="348" customFormat="1" ht="15.75" x14ac:dyDescent="0.2">
      <c r="C570" s="664" t="s">
        <v>141</v>
      </c>
    </row>
    <row r="571" spans="3:15" s="348" customFormat="1" x14ac:dyDescent="0.2"/>
    <row r="572" spans="3:15" s="348" customFormat="1" ht="17.25" customHeight="1" x14ac:dyDescent="0.2">
      <c r="D572" s="671" t="s">
        <v>184</v>
      </c>
      <c r="H572" s="677" t="b">
        <v>1</v>
      </c>
    </row>
    <row r="573" spans="3:15" s="348" customFormat="1" outlineLevel="1" x14ac:dyDescent="0.2"/>
    <row r="574" spans="3:15" s="348" customFormat="1" ht="15" outlineLevel="1" x14ac:dyDescent="0.2">
      <c r="D574" s="669" t="str">
        <f>Labels_BA!G10</f>
        <v>Province</v>
      </c>
    </row>
    <row r="575" spans="3:15" s="348" customFormat="1" outlineLevel="1" x14ac:dyDescent="0.2">
      <c r="D575" s="668" t="str">
        <f>Intv_BA!D2529</f>
        <v>Central</v>
      </c>
      <c r="J575" s="119">
        <f ca="1">Reg_Pop_Ann_TO!J361</f>
        <v>5788</v>
      </c>
      <c r="K575" s="119">
        <f ca="1">Reg_Pop_Ann_TO!K361</f>
        <v>5788</v>
      </c>
      <c r="L575" s="119">
        <f ca="1">Reg_Pop_Ann_TO!L361</f>
        <v>5788</v>
      </c>
      <c r="M575" s="119">
        <f ca="1">Reg_Pop_Ann_TO!M361</f>
        <v>5788</v>
      </c>
      <c r="N575" s="119">
        <f ca="1">Reg_Pop_Ann_TO!N361</f>
        <v>5788</v>
      </c>
      <c r="O575" s="119">
        <f ca="1">Reg_Pop_Ann_TO!O361</f>
        <v>5788</v>
      </c>
    </row>
    <row r="576" spans="3:15" s="348" customFormat="1" outlineLevel="1" x14ac:dyDescent="0.2">
      <c r="D576" s="668" t="str">
        <f>Intv_BA!D2530</f>
        <v>Copperbelt</v>
      </c>
      <c r="J576" s="119">
        <f ca="1">Reg_Pop_Ann_TO!J362</f>
        <v>8128</v>
      </c>
      <c r="K576" s="119">
        <f ca="1">Reg_Pop_Ann_TO!K362</f>
        <v>8128</v>
      </c>
      <c r="L576" s="119">
        <f ca="1">Reg_Pop_Ann_TO!L362</f>
        <v>8128</v>
      </c>
      <c r="M576" s="119">
        <f ca="1">Reg_Pop_Ann_TO!M362</f>
        <v>8128</v>
      </c>
      <c r="N576" s="119">
        <f ca="1">Reg_Pop_Ann_TO!N362</f>
        <v>8128</v>
      </c>
      <c r="O576" s="119">
        <f ca="1">Reg_Pop_Ann_TO!O362</f>
        <v>8128</v>
      </c>
    </row>
    <row r="577" spans="3:15" s="348" customFormat="1" outlineLevel="1" x14ac:dyDescent="0.2">
      <c r="D577" s="668" t="str">
        <f>Intv_BA!D2531</f>
        <v>Eastern</v>
      </c>
      <c r="J577" s="119">
        <f ca="1">Reg_Pop_Ann_TO!J363</f>
        <v>10468</v>
      </c>
      <c r="K577" s="119">
        <f ca="1">Reg_Pop_Ann_TO!K363</f>
        <v>10468</v>
      </c>
      <c r="L577" s="119">
        <f ca="1">Reg_Pop_Ann_TO!L363</f>
        <v>10468</v>
      </c>
      <c r="M577" s="119">
        <f ca="1">Reg_Pop_Ann_TO!M363</f>
        <v>10468</v>
      </c>
      <c r="N577" s="119">
        <f ca="1">Reg_Pop_Ann_TO!N363</f>
        <v>10468</v>
      </c>
      <c r="O577" s="119">
        <f ca="1">Reg_Pop_Ann_TO!O363</f>
        <v>10468</v>
      </c>
    </row>
    <row r="578" spans="3:15" s="348" customFormat="1" outlineLevel="1" x14ac:dyDescent="0.2">
      <c r="D578" s="668" t="str">
        <f>Intv_BA!D2532</f>
        <v>Luapula</v>
      </c>
      <c r="J578" s="119">
        <f ca="1">Reg_Pop_Ann_TO!J364</f>
        <v>8128</v>
      </c>
      <c r="K578" s="119">
        <f ca="1">Reg_Pop_Ann_TO!K364</f>
        <v>8128</v>
      </c>
      <c r="L578" s="119">
        <f ca="1">Reg_Pop_Ann_TO!L364</f>
        <v>8128</v>
      </c>
      <c r="M578" s="119">
        <f ca="1">Reg_Pop_Ann_TO!M364</f>
        <v>8128</v>
      </c>
      <c r="N578" s="119">
        <f ca="1">Reg_Pop_Ann_TO!N364</f>
        <v>8128</v>
      </c>
      <c r="O578" s="119">
        <f ca="1">Reg_Pop_Ann_TO!O364</f>
        <v>8128</v>
      </c>
    </row>
    <row r="579" spans="3:15" s="348" customFormat="1" outlineLevel="1" x14ac:dyDescent="0.2">
      <c r="D579" s="668" t="str">
        <f>Intv_BA!D2533</f>
        <v>Lusaka</v>
      </c>
      <c r="J579" s="119">
        <f ca="1">Reg_Pop_Ann_TO!J365</f>
        <v>29188</v>
      </c>
      <c r="K579" s="119">
        <f ca="1">Reg_Pop_Ann_TO!K365</f>
        <v>29188</v>
      </c>
      <c r="L579" s="119">
        <f ca="1">Reg_Pop_Ann_TO!L365</f>
        <v>29188</v>
      </c>
      <c r="M579" s="119">
        <f ca="1">Reg_Pop_Ann_TO!M365</f>
        <v>29188</v>
      </c>
      <c r="N579" s="119">
        <f ca="1">Reg_Pop_Ann_TO!N365</f>
        <v>29188</v>
      </c>
      <c r="O579" s="119">
        <f ca="1">Reg_Pop_Ann_TO!O365</f>
        <v>29188</v>
      </c>
    </row>
    <row r="580" spans="3:15" s="348" customFormat="1" outlineLevel="1" x14ac:dyDescent="0.2">
      <c r="D580" s="668" t="str">
        <f>Intv_BA!D2534</f>
        <v>Muchinga</v>
      </c>
      <c r="J580" s="119">
        <f ca="1">Reg_Pop_Ann_TO!J366</f>
        <v>554</v>
      </c>
      <c r="K580" s="119">
        <f ca="1">Reg_Pop_Ann_TO!K366</f>
        <v>554</v>
      </c>
      <c r="L580" s="119">
        <f ca="1">Reg_Pop_Ann_TO!L366</f>
        <v>554</v>
      </c>
      <c r="M580" s="119">
        <f ca="1">Reg_Pop_Ann_TO!M366</f>
        <v>554</v>
      </c>
      <c r="N580" s="119">
        <f ca="1">Reg_Pop_Ann_TO!N366</f>
        <v>554</v>
      </c>
      <c r="O580" s="119">
        <f ca="1">Reg_Pop_Ann_TO!O366</f>
        <v>554</v>
      </c>
    </row>
    <row r="581" spans="3:15" s="348" customFormat="1" outlineLevel="1" x14ac:dyDescent="0.2">
      <c r="D581" s="668" t="str">
        <f>Intv_BA!D2535</f>
        <v>Northern</v>
      </c>
      <c r="J581" s="119">
        <f ca="1">Reg_Pop_Ann_TO!J367</f>
        <v>2894</v>
      </c>
      <c r="K581" s="119">
        <f ca="1">Reg_Pop_Ann_TO!K367</f>
        <v>2894</v>
      </c>
      <c r="L581" s="119">
        <f ca="1">Reg_Pop_Ann_TO!L367</f>
        <v>2894</v>
      </c>
      <c r="M581" s="119">
        <f ca="1">Reg_Pop_Ann_TO!M367</f>
        <v>2894</v>
      </c>
      <c r="N581" s="119">
        <f ca="1">Reg_Pop_Ann_TO!N367</f>
        <v>2894</v>
      </c>
      <c r="O581" s="119">
        <f ca="1">Reg_Pop_Ann_TO!O367</f>
        <v>2894</v>
      </c>
    </row>
    <row r="582" spans="3:15" s="348" customFormat="1" outlineLevel="1" x14ac:dyDescent="0.2">
      <c r="D582" s="668" t="str">
        <f>Intv_BA!D2536</f>
        <v>North-Western</v>
      </c>
      <c r="J582" s="119">
        <f ca="1">Reg_Pop_Ann_TO!J368</f>
        <v>3448</v>
      </c>
      <c r="K582" s="119">
        <f ca="1">Reg_Pop_Ann_TO!K368</f>
        <v>3448</v>
      </c>
      <c r="L582" s="119">
        <f ca="1">Reg_Pop_Ann_TO!L368</f>
        <v>3448</v>
      </c>
      <c r="M582" s="119">
        <f ca="1">Reg_Pop_Ann_TO!M368</f>
        <v>3448</v>
      </c>
      <c r="N582" s="119">
        <f ca="1">Reg_Pop_Ann_TO!N368</f>
        <v>3448</v>
      </c>
      <c r="O582" s="119">
        <f ca="1">Reg_Pop_Ann_TO!O368</f>
        <v>3448</v>
      </c>
    </row>
    <row r="583" spans="3:15" s="348" customFormat="1" outlineLevel="1" x14ac:dyDescent="0.2">
      <c r="D583" s="668" t="str">
        <f>Intv_BA!D2537</f>
        <v>Southern</v>
      </c>
      <c r="J583" s="119">
        <f ca="1">Reg_Pop_Ann_TO!J369</f>
        <v>8128</v>
      </c>
      <c r="K583" s="119">
        <f ca="1">Reg_Pop_Ann_TO!K369</f>
        <v>8128</v>
      </c>
      <c r="L583" s="119">
        <f ca="1">Reg_Pop_Ann_TO!L369</f>
        <v>8128</v>
      </c>
      <c r="M583" s="119">
        <f ca="1">Reg_Pop_Ann_TO!M369</f>
        <v>8128</v>
      </c>
      <c r="N583" s="119">
        <f ca="1">Reg_Pop_Ann_TO!N369</f>
        <v>8128</v>
      </c>
      <c r="O583" s="119">
        <f ca="1">Reg_Pop_Ann_TO!O369</f>
        <v>8128</v>
      </c>
    </row>
    <row r="584" spans="3:15" s="348" customFormat="1" outlineLevel="1" x14ac:dyDescent="0.2">
      <c r="D584" s="668" t="str">
        <f>Intv_BA!D2538</f>
        <v>Western</v>
      </c>
      <c r="J584" s="119">
        <f ca="1">Reg_Pop_Ann_TO!J370</f>
        <v>8128</v>
      </c>
      <c r="K584" s="119">
        <f ca="1">Reg_Pop_Ann_TO!K370</f>
        <v>8128</v>
      </c>
      <c r="L584" s="119">
        <f ca="1">Reg_Pop_Ann_TO!L370</f>
        <v>8128</v>
      </c>
      <c r="M584" s="119">
        <f ca="1">Reg_Pop_Ann_TO!M370</f>
        <v>8128</v>
      </c>
      <c r="N584" s="119">
        <f ca="1">Reg_Pop_Ann_TO!N370</f>
        <v>8128</v>
      </c>
      <c r="O584" s="119">
        <f ca="1">Reg_Pop_Ann_TO!O370</f>
        <v>8128</v>
      </c>
    </row>
    <row r="585" spans="3:15" s="348" customFormat="1" ht="12.95" customHeight="1" x14ac:dyDescent="0.2">
      <c r="D585" s="359" t="str">
        <f>"Total "&amp;C570</f>
        <v>Total Screened Population</v>
      </c>
      <c r="J585" s="164">
        <f t="shared" ref="J585:O585" ca="1" si="36">SUM(J575:J584)</f>
        <v>84852</v>
      </c>
      <c r="K585" s="164">
        <f t="shared" ca="1" si="36"/>
        <v>84852</v>
      </c>
      <c r="L585" s="164">
        <f t="shared" ca="1" si="36"/>
        <v>84852</v>
      </c>
      <c r="M585" s="164">
        <f t="shared" ca="1" si="36"/>
        <v>84852</v>
      </c>
      <c r="N585" s="164">
        <f t="shared" ca="1" si="36"/>
        <v>84852</v>
      </c>
      <c r="O585" s="164">
        <f t="shared" ca="1" si="36"/>
        <v>84852</v>
      </c>
    </row>
    <row r="586" spans="3:15" s="348" customFormat="1" x14ac:dyDescent="0.2"/>
    <row r="587" spans="3:15" s="348" customFormat="1" ht="15.75" x14ac:dyDescent="0.2">
      <c r="C587" s="664" t="s">
        <v>212</v>
      </c>
    </row>
    <row r="588" spans="3:15" s="348" customFormat="1" outlineLevel="1" x14ac:dyDescent="0.2"/>
    <row r="589" spans="3:15" s="348" customFormat="1" ht="15" outlineLevel="1" x14ac:dyDescent="0.2">
      <c r="D589" s="667" t="s">
        <v>167</v>
      </c>
    </row>
    <row r="590" spans="3:15" s="348" customFormat="1" ht="10.5" customHeight="1" outlineLevel="1" x14ac:dyDescent="0.2">
      <c r="D590" s="785" t="str">
        <f>Econ_Ann_TA!D13</f>
        <v>USD</v>
      </c>
      <c r="E590" s="786"/>
      <c r="F590" s="786"/>
      <c r="G590" s="786"/>
      <c r="J590" s="137">
        <f>Econ_Ann_TA!J13</f>
        <v>1</v>
      </c>
      <c r="K590" s="137">
        <f>Econ_Ann_TA!K13</f>
        <v>1</v>
      </c>
      <c r="L590" s="137">
        <f>Econ_Ann_TA!L13</f>
        <v>1</v>
      </c>
      <c r="M590" s="137">
        <f>Econ_Ann_TA!M13</f>
        <v>1</v>
      </c>
      <c r="N590" s="137">
        <f>Econ_Ann_TA!N13</f>
        <v>1</v>
      </c>
      <c r="O590" s="137">
        <f>Econ_Ann_TA!O13</f>
        <v>1</v>
      </c>
    </row>
    <row r="591" spans="3:15" s="348" customFormat="1" outlineLevel="1" x14ac:dyDescent="0.2">
      <c r="D591" s="785" t="str">
        <f>Econ_Ann_TA!D14</f>
        <v>ZMW</v>
      </c>
      <c r="E591" s="786"/>
      <c r="F591" s="786"/>
      <c r="G591" s="786"/>
      <c r="J591" s="137">
        <f>Econ_Ann_TA!J14</f>
        <v>10.971399999999999</v>
      </c>
      <c r="K591" s="137">
        <f>Econ_Ann_TA!K14</f>
        <v>10.971399999999999</v>
      </c>
      <c r="L591" s="137">
        <f>Econ_Ann_TA!L14</f>
        <v>10.971399999999999</v>
      </c>
      <c r="M591" s="137">
        <f>Econ_Ann_TA!M14</f>
        <v>10.971399999999999</v>
      </c>
      <c r="N591" s="137">
        <f>Econ_Ann_TA!N14</f>
        <v>10.971399999999999</v>
      </c>
      <c r="O591" s="137">
        <f>Econ_Ann_TA!O14</f>
        <v>10.971399999999999</v>
      </c>
    </row>
    <row r="592" spans="3:15" s="348" customFormat="1" x14ac:dyDescent="0.2"/>
    <row r="593" spans="2:15" s="348" customFormat="1" x14ac:dyDescent="0.2">
      <c r="C593" s="722" t="str">
        <f>"Go to "&amp;HL_Intv_5_Ass</f>
        <v>Go to Surgery (Radical Hysterectomy plus Stump Removal)</v>
      </c>
      <c r="D593" s="777"/>
      <c r="E593" s="777"/>
      <c r="F593" s="777"/>
      <c r="G593" s="777"/>
      <c r="H593" s="777"/>
      <c r="I593" s="777"/>
    </row>
    <row r="594" spans="2:15" s="348" customFormat="1" x14ac:dyDescent="0.2">
      <c r="C594" s="722" t="str">
        <f>"Go to "&amp;HL_Intv_5_Out</f>
        <v>Go to Surgery (Radical Hysterectomy plus Stump Removal)</v>
      </c>
      <c r="D594" s="777"/>
      <c r="E594" s="777"/>
      <c r="F594" s="777"/>
      <c r="G594" s="777"/>
      <c r="H594" s="777"/>
      <c r="I594" s="777"/>
    </row>
    <row r="595" spans="2:15" s="348" customFormat="1" x14ac:dyDescent="0.2"/>
    <row r="596" spans="2:15" s="348" customFormat="1" x14ac:dyDescent="0.2"/>
    <row r="597" spans="2:15" s="348" customFormat="1" ht="18.75" x14ac:dyDescent="0.2">
      <c r="B597" s="425" t="s">
        <v>1627</v>
      </c>
    </row>
    <row r="598" spans="2:15" s="348" customFormat="1" x14ac:dyDescent="0.2"/>
    <row r="599" spans="2:15" s="348" customFormat="1" ht="18.75" x14ac:dyDescent="0.2">
      <c r="B599" s="498" t="str">
        <f>HL_Intv_3_Ass</f>
        <v>Chemotherapy</v>
      </c>
    </row>
    <row r="600" spans="2:15" s="348" customFormat="1" x14ac:dyDescent="0.2"/>
    <row r="601" spans="2:15" s="348" customFormat="1" ht="15.75" x14ac:dyDescent="0.2">
      <c r="C601" s="124" t="str">
        <f>"Assumed Numbers of Active Facilities Offering "&amp;B599&amp;" - By Type, Service Area, and Year."</f>
        <v>Assumed Numbers of Active Facilities Offering Chemotherapy - By Type, Service Area, and Year.</v>
      </c>
    </row>
    <row r="602" spans="2:15" s="348" customFormat="1" ht="15" outlineLevel="1" x14ac:dyDescent="0.2">
      <c r="D602" s="667" t="s">
        <v>1611</v>
      </c>
      <c r="H602" s="372">
        <v>0</v>
      </c>
    </row>
    <row r="603" spans="2:15" s="348" customFormat="1" x14ac:dyDescent="0.2"/>
    <row r="604" spans="2:15" s="348" customFormat="1" ht="15" x14ac:dyDescent="0.2">
      <c r="D604" s="669" t="str">
        <f ca="1">OFFSET(Labels_BA!D16,0,H602)</f>
        <v>Central Referral Hospital</v>
      </c>
    </row>
    <row r="605" spans="2:15" s="348" customFormat="1" outlineLevel="1" x14ac:dyDescent="0.2"/>
    <row r="606" spans="2:15" s="348" customFormat="1" outlineLevel="2" x14ac:dyDescent="0.2">
      <c r="D606" s="668" t="str">
        <f>Intv_BA!D1345</f>
        <v>Central</v>
      </c>
      <c r="J606" s="183">
        <v>0</v>
      </c>
      <c r="K606" s="183">
        <v>0</v>
      </c>
      <c r="L606" s="183">
        <v>0</v>
      </c>
      <c r="M606" s="183">
        <v>0</v>
      </c>
      <c r="N606" s="183">
        <v>0</v>
      </c>
      <c r="O606" s="183">
        <v>0</v>
      </c>
    </row>
    <row r="607" spans="2:15" s="348" customFormat="1" outlineLevel="2" x14ac:dyDescent="0.2">
      <c r="D607" s="668" t="str">
        <f>Intv_BA!D1346</f>
        <v>Copperbelt</v>
      </c>
      <c r="J607" s="183"/>
      <c r="K607" s="183"/>
      <c r="L607" s="183"/>
      <c r="M607" s="183"/>
      <c r="N607" s="183">
        <v>1</v>
      </c>
      <c r="O607" s="183">
        <v>1</v>
      </c>
    </row>
    <row r="608" spans="2:15" s="348" customFormat="1" outlineLevel="2" x14ac:dyDescent="0.2">
      <c r="D608" s="668" t="str">
        <f>Intv_BA!D1347</f>
        <v>Eastern</v>
      </c>
      <c r="J608" s="183">
        <v>0</v>
      </c>
      <c r="K608" s="183">
        <v>0</v>
      </c>
      <c r="L608" s="183">
        <v>0</v>
      </c>
      <c r="M608" s="183">
        <v>0</v>
      </c>
      <c r="N608" s="183"/>
      <c r="O608" s="183">
        <v>0</v>
      </c>
    </row>
    <row r="609" spans="4:15" s="348" customFormat="1" outlineLevel="2" x14ac:dyDescent="0.2">
      <c r="D609" s="668" t="str">
        <f>Intv_BA!D1348</f>
        <v>Luapula</v>
      </c>
      <c r="J609" s="183">
        <v>0</v>
      </c>
      <c r="K609" s="183">
        <v>0</v>
      </c>
      <c r="L609" s="183">
        <v>0</v>
      </c>
      <c r="M609" s="183">
        <v>0</v>
      </c>
      <c r="N609" s="183">
        <v>0</v>
      </c>
      <c r="O609" s="183">
        <v>0</v>
      </c>
    </row>
    <row r="610" spans="4:15" s="348" customFormat="1" outlineLevel="2" x14ac:dyDescent="0.2">
      <c r="D610" s="668" t="str">
        <f>Intv_BA!D1349</f>
        <v>Lusaka</v>
      </c>
      <c r="J610" s="183">
        <v>1</v>
      </c>
      <c r="K610" s="183">
        <v>1</v>
      </c>
      <c r="L610" s="183">
        <v>1</v>
      </c>
      <c r="M610" s="183">
        <v>1</v>
      </c>
      <c r="N610" s="183">
        <v>1</v>
      </c>
      <c r="O610" s="183">
        <v>1</v>
      </c>
    </row>
    <row r="611" spans="4:15" s="348" customFormat="1" outlineLevel="2" x14ac:dyDescent="0.2">
      <c r="D611" s="668" t="str">
        <f>Intv_BA!D1350</f>
        <v>Muchinga</v>
      </c>
      <c r="J611" s="183">
        <v>0</v>
      </c>
      <c r="K611" s="183">
        <v>0</v>
      </c>
      <c r="L611" s="183">
        <v>0</v>
      </c>
      <c r="M611" s="183">
        <v>0</v>
      </c>
      <c r="N611" s="183">
        <v>0</v>
      </c>
      <c r="O611" s="183">
        <v>0</v>
      </c>
    </row>
    <row r="612" spans="4:15" s="348" customFormat="1" outlineLevel="2" x14ac:dyDescent="0.2">
      <c r="D612" s="668" t="str">
        <f>Intv_BA!D1351</f>
        <v>Northern</v>
      </c>
      <c r="J612" s="183">
        <v>0</v>
      </c>
      <c r="K612" s="183">
        <v>0</v>
      </c>
      <c r="L612" s="183">
        <v>0</v>
      </c>
      <c r="M612" s="183">
        <v>0</v>
      </c>
      <c r="N612" s="183">
        <v>0</v>
      </c>
      <c r="O612" s="183">
        <v>0</v>
      </c>
    </row>
    <row r="613" spans="4:15" s="348" customFormat="1" outlineLevel="2" x14ac:dyDescent="0.2">
      <c r="D613" s="668" t="str">
        <f>Intv_BA!D1352</f>
        <v>North-Western</v>
      </c>
      <c r="J613" s="183">
        <v>0</v>
      </c>
      <c r="K613" s="183">
        <v>0</v>
      </c>
      <c r="L613" s="183">
        <v>0</v>
      </c>
      <c r="M613" s="183">
        <v>0</v>
      </c>
      <c r="N613" s="183">
        <v>0</v>
      </c>
      <c r="O613" s="183">
        <v>0</v>
      </c>
    </row>
    <row r="614" spans="4:15" s="348" customFormat="1" outlineLevel="2" x14ac:dyDescent="0.2">
      <c r="D614" s="668" t="str">
        <f>Intv_BA!D1353</f>
        <v>Southern</v>
      </c>
      <c r="J614" s="183">
        <v>0</v>
      </c>
      <c r="K614" s="183">
        <v>0</v>
      </c>
      <c r="L614" s="183">
        <v>0</v>
      </c>
      <c r="M614" s="183">
        <v>0</v>
      </c>
      <c r="N614" s="183"/>
      <c r="O614" s="183"/>
    </row>
    <row r="615" spans="4:15" s="348" customFormat="1" outlineLevel="2" x14ac:dyDescent="0.2">
      <c r="D615" s="668" t="str">
        <f>Intv_BA!D1354</f>
        <v>Western</v>
      </c>
      <c r="J615" s="183">
        <v>0</v>
      </c>
      <c r="K615" s="183">
        <v>0</v>
      </c>
      <c r="L615" s="183">
        <v>0</v>
      </c>
      <c r="M615" s="183">
        <v>0</v>
      </c>
      <c r="N615" s="183">
        <v>1</v>
      </c>
      <c r="O615" s="183">
        <v>1</v>
      </c>
    </row>
    <row r="616" spans="4:15" s="348" customFormat="1" ht="15" x14ac:dyDescent="0.2">
      <c r="D616" s="359" t="str">
        <f ca="1">"Total "&amp;D604</f>
        <v>Total Central Referral Hospital</v>
      </c>
      <c r="J616" s="131">
        <f t="shared" ref="J616:O616" si="37">SUM(J606:J615)</f>
        <v>1</v>
      </c>
      <c r="K616" s="131">
        <f t="shared" si="37"/>
        <v>1</v>
      </c>
      <c r="L616" s="131">
        <f t="shared" si="37"/>
        <v>1</v>
      </c>
      <c r="M616" s="131">
        <f t="shared" si="37"/>
        <v>1</v>
      </c>
      <c r="N616" s="131">
        <f t="shared" si="37"/>
        <v>3</v>
      </c>
      <c r="O616" s="131">
        <f t="shared" si="37"/>
        <v>3</v>
      </c>
    </row>
    <row r="617" spans="4:15" s="348" customFormat="1" x14ac:dyDescent="0.2">
      <c r="D617" s="721"/>
      <c r="E617" s="721"/>
      <c r="F617" s="721"/>
      <c r="G617" s="721"/>
      <c r="H617" s="721"/>
      <c r="I617" s="721"/>
    </row>
    <row r="618" spans="4:15" s="348" customFormat="1" ht="15" outlineLevel="1" x14ac:dyDescent="0.2">
      <c r="D618" s="667" t="s">
        <v>1611</v>
      </c>
      <c r="H618" s="372">
        <v>1</v>
      </c>
    </row>
    <row r="619" spans="4:15" s="348" customFormat="1" x14ac:dyDescent="0.2"/>
    <row r="620" spans="4:15" s="348" customFormat="1" ht="15" x14ac:dyDescent="0.2">
      <c r="D620" s="669" t="str">
        <f ca="1">OFFSET(Labels_BA!D16,0,H618)</f>
        <v>Provincial Hospital</v>
      </c>
    </row>
    <row r="621" spans="4:15" s="348" customFormat="1" outlineLevel="1" x14ac:dyDescent="0.2"/>
    <row r="622" spans="4:15" s="348" customFormat="1" outlineLevel="2" x14ac:dyDescent="0.2">
      <c r="D622" s="668" t="str">
        <f>Intv_BA!D1345</f>
        <v>Central</v>
      </c>
      <c r="J622" s="183">
        <v>0</v>
      </c>
      <c r="K622" s="183">
        <v>0</v>
      </c>
      <c r="L622" s="183">
        <v>0</v>
      </c>
      <c r="M622" s="183">
        <v>0</v>
      </c>
      <c r="N622" s="183">
        <v>0</v>
      </c>
      <c r="O622" s="183">
        <v>0</v>
      </c>
    </row>
    <row r="623" spans="4:15" s="348" customFormat="1" outlineLevel="2" x14ac:dyDescent="0.2">
      <c r="D623" s="668" t="str">
        <f>Intv_BA!D1346</f>
        <v>Copperbelt</v>
      </c>
      <c r="J623" s="183">
        <v>0</v>
      </c>
      <c r="K623" s="183">
        <v>0</v>
      </c>
      <c r="L623" s="183">
        <v>0</v>
      </c>
      <c r="M623" s="183">
        <v>0</v>
      </c>
      <c r="N623" s="183">
        <v>0</v>
      </c>
      <c r="O623" s="183">
        <v>0</v>
      </c>
    </row>
    <row r="624" spans="4:15" s="348" customFormat="1" outlineLevel="2" x14ac:dyDescent="0.2">
      <c r="D624" s="668" t="str">
        <f>Intv_BA!D1347</f>
        <v>Eastern</v>
      </c>
      <c r="J624" s="183">
        <v>0</v>
      </c>
      <c r="K624" s="183">
        <v>0</v>
      </c>
      <c r="L624" s="183">
        <v>0</v>
      </c>
      <c r="M624" s="183">
        <v>0</v>
      </c>
      <c r="N624" s="183">
        <v>0</v>
      </c>
      <c r="O624" s="183">
        <v>0</v>
      </c>
    </row>
    <row r="625" spans="4:15" s="348" customFormat="1" outlineLevel="2" x14ac:dyDescent="0.2">
      <c r="D625" s="668" t="str">
        <f>Intv_BA!D1348</f>
        <v>Luapula</v>
      </c>
      <c r="J625" s="183">
        <v>0</v>
      </c>
      <c r="K625" s="183">
        <v>0</v>
      </c>
      <c r="L625" s="183">
        <v>0</v>
      </c>
      <c r="M625" s="183">
        <v>0</v>
      </c>
      <c r="N625" s="183">
        <v>0</v>
      </c>
      <c r="O625" s="183">
        <v>0</v>
      </c>
    </row>
    <row r="626" spans="4:15" s="348" customFormat="1" outlineLevel="2" x14ac:dyDescent="0.2">
      <c r="D626" s="668" t="str">
        <f>Intv_BA!D1349</f>
        <v>Lusaka</v>
      </c>
      <c r="J626" s="183">
        <v>0</v>
      </c>
      <c r="K626" s="183">
        <v>0</v>
      </c>
      <c r="L626" s="183">
        <v>0</v>
      </c>
      <c r="M626" s="183">
        <v>0</v>
      </c>
      <c r="N626" s="183">
        <v>0</v>
      </c>
      <c r="O626" s="183">
        <v>0</v>
      </c>
    </row>
    <row r="627" spans="4:15" s="348" customFormat="1" outlineLevel="2" x14ac:dyDescent="0.2">
      <c r="D627" s="668" t="str">
        <f>Intv_BA!D1350</f>
        <v>Muchinga</v>
      </c>
      <c r="J627" s="183">
        <v>0</v>
      </c>
      <c r="K627" s="183">
        <v>0</v>
      </c>
      <c r="L627" s="183">
        <v>0</v>
      </c>
      <c r="M627" s="183">
        <v>0</v>
      </c>
      <c r="N627" s="183">
        <v>0</v>
      </c>
      <c r="O627" s="183">
        <v>0</v>
      </c>
    </row>
    <row r="628" spans="4:15" s="348" customFormat="1" outlineLevel="2" x14ac:dyDescent="0.2">
      <c r="D628" s="668" t="str">
        <f>Intv_BA!D1351</f>
        <v>Northern</v>
      </c>
      <c r="J628" s="183">
        <v>0</v>
      </c>
      <c r="K628" s="183">
        <v>0</v>
      </c>
      <c r="L628" s="183">
        <v>0</v>
      </c>
      <c r="M628" s="183">
        <v>0</v>
      </c>
      <c r="N628" s="183">
        <v>0</v>
      </c>
      <c r="O628" s="183">
        <v>0</v>
      </c>
    </row>
    <row r="629" spans="4:15" s="348" customFormat="1" outlineLevel="2" x14ac:dyDescent="0.2">
      <c r="D629" s="668" t="str">
        <f>Intv_BA!D1352</f>
        <v>North-Western</v>
      </c>
      <c r="J629" s="183">
        <v>0</v>
      </c>
      <c r="K629" s="183">
        <v>0</v>
      </c>
      <c r="L629" s="183">
        <v>0</v>
      </c>
      <c r="M629" s="183">
        <v>0</v>
      </c>
      <c r="N629" s="183">
        <v>0</v>
      </c>
      <c r="O629" s="183">
        <v>0</v>
      </c>
    </row>
    <row r="630" spans="4:15" s="348" customFormat="1" outlineLevel="2" x14ac:dyDescent="0.2">
      <c r="D630" s="668" t="str">
        <f>Intv_BA!D1353</f>
        <v>Southern</v>
      </c>
      <c r="J630" s="183">
        <v>0</v>
      </c>
      <c r="K630" s="183">
        <v>0</v>
      </c>
      <c r="L630" s="183">
        <v>0</v>
      </c>
      <c r="M630" s="183">
        <v>0</v>
      </c>
      <c r="N630" s="183">
        <v>0</v>
      </c>
      <c r="O630" s="183">
        <v>0</v>
      </c>
    </row>
    <row r="631" spans="4:15" s="348" customFormat="1" outlineLevel="2" x14ac:dyDescent="0.2">
      <c r="D631" s="668" t="str">
        <f>Intv_BA!D1354</f>
        <v>Western</v>
      </c>
      <c r="J631" s="183">
        <v>0</v>
      </c>
      <c r="K631" s="183">
        <v>0</v>
      </c>
      <c r="L631" s="183">
        <v>0</v>
      </c>
      <c r="M631" s="183">
        <v>0</v>
      </c>
      <c r="N631" s="183">
        <v>0</v>
      </c>
      <c r="O631" s="183">
        <v>0</v>
      </c>
    </row>
    <row r="632" spans="4:15" s="348" customFormat="1" ht="15" x14ac:dyDescent="0.2">
      <c r="D632" s="359" t="str">
        <f ca="1">"Total "&amp;D620</f>
        <v>Total Provincial Hospital</v>
      </c>
      <c r="J632" s="131">
        <f t="shared" ref="J632:O632" si="38">SUM(J622:J631)</f>
        <v>0</v>
      </c>
      <c r="K632" s="131">
        <f t="shared" si="38"/>
        <v>0</v>
      </c>
      <c r="L632" s="131">
        <f t="shared" si="38"/>
        <v>0</v>
      </c>
      <c r="M632" s="131">
        <f t="shared" si="38"/>
        <v>0</v>
      </c>
      <c r="N632" s="131">
        <f t="shared" si="38"/>
        <v>0</v>
      </c>
      <c r="O632" s="131">
        <f t="shared" si="38"/>
        <v>0</v>
      </c>
    </row>
    <row r="633" spans="4:15" s="348" customFormat="1" x14ac:dyDescent="0.2">
      <c r="D633" s="721"/>
      <c r="E633" s="721"/>
      <c r="F633" s="721"/>
      <c r="G633" s="721"/>
      <c r="H633" s="721"/>
      <c r="I633" s="721"/>
    </row>
    <row r="634" spans="4:15" s="348" customFormat="1" ht="15" outlineLevel="1" x14ac:dyDescent="0.2">
      <c r="D634" s="667" t="s">
        <v>1611</v>
      </c>
      <c r="H634" s="372">
        <v>2</v>
      </c>
    </row>
    <row r="635" spans="4:15" s="348" customFormat="1" x14ac:dyDescent="0.2"/>
    <row r="636" spans="4:15" s="348" customFormat="1" ht="15" x14ac:dyDescent="0.2">
      <c r="D636" s="669" t="str">
        <f ca="1">OFFSET(Labels_BA!D16,0,H634)</f>
        <v>District Hospital</v>
      </c>
    </row>
    <row r="637" spans="4:15" s="348" customFormat="1" outlineLevel="1" x14ac:dyDescent="0.2"/>
    <row r="638" spans="4:15" s="348" customFormat="1" outlineLevel="2" x14ac:dyDescent="0.2">
      <c r="D638" s="668" t="str">
        <f>Intv_BA!D1345</f>
        <v>Central</v>
      </c>
      <c r="J638" s="183">
        <v>0</v>
      </c>
      <c r="K638" s="183">
        <v>0</v>
      </c>
      <c r="L638" s="183">
        <v>0</v>
      </c>
      <c r="M638" s="183">
        <v>0</v>
      </c>
      <c r="N638" s="183">
        <v>0</v>
      </c>
      <c r="O638" s="183">
        <v>0</v>
      </c>
    </row>
    <row r="639" spans="4:15" s="348" customFormat="1" outlineLevel="2" x14ac:dyDescent="0.2">
      <c r="D639" s="668" t="str">
        <f>Intv_BA!D1346</f>
        <v>Copperbelt</v>
      </c>
      <c r="J639" s="183">
        <v>0</v>
      </c>
      <c r="K639" s="183">
        <v>0</v>
      </c>
      <c r="L639" s="183">
        <v>0</v>
      </c>
      <c r="M639" s="183">
        <v>0</v>
      </c>
      <c r="N639" s="183">
        <v>0</v>
      </c>
      <c r="O639" s="183">
        <v>0</v>
      </c>
    </row>
    <row r="640" spans="4:15" s="348" customFormat="1" outlineLevel="2" x14ac:dyDescent="0.2">
      <c r="D640" s="668" t="str">
        <f>Intv_BA!D1347</f>
        <v>Eastern</v>
      </c>
      <c r="J640" s="183">
        <v>0</v>
      </c>
      <c r="K640" s="183">
        <v>0</v>
      </c>
      <c r="L640" s="183">
        <v>0</v>
      </c>
      <c r="M640" s="183">
        <v>0</v>
      </c>
      <c r="N640" s="183">
        <v>0</v>
      </c>
      <c r="O640" s="183">
        <v>0</v>
      </c>
    </row>
    <row r="641" spans="4:15" s="348" customFormat="1" outlineLevel="2" x14ac:dyDescent="0.2">
      <c r="D641" s="668" t="str">
        <f>Intv_BA!D1348</f>
        <v>Luapula</v>
      </c>
      <c r="J641" s="183">
        <v>0</v>
      </c>
      <c r="K641" s="183">
        <v>0</v>
      </c>
      <c r="L641" s="183">
        <v>0</v>
      </c>
      <c r="M641" s="183">
        <v>0</v>
      </c>
      <c r="N641" s="183">
        <v>0</v>
      </c>
      <c r="O641" s="183">
        <v>0</v>
      </c>
    </row>
    <row r="642" spans="4:15" s="348" customFormat="1" outlineLevel="2" x14ac:dyDescent="0.2">
      <c r="D642" s="668" t="str">
        <f>Intv_BA!D1349</f>
        <v>Lusaka</v>
      </c>
      <c r="J642" s="183">
        <v>0</v>
      </c>
      <c r="K642" s="183">
        <v>0</v>
      </c>
      <c r="L642" s="183">
        <v>0</v>
      </c>
      <c r="M642" s="183">
        <v>0</v>
      </c>
      <c r="N642" s="183">
        <v>0</v>
      </c>
      <c r="O642" s="183">
        <v>0</v>
      </c>
    </row>
    <row r="643" spans="4:15" s="348" customFormat="1" outlineLevel="2" x14ac:dyDescent="0.2">
      <c r="D643" s="668" t="str">
        <f>Intv_BA!D1350</f>
        <v>Muchinga</v>
      </c>
      <c r="J643" s="183">
        <v>0</v>
      </c>
      <c r="K643" s="183">
        <v>0</v>
      </c>
      <c r="L643" s="183">
        <v>0</v>
      </c>
      <c r="M643" s="183">
        <v>0</v>
      </c>
      <c r="N643" s="183">
        <v>0</v>
      </c>
      <c r="O643" s="183">
        <v>0</v>
      </c>
    </row>
    <row r="644" spans="4:15" s="348" customFormat="1" outlineLevel="2" x14ac:dyDescent="0.2">
      <c r="D644" s="668" t="str">
        <f>Intv_BA!D1351</f>
        <v>Northern</v>
      </c>
      <c r="J644" s="183">
        <v>0</v>
      </c>
      <c r="K644" s="183">
        <v>0</v>
      </c>
      <c r="L644" s="183">
        <v>0</v>
      </c>
      <c r="M644" s="183">
        <v>0</v>
      </c>
      <c r="N644" s="183">
        <v>0</v>
      </c>
      <c r="O644" s="183">
        <v>0</v>
      </c>
    </row>
    <row r="645" spans="4:15" s="348" customFormat="1" outlineLevel="2" x14ac:dyDescent="0.2">
      <c r="D645" s="668" t="str">
        <f>Intv_BA!D1352</f>
        <v>North-Western</v>
      </c>
      <c r="J645" s="183">
        <v>0</v>
      </c>
      <c r="K645" s="183">
        <v>0</v>
      </c>
      <c r="L645" s="183">
        <v>0</v>
      </c>
      <c r="M645" s="183">
        <v>0</v>
      </c>
      <c r="N645" s="183">
        <v>0</v>
      </c>
      <c r="O645" s="183">
        <v>0</v>
      </c>
    </row>
    <row r="646" spans="4:15" s="348" customFormat="1" outlineLevel="2" x14ac:dyDescent="0.2">
      <c r="D646" s="668" t="str">
        <f>Intv_BA!D1353</f>
        <v>Southern</v>
      </c>
      <c r="J646" s="183">
        <v>0</v>
      </c>
      <c r="K646" s="183">
        <v>0</v>
      </c>
      <c r="L646" s="183">
        <v>0</v>
      </c>
      <c r="M646" s="183">
        <v>0</v>
      </c>
      <c r="N646" s="183">
        <v>0</v>
      </c>
      <c r="O646" s="183">
        <v>0</v>
      </c>
    </row>
    <row r="647" spans="4:15" s="348" customFormat="1" outlineLevel="2" x14ac:dyDescent="0.2">
      <c r="D647" s="668" t="str">
        <f>Intv_BA!D1354</f>
        <v>Western</v>
      </c>
      <c r="J647" s="183">
        <v>0</v>
      </c>
      <c r="K647" s="183">
        <v>0</v>
      </c>
      <c r="L647" s="183">
        <v>0</v>
      </c>
      <c r="M647" s="183">
        <v>0</v>
      </c>
      <c r="N647" s="183">
        <v>0</v>
      </c>
      <c r="O647" s="183">
        <v>0</v>
      </c>
    </row>
    <row r="648" spans="4:15" s="348" customFormat="1" ht="15" x14ac:dyDescent="0.2">
      <c r="D648" s="359" t="str">
        <f ca="1">"Total "&amp;D636</f>
        <v>Total District Hospital</v>
      </c>
      <c r="J648" s="131">
        <f t="shared" ref="J648:O648" si="39">SUM(J638:J647)</f>
        <v>0</v>
      </c>
      <c r="K648" s="131">
        <f t="shared" si="39"/>
        <v>0</v>
      </c>
      <c r="L648" s="131">
        <f t="shared" si="39"/>
        <v>0</v>
      </c>
      <c r="M648" s="131">
        <f t="shared" si="39"/>
        <v>0</v>
      </c>
      <c r="N648" s="131">
        <f t="shared" si="39"/>
        <v>0</v>
      </c>
      <c r="O648" s="131">
        <f t="shared" si="39"/>
        <v>0</v>
      </c>
    </row>
    <row r="649" spans="4:15" s="348" customFormat="1" x14ac:dyDescent="0.2">
      <c r="D649" s="721"/>
      <c r="E649" s="721"/>
      <c r="F649" s="721"/>
      <c r="G649" s="721"/>
      <c r="H649" s="721"/>
      <c r="I649" s="721"/>
    </row>
    <row r="650" spans="4:15" s="348" customFormat="1" ht="15" outlineLevel="1" x14ac:dyDescent="0.2">
      <c r="D650" s="667" t="s">
        <v>1611</v>
      </c>
      <c r="H650" s="372">
        <v>3</v>
      </c>
    </row>
    <row r="651" spans="4:15" s="348" customFormat="1" x14ac:dyDescent="0.2"/>
    <row r="652" spans="4:15" s="348" customFormat="1" ht="15" x14ac:dyDescent="0.2">
      <c r="D652" s="669" t="str">
        <f ca="1">OFFSET(Labels_BA!D16,0,H650)</f>
        <v>Fixed Health Clinic</v>
      </c>
    </row>
    <row r="653" spans="4:15" s="348" customFormat="1" outlineLevel="1" x14ac:dyDescent="0.2"/>
    <row r="654" spans="4:15" s="348" customFormat="1" outlineLevel="2" x14ac:dyDescent="0.2">
      <c r="D654" s="668" t="str">
        <f>Intv_BA!D1345</f>
        <v>Central</v>
      </c>
      <c r="J654" s="183">
        <v>0</v>
      </c>
      <c r="K654" s="183">
        <v>0</v>
      </c>
      <c r="L654" s="183">
        <v>0</v>
      </c>
      <c r="M654" s="183">
        <v>0</v>
      </c>
      <c r="N654" s="183">
        <v>0</v>
      </c>
      <c r="O654" s="183">
        <v>0</v>
      </c>
    </row>
    <row r="655" spans="4:15" s="348" customFormat="1" outlineLevel="2" x14ac:dyDescent="0.2">
      <c r="D655" s="668" t="str">
        <f>Intv_BA!D1346</f>
        <v>Copperbelt</v>
      </c>
      <c r="J655" s="183">
        <v>0</v>
      </c>
      <c r="K655" s="183">
        <v>0</v>
      </c>
      <c r="L655" s="183">
        <v>0</v>
      </c>
      <c r="M655" s="183">
        <v>0</v>
      </c>
      <c r="N655" s="183">
        <v>0</v>
      </c>
      <c r="O655" s="183">
        <v>0</v>
      </c>
    </row>
    <row r="656" spans="4:15" s="348" customFormat="1" outlineLevel="2" x14ac:dyDescent="0.2">
      <c r="D656" s="668" t="str">
        <f>Intv_BA!D1347</f>
        <v>Eastern</v>
      </c>
      <c r="J656" s="183">
        <v>0</v>
      </c>
      <c r="K656" s="183">
        <v>0</v>
      </c>
      <c r="L656" s="183">
        <v>0</v>
      </c>
      <c r="M656" s="183">
        <v>0</v>
      </c>
      <c r="N656" s="183">
        <v>0</v>
      </c>
      <c r="O656" s="183">
        <v>0</v>
      </c>
    </row>
    <row r="657" spans="4:15" s="348" customFormat="1" outlineLevel="2" x14ac:dyDescent="0.2">
      <c r="D657" s="668" t="str">
        <f>Intv_BA!D1348</f>
        <v>Luapula</v>
      </c>
      <c r="J657" s="183">
        <v>0</v>
      </c>
      <c r="K657" s="183">
        <v>0</v>
      </c>
      <c r="L657" s="183">
        <v>0</v>
      </c>
      <c r="M657" s="183">
        <v>0</v>
      </c>
      <c r="N657" s="183">
        <v>0</v>
      </c>
      <c r="O657" s="183">
        <v>0</v>
      </c>
    </row>
    <row r="658" spans="4:15" s="348" customFormat="1" outlineLevel="2" x14ac:dyDescent="0.2">
      <c r="D658" s="668" t="str">
        <f>Intv_BA!D1349</f>
        <v>Lusaka</v>
      </c>
      <c r="J658" s="183">
        <v>0</v>
      </c>
      <c r="K658" s="183">
        <v>0</v>
      </c>
      <c r="L658" s="183">
        <v>0</v>
      </c>
      <c r="M658" s="183">
        <v>0</v>
      </c>
      <c r="N658" s="183">
        <v>0</v>
      </c>
      <c r="O658" s="183">
        <v>0</v>
      </c>
    </row>
    <row r="659" spans="4:15" s="348" customFormat="1" outlineLevel="2" x14ac:dyDescent="0.2">
      <c r="D659" s="668" t="str">
        <f>Intv_BA!D1350</f>
        <v>Muchinga</v>
      </c>
      <c r="J659" s="183">
        <v>0</v>
      </c>
      <c r="K659" s="183">
        <v>0</v>
      </c>
      <c r="L659" s="183">
        <v>0</v>
      </c>
      <c r="M659" s="183">
        <v>0</v>
      </c>
      <c r="N659" s="183">
        <v>0</v>
      </c>
      <c r="O659" s="183">
        <v>0</v>
      </c>
    </row>
    <row r="660" spans="4:15" s="348" customFormat="1" outlineLevel="2" x14ac:dyDescent="0.2">
      <c r="D660" s="668" t="str">
        <f>Intv_BA!D1351</f>
        <v>Northern</v>
      </c>
      <c r="J660" s="183">
        <v>0</v>
      </c>
      <c r="K660" s="183">
        <v>0</v>
      </c>
      <c r="L660" s="183">
        <v>0</v>
      </c>
      <c r="M660" s="183">
        <v>0</v>
      </c>
      <c r="N660" s="183">
        <v>0</v>
      </c>
      <c r="O660" s="183">
        <v>0</v>
      </c>
    </row>
    <row r="661" spans="4:15" s="348" customFormat="1" outlineLevel="2" x14ac:dyDescent="0.2">
      <c r="D661" s="668" t="str">
        <f>Intv_BA!D1352</f>
        <v>North-Western</v>
      </c>
      <c r="J661" s="183">
        <v>0</v>
      </c>
      <c r="K661" s="183">
        <v>0</v>
      </c>
      <c r="L661" s="183">
        <v>0</v>
      </c>
      <c r="M661" s="183">
        <v>0</v>
      </c>
      <c r="N661" s="183">
        <v>0</v>
      </c>
      <c r="O661" s="183">
        <v>0</v>
      </c>
    </row>
    <row r="662" spans="4:15" s="348" customFormat="1" outlineLevel="2" x14ac:dyDescent="0.2">
      <c r="D662" s="668" t="str">
        <f>Intv_BA!D1353</f>
        <v>Southern</v>
      </c>
      <c r="J662" s="183">
        <v>0</v>
      </c>
      <c r="K662" s="183">
        <v>0</v>
      </c>
      <c r="L662" s="183">
        <v>0</v>
      </c>
      <c r="M662" s="183">
        <v>0</v>
      </c>
      <c r="N662" s="183">
        <v>0</v>
      </c>
      <c r="O662" s="183">
        <v>0</v>
      </c>
    </row>
    <row r="663" spans="4:15" s="348" customFormat="1" outlineLevel="2" x14ac:dyDescent="0.2">
      <c r="D663" s="668" t="str">
        <f>Intv_BA!D1354</f>
        <v>Western</v>
      </c>
      <c r="J663" s="183">
        <v>0</v>
      </c>
      <c r="K663" s="183">
        <v>0</v>
      </c>
      <c r="L663" s="183">
        <v>0</v>
      </c>
      <c r="M663" s="183">
        <v>0</v>
      </c>
      <c r="N663" s="183">
        <v>0</v>
      </c>
      <c r="O663" s="183">
        <v>0</v>
      </c>
    </row>
    <row r="664" spans="4:15" s="348" customFormat="1" ht="15" x14ac:dyDescent="0.2">
      <c r="D664" s="359" t="str">
        <f ca="1">"Total "&amp;D652</f>
        <v>Total Fixed Health Clinic</v>
      </c>
      <c r="J664" s="131">
        <f t="shared" ref="J664:O664" si="40">SUM(J654:J663)</f>
        <v>0</v>
      </c>
      <c r="K664" s="131">
        <f t="shared" si="40"/>
        <v>0</v>
      </c>
      <c r="L664" s="131">
        <f t="shared" si="40"/>
        <v>0</v>
      </c>
      <c r="M664" s="131">
        <f t="shared" si="40"/>
        <v>0</v>
      </c>
      <c r="N664" s="131">
        <f t="shared" si="40"/>
        <v>0</v>
      </c>
      <c r="O664" s="131">
        <f t="shared" si="40"/>
        <v>0</v>
      </c>
    </row>
    <row r="665" spans="4:15" s="348" customFormat="1" x14ac:dyDescent="0.2">
      <c r="D665" s="721"/>
      <c r="E665" s="721"/>
      <c r="F665" s="721"/>
      <c r="G665" s="721"/>
      <c r="H665" s="721"/>
      <c r="I665" s="721"/>
    </row>
    <row r="666" spans="4:15" s="348" customFormat="1" ht="15" outlineLevel="1" x14ac:dyDescent="0.2">
      <c r="D666" s="667" t="s">
        <v>1611</v>
      </c>
      <c r="H666" s="372">
        <v>4</v>
      </c>
    </row>
    <row r="667" spans="4:15" s="348" customFormat="1" x14ac:dyDescent="0.2"/>
    <row r="668" spans="4:15" s="348" customFormat="1" ht="15" x14ac:dyDescent="0.2">
      <c r="D668" s="669" t="str">
        <f ca="1">OFFSET(Labels_BA!D16,0,H666)</f>
        <v>PCI Mobile Health Team</v>
      </c>
    </row>
    <row r="669" spans="4:15" s="348" customFormat="1" outlineLevel="1" x14ac:dyDescent="0.2"/>
    <row r="670" spans="4:15" s="348" customFormat="1" outlineLevel="2" x14ac:dyDescent="0.2">
      <c r="D670" s="668" t="str">
        <f>Intv_BA!D1345</f>
        <v>Central</v>
      </c>
      <c r="J670" s="183">
        <v>0</v>
      </c>
      <c r="K670" s="183">
        <v>0</v>
      </c>
      <c r="L670" s="183">
        <v>0</v>
      </c>
      <c r="M670" s="183">
        <v>0</v>
      </c>
      <c r="N670" s="183">
        <v>0</v>
      </c>
      <c r="O670" s="183">
        <v>0</v>
      </c>
    </row>
    <row r="671" spans="4:15" s="348" customFormat="1" outlineLevel="2" x14ac:dyDescent="0.2">
      <c r="D671" s="668" t="str">
        <f>Intv_BA!D1346</f>
        <v>Copperbelt</v>
      </c>
      <c r="J671" s="183">
        <v>0</v>
      </c>
      <c r="K671" s="183">
        <v>0</v>
      </c>
      <c r="L671" s="183">
        <v>0</v>
      </c>
      <c r="M671" s="183">
        <v>0</v>
      </c>
      <c r="N671" s="183">
        <v>0</v>
      </c>
      <c r="O671" s="183">
        <v>0</v>
      </c>
    </row>
    <row r="672" spans="4:15" s="348" customFormat="1" outlineLevel="2" x14ac:dyDescent="0.2">
      <c r="D672" s="668" t="str">
        <f>Intv_BA!D1347</f>
        <v>Eastern</v>
      </c>
      <c r="J672" s="183">
        <v>0</v>
      </c>
      <c r="K672" s="183">
        <v>0</v>
      </c>
      <c r="L672" s="183">
        <v>0</v>
      </c>
      <c r="M672" s="183">
        <v>0</v>
      </c>
      <c r="N672" s="183">
        <v>0</v>
      </c>
      <c r="O672" s="183">
        <v>0</v>
      </c>
    </row>
    <row r="673" spans="4:15" s="348" customFormat="1" outlineLevel="2" x14ac:dyDescent="0.2">
      <c r="D673" s="668" t="str">
        <f>Intv_BA!D1348</f>
        <v>Luapula</v>
      </c>
      <c r="J673" s="183">
        <v>0</v>
      </c>
      <c r="K673" s="183">
        <v>0</v>
      </c>
      <c r="L673" s="183">
        <v>0</v>
      </c>
      <c r="M673" s="183">
        <v>0</v>
      </c>
      <c r="N673" s="183">
        <v>0</v>
      </c>
      <c r="O673" s="183">
        <v>0</v>
      </c>
    </row>
    <row r="674" spans="4:15" s="348" customFormat="1" outlineLevel="2" x14ac:dyDescent="0.2">
      <c r="D674" s="668" t="str">
        <f>Intv_BA!D1349</f>
        <v>Lusaka</v>
      </c>
      <c r="J674" s="183">
        <v>0</v>
      </c>
      <c r="K674" s="183">
        <v>0</v>
      </c>
      <c r="L674" s="183">
        <v>0</v>
      </c>
      <c r="M674" s="183">
        <v>0</v>
      </c>
      <c r="N674" s="183">
        <v>0</v>
      </c>
      <c r="O674" s="183">
        <v>0</v>
      </c>
    </row>
    <row r="675" spans="4:15" s="348" customFormat="1" outlineLevel="2" x14ac:dyDescent="0.2">
      <c r="D675" s="668" t="str">
        <f>Intv_BA!D1350</f>
        <v>Muchinga</v>
      </c>
      <c r="J675" s="183">
        <v>0</v>
      </c>
      <c r="K675" s="183">
        <v>0</v>
      </c>
      <c r="L675" s="183">
        <v>0</v>
      </c>
      <c r="M675" s="183">
        <v>0</v>
      </c>
      <c r="N675" s="183">
        <v>0</v>
      </c>
      <c r="O675" s="183">
        <v>0</v>
      </c>
    </row>
    <row r="676" spans="4:15" s="348" customFormat="1" outlineLevel="2" x14ac:dyDescent="0.2">
      <c r="D676" s="668" t="str">
        <f>Intv_BA!D1351</f>
        <v>Northern</v>
      </c>
      <c r="J676" s="183">
        <v>0</v>
      </c>
      <c r="K676" s="183">
        <v>0</v>
      </c>
      <c r="L676" s="183">
        <v>0</v>
      </c>
      <c r="M676" s="183">
        <v>0</v>
      </c>
      <c r="N676" s="183">
        <v>0</v>
      </c>
      <c r="O676" s="183">
        <v>0</v>
      </c>
    </row>
    <row r="677" spans="4:15" s="348" customFormat="1" outlineLevel="2" x14ac:dyDescent="0.2">
      <c r="D677" s="668" t="str">
        <f>Intv_BA!D1352</f>
        <v>North-Western</v>
      </c>
      <c r="J677" s="183">
        <v>0</v>
      </c>
      <c r="K677" s="183">
        <v>0</v>
      </c>
      <c r="L677" s="183">
        <v>0</v>
      </c>
      <c r="M677" s="183">
        <v>0</v>
      </c>
      <c r="N677" s="183">
        <v>0</v>
      </c>
      <c r="O677" s="183">
        <v>0</v>
      </c>
    </row>
    <row r="678" spans="4:15" s="348" customFormat="1" outlineLevel="2" x14ac:dyDescent="0.2">
      <c r="D678" s="668" t="str">
        <f>Intv_BA!D1353</f>
        <v>Southern</v>
      </c>
      <c r="J678" s="183">
        <v>0</v>
      </c>
      <c r="K678" s="183">
        <v>0</v>
      </c>
      <c r="L678" s="183">
        <v>0</v>
      </c>
      <c r="M678" s="183">
        <v>0</v>
      </c>
      <c r="N678" s="183">
        <v>0</v>
      </c>
      <c r="O678" s="183">
        <v>0</v>
      </c>
    </row>
    <row r="679" spans="4:15" s="348" customFormat="1" outlineLevel="2" x14ac:dyDescent="0.2">
      <c r="D679" s="668" t="str">
        <f>Intv_BA!D1354</f>
        <v>Western</v>
      </c>
      <c r="J679" s="183">
        <v>0</v>
      </c>
      <c r="K679" s="183">
        <v>0</v>
      </c>
      <c r="L679" s="183">
        <v>0</v>
      </c>
      <c r="M679" s="183">
        <v>0</v>
      </c>
      <c r="N679" s="183">
        <v>0</v>
      </c>
      <c r="O679" s="183">
        <v>0</v>
      </c>
    </row>
    <row r="680" spans="4:15" s="348" customFormat="1" ht="15" x14ac:dyDescent="0.2">
      <c r="D680" s="359" t="str">
        <f ca="1">"Total "&amp;D668</f>
        <v>Total PCI Mobile Health Team</v>
      </c>
      <c r="J680" s="131">
        <f t="shared" ref="J680:O680" si="41">SUM(J670:J679)</f>
        <v>0</v>
      </c>
      <c r="K680" s="131">
        <f t="shared" si="41"/>
        <v>0</v>
      </c>
      <c r="L680" s="131">
        <f t="shared" si="41"/>
        <v>0</v>
      </c>
      <c r="M680" s="131">
        <f t="shared" si="41"/>
        <v>0</v>
      </c>
      <c r="N680" s="131">
        <f t="shared" si="41"/>
        <v>0</v>
      </c>
      <c r="O680" s="131">
        <f t="shared" si="41"/>
        <v>0</v>
      </c>
    </row>
    <row r="681" spans="4:15" s="348" customFormat="1" x14ac:dyDescent="0.2">
      <c r="D681" s="721"/>
      <c r="E681" s="721"/>
      <c r="F681" s="721"/>
      <c r="G681" s="721"/>
      <c r="H681" s="721"/>
      <c r="I681" s="721"/>
    </row>
    <row r="682" spans="4:15" s="348" customFormat="1" ht="15" outlineLevel="1" x14ac:dyDescent="0.2">
      <c r="D682" s="667" t="s">
        <v>1611</v>
      </c>
      <c r="H682" s="372">
        <v>5</v>
      </c>
    </row>
    <row r="683" spans="4:15" s="348" customFormat="1" x14ac:dyDescent="0.2"/>
    <row r="684" spans="4:15" s="348" customFormat="1" ht="15" x14ac:dyDescent="0.2">
      <c r="D684" s="669" t="str">
        <f ca="1">OFFSET(Labels_BA!D16,0,H682)</f>
        <v>Gov't Mobile Health Team (Hospital)</v>
      </c>
    </row>
    <row r="685" spans="4:15" s="348" customFormat="1" outlineLevel="1" x14ac:dyDescent="0.2"/>
    <row r="686" spans="4:15" s="348" customFormat="1" outlineLevel="2" x14ac:dyDescent="0.2">
      <c r="D686" s="668" t="str">
        <f>Intv_BA!D1345</f>
        <v>Central</v>
      </c>
      <c r="J686" s="183">
        <v>0</v>
      </c>
      <c r="K686" s="183">
        <v>0</v>
      </c>
      <c r="L686" s="183">
        <v>0</v>
      </c>
      <c r="M686" s="183">
        <v>0</v>
      </c>
      <c r="N686" s="183">
        <v>0</v>
      </c>
      <c r="O686" s="183">
        <v>0</v>
      </c>
    </row>
    <row r="687" spans="4:15" s="348" customFormat="1" outlineLevel="2" x14ac:dyDescent="0.2">
      <c r="D687" s="668" t="str">
        <f>Intv_BA!D1346</f>
        <v>Copperbelt</v>
      </c>
      <c r="J687" s="183">
        <v>0</v>
      </c>
      <c r="K687" s="183">
        <v>0</v>
      </c>
      <c r="L687" s="183">
        <v>0</v>
      </c>
      <c r="M687" s="183">
        <v>0</v>
      </c>
      <c r="N687" s="183">
        <v>0</v>
      </c>
      <c r="O687" s="183">
        <v>0</v>
      </c>
    </row>
    <row r="688" spans="4:15" s="348" customFormat="1" outlineLevel="2" x14ac:dyDescent="0.2">
      <c r="D688" s="668" t="str">
        <f>Intv_BA!D1347</f>
        <v>Eastern</v>
      </c>
      <c r="J688" s="183">
        <v>0</v>
      </c>
      <c r="K688" s="183">
        <v>0</v>
      </c>
      <c r="L688" s="183">
        <v>0</v>
      </c>
      <c r="M688" s="183">
        <v>0</v>
      </c>
      <c r="N688" s="183">
        <v>0</v>
      </c>
      <c r="O688" s="183">
        <v>0</v>
      </c>
    </row>
    <row r="689" spans="4:15" s="348" customFormat="1" outlineLevel="2" x14ac:dyDescent="0.2">
      <c r="D689" s="668" t="str">
        <f>Intv_BA!D1348</f>
        <v>Luapula</v>
      </c>
      <c r="J689" s="183">
        <v>0</v>
      </c>
      <c r="K689" s="183">
        <v>0</v>
      </c>
      <c r="L689" s="183">
        <v>0</v>
      </c>
      <c r="M689" s="183">
        <v>0</v>
      </c>
      <c r="N689" s="183">
        <v>0</v>
      </c>
      <c r="O689" s="183">
        <v>0</v>
      </c>
    </row>
    <row r="690" spans="4:15" s="348" customFormat="1" outlineLevel="2" x14ac:dyDescent="0.2">
      <c r="D690" s="668" t="str">
        <f>Intv_BA!D1349</f>
        <v>Lusaka</v>
      </c>
      <c r="J690" s="183">
        <v>0</v>
      </c>
      <c r="K690" s="183">
        <v>0</v>
      </c>
      <c r="L690" s="183">
        <v>0</v>
      </c>
      <c r="M690" s="183">
        <v>0</v>
      </c>
      <c r="N690" s="183">
        <v>0</v>
      </c>
      <c r="O690" s="183">
        <v>0</v>
      </c>
    </row>
    <row r="691" spans="4:15" s="348" customFormat="1" outlineLevel="2" x14ac:dyDescent="0.2">
      <c r="D691" s="668" t="str">
        <f>Intv_BA!D1350</f>
        <v>Muchinga</v>
      </c>
      <c r="J691" s="183">
        <v>0</v>
      </c>
      <c r="K691" s="183">
        <v>0</v>
      </c>
      <c r="L691" s="183">
        <v>0</v>
      </c>
      <c r="M691" s="183">
        <v>0</v>
      </c>
      <c r="N691" s="183">
        <v>0</v>
      </c>
      <c r="O691" s="183">
        <v>0</v>
      </c>
    </row>
    <row r="692" spans="4:15" s="348" customFormat="1" outlineLevel="2" x14ac:dyDescent="0.2">
      <c r="D692" s="668" t="str">
        <f>Intv_BA!D1351</f>
        <v>Northern</v>
      </c>
      <c r="J692" s="183">
        <v>0</v>
      </c>
      <c r="K692" s="183">
        <v>0</v>
      </c>
      <c r="L692" s="183">
        <v>0</v>
      </c>
      <c r="M692" s="183">
        <v>0</v>
      </c>
      <c r="N692" s="183">
        <v>0</v>
      </c>
      <c r="O692" s="183">
        <v>0</v>
      </c>
    </row>
    <row r="693" spans="4:15" s="348" customFormat="1" outlineLevel="2" x14ac:dyDescent="0.2">
      <c r="D693" s="668" t="str">
        <f>Intv_BA!D1352</f>
        <v>North-Western</v>
      </c>
      <c r="J693" s="183">
        <v>0</v>
      </c>
      <c r="K693" s="183">
        <v>0</v>
      </c>
      <c r="L693" s="183">
        <v>0</v>
      </c>
      <c r="M693" s="183">
        <v>0</v>
      </c>
      <c r="N693" s="183">
        <v>0</v>
      </c>
      <c r="O693" s="183">
        <v>0</v>
      </c>
    </row>
    <row r="694" spans="4:15" s="348" customFormat="1" outlineLevel="2" x14ac:dyDescent="0.2">
      <c r="D694" s="668" t="str">
        <f>Intv_BA!D1353</f>
        <v>Southern</v>
      </c>
      <c r="J694" s="183">
        <v>0</v>
      </c>
      <c r="K694" s="183">
        <v>0</v>
      </c>
      <c r="L694" s="183">
        <v>0</v>
      </c>
      <c r="M694" s="183">
        <v>0</v>
      </c>
      <c r="N694" s="183">
        <v>0</v>
      </c>
      <c r="O694" s="183">
        <v>0</v>
      </c>
    </row>
    <row r="695" spans="4:15" s="348" customFormat="1" outlineLevel="2" x14ac:dyDescent="0.2">
      <c r="D695" s="668" t="str">
        <f>Intv_BA!D1354</f>
        <v>Western</v>
      </c>
      <c r="J695" s="183">
        <v>0</v>
      </c>
      <c r="K695" s="183">
        <v>0</v>
      </c>
      <c r="L695" s="183">
        <v>0</v>
      </c>
      <c r="M695" s="183">
        <v>0</v>
      </c>
      <c r="N695" s="183">
        <v>0</v>
      </c>
      <c r="O695" s="183">
        <v>0</v>
      </c>
    </row>
    <row r="696" spans="4:15" s="348" customFormat="1" ht="15" x14ac:dyDescent="0.2">
      <c r="D696" s="359" t="str">
        <f ca="1">"Total "&amp;D684</f>
        <v>Total Gov't Mobile Health Team (Hospital)</v>
      </c>
      <c r="J696" s="131">
        <f t="shared" ref="J696:O696" si="42">SUM(J686:J695)</f>
        <v>0</v>
      </c>
      <c r="K696" s="131">
        <f t="shared" si="42"/>
        <v>0</v>
      </c>
      <c r="L696" s="131">
        <f t="shared" si="42"/>
        <v>0</v>
      </c>
      <c r="M696" s="131">
        <f t="shared" si="42"/>
        <v>0</v>
      </c>
      <c r="N696" s="131">
        <f t="shared" si="42"/>
        <v>0</v>
      </c>
      <c r="O696" s="131">
        <f t="shared" si="42"/>
        <v>0</v>
      </c>
    </row>
    <row r="697" spans="4:15" s="348" customFormat="1" x14ac:dyDescent="0.2">
      <c r="D697" s="721"/>
      <c r="E697" s="721"/>
      <c r="F697" s="721"/>
      <c r="G697" s="721"/>
      <c r="H697" s="721"/>
      <c r="I697" s="721"/>
    </row>
    <row r="698" spans="4:15" s="348" customFormat="1" ht="15" outlineLevel="1" x14ac:dyDescent="0.2">
      <c r="D698" s="667" t="s">
        <v>1611</v>
      </c>
      <c r="H698" s="372">
        <v>6</v>
      </c>
    </row>
    <row r="699" spans="4:15" s="348" customFormat="1" x14ac:dyDescent="0.2"/>
    <row r="700" spans="4:15" s="348" customFormat="1" ht="15" x14ac:dyDescent="0.2">
      <c r="D700" s="669" t="str">
        <f ca="1">OFFSET(Labels_BA!D16,0,H698)</f>
        <v>CIDRZ Mobile Health Team</v>
      </c>
    </row>
    <row r="701" spans="4:15" s="348" customFormat="1" outlineLevel="1" x14ac:dyDescent="0.2"/>
    <row r="702" spans="4:15" s="348" customFormat="1" outlineLevel="2" x14ac:dyDescent="0.2">
      <c r="D702" s="668" t="str">
        <f>Intv_BA!D1345</f>
        <v>Central</v>
      </c>
      <c r="J702" s="183">
        <v>0</v>
      </c>
      <c r="K702" s="183">
        <v>0</v>
      </c>
      <c r="L702" s="183">
        <v>0</v>
      </c>
      <c r="M702" s="183">
        <v>0</v>
      </c>
      <c r="N702" s="183">
        <v>0</v>
      </c>
      <c r="O702" s="183">
        <v>0</v>
      </c>
    </row>
    <row r="703" spans="4:15" s="348" customFormat="1" outlineLevel="2" x14ac:dyDescent="0.2">
      <c r="D703" s="668" t="str">
        <f>Intv_BA!D1346</f>
        <v>Copperbelt</v>
      </c>
      <c r="J703" s="183">
        <v>0</v>
      </c>
      <c r="K703" s="183">
        <v>0</v>
      </c>
      <c r="L703" s="183">
        <v>0</v>
      </c>
      <c r="M703" s="183">
        <v>0</v>
      </c>
      <c r="N703" s="183">
        <v>0</v>
      </c>
      <c r="O703" s="183">
        <v>0</v>
      </c>
    </row>
    <row r="704" spans="4:15" s="348" customFormat="1" outlineLevel="2" x14ac:dyDescent="0.2">
      <c r="D704" s="668" t="str">
        <f>Intv_BA!D1347</f>
        <v>Eastern</v>
      </c>
      <c r="J704" s="183">
        <v>0</v>
      </c>
      <c r="K704" s="183">
        <v>0</v>
      </c>
      <c r="L704" s="183">
        <v>0</v>
      </c>
      <c r="M704" s="183">
        <v>0</v>
      </c>
      <c r="N704" s="183">
        <v>0</v>
      </c>
      <c r="O704" s="183">
        <v>0</v>
      </c>
    </row>
    <row r="705" spans="4:15" s="348" customFormat="1" outlineLevel="2" x14ac:dyDescent="0.2">
      <c r="D705" s="668" t="str">
        <f>Intv_BA!D1348</f>
        <v>Luapula</v>
      </c>
      <c r="J705" s="183">
        <v>0</v>
      </c>
      <c r="K705" s="183">
        <v>0</v>
      </c>
      <c r="L705" s="183">
        <v>0</v>
      </c>
      <c r="M705" s="183">
        <v>0</v>
      </c>
      <c r="N705" s="183">
        <v>0</v>
      </c>
      <c r="O705" s="183">
        <v>0</v>
      </c>
    </row>
    <row r="706" spans="4:15" s="348" customFormat="1" outlineLevel="2" x14ac:dyDescent="0.2">
      <c r="D706" s="668" t="str">
        <f>Intv_BA!D1349</f>
        <v>Lusaka</v>
      </c>
      <c r="J706" s="183">
        <v>0</v>
      </c>
      <c r="K706" s="183">
        <v>0</v>
      </c>
      <c r="L706" s="183">
        <v>0</v>
      </c>
      <c r="M706" s="183">
        <v>0</v>
      </c>
      <c r="N706" s="183">
        <v>0</v>
      </c>
      <c r="O706" s="183">
        <v>0</v>
      </c>
    </row>
    <row r="707" spans="4:15" s="348" customFormat="1" outlineLevel="2" x14ac:dyDescent="0.2">
      <c r="D707" s="668" t="str">
        <f>Intv_BA!D1350</f>
        <v>Muchinga</v>
      </c>
      <c r="J707" s="183">
        <v>0</v>
      </c>
      <c r="K707" s="183">
        <v>0</v>
      </c>
      <c r="L707" s="183">
        <v>0</v>
      </c>
      <c r="M707" s="183">
        <v>0</v>
      </c>
      <c r="N707" s="183">
        <v>0</v>
      </c>
      <c r="O707" s="183">
        <v>0</v>
      </c>
    </row>
    <row r="708" spans="4:15" s="348" customFormat="1" outlineLevel="2" x14ac:dyDescent="0.2">
      <c r="D708" s="668" t="str">
        <f>Intv_BA!D1351</f>
        <v>Northern</v>
      </c>
      <c r="J708" s="183">
        <v>0</v>
      </c>
      <c r="K708" s="183">
        <v>0</v>
      </c>
      <c r="L708" s="183">
        <v>0</v>
      </c>
      <c r="M708" s="183">
        <v>0</v>
      </c>
      <c r="N708" s="183">
        <v>0</v>
      </c>
      <c r="O708" s="183">
        <v>0</v>
      </c>
    </row>
    <row r="709" spans="4:15" s="348" customFormat="1" outlineLevel="2" x14ac:dyDescent="0.2">
      <c r="D709" s="668" t="str">
        <f>Intv_BA!D1352</f>
        <v>North-Western</v>
      </c>
      <c r="J709" s="183">
        <v>0</v>
      </c>
      <c r="K709" s="183">
        <v>0</v>
      </c>
      <c r="L709" s="183">
        <v>0</v>
      </c>
      <c r="M709" s="183">
        <v>0</v>
      </c>
      <c r="N709" s="183">
        <v>0</v>
      </c>
      <c r="O709" s="183">
        <v>0</v>
      </c>
    </row>
    <row r="710" spans="4:15" s="348" customFormat="1" outlineLevel="2" x14ac:dyDescent="0.2">
      <c r="D710" s="668" t="str">
        <f>Intv_BA!D1353</f>
        <v>Southern</v>
      </c>
      <c r="J710" s="183">
        <v>0</v>
      </c>
      <c r="K710" s="183">
        <v>0</v>
      </c>
      <c r="L710" s="183">
        <v>0</v>
      </c>
      <c r="M710" s="183">
        <v>0</v>
      </c>
      <c r="N710" s="183">
        <v>0</v>
      </c>
      <c r="O710" s="183">
        <v>0</v>
      </c>
    </row>
    <row r="711" spans="4:15" s="348" customFormat="1" outlineLevel="2" x14ac:dyDescent="0.2">
      <c r="D711" s="668" t="str">
        <f>Intv_BA!D1354</f>
        <v>Western</v>
      </c>
      <c r="J711" s="183">
        <v>0</v>
      </c>
      <c r="K711" s="183">
        <v>0</v>
      </c>
      <c r="L711" s="183">
        <v>0</v>
      </c>
      <c r="M711" s="183">
        <v>0</v>
      </c>
      <c r="N711" s="183">
        <v>0</v>
      </c>
      <c r="O711" s="183">
        <v>0</v>
      </c>
    </row>
    <row r="712" spans="4:15" s="348" customFormat="1" ht="15" x14ac:dyDescent="0.2">
      <c r="D712" s="359" t="str">
        <f ca="1">"Total "&amp;D700</f>
        <v>Total CIDRZ Mobile Health Team</v>
      </c>
      <c r="J712" s="131">
        <f t="shared" ref="J712:O712" si="43">SUM(J702:J711)</f>
        <v>0</v>
      </c>
      <c r="K712" s="131">
        <f t="shared" si="43"/>
        <v>0</v>
      </c>
      <c r="L712" s="131">
        <f t="shared" si="43"/>
        <v>0</v>
      </c>
      <c r="M712" s="131">
        <f t="shared" si="43"/>
        <v>0</v>
      </c>
      <c r="N712" s="131">
        <f t="shared" si="43"/>
        <v>0</v>
      </c>
      <c r="O712" s="131">
        <f t="shared" si="43"/>
        <v>0</v>
      </c>
    </row>
    <row r="713" spans="4:15" s="348" customFormat="1" x14ac:dyDescent="0.2">
      <c r="D713" s="721"/>
      <c r="E713" s="721"/>
      <c r="F713" s="721"/>
      <c r="G713" s="721"/>
      <c r="H713" s="721"/>
      <c r="I713" s="721"/>
    </row>
    <row r="714" spans="4:15" s="348" customFormat="1" ht="15" outlineLevel="1" x14ac:dyDescent="0.2">
      <c r="D714" s="667" t="s">
        <v>1611</v>
      </c>
      <c r="H714" s="372">
        <v>7</v>
      </c>
    </row>
    <row r="715" spans="4:15" s="348" customFormat="1" x14ac:dyDescent="0.2"/>
    <row r="716" spans="4:15" s="348" customFormat="1" ht="15" x14ac:dyDescent="0.2">
      <c r="D716" s="669" t="str">
        <f ca="1">OFFSET(Labels_BA!D16,0,H714)</f>
        <v>Facility Type 8</v>
      </c>
    </row>
    <row r="717" spans="4:15" s="348" customFormat="1" outlineLevel="1" x14ac:dyDescent="0.2"/>
    <row r="718" spans="4:15" s="348" customFormat="1" outlineLevel="2" x14ac:dyDescent="0.2">
      <c r="D718" s="668" t="str">
        <f>Intv_BA!D1345</f>
        <v>Central</v>
      </c>
      <c r="J718" s="183">
        <v>0</v>
      </c>
      <c r="K718" s="183">
        <v>0</v>
      </c>
      <c r="L718" s="183">
        <v>0</v>
      </c>
      <c r="M718" s="183">
        <v>0</v>
      </c>
      <c r="N718" s="183">
        <v>0</v>
      </c>
      <c r="O718" s="183">
        <v>0</v>
      </c>
    </row>
    <row r="719" spans="4:15" s="348" customFormat="1" outlineLevel="2" x14ac:dyDescent="0.2">
      <c r="D719" s="668" t="str">
        <f>Intv_BA!D1346</f>
        <v>Copperbelt</v>
      </c>
      <c r="J719" s="183">
        <v>0</v>
      </c>
      <c r="K719" s="183">
        <v>0</v>
      </c>
      <c r="L719" s="183">
        <v>0</v>
      </c>
      <c r="M719" s="183">
        <v>0</v>
      </c>
      <c r="N719" s="183">
        <v>0</v>
      </c>
      <c r="O719" s="183">
        <v>0</v>
      </c>
    </row>
    <row r="720" spans="4:15" s="348" customFormat="1" outlineLevel="2" x14ac:dyDescent="0.2">
      <c r="D720" s="668" t="str">
        <f>Intv_BA!D1347</f>
        <v>Eastern</v>
      </c>
      <c r="J720" s="183">
        <v>0</v>
      </c>
      <c r="K720" s="183">
        <v>0</v>
      </c>
      <c r="L720" s="183">
        <v>0</v>
      </c>
      <c r="M720" s="183">
        <v>0</v>
      </c>
      <c r="N720" s="183">
        <v>0</v>
      </c>
      <c r="O720" s="183">
        <v>0</v>
      </c>
    </row>
    <row r="721" spans="4:15" s="348" customFormat="1" outlineLevel="2" x14ac:dyDescent="0.2">
      <c r="D721" s="668" t="str">
        <f>Intv_BA!D1348</f>
        <v>Luapula</v>
      </c>
      <c r="J721" s="183">
        <v>0</v>
      </c>
      <c r="K721" s="183">
        <v>0</v>
      </c>
      <c r="L721" s="183">
        <v>0</v>
      </c>
      <c r="M721" s="183">
        <v>0</v>
      </c>
      <c r="N721" s="183">
        <v>0</v>
      </c>
      <c r="O721" s="183">
        <v>0</v>
      </c>
    </row>
    <row r="722" spans="4:15" s="348" customFormat="1" outlineLevel="2" x14ac:dyDescent="0.2">
      <c r="D722" s="668" t="str">
        <f>Intv_BA!D1349</f>
        <v>Lusaka</v>
      </c>
      <c r="J722" s="183">
        <v>0</v>
      </c>
      <c r="K722" s="183">
        <v>0</v>
      </c>
      <c r="L722" s="183">
        <v>0</v>
      </c>
      <c r="M722" s="183">
        <v>0</v>
      </c>
      <c r="N722" s="183">
        <v>0</v>
      </c>
      <c r="O722" s="183">
        <v>0</v>
      </c>
    </row>
    <row r="723" spans="4:15" s="348" customFormat="1" outlineLevel="2" x14ac:dyDescent="0.2">
      <c r="D723" s="668" t="str">
        <f>Intv_BA!D1350</f>
        <v>Muchinga</v>
      </c>
      <c r="J723" s="183">
        <v>0</v>
      </c>
      <c r="K723" s="183">
        <v>0</v>
      </c>
      <c r="L723" s="183">
        <v>0</v>
      </c>
      <c r="M723" s="183">
        <v>0</v>
      </c>
      <c r="N723" s="183">
        <v>0</v>
      </c>
      <c r="O723" s="183">
        <v>0</v>
      </c>
    </row>
    <row r="724" spans="4:15" s="348" customFormat="1" outlineLevel="2" x14ac:dyDescent="0.2">
      <c r="D724" s="668" t="str">
        <f>Intv_BA!D1351</f>
        <v>Northern</v>
      </c>
      <c r="J724" s="183">
        <v>0</v>
      </c>
      <c r="K724" s="183">
        <v>0</v>
      </c>
      <c r="L724" s="183">
        <v>0</v>
      </c>
      <c r="M724" s="183">
        <v>0</v>
      </c>
      <c r="N724" s="183">
        <v>0</v>
      </c>
      <c r="O724" s="183">
        <v>0</v>
      </c>
    </row>
    <row r="725" spans="4:15" s="348" customFormat="1" outlineLevel="2" x14ac:dyDescent="0.2">
      <c r="D725" s="668" t="str">
        <f>Intv_BA!D1352</f>
        <v>North-Western</v>
      </c>
      <c r="J725" s="183">
        <v>0</v>
      </c>
      <c r="K725" s="183">
        <v>0</v>
      </c>
      <c r="L725" s="183">
        <v>0</v>
      </c>
      <c r="M725" s="183">
        <v>0</v>
      </c>
      <c r="N725" s="183">
        <v>0</v>
      </c>
      <c r="O725" s="183">
        <v>0</v>
      </c>
    </row>
    <row r="726" spans="4:15" s="348" customFormat="1" outlineLevel="2" x14ac:dyDescent="0.2">
      <c r="D726" s="668" t="str">
        <f>Intv_BA!D1353</f>
        <v>Southern</v>
      </c>
      <c r="J726" s="183">
        <v>0</v>
      </c>
      <c r="K726" s="183">
        <v>0</v>
      </c>
      <c r="L726" s="183">
        <v>0</v>
      </c>
      <c r="M726" s="183">
        <v>0</v>
      </c>
      <c r="N726" s="183">
        <v>0</v>
      </c>
      <c r="O726" s="183">
        <v>0</v>
      </c>
    </row>
    <row r="727" spans="4:15" s="348" customFormat="1" outlineLevel="2" x14ac:dyDescent="0.2">
      <c r="D727" s="668" t="str">
        <f>Intv_BA!D1354</f>
        <v>Western</v>
      </c>
      <c r="J727" s="183">
        <v>0</v>
      </c>
      <c r="K727" s="183">
        <v>0</v>
      </c>
      <c r="L727" s="183">
        <v>0</v>
      </c>
      <c r="M727" s="183">
        <v>0</v>
      </c>
      <c r="N727" s="183">
        <v>0</v>
      </c>
      <c r="O727" s="183">
        <v>0</v>
      </c>
    </row>
    <row r="728" spans="4:15" s="348" customFormat="1" ht="15" x14ac:dyDescent="0.2">
      <c r="D728" s="359" t="str">
        <f ca="1">"Total "&amp;D716</f>
        <v>Total Facility Type 8</v>
      </c>
      <c r="J728" s="131">
        <f t="shared" ref="J728:O728" si="44">SUM(J718:J727)</f>
        <v>0</v>
      </c>
      <c r="K728" s="131">
        <f t="shared" si="44"/>
        <v>0</v>
      </c>
      <c r="L728" s="131">
        <f t="shared" si="44"/>
        <v>0</v>
      </c>
      <c r="M728" s="131">
        <f t="shared" si="44"/>
        <v>0</v>
      </c>
      <c r="N728" s="131">
        <f t="shared" si="44"/>
        <v>0</v>
      </c>
      <c r="O728" s="131">
        <f t="shared" si="44"/>
        <v>0</v>
      </c>
    </row>
    <row r="729" spans="4:15" s="348" customFormat="1" x14ac:dyDescent="0.2">
      <c r="D729" s="721"/>
      <c r="E729" s="721"/>
      <c r="F729" s="721"/>
      <c r="G729" s="721"/>
      <c r="H729" s="721"/>
      <c r="I729" s="721"/>
    </row>
    <row r="730" spans="4:15" s="348" customFormat="1" ht="15" outlineLevel="1" x14ac:dyDescent="0.2">
      <c r="D730" s="667" t="s">
        <v>1611</v>
      </c>
      <c r="H730" s="372">
        <v>8</v>
      </c>
    </row>
    <row r="731" spans="4:15" s="348" customFormat="1" x14ac:dyDescent="0.2"/>
    <row r="732" spans="4:15" s="348" customFormat="1" ht="15" x14ac:dyDescent="0.2">
      <c r="D732" s="669" t="str">
        <f ca="1">OFFSET(Labels_BA!D16,0,H730)</f>
        <v>Facility Type 9</v>
      </c>
    </row>
    <row r="733" spans="4:15" s="348" customFormat="1" outlineLevel="1" x14ac:dyDescent="0.2"/>
    <row r="734" spans="4:15" s="348" customFormat="1" outlineLevel="2" x14ac:dyDescent="0.2">
      <c r="D734" s="668" t="str">
        <f>Intv_BA!D1345</f>
        <v>Central</v>
      </c>
      <c r="J734" s="183">
        <v>0</v>
      </c>
      <c r="K734" s="183">
        <v>0</v>
      </c>
      <c r="L734" s="183">
        <v>0</v>
      </c>
      <c r="M734" s="183">
        <v>0</v>
      </c>
      <c r="N734" s="183">
        <v>0</v>
      </c>
      <c r="O734" s="183">
        <v>0</v>
      </c>
    </row>
    <row r="735" spans="4:15" s="348" customFormat="1" outlineLevel="2" x14ac:dyDescent="0.2">
      <c r="D735" s="668" t="str">
        <f>Intv_BA!D1346</f>
        <v>Copperbelt</v>
      </c>
      <c r="J735" s="183">
        <v>0</v>
      </c>
      <c r="K735" s="183">
        <v>0</v>
      </c>
      <c r="L735" s="183">
        <v>0</v>
      </c>
      <c r="M735" s="183">
        <v>0</v>
      </c>
      <c r="N735" s="183">
        <v>0</v>
      </c>
      <c r="O735" s="183">
        <v>0</v>
      </c>
    </row>
    <row r="736" spans="4:15" s="348" customFormat="1" outlineLevel="2" x14ac:dyDescent="0.2">
      <c r="D736" s="668" t="str">
        <f>Intv_BA!D1347</f>
        <v>Eastern</v>
      </c>
      <c r="J736" s="183">
        <v>0</v>
      </c>
      <c r="K736" s="183">
        <v>0</v>
      </c>
      <c r="L736" s="183">
        <v>0</v>
      </c>
      <c r="M736" s="183">
        <v>0</v>
      </c>
      <c r="N736" s="183">
        <v>0</v>
      </c>
      <c r="O736" s="183">
        <v>0</v>
      </c>
    </row>
    <row r="737" spans="4:15" s="348" customFormat="1" outlineLevel="2" x14ac:dyDescent="0.2">
      <c r="D737" s="668" t="str">
        <f>Intv_BA!D1348</f>
        <v>Luapula</v>
      </c>
      <c r="J737" s="183">
        <v>0</v>
      </c>
      <c r="K737" s="183">
        <v>0</v>
      </c>
      <c r="L737" s="183">
        <v>0</v>
      </c>
      <c r="M737" s="183">
        <v>0</v>
      </c>
      <c r="N737" s="183">
        <v>0</v>
      </c>
      <c r="O737" s="183">
        <v>0</v>
      </c>
    </row>
    <row r="738" spans="4:15" s="348" customFormat="1" outlineLevel="2" x14ac:dyDescent="0.2">
      <c r="D738" s="668" t="str">
        <f>Intv_BA!D1349</f>
        <v>Lusaka</v>
      </c>
      <c r="J738" s="183">
        <v>0</v>
      </c>
      <c r="K738" s="183">
        <v>0</v>
      </c>
      <c r="L738" s="183">
        <v>0</v>
      </c>
      <c r="M738" s="183">
        <v>0</v>
      </c>
      <c r="N738" s="183">
        <v>0</v>
      </c>
      <c r="O738" s="183">
        <v>0</v>
      </c>
    </row>
    <row r="739" spans="4:15" s="348" customFormat="1" outlineLevel="2" x14ac:dyDescent="0.2">
      <c r="D739" s="668" t="str">
        <f>Intv_BA!D1350</f>
        <v>Muchinga</v>
      </c>
      <c r="J739" s="183">
        <v>0</v>
      </c>
      <c r="K739" s="183">
        <v>0</v>
      </c>
      <c r="L739" s="183">
        <v>0</v>
      </c>
      <c r="M739" s="183">
        <v>0</v>
      </c>
      <c r="N739" s="183">
        <v>0</v>
      </c>
      <c r="O739" s="183">
        <v>0</v>
      </c>
    </row>
    <row r="740" spans="4:15" s="348" customFormat="1" outlineLevel="2" x14ac:dyDescent="0.2">
      <c r="D740" s="668" t="str">
        <f>Intv_BA!D1351</f>
        <v>Northern</v>
      </c>
      <c r="J740" s="183">
        <v>0</v>
      </c>
      <c r="K740" s="183">
        <v>0</v>
      </c>
      <c r="L740" s="183">
        <v>0</v>
      </c>
      <c r="M740" s="183">
        <v>0</v>
      </c>
      <c r="N740" s="183">
        <v>0</v>
      </c>
      <c r="O740" s="183">
        <v>0</v>
      </c>
    </row>
    <row r="741" spans="4:15" s="348" customFormat="1" outlineLevel="2" x14ac:dyDescent="0.2">
      <c r="D741" s="668" t="str">
        <f>Intv_BA!D1352</f>
        <v>North-Western</v>
      </c>
      <c r="J741" s="183">
        <v>0</v>
      </c>
      <c r="K741" s="183">
        <v>0</v>
      </c>
      <c r="L741" s="183">
        <v>0</v>
      </c>
      <c r="M741" s="183">
        <v>0</v>
      </c>
      <c r="N741" s="183">
        <v>0</v>
      </c>
      <c r="O741" s="183">
        <v>0</v>
      </c>
    </row>
    <row r="742" spans="4:15" s="348" customFormat="1" outlineLevel="2" x14ac:dyDescent="0.2">
      <c r="D742" s="668" t="str">
        <f>Intv_BA!D1353</f>
        <v>Southern</v>
      </c>
      <c r="J742" s="183">
        <v>0</v>
      </c>
      <c r="K742" s="183">
        <v>0</v>
      </c>
      <c r="L742" s="183">
        <v>0</v>
      </c>
      <c r="M742" s="183">
        <v>0</v>
      </c>
      <c r="N742" s="183">
        <v>0</v>
      </c>
      <c r="O742" s="183">
        <v>0</v>
      </c>
    </row>
    <row r="743" spans="4:15" s="348" customFormat="1" outlineLevel="2" x14ac:dyDescent="0.2">
      <c r="D743" s="668" t="str">
        <f>Intv_BA!D1354</f>
        <v>Western</v>
      </c>
      <c r="J743" s="183">
        <v>0</v>
      </c>
      <c r="K743" s="183">
        <v>0</v>
      </c>
      <c r="L743" s="183">
        <v>0</v>
      </c>
      <c r="M743" s="183">
        <v>0</v>
      </c>
      <c r="N743" s="183">
        <v>0</v>
      </c>
      <c r="O743" s="183">
        <v>0</v>
      </c>
    </row>
    <row r="744" spans="4:15" s="348" customFormat="1" ht="15" x14ac:dyDescent="0.2">
      <c r="D744" s="359" t="str">
        <f ca="1">"Total "&amp;D732</f>
        <v>Total Facility Type 9</v>
      </c>
      <c r="J744" s="131">
        <f t="shared" ref="J744:O744" si="45">SUM(J734:J743)</f>
        <v>0</v>
      </c>
      <c r="K744" s="131">
        <f t="shared" si="45"/>
        <v>0</v>
      </c>
      <c r="L744" s="131">
        <f t="shared" si="45"/>
        <v>0</v>
      </c>
      <c r="M744" s="131">
        <f t="shared" si="45"/>
        <v>0</v>
      </c>
      <c r="N744" s="131">
        <f t="shared" si="45"/>
        <v>0</v>
      </c>
      <c r="O744" s="131">
        <f t="shared" si="45"/>
        <v>0</v>
      </c>
    </row>
    <row r="745" spans="4:15" s="348" customFormat="1" x14ac:dyDescent="0.2">
      <c r="D745" s="721"/>
      <c r="E745" s="721"/>
      <c r="F745" s="721"/>
      <c r="G745" s="721"/>
      <c r="H745" s="721"/>
      <c r="I745" s="721"/>
    </row>
    <row r="746" spans="4:15" s="348" customFormat="1" ht="15" outlineLevel="1" x14ac:dyDescent="0.2">
      <c r="D746" s="667" t="s">
        <v>1611</v>
      </c>
      <c r="H746" s="372">
        <v>9</v>
      </c>
    </row>
    <row r="747" spans="4:15" s="348" customFormat="1" x14ac:dyDescent="0.2"/>
    <row r="748" spans="4:15" s="348" customFormat="1" ht="15" x14ac:dyDescent="0.2">
      <c r="D748" s="669" t="str">
        <f ca="1">OFFSET(Labels_BA!D16,0,H746)</f>
        <v>Facility Type 10</v>
      </c>
    </row>
    <row r="749" spans="4:15" s="348" customFormat="1" outlineLevel="1" x14ac:dyDescent="0.2"/>
    <row r="750" spans="4:15" s="348" customFormat="1" outlineLevel="2" x14ac:dyDescent="0.2">
      <c r="D750" s="668" t="str">
        <f>Intv_BA!D1345</f>
        <v>Central</v>
      </c>
      <c r="J750" s="183">
        <v>0</v>
      </c>
      <c r="K750" s="183">
        <v>0</v>
      </c>
      <c r="L750" s="183">
        <v>0</v>
      </c>
      <c r="M750" s="183">
        <v>0</v>
      </c>
      <c r="N750" s="183">
        <v>0</v>
      </c>
      <c r="O750" s="183">
        <v>0</v>
      </c>
    </row>
    <row r="751" spans="4:15" s="348" customFormat="1" outlineLevel="2" x14ac:dyDescent="0.2">
      <c r="D751" s="668" t="str">
        <f>Intv_BA!D1346</f>
        <v>Copperbelt</v>
      </c>
      <c r="J751" s="183">
        <v>0</v>
      </c>
      <c r="K751" s="183">
        <v>0</v>
      </c>
      <c r="L751" s="183">
        <v>0</v>
      </c>
      <c r="M751" s="183">
        <v>0</v>
      </c>
      <c r="N751" s="183">
        <v>0</v>
      </c>
      <c r="O751" s="183">
        <v>0</v>
      </c>
    </row>
    <row r="752" spans="4:15" s="348" customFormat="1" outlineLevel="2" x14ac:dyDescent="0.2">
      <c r="D752" s="668" t="str">
        <f>Intv_BA!D1347</f>
        <v>Eastern</v>
      </c>
      <c r="J752" s="183">
        <v>0</v>
      </c>
      <c r="K752" s="183">
        <v>0</v>
      </c>
      <c r="L752" s="183">
        <v>0</v>
      </c>
      <c r="M752" s="183">
        <v>0</v>
      </c>
      <c r="N752" s="183">
        <v>0</v>
      </c>
      <c r="O752" s="183">
        <v>0</v>
      </c>
    </row>
    <row r="753" spans="3:15" s="348" customFormat="1" outlineLevel="2" x14ac:dyDescent="0.2">
      <c r="D753" s="668" t="str">
        <f>Intv_BA!D1348</f>
        <v>Luapula</v>
      </c>
      <c r="J753" s="183">
        <v>0</v>
      </c>
      <c r="K753" s="183">
        <v>0</v>
      </c>
      <c r="L753" s="183">
        <v>0</v>
      </c>
      <c r="M753" s="183">
        <v>0</v>
      </c>
      <c r="N753" s="183">
        <v>0</v>
      </c>
      <c r="O753" s="183">
        <v>0</v>
      </c>
    </row>
    <row r="754" spans="3:15" s="348" customFormat="1" outlineLevel="2" x14ac:dyDescent="0.2">
      <c r="D754" s="668" t="str">
        <f>Intv_BA!D1349</f>
        <v>Lusaka</v>
      </c>
      <c r="J754" s="183">
        <v>0</v>
      </c>
      <c r="K754" s="183">
        <v>0</v>
      </c>
      <c r="L754" s="183">
        <v>0</v>
      </c>
      <c r="M754" s="183">
        <v>0</v>
      </c>
      <c r="N754" s="183">
        <v>0</v>
      </c>
      <c r="O754" s="183">
        <v>0</v>
      </c>
    </row>
    <row r="755" spans="3:15" s="348" customFormat="1" outlineLevel="2" x14ac:dyDescent="0.2">
      <c r="D755" s="668" t="str">
        <f>Intv_BA!D1350</f>
        <v>Muchinga</v>
      </c>
      <c r="J755" s="183">
        <v>0</v>
      </c>
      <c r="K755" s="183">
        <v>0</v>
      </c>
      <c r="L755" s="183">
        <v>0</v>
      </c>
      <c r="M755" s="183">
        <v>0</v>
      </c>
      <c r="N755" s="183">
        <v>0</v>
      </c>
      <c r="O755" s="183">
        <v>0</v>
      </c>
    </row>
    <row r="756" spans="3:15" s="348" customFormat="1" outlineLevel="2" x14ac:dyDescent="0.2">
      <c r="D756" s="668" t="str">
        <f>Intv_BA!D1351</f>
        <v>Northern</v>
      </c>
      <c r="J756" s="183">
        <v>0</v>
      </c>
      <c r="K756" s="183">
        <v>0</v>
      </c>
      <c r="L756" s="183">
        <v>0</v>
      </c>
      <c r="M756" s="183">
        <v>0</v>
      </c>
      <c r="N756" s="183">
        <v>0</v>
      </c>
      <c r="O756" s="183">
        <v>0</v>
      </c>
    </row>
    <row r="757" spans="3:15" s="348" customFormat="1" outlineLevel="2" x14ac:dyDescent="0.2">
      <c r="D757" s="668" t="str">
        <f>Intv_BA!D1352</f>
        <v>North-Western</v>
      </c>
      <c r="J757" s="183">
        <v>0</v>
      </c>
      <c r="K757" s="183">
        <v>0</v>
      </c>
      <c r="L757" s="183">
        <v>0</v>
      </c>
      <c r="M757" s="183">
        <v>0</v>
      </c>
      <c r="N757" s="183">
        <v>0</v>
      </c>
      <c r="O757" s="183">
        <v>0</v>
      </c>
    </row>
    <row r="758" spans="3:15" s="348" customFormat="1" outlineLevel="2" x14ac:dyDescent="0.2">
      <c r="D758" s="668" t="str">
        <f>Intv_BA!D1353</f>
        <v>Southern</v>
      </c>
      <c r="J758" s="183">
        <v>0</v>
      </c>
      <c r="K758" s="183">
        <v>0</v>
      </c>
      <c r="L758" s="183">
        <v>0</v>
      </c>
      <c r="M758" s="183">
        <v>0</v>
      </c>
      <c r="N758" s="183">
        <v>0</v>
      </c>
      <c r="O758" s="183">
        <v>0</v>
      </c>
    </row>
    <row r="759" spans="3:15" s="348" customFormat="1" outlineLevel="2" x14ac:dyDescent="0.2">
      <c r="D759" s="668" t="str">
        <f>Intv_BA!D1354</f>
        <v>Western</v>
      </c>
      <c r="J759" s="183">
        <v>0</v>
      </c>
      <c r="K759" s="183">
        <v>0</v>
      </c>
      <c r="L759" s="183">
        <v>0</v>
      </c>
      <c r="M759" s="183">
        <v>0</v>
      </c>
      <c r="N759" s="183">
        <v>0</v>
      </c>
      <c r="O759" s="183">
        <v>0</v>
      </c>
    </row>
    <row r="760" spans="3:15" s="348" customFormat="1" ht="15" x14ac:dyDescent="0.2">
      <c r="D760" s="359" t="str">
        <f ca="1">"Total "&amp;D748</f>
        <v>Total Facility Type 10</v>
      </c>
      <c r="J760" s="131">
        <f t="shared" ref="J760:O760" si="46">SUM(J750:J759)</f>
        <v>0</v>
      </c>
      <c r="K760" s="131">
        <f t="shared" si="46"/>
        <v>0</v>
      </c>
      <c r="L760" s="131">
        <f t="shared" si="46"/>
        <v>0</v>
      </c>
      <c r="M760" s="131">
        <f t="shared" si="46"/>
        <v>0</v>
      </c>
      <c r="N760" s="131">
        <f t="shared" si="46"/>
        <v>0</v>
      </c>
      <c r="O760" s="131">
        <f t="shared" si="46"/>
        <v>0</v>
      </c>
    </row>
    <row r="761" spans="3:15" s="348" customFormat="1" x14ac:dyDescent="0.2">
      <c r="D761" s="721"/>
      <c r="E761" s="721"/>
      <c r="F761" s="721"/>
      <c r="G761" s="721"/>
      <c r="H761" s="721"/>
      <c r="I761" s="721"/>
    </row>
    <row r="762" spans="3:15" s="348" customFormat="1" x14ac:dyDescent="0.2"/>
    <row r="763" spans="3:15" s="348" customFormat="1" x14ac:dyDescent="0.2"/>
    <row r="764" spans="3:15" s="348" customFormat="1" x14ac:dyDescent="0.2"/>
    <row r="765" spans="3:15" s="348" customFormat="1" ht="15.75" x14ac:dyDescent="0.2">
      <c r="C765" s="664" t="s">
        <v>141</v>
      </c>
    </row>
    <row r="766" spans="3:15" s="348" customFormat="1" x14ac:dyDescent="0.2"/>
    <row r="767" spans="3:15" s="348" customFormat="1" ht="17.25" customHeight="1" x14ac:dyDescent="0.2">
      <c r="D767" s="671" t="s">
        <v>184</v>
      </c>
      <c r="H767" s="677" t="b">
        <v>1</v>
      </c>
    </row>
    <row r="768" spans="3:15" s="348" customFormat="1" outlineLevel="1" x14ac:dyDescent="0.2"/>
    <row r="769" spans="3:15" s="348" customFormat="1" ht="15" outlineLevel="1" x14ac:dyDescent="0.2">
      <c r="D769" s="669" t="str">
        <f>Labels_BA!G10</f>
        <v>Province</v>
      </c>
    </row>
    <row r="770" spans="3:15" s="348" customFormat="1" outlineLevel="1" x14ac:dyDescent="0.2">
      <c r="D770" s="668" t="str">
        <f>Intv_BA!D1345</f>
        <v>Central</v>
      </c>
      <c r="J770" s="119">
        <f ca="1">Reg_Pop_Ann_TO!J361</f>
        <v>5788</v>
      </c>
      <c r="K770" s="119">
        <f ca="1">Reg_Pop_Ann_TO!K361</f>
        <v>5788</v>
      </c>
      <c r="L770" s="119">
        <f ca="1">Reg_Pop_Ann_TO!L361</f>
        <v>5788</v>
      </c>
      <c r="M770" s="119">
        <f ca="1">Reg_Pop_Ann_TO!M361</f>
        <v>5788</v>
      </c>
      <c r="N770" s="119">
        <f ca="1">Reg_Pop_Ann_TO!N361</f>
        <v>5788</v>
      </c>
      <c r="O770" s="119">
        <f ca="1">Reg_Pop_Ann_TO!O361</f>
        <v>5788</v>
      </c>
    </row>
    <row r="771" spans="3:15" s="348" customFormat="1" outlineLevel="1" x14ac:dyDescent="0.2">
      <c r="D771" s="668" t="str">
        <f>Intv_BA!D1346</f>
        <v>Copperbelt</v>
      </c>
      <c r="J771" s="119">
        <f ca="1">Reg_Pop_Ann_TO!J362</f>
        <v>8128</v>
      </c>
      <c r="K771" s="119">
        <f ca="1">Reg_Pop_Ann_TO!K362</f>
        <v>8128</v>
      </c>
      <c r="L771" s="119">
        <f ca="1">Reg_Pop_Ann_TO!L362</f>
        <v>8128</v>
      </c>
      <c r="M771" s="119">
        <f ca="1">Reg_Pop_Ann_TO!M362</f>
        <v>8128</v>
      </c>
      <c r="N771" s="119">
        <f ca="1">Reg_Pop_Ann_TO!N362</f>
        <v>8128</v>
      </c>
      <c r="O771" s="119">
        <f ca="1">Reg_Pop_Ann_TO!O362</f>
        <v>8128</v>
      </c>
    </row>
    <row r="772" spans="3:15" s="348" customFormat="1" outlineLevel="1" x14ac:dyDescent="0.2">
      <c r="D772" s="668" t="str">
        <f>Intv_BA!D1347</f>
        <v>Eastern</v>
      </c>
      <c r="J772" s="119">
        <f ca="1">Reg_Pop_Ann_TO!J363</f>
        <v>10468</v>
      </c>
      <c r="K772" s="119">
        <f ca="1">Reg_Pop_Ann_TO!K363</f>
        <v>10468</v>
      </c>
      <c r="L772" s="119">
        <f ca="1">Reg_Pop_Ann_TO!L363</f>
        <v>10468</v>
      </c>
      <c r="M772" s="119">
        <f ca="1">Reg_Pop_Ann_TO!M363</f>
        <v>10468</v>
      </c>
      <c r="N772" s="119">
        <f ca="1">Reg_Pop_Ann_TO!N363</f>
        <v>10468</v>
      </c>
      <c r="O772" s="119">
        <f ca="1">Reg_Pop_Ann_TO!O363</f>
        <v>10468</v>
      </c>
    </row>
    <row r="773" spans="3:15" s="348" customFormat="1" outlineLevel="1" x14ac:dyDescent="0.2">
      <c r="D773" s="668" t="str">
        <f>Intv_BA!D1348</f>
        <v>Luapula</v>
      </c>
      <c r="J773" s="119">
        <f ca="1">Reg_Pop_Ann_TO!J364</f>
        <v>8128</v>
      </c>
      <c r="K773" s="119">
        <f ca="1">Reg_Pop_Ann_TO!K364</f>
        <v>8128</v>
      </c>
      <c r="L773" s="119">
        <f ca="1">Reg_Pop_Ann_TO!L364</f>
        <v>8128</v>
      </c>
      <c r="M773" s="119">
        <f ca="1">Reg_Pop_Ann_TO!M364</f>
        <v>8128</v>
      </c>
      <c r="N773" s="119">
        <f ca="1">Reg_Pop_Ann_TO!N364</f>
        <v>8128</v>
      </c>
      <c r="O773" s="119">
        <f ca="1">Reg_Pop_Ann_TO!O364</f>
        <v>8128</v>
      </c>
    </row>
    <row r="774" spans="3:15" s="348" customFormat="1" outlineLevel="1" x14ac:dyDescent="0.2">
      <c r="D774" s="668" t="str">
        <f>Intv_BA!D1349</f>
        <v>Lusaka</v>
      </c>
      <c r="J774" s="119">
        <f ca="1">Reg_Pop_Ann_TO!J365</f>
        <v>29188</v>
      </c>
      <c r="K774" s="119">
        <f ca="1">Reg_Pop_Ann_TO!K365</f>
        <v>29188</v>
      </c>
      <c r="L774" s="119">
        <f ca="1">Reg_Pop_Ann_TO!L365</f>
        <v>29188</v>
      </c>
      <c r="M774" s="119">
        <f ca="1">Reg_Pop_Ann_TO!M365</f>
        <v>29188</v>
      </c>
      <c r="N774" s="119">
        <f ca="1">Reg_Pop_Ann_TO!N365</f>
        <v>29188</v>
      </c>
      <c r="O774" s="119">
        <f ca="1">Reg_Pop_Ann_TO!O365</f>
        <v>29188</v>
      </c>
    </row>
    <row r="775" spans="3:15" s="348" customFormat="1" outlineLevel="1" x14ac:dyDescent="0.2">
      <c r="D775" s="668" t="str">
        <f>Intv_BA!D1350</f>
        <v>Muchinga</v>
      </c>
      <c r="J775" s="119">
        <f ca="1">Reg_Pop_Ann_TO!J366</f>
        <v>554</v>
      </c>
      <c r="K775" s="119">
        <f ca="1">Reg_Pop_Ann_TO!K366</f>
        <v>554</v>
      </c>
      <c r="L775" s="119">
        <f ca="1">Reg_Pop_Ann_TO!L366</f>
        <v>554</v>
      </c>
      <c r="M775" s="119">
        <f ca="1">Reg_Pop_Ann_TO!M366</f>
        <v>554</v>
      </c>
      <c r="N775" s="119">
        <f ca="1">Reg_Pop_Ann_TO!N366</f>
        <v>554</v>
      </c>
      <c r="O775" s="119">
        <f ca="1">Reg_Pop_Ann_TO!O366</f>
        <v>554</v>
      </c>
    </row>
    <row r="776" spans="3:15" s="348" customFormat="1" outlineLevel="1" x14ac:dyDescent="0.2">
      <c r="D776" s="668" t="str">
        <f>Intv_BA!D1351</f>
        <v>Northern</v>
      </c>
      <c r="J776" s="119">
        <f ca="1">Reg_Pop_Ann_TO!J367</f>
        <v>2894</v>
      </c>
      <c r="K776" s="119">
        <f ca="1">Reg_Pop_Ann_TO!K367</f>
        <v>2894</v>
      </c>
      <c r="L776" s="119">
        <f ca="1">Reg_Pop_Ann_TO!L367</f>
        <v>2894</v>
      </c>
      <c r="M776" s="119">
        <f ca="1">Reg_Pop_Ann_TO!M367</f>
        <v>2894</v>
      </c>
      <c r="N776" s="119">
        <f ca="1">Reg_Pop_Ann_TO!N367</f>
        <v>2894</v>
      </c>
      <c r="O776" s="119">
        <f ca="1">Reg_Pop_Ann_TO!O367</f>
        <v>2894</v>
      </c>
    </row>
    <row r="777" spans="3:15" s="348" customFormat="1" outlineLevel="1" x14ac:dyDescent="0.2">
      <c r="D777" s="668" t="str">
        <f>Intv_BA!D1352</f>
        <v>North-Western</v>
      </c>
      <c r="J777" s="119">
        <f ca="1">Reg_Pop_Ann_TO!J368</f>
        <v>3448</v>
      </c>
      <c r="K777" s="119">
        <f ca="1">Reg_Pop_Ann_TO!K368</f>
        <v>3448</v>
      </c>
      <c r="L777" s="119">
        <f ca="1">Reg_Pop_Ann_TO!L368</f>
        <v>3448</v>
      </c>
      <c r="M777" s="119">
        <f ca="1">Reg_Pop_Ann_TO!M368</f>
        <v>3448</v>
      </c>
      <c r="N777" s="119">
        <f ca="1">Reg_Pop_Ann_TO!N368</f>
        <v>3448</v>
      </c>
      <c r="O777" s="119">
        <f ca="1">Reg_Pop_Ann_TO!O368</f>
        <v>3448</v>
      </c>
    </row>
    <row r="778" spans="3:15" s="348" customFormat="1" outlineLevel="1" x14ac:dyDescent="0.2">
      <c r="D778" s="668" t="str">
        <f>Intv_BA!D1353</f>
        <v>Southern</v>
      </c>
      <c r="J778" s="119">
        <f ca="1">Reg_Pop_Ann_TO!J369</f>
        <v>8128</v>
      </c>
      <c r="K778" s="119">
        <f ca="1">Reg_Pop_Ann_TO!K369</f>
        <v>8128</v>
      </c>
      <c r="L778" s="119">
        <f ca="1">Reg_Pop_Ann_TO!L369</f>
        <v>8128</v>
      </c>
      <c r="M778" s="119">
        <f ca="1">Reg_Pop_Ann_TO!M369</f>
        <v>8128</v>
      </c>
      <c r="N778" s="119">
        <f ca="1">Reg_Pop_Ann_TO!N369</f>
        <v>8128</v>
      </c>
      <c r="O778" s="119">
        <f ca="1">Reg_Pop_Ann_TO!O369</f>
        <v>8128</v>
      </c>
    </row>
    <row r="779" spans="3:15" s="348" customFormat="1" outlineLevel="1" x14ac:dyDescent="0.2">
      <c r="D779" s="668" t="str">
        <f>Intv_BA!D1354</f>
        <v>Western</v>
      </c>
      <c r="J779" s="119">
        <f ca="1">Reg_Pop_Ann_TO!J370</f>
        <v>8128</v>
      </c>
      <c r="K779" s="119">
        <f ca="1">Reg_Pop_Ann_TO!K370</f>
        <v>8128</v>
      </c>
      <c r="L779" s="119">
        <f ca="1">Reg_Pop_Ann_TO!L370</f>
        <v>8128</v>
      </c>
      <c r="M779" s="119">
        <f ca="1">Reg_Pop_Ann_TO!M370</f>
        <v>8128</v>
      </c>
      <c r="N779" s="119">
        <f ca="1">Reg_Pop_Ann_TO!N370</f>
        <v>8128</v>
      </c>
      <c r="O779" s="119">
        <f ca="1">Reg_Pop_Ann_TO!O370</f>
        <v>8128</v>
      </c>
    </row>
    <row r="780" spans="3:15" s="348" customFormat="1" ht="12.95" customHeight="1" x14ac:dyDescent="0.2">
      <c r="D780" s="359" t="str">
        <f>"Total "&amp;C765</f>
        <v>Total Screened Population</v>
      </c>
      <c r="J780" s="164">
        <f t="shared" ref="J780:O780" ca="1" si="47">SUM(J770:J779)</f>
        <v>84852</v>
      </c>
      <c r="K780" s="164">
        <f t="shared" ca="1" si="47"/>
        <v>84852</v>
      </c>
      <c r="L780" s="164">
        <f t="shared" ca="1" si="47"/>
        <v>84852</v>
      </c>
      <c r="M780" s="164">
        <f t="shared" ca="1" si="47"/>
        <v>84852</v>
      </c>
      <c r="N780" s="164">
        <f t="shared" ca="1" si="47"/>
        <v>84852</v>
      </c>
      <c r="O780" s="164">
        <f t="shared" ca="1" si="47"/>
        <v>84852</v>
      </c>
    </row>
    <row r="781" spans="3:15" s="348" customFormat="1" x14ac:dyDescent="0.2"/>
    <row r="782" spans="3:15" s="348" customFormat="1" ht="15.75" x14ac:dyDescent="0.2">
      <c r="C782" s="664" t="s">
        <v>212</v>
      </c>
    </row>
    <row r="783" spans="3:15" s="348" customFormat="1" outlineLevel="1" x14ac:dyDescent="0.2"/>
    <row r="784" spans="3:15" s="348" customFormat="1" ht="15" outlineLevel="1" x14ac:dyDescent="0.2">
      <c r="D784" s="667" t="s">
        <v>167</v>
      </c>
    </row>
    <row r="785" spans="2:15" s="348" customFormat="1" ht="10.5" customHeight="1" outlineLevel="1" x14ac:dyDescent="0.2">
      <c r="D785" s="785" t="str">
        <f>Econ_Ann_TA!D13</f>
        <v>USD</v>
      </c>
      <c r="E785" s="786"/>
      <c r="F785" s="786"/>
      <c r="G785" s="786"/>
      <c r="J785" s="137">
        <f>Econ_Ann_TA!J13</f>
        <v>1</v>
      </c>
      <c r="K785" s="137">
        <f>Econ_Ann_TA!K13</f>
        <v>1</v>
      </c>
      <c r="L785" s="137">
        <f>Econ_Ann_TA!L13</f>
        <v>1</v>
      </c>
      <c r="M785" s="137">
        <f>Econ_Ann_TA!M13</f>
        <v>1</v>
      </c>
      <c r="N785" s="137">
        <f>Econ_Ann_TA!N13</f>
        <v>1</v>
      </c>
      <c r="O785" s="137">
        <f>Econ_Ann_TA!O13</f>
        <v>1</v>
      </c>
    </row>
    <row r="786" spans="2:15" s="348" customFormat="1" outlineLevel="1" x14ac:dyDescent="0.2">
      <c r="D786" s="785" t="str">
        <f>Econ_Ann_TA!D14</f>
        <v>ZMW</v>
      </c>
      <c r="E786" s="786"/>
      <c r="F786" s="786"/>
      <c r="G786" s="786"/>
      <c r="J786" s="137">
        <f>Econ_Ann_TA!J14</f>
        <v>10.971399999999999</v>
      </c>
      <c r="K786" s="137">
        <f>Econ_Ann_TA!K14</f>
        <v>10.971399999999999</v>
      </c>
      <c r="L786" s="137">
        <f>Econ_Ann_TA!L14</f>
        <v>10.971399999999999</v>
      </c>
      <c r="M786" s="137">
        <f>Econ_Ann_TA!M14</f>
        <v>10.971399999999999</v>
      </c>
      <c r="N786" s="137">
        <f>Econ_Ann_TA!N14</f>
        <v>10.971399999999999</v>
      </c>
      <c r="O786" s="137">
        <f>Econ_Ann_TA!O14</f>
        <v>10.971399999999999</v>
      </c>
    </row>
    <row r="787" spans="2:15" s="348" customFormat="1" x14ac:dyDescent="0.2"/>
    <row r="788" spans="2:15" s="348" customFormat="1" x14ac:dyDescent="0.2">
      <c r="C788" s="722" t="str">
        <f>"Go to "&amp;HL_Intv_3_Ass</f>
        <v>Go to Chemotherapy</v>
      </c>
      <c r="D788" s="777"/>
      <c r="E788" s="777"/>
      <c r="F788" s="777"/>
      <c r="G788" s="777"/>
      <c r="H788" s="777"/>
      <c r="I788" s="777"/>
    </row>
    <row r="789" spans="2:15" s="348" customFormat="1" x14ac:dyDescent="0.2">
      <c r="C789" s="722" t="str">
        <f>"Go to "&amp;HL_Intv_3_Out</f>
        <v>Go to Chemotherapy</v>
      </c>
      <c r="D789" s="777"/>
      <c r="E789" s="777"/>
      <c r="F789" s="777"/>
      <c r="G789" s="777"/>
      <c r="H789" s="777"/>
      <c r="I789" s="777"/>
    </row>
    <row r="790" spans="2:15" s="348" customFormat="1" x14ac:dyDescent="0.2"/>
    <row r="791" spans="2:15" s="348" customFormat="1" x14ac:dyDescent="0.2"/>
    <row r="792" spans="2:15" s="348" customFormat="1" ht="18.75" x14ac:dyDescent="0.2">
      <c r="B792" s="425" t="s">
        <v>1627</v>
      </c>
    </row>
    <row r="793" spans="2:15" s="348" customFormat="1" x14ac:dyDescent="0.2"/>
    <row r="794" spans="2:15" s="348" customFormat="1" ht="18.75" x14ac:dyDescent="0.2">
      <c r="B794" s="498" t="str">
        <f>HL_Intv_4_Ass</f>
        <v>Radiotherapy</v>
      </c>
    </row>
    <row r="795" spans="2:15" s="348" customFormat="1" x14ac:dyDescent="0.2"/>
    <row r="796" spans="2:15" s="348" customFormat="1" ht="15.75" x14ac:dyDescent="0.2">
      <c r="C796" s="124" t="str">
        <f>"Assumed Numbers of Active Facilities Offering "&amp;B794&amp;" - By Type, Service Area, and Year."</f>
        <v>Assumed Numbers of Active Facilities Offering Radiotherapy - By Type, Service Area, and Year.</v>
      </c>
    </row>
    <row r="797" spans="2:15" s="348" customFormat="1" ht="15" outlineLevel="1" x14ac:dyDescent="0.2">
      <c r="D797" s="667" t="s">
        <v>1611</v>
      </c>
      <c r="H797" s="372">
        <v>0</v>
      </c>
    </row>
    <row r="798" spans="2:15" s="348" customFormat="1" x14ac:dyDescent="0.2"/>
    <row r="799" spans="2:15" s="348" customFormat="1" ht="15" x14ac:dyDescent="0.2">
      <c r="D799" s="669" t="str">
        <f ca="1">OFFSET(Labels_BA!D16,0,H797)</f>
        <v>Central Referral Hospital</v>
      </c>
    </row>
    <row r="800" spans="2:15" s="348" customFormat="1" outlineLevel="1" x14ac:dyDescent="0.2"/>
    <row r="801" spans="4:15" s="348" customFormat="1" outlineLevel="1" collapsed="1" x14ac:dyDescent="0.2">
      <c r="D801" s="668" t="str">
        <f>Intv_BA!D1937</f>
        <v>Central</v>
      </c>
      <c r="J801" s="183">
        <v>0</v>
      </c>
      <c r="K801" s="183">
        <v>0</v>
      </c>
      <c r="L801" s="183">
        <v>0</v>
      </c>
      <c r="M801" s="183">
        <v>0</v>
      </c>
      <c r="N801" s="183">
        <v>0</v>
      </c>
      <c r="O801" s="183">
        <v>0</v>
      </c>
    </row>
    <row r="802" spans="4:15" s="348" customFormat="1" outlineLevel="1" x14ac:dyDescent="0.2">
      <c r="D802" s="668" t="str">
        <f>Intv_BA!D1938</f>
        <v>Copperbelt</v>
      </c>
      <c r="J802" s="183"/>
      <c r="K802" s="183"/>
      <c r="L802" s="183"/>
      <c r="M802" s="183"/>
      <c r="N802" s="183">
        <v>1</v>
      </c>
      <c r="O802" s="183">
        <v>1</v>
      </c>
    </row>
    <row r="803" spans="4:15" s="348" customFormat="1" outlineLevel="1" x14ac:dyDescent="0.2">
      <c r="D803" s="668" t="str">
        <f>Intv_BA!D1939</f>
        <v>Eastern</v>
      </c>
      <c r="J803" s="183">
        <v>0</v>
      </c>
      <c r="K803" s="183">
        <v>0</v>
      </c>
      <c r="L803" s="183">
        <v>0</v>
      </c>
      <c r="M803" s="183">
        <v>0</v>
      </c>
      <c r="N803" s="183">
        <v>0</v>
      </c>
      <c r="O803" s="183">
        <v>0</v>
      </c>
    </row>
    <row r="804" spans="4:15" s="348" customFormat="1" outlineLevel="1" x14ac:dyDescent="0.2">
      <c r="D804" s="668" t="str">
        <f>Intv_BA!D1940</f>
        <v>Luapula</v>
      </c>
      <c r="J804" s="183">
        <v>0</v>
      </c>
      <c r="K804" s="183">
        <v>0</v>
      </c>
      <c r="L804" s="183">
        <v>0</v>
      </c>
      <c r="M804" s="183">
        <v>0</v>
      </c>
      <c r="N804" s="183">
        <v>0</v>
      </c>
      <c r="O804" s="183">
        <v>0</v>
      </c>
    </row>
    <row r="805" spans="4:15" s="348" customFormat="1" outlineLevel="1" x14ac:dyDescent="0.2">
      <c r="D805" s="668" t="str">
        <f>Intv_BA!D1941</f>
        <v>Lusaka</v>
      </c>
      <c r="J805" s="183">
        <v>1</v>
      </c>
      <c r="K805" s="183">
        <v>1</v>
      </c>
      <c r="L805" s="183">
        <v>1</v>
      </c>
      <c r="M805" s="183">
        <v>1</v>
      </c>
      <c r="N805" s="183">
        <v>1</v>
      </c>
      <c r="O805" s="183">
        <v>1</v>
      </c>
    </row>
    <row r="806" spans="4:15" s="348" customFormat="1" outlineLevel="1" x14ac:dyDescent="0.2">
      <c r="D806" s="668" t="str">
        <f>Intv_BA!D1942</f>
        <v>Muchinga</v>
      </c>
      <c r="J806" s="183">
        <v>0</v>
      </c>
      <c r="K806" s="183">
        <v>0</v>
      </c>
      <c r="L806" s="183">
        <v>0</v>
      </c>
      <c r="M806" s="183">
        <v>0</v>
      </c>
      <c r="N806" s="183">
        <v>0</v>
      </c>
      <c r="O806" s="183">
        <v>0</v>
      </c>
    </row>
    <row r="807" spans="4:15" s="348" customFormat="1" outlineLevel="1" x14ac:dyDescent="0.2">
      <c r="D807" s="668" t="str">
        <f>Intv_BA!D1943</f>
        <v>Northern</v>
      </c>
      <c r="J807" s="183">
        <v>0</v>
      </c>
      <c r="K807" s="183">
        <v>0</v>
      </c>
      <c r="L807" s="183">
        <v>0</v>
      </c>
      <c r="M807" s="183">
        <v>0</v>
      </c>
      <c r="N807" s="183">
        <v>0</v>
      </c>
      <c r="O807" s="183">
        <v>0</v>
      </c>
    </row>
    <row r="808" spans="4:15" s="348" customFormat="1" outlineLevel="1" x14ac:dyDescent="0.2">
      <c r="D808" s="668" t="str">
        <f>Intv_BA!D1944</f>
        <v>North-Western</v>
      </c>
      <c r="J808" s="183">
        <v>0</v>
      </c>
      <c r="K808" s="183">
        <v>0</v>
      </c>
      <c r="L808" s="183">
        <v>0</v>
      </c>
      <c r="M808" s="183">
        <v>0</v>
      </c>
      <c r="N808" s="183">
        <v>0</v>
      </c>
      <c r="O808" s="183">
        <v>0</v>
      </c>
    </row>
    <row r="809" spans="4:15" s="348" customFormat="1" outlineLevel="1" x14ac:dyDescent="0.2">
      <c r="D809" s="668" t="str">
        <f>Intv_BA!D1945</f>
        <v>Southern</v>
      </c>
      <c r="J809" s="183">
        <v>0</v>
      </c>
      <c r="K809" s="183">
        <v>0</v>
      </c>
      <c r="L809" s="183">
        <v>0</v>
      </c>
      <c r="M809" s="183">
        <v>0</v>
      </c>
      <c r="N809" s="183">
        <v>1</v>
      </c>
      <c r="O809" s="183">
        <v>1</v>
      </c>
    </row>
    <row r="810" spans="4:15" s="348" customFormat="1" outlineLevel="1" x14ac:dyDescent="0.2">
      <c r="D810" s="668" t="str">
        <f>Intv_BA!D1946</f>
        <v>Western</v>
      </c>
      <c r="J810" s="183">
        <v>0</v>
      </c>
      <c r="K810" s="183">
        <v>0</v>
      </c>
      <c r="L810" s="183">
        <v>0</v>
      </c>
      <c r="M810" s="183">
        <v>0</v>
      </c>
      <c r="N810" s="183">
        <v>0</v>
      </c>
      <c r="O810" s="183">
        <v>0</v>
      </c>
    </row>
    <row r="811" spans="4:15" s="348" customFormat="1" ht="15" x14ac:dyDescent="0.2">
      <c r="D811" s="359" t="str">
        <f ca="1">"Total "&amp;D799</f>
        <v>Total Central Referral Hospital</v>
      </c>
      <c r="J811" s="131">
        <f t="shared" ref="J811:O811" si="48">SUM(J801:J810)</f>
        <v>1</v>
      </c>
      <c r="K811" s="131">
        <f t="shared" si="48"/>
        <v>1</v>
      </c>
      <c r="L811" s="131">
        <f t="shared" si="48"/>
        <v>1</v>
      </c>
      <c r="M811" s="131">
        <f t="shared" si="48"/>
        <v>1</v>
      </c>
      <c r="N811" s="131">
        <f t="shared" si="48"/>
        <v>3</v>
      </c>
      <c r="O811" s="131">
        <f t="shared" si="48"/>
        <v>3</v>
      </c>
    </row>
    <row r="812" spans="4:15" s="348" customFormat="1" x14ac:dyDescent="0.2">
      <c r="D812" s="721"/>
      <c r="E812" s="721"/>
      <c r="F812" s="721"/>
      <c r="G812" s="721"/>
      <c r="H812" s="721"/>
      <c r="I812" s="721"/>
    </row>
    <row r="813" spans="4:15" s="348" customFormat="1" ht="15" outlineLevel="1" x14ac:dyDescent="0.2">
      <c r="D813" s="667" t="s">
        <v>1611</v>
      </c>
      <c r="H813" s="372">
        <v>1</v>
      </c>
    </row>
    <row r="814" spans="4:15" s="348" customFormat="1" x14ac:dyDescent="0.2"/>
    <row r="815" spans="4:15" s="348" customFormat="1" ht="15" x14ac:dyDescent="0.2">
      <c r="D815" s="669" t="str">
        <f ca="1">OFFSET(Labels_BA!D16,0,H813)</f>
        <v>Provincial Hospital</v>
      </c>
    </row>
    <row r="816" spans="4:15" s="348" customFormat="1" outlineLevel="1" x14ac:dyDescent="0.2"/>
    <row r="817" spans="4:15" s="348" customFormat="1" outlineLevel="1" collapsed="1" x14ac:dyDescent="0.2">
      <c r="D817" s="668" t="str">
        <f>Intv_BA!D1937</f>
        <v>Central</v>
      </c>
      <c r="J817" s="183">
        <v>0</v>
      </c>
      <c r="K817" s="183">
        <v>0</v>
      </c>
      <c r="L817" s="183">
        <v>0</v>
      </c>
      <c r="M817" s="183">
        <v>0</v>
      </c>
      <c r="N817" s="183">
        <v>0</v>
      </c>
      <c r="O817" s="183">
        <v>0</v>
      </c>
    </row>
    <row r="818" spans="4:15" s="348" customFormat="1" outlineLevel="1" x14ac:dyDescent="0.2">
      <c r="D818" s="668" t="str">
        <f>Intv_BA!D1938</f>
        <v>Copperbelt</v>
      </c>
      <c r="J818" s="183">
        <v>0</v>
      </c>
      <c r="K818" s="183">
        <v>0</v>
      </c>
      <c r="L818" s="183">
        <v>0</v>
      </c>
      <c r="M818" s="183">
        <v>0</v>
      </c>
      <c r="N818" s="183">
        <v>0</v>
      </c>
      <c r="O818" s="183">
        <v>0</v>
      </c>
    </row>
    <row r="819" spans="4:15" s="348" customFormat="1" outlineLevel="1" x14ac:dyDescent="0.2">
      <c r="D819" s="668" t="str">
        <f>Intv_BA!D1939</f>
        <v>Eastern</v>
      </c>
      <c r="J819" s="183">
        <v>0</v>
      </c>
      <c r="K819" s="183">
        <v>0</v>
      </c>
      <c r="L819" s="183">
        <v>0</v>
      </c>
      <c r="M819" s="183">
        <v>0</v>
      </c>
      <c r="N819" s="183">
        <v>0</v>
      </c>
      <c r="O819" s="183">
        <v>0</v>
      </c>
    </row>
    <row r="820" spans="4:15" s="348" customFormat="1" outlineLevel="1" x14ac:dyDescent="0.2">
      <c r="D820" s="668" t="str">
        <f>Intv_BA!D1940</f>
        <v>Luapula</v>
      </c>
      <c r="J820" s="183">
        <v>0</v>
      </c>
      <c r="K820" s="183">
        <v>0</v>
      </c>
      <c r="L820" s="183">
        <v>0</v>
      </c>
      <c r="M820" s="183">
        <v>0</v>
      </c>
      <c r="N820" s="183">
        <v>0</v>
      </c>
      <c r="O820" s="183">
        <v>0</v>
      </c>
    </row>
    <row r="821" spans="4:15" s="348" customFormat="1" outlineLevel="1" x14ac:dyDescent="0.2">
      <c r="D821" s="668" t="str">
        <f>Intv_BA!D1941</f>
        <v>Lusaka</v>
      </c>
      <c r="J821" s="183">
        <v>0</v>
      </c>
      <c r="K821" s="183">
        <v>0</v>
      </c>
      <c r="L821" s="183">
        <v>0</v>
      </c>
      <c r="M821" s="183">
        <v>0</v>
      </c>
      <c r="N821" s="183">
        <v>0</v>
      </c>
      <c r="O821" s="183">
        <v>0</v>
      </c>
    </row>
    <row r="822" spans="4:15" s="348" customFormat="1" outlineLevel="1" x14ac:dyDescent="0.2">
      <c r="D822" s="668" t="str">
        <f>Intv_BA!D1942</f>
        <v>Muchinga</v>
      </c>
      <c r="J822" s="183">
        <v>0</v>
      </c>
      <c r="K822" s="183">
        <v>0</v>
      </c>
      <c r="L822" s="183">
        <v>0</v>
      </c>
      <c r="M822" s="183">
        <v>0</v>
      </c>
      <c r="N822" s="183">
        <v>0</v>
      </c>
      <c r="O822" s="183">
        <v>0</v>
      </c>
    </row>
    <row r="823" spans="4:15" s="348" customFormat="1" outlineLevel="1" x14ac:dyDescent="0.2">
      <c r="D823" s="668" t="str">
        <f>Intv_BA!D1943</f>
        <v>Northern</v>
      </c>
      <c r="J823" s="183">
        <v>0</v>
      </c>
      <c r="K823" s="183">
        <v>0</v>
      </c>
      <c r="L823" s="183">
        <v>0</v>
      </c>
      <c r="M823" s="183">
        <v>0</v>
      </c>
      <c r="N823" s="183">
        <v>0</v>
      </c>
      <c r="O823" s="183">
        <v>0</v>
      </c>
    </row>
    <row r="824" spans="4:15" s="348" customFormat="1" outlineLevel="1" x14ac:dyDescent="0.2">
      <c r="D824" s="668" t="str">
        <f>Intv_BA!D1944</f>
        <v>North-Western</v>
      </c>
      <c r="J824" s="183">
        <v>0</v>
      </c>
      <c r="K824" s="183">
        <v>0</v>
      </c>
      <c r="L824" s="183">
        <v>0</v>
      </c>
      <c r="M824" s="183">
        <v>0</v>
      </c>
      <c r="N824" s="183">
        <v>0</v>
      </c>
      <c r="O824" s="183">
        <v>0</v>
      </c>
    </row>
    <row r="825" spans="4:15" s="348" customFormat="1" outlineLevel="1" x14ac:dyDescent="0.2">
      <c r="D825" s="668" t="str">
        <f>Intv_BA!D1945</f>
        <v>Southern</v>
      </c>
      <c r="J825" s="183">
        <v>0</v>
      </c>
      <c r="K825" s="183">
        <v>0</v>
      </c>
      <c r="L825" s="183">
        <v>0</v>
      </c>
      <c r="M825" s="183">
        <v>0</v>
      </c>
      <c r="N825" s="183">
        <v>0</v>
      </c>
      <c r="O825" s="183">
        <v>0</v>
      </c>
    </row>
    <row r="826" spans="4:15" s="348" customFormat="1" outlineLevel="1" x14ac:dyDescent="0.2">
      <c r="D826" s="668" t="str">
        <f>Intv_BA!D1946</f>
        <v>Western</v>
      </c>
      <c r="J826" s="183">
        <v>0</v>
      </c>
      <c r="K826" s="183">
        <v>0</v>
      </c>
      <c r="L826" s="183">
        <v>0</v>
      </c>
      <c r="M826" s="183">
        <v>0</v>
      </c>
      <c r="N826" s="183">
        <v>0</v>
      </c>
      <c r="O826" s="183">
        <v>0</v>
      </c>
    </row>
    <row r="827" spans="4:15" s="348" customFormat="1" ht="15" x14ac:dyDescent="0.2">
      <c r="D827" s="359" t="str">
        <f ca="1">"Total "&amp;D815</f>
        <v>Total Provincial Hospital</v>
      </c>
      <c r="J827" s="131">
        <f t="shared" ref="J827:O827" si="49">SUM(J817:J826)</f>
        <v>0</v>
      </c>
      <c r="K827" s="131">
        <f t="shared" si="49"/>
        <v>0</v>
      </c>
      <c r="L827" s="131">
        <f t="shared" si="49"/>
        <v>0</v>
      </c>
      <c r="M827" s="131">
        <f t="shared" si="49"/>
        <v>0</v>
      </c>
      <c r="N827" s="131">
        <f t="shared" si="49"/>
        <v>0</v>
      </c>
      <c r="O827" s="131">
        <f t="shared" si="49"/>
        <v>0</v>
      </c>
    </row>
    <row r="828" spans="4:15" s="348" customFormat="1" x14ac:dyDescent="0.2">
      <c r="D828" s="721"/>
      <c r="E828" s="721"/>
      <c r="F828" s="721"/>
      <c r="G828" s="721"/>
      <c r="H828" s="721"/>
      <c r="I828" s="721"/>
    </row>
    <row r="829" spans="4:15" s="348" customFormat="1" ht="15" outlineLevel="1" x14ac:dyDescent="0.2">
      <c r="D829" s="667" t="s">
        <v>1611</v>
      </c>
      <c r="H829" s="372">
        <v>2</v>
      </c>
    </row>
    <row r="830" spans="4:15" s="348" customFormat="1" x14ac:dyDescent="0.2"/>
    <row r="831" spans="4:15" s="348" customFormat="1" ht="15" x14ac:dyDescent="0.2">
      <c r="D831" s="669" t="str">
        <f ca="1">OFFSET(Labels_BA!D16,0,H829)</f>
        <v>District Hospital</v>
      </c>
    </row>
    <row r="832" spans="4:15" s="348" customFormat="1" outlineLevel="1" x14ac:dyDescent="0.2"/>
    <row r="833" spans="4:15" s="348" customFormat="1" outlineLevel="1" collapsed="1" x14ac:dyDescent="0.2">
      <c r="D833" s="668" t="str">
        <f>Intv_BA!D1937</f>
        <v>Central</v>
      </c>
      <c r="J833" s="183">
        <v>0</v>
      </c>
      <c r="K833" s="183">
        <v>0</v>
      </c>
      <c r="L833" s="183">
        <v>0</v>
      </c>
      <c r="M833" s="183">
        <v>0</v>
      </c>
      <c r="N833" s="183">
        <v>0</v>
      </c>
      <c r="O833" s="183">
        <v>0</v>
      </c>
    </row>
    <row r="834" spans="4:15" s="348" customFormat="1" outlineLevel="1" x14ac:dyDescent="0.2">
      <c r="D834" s="668" t="str">
        <f>Intv_BA!D1938</f>
        <v>Copperbelt</v>
      </c>
      <c r="J834" s="183">
        <v>0</v>
      </c>
      <c r="K834" s="183">
        <v>0</v>
      </c>
      <c r="L834" s="183">
        <v>0</v>
      </c>
      <c r="M834" s="183">
        <v>0</v>
      </c>
      <c r="N834" s="183">
        <v>0</v>
      </c>
      <c r="O834" s="183">
        <v>0</v>
      </c>
    </row>
    <row r="835" spans="4:15" s="348" customFormat="1" outlineLevel="1" x14ac:dyDescent="0.2">
      <c r="D835" s="668" t="str">
        <f>Intv_BA!D1939</f>
        <v>Eastern</v>
      </c>
      <c r="J835" s="183">
        <v>0</v>
      </c>
      <c r="K835" s="183">
        <v>0</v>
      </c>
      <c r="L835" s="183">
        <v>0</v>
      </c>
      <c r="M835" s="183">
        <v>0</v>
      </c>
      <c r="N835" s="183">
        <v>0</v>
      </c>
      <c r="O835" s="183">
        <v>0</v>
      </c>
    </row>
    <row r="836" spans="4:15" s="348" customFormat="1" outlineLevel="1" x14ac:dyDescent="0.2">
      <c r="D836" s="668" t="str">
        <f>Intv_BA!D1940</f>
        <v>Luapula</v>
      </c>
      <c r="J836" s="183">
        <v>0</v>
      </c>
      <c r="K836" s="183">
        <v>0</v>
      </c>
      <c r="L836" s="183">
        <v>0</v>
      </c>
      <c r="M836" s="183">
        <v>0</v>
      </c>
      <c r="N836" s="183">
        <v>0</v>
      </c>
      <c r="O836" s="183">
        <v>0</v>
      </c>
    </row>
    <row r="837" spans="4:15" s="348" customFormat="1" outlineLevel="1" x14ac:dyDescent="0.2">
      <c r="D837" s="668" t="str">
        <f>Intv_BA!D1941</f>
        <v>Lusaka</v>
      </c>
      <c r="J837" s="183">
        <v>0</v>
      </c>
      <c r="K837" s="183">
        <v>0</v>
      </c>
      <c r="L837" s="183">
        <v>0</v>
      </c>
      <c r="M837" s="183">
        <v>0</v>
      </c>
      <c r="N837" s="183">
        <v>0</v>
      </c>
      <c r="O837" s="183">
        <v>0</v>
      </c>
    </row>
    <row r="838" spans="4:15" s="348" customFormat="1" outlineLevel="1" x14ac:dyDescent="0.2">
      <c r="D838" s="668" t="str">
        <f>Intv_BA!D1942</f>
        <v>Muchinga</v>
      </c>
      <c r="J838" s="183">
        <v>0</v>
      </c>
      <c r="K838" s="183">
        <v>0</v>
      </c>
      <c r="L838" s="183">
        <v>0</v>
      </c>
      <c r="M838" s="183">
        <v>0</v>
      </c>
      <c r="N838" s="183">
        <v>0</v>
      </c>
      <c r="O838" s="183">
        <v>0</v>
      </c>
    </row>
    <row r="839" spans="4:15" s="348" customFormat="1" outlineLevel="1" x14ac:dyDescent="0.2">
      <c r="D839" s="668" t="str">
        <f>Intv_BA!D1943</f>
        <v>Northern</v>
      </c>
      <c r="J839" s="183">
        <v>0</v>
      </c>
      <c r="K839" s="183">
        <v>0</v>
      </c>
      <c r="L839" s="183">
        <v>0</v>
      </c>
      <c r="M839" s="183">
        <v>0</v>
      </c>
      <c r="N839" s="183">
        <v>0</v>
      </c>
      <c r="O839" s="183">
        <v>0</v>
      </c>
    </row>
    <row r="840" spans="4:15" s="348" customFormat="1" outlineLevel="1" x14ac:dyDescent="0.2">
      <c r="D840" s="668" t="str">
        <f>Intv_BA!D1944</f>
        <v>North-Western</v>
      </c>
      <c r="J840" s="183">
        <v>0</v>
      </c>
      <c r="K840" s="183">
        <v>0</v>
      </c>
      <c r="L840" s="183">
        <v>0</v>
      </c>
      <c r="M840" s="183">
        <v>0</v>
      </c>
      <c r="N840" s="183">
        <v>0</v>
      </c>
      <c r="O840" s="183">
        <v>0</v>
      </c>
    </row>
    <row r="841" spans="4:15" s="348" customFormat="1" outlineLevel="1" x14ac:dyDescent="0.2">
      <c r="D841" s="668" t="str">
        <f>Intv_BA!D1945</f>
        <v>Southern</v>
      </c>
      <c r="J841" s="183">
        <v>0</v>
      </c>
      <c r="K841" s="183">
        <v>0</v>
      </c>
      <c r="L841" s="183">
        <v>0</v>
      </c>
      <c r="M841" s="183">
        <v>0</v>
      </c>
      <c r="N841" s="183">
        <v>0</v>
      </c>
      <c r="O841" s="183">
        <v>0</v>
      </c>
    </row>
    <row r="842" spans="4:15" s="348" customFormat="1" outlineLevel="1" x14ac:dyDescent="0.2">
      <c r="D842" s="668" t="str">
        <f>Intv_BA!D1946</f>
        <v>Western</v>
      </c>
      <c r="J842" s="183">
        <v>0</v>
      </c>
      <c r="K842" s="183">
        <v>0</v>
      </c>
      <c r="L842" s="183">
        <v>0</v>
      </c>
      <c r="M842" s="183">
        <v>0</v>
      </c>
      <c r="N842" s="183">
        <v>0</v>
      </c>
      <c r="O842" s="183">
        <v>0</v>
      </c>
    </row>
    <row r="843" spans="4:15" s="348" customFormat="1" ht="15" x14ac:dyDescent="0.2">
      <c r="D843" s="359" t="str">
        <f ca="1">"Total "&amp;D831</f>
        <v>Total District Hospital</v>
      </c>
      <c r="J843" s="131">
        <f t="shared" ref="J843:O843" si="50">SUM(J833:J842)</f>
        <v>0</v>
      </c>
      <c r="K843" s="131">
        <f t="shared" si="50"/>
        <v>0</v>
      </c>
      <c r="L843" s="131">
        <f t="shared" si="50"/>
        <v>0</v>
      </c>
      <c r="M843" s="131">
        <f t="shared" si="50"/>
        <v>0</v>
      </c>
      <c r="N843" s="131">
        <f t="shared" si="50"/>
        <v>0</v>
      </c>
      <c r="O843" s="131">
        <f t="shared" si="50"/>
        <v>0</v>
      </c>
    </row>
    <row r="844" spans="4:15" s="348" customFormat="1" x14ac:dyDescent="0.2">
      <c r="D844" s="721"/>
      <c r="E844" s="721"/>
      <c r="F844" s="721"/>
      <c r="G844" s="721"/>
      <c r="H844" s="721"/>
      <c r="I844" s="721"/>
    </row>
    <row r="845" spans="4:15" s="348" customFormat="1" ht="15" outlineLevel="1" x14ac:dyDescent="0.2">
      <c r="D845" s="667" t="s">
        <v>1611</v>
      </c>
      <c r="H845" s="372">
        <v>3</v>
      </c>
    </row>
    <row r="846" spans="4:15" s="348" customFormat="1" x14ac:dyDescent="0.2"/>
    <row r="847" spans="4:15" s="348" customFormat="1" ht="15" x14ac:dyDescent="0.2">
      <c r="D847" s="669" t="str">
        <f ca="1">OFFSET(Labels_BA!D16,0,H845)</f>
        <v>Fixed Health Clinic</v>
      </c>
    </row>
    <row r="848" spans="4:15" s="348" customFormat="1" outlineLevel="1" x14ac:dyDescent="0.2"/>
    <row r="849" spans="4:15" s="348" customFormat="1" outlineLevel="1" collapsed="1" x14ac:dyDescent="0.2">
      <c r="D849" s="668" t="str">
        <f>Intv_BA!D1937</f>
        <v>Central</v>
      </c>
      <c r="J849" s="183">
        <v>0</v>
      </c>
      <c r="K849" s="183">
        <v>0</v>
      </c>
      <c r="L849" s="183">
        <v>0</v>
      </c>
      <c r="M849" s="183">
        <v>0</v>
      </c>
      <c r="N849" s="183">
        <v>0</v>
      </c>
      <c r="O849" s="183">
        <v>0</v>
      </c>
    </row>
    <row r="850" spans="4:15" s="348" customFormat="1" outlineLevel="1" x14ac:dyDescent="0.2">
      <c r="D850" s="668" t="str">
        <f>Intv_BA!D1938</f>
        <v>Copperbelt</v>
      </c>
      <c r="J850" s="183">
        <v>0</v>
      </c>
      <c r="K850" s="183">
        <v>0</v>
      </c>
      <c r="L850" s="183">
        <v>0</v>
      </c>
      <c r="M850" s="183">
        <v>0</v>
      </c>
      <c r="N850" s="183">
        <v>0</v>
      </c>
      <c r="O850" s="183">
        <v>0</v>
      </c>
    </row>
    <row r="851" spans="4:15" s="348" customFormat="1" outlineLevel="1" x14ac:dyDescent="0.2">
      <c r="D851" s="668" t="str">
        <f>Intv_BA!D1939</f>
        <v>Eastern</v>
      </c>
      <c r="J851" s="183">
        <v>0</v>
      </c>
      <c r="K851" s="183">
        <v>0</v>
      </c>
      <c r="L851" s="183">
        <v>0</v>
      </c>
      <c r="M851" s="183">
        <v>0</v>
      </c>
      <c r="N851" s="183">
        <v>0</v>
      </c>
      <c r="O851" s="183">
        <v>0</v>
      </c>
    </row>
    <row r="852" spans="4:15" s="348" customFormat="1" outlineLevel="1" x14ac:dyDescent="0.2">
      <c r="D852" s="668" t="str">
        <f>Intv_BA!D1940</f>
        <v>Luapula</v>
      </c>
      <c r="J852" s="183">
        <v>0</v>
      </c>
      <c r="K852" s="183">
        <v>0</v>
      </c>
      <c r="L852" s="183">
        <v>0</v>
      </c>
      <c r="M852" s="183">
        <v>0</v>
      </c>
      <c r="N852" s="183">
        <v>0</v>
      </c>
      <c r="O852" s="183">
        <v>0</v>
      </c>
    </row>
    <row r="853" spans="4:15" s="348" customFormat="1" outlineLevel="1" x14ac:dyDescent="0.2">
      <c r="D853" s="668" t="str">
        <f>Intv_BA!D1941</f>
        <v>Lusaka</v>
      </c>
      <c r="J853" s="183">
        <v>0</v>
      </c>
      <c r="K853" s="183">
        <v>0</v>
      </c>
      <c r="L853" s="183">
        <v>0</v>
      </c>
      <c r="M853" s="183">
        <v>0</v>
      </c>
      <c r="N853" s="183">
        <v>0</v>
      </c>
      <c r="O853" s="183">
        <v>0</v>
      </c>
    </row>
    <row r="854" spans="4:15" s="348" customFormat="1" outlineLevel="1" x14ac:dyDescent="0.2">
      <c r="D854" s="668" t="str">
        <f>Intv_BA!D1942</f>
        <v>Muchinga</v>
      </c>
      <c r="J854" s="183">
        <v>0</v>
      </c>
      <c r="K854" s="183">
        <v>0</v>
      </c>
      <c r="L854" s="183">
        <v>0</v>
      </c>
      <c r="M854" s="183">
        <v>0</v>
      </c>
      <c r="N854" s="183">
        <v>0</v>
      </c>
      <c r="O854" s="183">
        <v>0</v>
      </c>
    </row>
    <row r="855" spans="4:15" s="348" customFormat="1" outlineLevel="1" x14ac:dyDescent="0.2">
      <c r="D855" s="668" t="str">
        <f>Intv_BA!D1943</f>
        <v>Northern</v>
      </c>
      <c r="J855" s="183">
        <v>0</v>
      </c>
      <c r="K855" s="183">
        <v>0</v>
      </c>
      <c r="L855" s="183">
        <v>0</v>
      </c>
      <c r="M855" s="183">
        <v>0</v>
      </c>
      <c r="N855" s="183">
        <v>0</v>
      </c>
      <c r="O855" s="183">
        <v>0</v>
      </c>
    </row>
    <row r="856" spans="4:15" s="348" customFormat="1" outlineLevel="1" x14ac:dyDescent="0.2">
      <c r="D856" s="668" t="str">
        <f>Intv_BA!D1944</f>
        <v>North-Western</v>
      </c>
      <c r="J856" s="183">
        <v>0</v>
      </c>
      <c r="K856" s="183">
        <v>0</v>
      </c>
      <c r="L856" s="183">
        <v>0</v>
      </c>
      <c r="M856" s="183">
        <v>0</v>
      </c>
      <c r="N856" s="183">
        <v>0</v>
      </c>
      <c r="O856" s="183">
        <v>0</v>
      </c>
    </row>
    <row r="857" spans="4:15" s="348" customFormat="1" outlineLevel="1" x14ac:dyDescent="0.2">
      <c r="D857" s="668" t="str">
        <f>Intv_BA!D1945</f>
        <v>Southern</v>
      </c>
      <c r="J857" s="183">
        <v>0</v>
      </c>
      <c r="K857" s="183">
        <v>0</v>
      </c>
      <c r="L857" s="183">
        <v>0</v>
      </c>
      <c r="M857" s="183">
        <v>0</v>
      </c>
      <c r="N857" s="183">
        <v>0</v>
      </c>
      <c r="O857" s="183">
        <v>0</v>
      </c>
    </row>
    <row r="858" spans="4:15" s="348" customFormat="1" outlineLevel="1" x14ac:dyDescent="0.2">
      <c r="D858" s="668" t="str">
        <f>Intv_BA!D1946</f>
        <v>Western</v>
      </c>
      <c r="J858" s="183">
        <v>0</v>
      </c>
      <c r="K858" s="183">
        <v>0</v>
      </c>
      <c r="L858" s="183">
        <v>0</v>
      </c>
      <c r="M858" s="183">
        <v>0</v>
      </c>
      <c r="N858" s="183">
        <v>0</v>
      </c>
      <c r="O858" s="183">
        <v>0</v>
      </c>
    </row>
    <row r="859" spans="4:15" s="348" customFormat="1" ht="15" x14ac:dyDescent="0.2">
      <c r="D859" s="359" t="str">
        <f ca="1">"Total "&amp;D847</f>
        <v>Total Fixed Health Clinic</v>
      </c>
      <c r="J859" s="131">
        <f t="shared" ref="J859:O859" si="51">SUM(J849:J858)</f>
        <v>0</v>
      </c>
      <c r="K859" s="131">
        <f t="shared" si="51"/>
        <v>0</v>
      </c>
      <c r="L859" s="131">
        <f t="shared" si="51"/>
        <v>0</v>
      </c>
      <c r="M859" s="131">
        <f t="shared" si="51"/>
        <v>0</v>
      </c>
      <c r="N859" s="131">
        <f t="shared" si="51"/>
        <v>0</v>
      </c>
      <c r="O859" s="131">
        <f t="shared" si="51"/>
        <v>0</v>
      </c>
    </row>
    <row r="860" spans="4:15" s="348" customFormat="1" x14ac:dyDescent="0.2">
      <c r="D860" s="721"/>
      <c r="E860" s="721"/>
      <c r="F860" s="721"/>
      <c r="G860" s="721"/>
      <c r="H860" s="721"/>
      <c r="I860" s="721"/>
    </row>
    <row r="861" spans="4:15" s="348" customFormat="1" ht="15" outlineLevel="1" x14ac:dyDescent="0.2">
      <c r="D861" s="667" t="s">
        <v>1611</v>
      </c>
      <c r="H861" s="372">
        <v>4</v>
      </c>
    </row>
    <row r="862" spans="4:15" s="348" customFormat="1" x14ac:dyDescent="0.2"/>
    <row r="863" spans="4:15" s="348" customFormat="1" ht="15" x14ac:dyDescent="0.2">
      <c r="D863" s="669" t="str">
        <f ca="1">OFFSET(Labels_BA!D16,0,H861)</f>
        <v>PCI Mobile Health Team</v>
      </c>
    </row>
    <row r="864" spans="4:15" s="348" customFormat="1" outlineLevel="1" x14ac:dyDescent="0.2"/>
    <row r="865" spans="4:15" s="348" customFormat="1" outlineLevel="1" collapsed="1" x14ac:dyDescent="0.2">
      <c r="D865" s="668" t="str">
        <f>Intv_BA!D1937</f>
        <v>Central</v>
      </c>
      <c r="J865" s="183">
        <v>0</v>
      </c>
      <c r="K865" s="183">
        <v>0</v>
      </c>
      <c r="L865" s="183">
        <v>0</v>
      </c>
      <c r="M865" s="183">
        <v>0</v>
      </c>
      <c r="N865" s="183">
        <v>0</v>
      </c>
      <c r="O865" s="183">
        <v>0</v>
      </c>
    </row>
    <row r="866" spans="4:15" s="348" customFormat="1" outlineLevel="1" x14ac:dyDescent="0.2">
      <c r="D866" s="668" t="str">
        <f>Intv_BA!D1938</f>
        <v>Copperbelt</v>
      </c>
      <c r="J866" s="183">
        <v>0</v>
      </c>
      <c r="K866" s="183">
        <v>0</v>
      </c>
      <c r="L866" s="183">
        <v>0</v>
      </c>
      <c r="M866" s="183">
        <v>0</v>
      </c>
      <c r="N866" s="183">
        <v>0</v>
      </c>
      <c r="O866" s="183">
        <v>0</v>
      </c>
    </row>
    <row r="867" spans="4:15" s="348" customFormat="1" outlineLevel="1" x14ac:dyDescent="0.2">
      <c r="D867" s="668" t="str">
        <f>Intv_BA!D1939</f>
        <v>Eastern</v>
      </c>
      <c r="J867" s="183">
        <v>0</v>
      </c>
      <c r="K867" s="183">
        <v>0</v>
      </c>
      <c r="L867" s="183">
        <v>0</v>
      </c>
      <c r="M867" s="183">
        <v>0</v>
      </c>
      <c r="N867" s="183">
        <v>0</v>
      </c>
      <c r="O867" s="183">
        <v>0</v>
      </c>
    </row>
    <row r="868" spans="4:15" s="348" customFormat="1" outlineLevel="1" x14ac:dyDescent="0.2">
      <c r="D868" s="668" t="str">
        <f>Intv_BA!D1940</f>
        <v>Luapula</v>
      </c>
      <c r="J868" s="183">
        <v>0</v>
      </c>
      <c r="K868" s="183">
        <v>0</v>
      </c>
      <c r="L868" s="183">
        <v>0</v>
      </c>
      <c r="M868" s="183">
        <v>0</v>
      </c>
      <c r="N868" s="183">
        <v>0</v>
      </c>
      <c r="O868" s="183">
        <v>0</v>
      </c>
    </row>
    <row r="869" spans="4:15" s="348" customFormat="1" outlineLevel="1" x14ac:dyDescent="0.2">
      <c r="D869" s="668" t="str">
        <f>Intv_BA!D1941</f>
        <v>Lusaka</v>
      </c>
      <c r="J869" s="183">
        <v>0</v>
      </c>
      <c r="K869" s="183">
        <v>0</v>
      </c>
      <c r="L869" s="183">
        <v>0</v>
      </c>
      <c r="M869" s="183">
        <v>0</v>
      </c>
      <c r="N869" s="183">
        <v>0</v>
      </c>
      <c r="O869" s="183">
        <v>0</v>
      </c>
    </row>
    <row r="870" spans="4:15" s="348" customFormat="1" outlineLevel="1" x14ac:dyDescent="0.2">
      <c r="D870" s="668" t="str">
        <f>Intv_BA!D1942</f>
        <v>Muchinga</v>
      </c>
      <c r="J870" s="183">
        <v>0</v>
      </c>
      <c r="K870" s="183">
        <v>0</v>
      </c>
      <c r="L870" s="183">
        <v>0</v>
      </c>
      <c r="M870" s="183">
        <v>0</v>
      </c>
      <c r="N870" s="183">
        <v>0</v>
      </c>
      <c r="O870" s="183">
        <v>0</v>
      </c>
    </row>
    <row r="871" spans="4:15" s="348" customFormat="1" outlineLevel="1" x14ac:dyDescent="0.2">
      <c r="D871" s="668" t="str">
        <f>Intv_BA!D1943</f>
        <v>Northern</v>
      </c>
      <c r="J871" s="183">
        <v>0</v>
      </c>
      <c r="K871" s="183">
        <v>0</v>
      </c>
      <c r="L871" s="183">
        <v>0</v>
      </c>
      <c r="M871" s="183">
        <v>0</v>
      </c>
      <c r="N871" s="183">
        <v>0</v>
      </c>
      <c r="O871" s="183">
        <v>0</v>
      </c>
    </row>
    <row r="872" spans="4:15" s="348" customFormat="1" outlineLevel="1" x14ac:dyDescent="0.2">
      <c r="D872" s="668" t="str">
        <f>Intv_BA!D1944</f>
        <v>North-Western</v>
      </c>
      <c r="J872" s="183">
        <v>0</v>
      </c>
      <c r="K872" s="183">
        <v>0</v>
      </c>
      <c r="L872" s="183">
        <v>0</v>
      </c>
      <c r="M872" s="183">
        <v>0</v>
      </c>
      <c r="N872" s="183">
        <v>0</v>
      </c>
      <c r="O872" s="183">
        <v>0</v>
      </c>
    </row>
    <row r="873" spans="4:15" s="348" customFormat="1" outlineLevel="1" x14ac:dyDescent="0.2">
      <c r="D873" s="668" t="str">
        <f>Intv_BA!D1945</f>
        <v>Southern</v>
      </c>
      <c r="J873" s="183">
        <v>0</v>
      </c>
      <c r="K873" s="183">
        <v>0</v>
      </c>
      <c r="L873" s="183">
        <v>0</v>
      </c>
      <c r="M873" s="183">
        <v>0</v>
      </c>
      <c r="N873" s="183">
        <v>0</v>
      </c>
      <c r="O873" s="183">
        <v>0</v>
      </c>
    </row>
    <row r="874" spans="4:15" s="348" customFormat="1" outlineLevel="1" x14ac:dyDescent="0.2">
      <c r="D874" s="668" t="str">
        <f>Intv_BA!D1946</f>
        <v>Western</v>
      </c>
      <c r="J874" s="183">
        <v>0</v>
      </c>
      <c r="K874" s="183">
        <v>0</v>
      </c>
      <c r="L874" s="183">
        <v>0</v>
      </c>
      <c r="M874" s="183">
        <v>0</v>
      </c>
      <c r="N874" s="183">
        <v>0</v>
      </c>
      <c r="O874" s="183">
        <v>0</v>
      </c>
    </row>
    <row r="875" spans="4:15" s="348" customFormat="1" ht="15" x14ac:dyDescent="0.2">
      <c r="D875" s="359" t="str">
        <f ca="1">"Total "&amp;D863</f>
        <v>Total PCI Mobile Health Team</v>
      </c>
      <c r="J875" s="131">
        <f t="shared" ref="J875:O875" si="52">SUM(J865:J874)</f>
        <v>0</v>
      </c>
      <c r="K875" s="131">
        <f t="shared" si="52"/>
        <v>0</v>
      </c>
      <c r="L875" s="131">
        <f t="shared" si="52"/>
        <v>0</v>
      </c>
      <c r="M875" s="131">
        <f t="shared" si="52"/>
        <v>0</v>
      </c>
      <c r="N875" s="131">
        <f t="shared" si="52"/>
        <v>0</v>
      </c>
      <c r="O875" s="131">
        <f t="shared" si="52"/>
        <v>0</v>
      </c>
    </row>
    <row r="876" spans="4:15" s="348" customFormat="1" x14ac:dyDescent="0.2">
      <c r="D876" s="721"/>
      <c r="E876" s="721"/>
      <c r="F876" s="721"/>
      <c r="G876" s="721"/>
      <c r="H876" s="721"/>
      <c r="I876" s="721"/>
    </row>
    <row r="877" spans="4:15" s="348" customFormat="1" ht="15" outlineLevel="1" x14ac:dyDescent="0.2">
      <c r="D877" s="667" t="s">
        <v>1611</v>
      </c>
      <c r="H877" s="372">
        <v>5</v>
      </c>
    </row>
    <row r="878" spans="4:15" s="348" customFormat="1" x14ac:dyDescent="0.2"/>
    <row r="879" spans="4:15" s="348" customFormat="1" ht="15" x14ac:dyDescent="0.2">
      <c r="D879" s="669" t="str">
        <f ca="1">OFFSET(Labels_BA!D16,0,H877)</f>
        <v>Gov't Mobile Health Team (Hospital)</v>
      </c>
    </row>
    <row r="880" spans="4:15" s="348" customFormat="1" outlineLevel="1" x14ac:dyDescent="0.2"/>
    <row r="881" spans="4:15" s="348" customFormat="1" outlineLevel="1" collapsed="1" x14ac:dyDescent="0.2">
      <c r="D881" s="668" t="str">
        <f>Intv_BA!D1937</f>
        <v>Central</v>
      </c>
      <c r="J881" s="183">
        <v>0</v>
      </c>
      <c r="K881" s="183">
        <v>0</v>
      </c>
      <c r="L881" s="183">
        <v>0</v>
      </c>
      <c r="M881" s="183">
        <v>0</v>
      </c>
      <c r="N881" s="183">
        <v>0</v>
      </c>
      <c r="O881" s="183">
        <v>0</v>
      </c>
    </row>
    <row r="882" spans="4:15" s="348" customFormat="1" outlineLevel="1" x14ac:dyDescent="0.2">
      <c r="D882" s="668" t="str">
        <f>Intv_BA!D1938</f>
        <v>Copperbelt</v>
      </c>
      <c r="J882" s="183">
        <v>0</v>
      </c>
      <c r="K882" s="183">
        <v>0</v>
      </c>
      <c r="L882" s="183">
        <v>0</v>
      </c>
      <c r="M882" s="183">
        <v>0</v>
      </c>
      <c r="N882" s="183">
        <v>0</v>
      </c>
      <c r="O882" s="183">
        <v>0</v>
      </c>
    </row>
    <row r="883" spans="4:15" s="348" customFormat="1" outlineLevel="1" x14ac:dyDescent="0.2">
      <c r="D883" s="668" t="str">
        <f>Intv_BA!D1939</f>
        <v>Eastern</v>
      </c>
      <c r="J883" s="183">
        <v>0</v>
      </c>
      <c r="K883" s="183">
        <v>0</v>
      </c>
      <c r="L883" s="183">
        <v>0</v>
      </c>
      <c r="M883" s="183">
        <v>0</v>
      </c>
      <c r="N883" s="183">
        <v>0</v>
      </c>
      <c r="O883" s="183">
        <v>0</v>
      </c>
    </row>
    <row r="884" spans="4:15" s="348" customFormat="1" outlineLevel="1" x14ac:dyDescent="0.2">
      <c r="D884" s="668" t="str">
        <f>Intv_BA!D1940</f>
        <v>Luapula</v>
      </c>
      <c r="J884" s="183">
        <v>0</v>
      </c>
      <c r="K884" s="183">
        <v>0</v>
      </c>
      <c r="L884" s="183">
        <v>0</v>
      </c>
      <c r="M884" s="183">
        <v>0</v>
      </c>
      <c r="N884" s="183">
        <v>0</v>
      </c>
      <c r="O884" s="183">
        <v>0</v>
      </c>
    </row>
    <row r="885" spans="4:15" s="348" customFormat="1" outlineLevel="1" x14ac:dyDescent="0.2">
      <c r="D885" s="668" t="str">
        <f>Intv_BA!D1941</f>
        <v>Lusaka</v>
      </c>
      <c r="J885" s="183">
        <v>0</v>
      </c>
      <c r="K885" s="183">
        <v>0</v>
      </c>
      <c r="L885" s="183">
        <v>0</v>
      </c>
      <c r="M885" s="183">
        <v>0</v>
      </c>
      <c r="N885" s="183">
        <v>0</v>
      </c>
      <c r="O885" s="183">
        <v>0</v>
      </c>
    </row>
    <row r="886" spans="4:15" s="348" customFormat="1" outlineLevel="1" x14ac:dyDescent="0.2">
      <c r="D886" s="668" t="str">
        <f>Intv_BA!D1942</f>
        <v>Muchinga</v>
      </c>
      <c r="J886" s="183">
        <v>0</v>
      </c>
      <c r="K886" s="183">
        <v>0</v>
      </c>
      <c r="L886" s="183">
        <v>0</v>
      </c>
      <c r="M886" s="183">
        <v>0</v>
      </c>
      <c r="N886" s="183">
        <v>0</v>
      </c>
      <c r="O886" s="183">
        <v>0</v>
      </c>
    </row>
    <row r="887" spans="4:15" s="348" customFormat="1" outlineLevel="1" x14ac:dyDescent="0.2">
      <c r="D887" s="668" t="str">
        <f>Intv_BA!D1943</f>
        <v>Northern</v>
      </c>
      <c r="J887" s="183">
        <v>0</v>
      </c>
      <c r="K887" s="183">
        <v>0</v>
      </c>
      <c r="L887" s="183">
        <v>0</v>
      </c>
      <c r="M887" s="183">
        <v>0</v>
      </c>
      <c r="N887" s="183">
        <v>0</v>
      </c>
      <c r="O887" s="183">
        <v>0</v>
      </c>
    </row>
    <row r="888" spans="4:15" s="348" customFormat="1" outlineLevel="1" x14ac:dyDescent="0.2">
      <c r="D888" s="668" t="str">
        <f>Intv_BA!D1944</f>
        <v>North-Western</v>
      </c>
      <c r="J888" s="183">
        <v>0</v>
      </c>
      <c r="K888" s="183">
        <v>0</v>
      </c>
      <c r="L888" s="183">
        <v>0</v>
      </c>
      <c r="M888" s="183">
        <v>0</v>
      </c>
      <c r="N888" s="183">
        <v>0</v>
      </c>
      <c r="O888" s="183">
        <v>0</v>
      </c>
    </row>
    <row r="889" spans="4:15" s="348" customFormat="1" outlineLevel="1" x14ac:dyDescent="0.2">
      <c r="D889" s="668" t="str">
        <f>Intv_BA!D1945</f>
        <v>Southern</v>
      </c>
      <c r="J889" s="183">
        <v>0</v>
      </c>
      <c r="K889" s="183">
        <v>0</v>
      </c>
      <c r="L889" s="183">
        <v>0</v>
      </c>
      <c r="M889" s="183">
        <v>0</v>
      </c>
      <c r="N889" s="183">
        <v>0</v>
      </c>
      <c r="O889" s="183">
        <v>0</v>
      </c>
    </row>
    <row r="890" spans="4:15" s="348" customFormat="1" outlineLevel="1" x14ac:dyDescent="0.2">
      <c r="D890" s="668" t="str">
        <f>Intv_BA!D1946</f>
        <v>Western</v>
      </c>
      <c r="J890" s="183">
        <v>0</v>
      </c>
      <c r="K890" s="183">
        <v>0</v>
      </c>
      <c r="L890" s="183">
        <v>0</v>
      </c>
      <c r="M890" s="183">
        <v>0</v>
      </c>
      <c r="N890" s="183">
        <v>0</v>
      </c>
      <c r="O890" s="183">
        <v>0</v>
      </c>
    </row>
    <row r="891" spans="4:15" s="348" customFormat="1" ht="15" x14ac:dyDescent="0.2">
      <c r="D891" s="359" t="str">
        <f ca="1">"Total "&amp;D879</f>
        <v>Total Gov't Mobile Health Team (Hospital)</v>
      </c>
      <c r="J891" s="131">
        <f t="shared" ref="J891:O891" si="53">SUM(J881:J890)</f>
        <v>0</v>
      </c>
      <c r="K891" s="131">
        <f t="shared" si="53"/>
        <v>0</v>
      </c>
      <c r="L891" s="131">
        <f t="shared" si="53"/>
        <v>0</v>
      </c>
      <c r="M891" s="131">
        <f t="shared" si="53"/>
        <v>0</v>
      </c>
      <c r="N891" s="131">
        <f t="shared" si="53"/>
        <v>0</v>
      </c>
      <c r="O891" s="131">
        <f t="shared" si="53"/>
        <v>0</v>
      </c>
    </row>
    <row r="892" spans="4:15" s="348" customFormat="1" x14ac:dyDescent="0.2">
      <c r="D892" s="721"/>
      <c r="E892" s="721"/>
      <c r="F892" s="721"/>
      <c r="G892" s="721"/>
      <c r="H892" s="721"/>
      <c r="I892" s="721"/>
    </row>
    <row r="893" spans="4:15" s="348" customFormat="1" ht="15" outlineLevel="1" x14ac:dyDescent="0.2">
      <c r="D893" s="667" t="s">
        <v>1611</v>
      </c>
      <c r="H893" s="372">
        <v>6</v>
      </c>
    </row>
    <row r="894" spans="4:15" s="348" customFormat="1" x14ac:dyDescent="0.2"/>
    <row r="895" spans="4:15" s="348" customFormat="1" ht="15" x14ac:dyDescent="0.2">
      <c r="D895" s="669" t="str">
        <f ca="1">OFFSET(Labels_BA!D16,0,H893)</f>
        <v>CIDRZ Mobile Health Team</v>
      </c>
    </row>
    <row r="896" spans="4:15" s="348" customFormat="1" outlineLevel="1" x14ac:dyDescent="0.2"/>
    <row r="897" spans="4:15" s="348" customFormat="1" outlineLevel="1" collapsed="1" x14ac:dyDescent="0.2">
      <c r="D897" s="668" t="str">
        <f>Intv_BA!D1937</f>
        <v>Central</v>
      </c>
      <c r="J897" s="183">
        <v>0</v>
      </c>
      <c r="K897" s="183">
        <v>0</v>
      </c>
      <c r="L897" s="183">
        <v>0</v>
      </c>
      <c r="M897" s="183">
        <v>0</v>
      </c>
      <c r="N897" s="183">
        <v>0</v>
      </c>
      <c r="O897" s="183">
        <v>0</v>
      </c>
    </row>
    <row r="898" spans="4:15" s="348" customFormat="1" outlineLevel="1" x14ac:dyDescent="0.2">
      <c r="D898" s="668" t="str">
        <f>Intv_BA!D1938</f>
        <v>Copperbelt</v>
      </c>
      <c r="J898" s="183">
        <v>0</v>
      </c>
      <c r="K898" s="183">
        <v>0</v>
      </c>
      <c r="L898" s="183">
        <v>0</v>
      </c>
      <c r="M898" s="183">
        <v>0</v>
      </c>
      <c r="N898" s="183">
        <v>0</v>
      </c>
      <c r="O898" s="183">
        <v>0</v>
      </c>
    </row>
    <row r="899" spans="4:15" s="348" customFormat="1" outlineLevel="1" x14ac:dyDescent="0.2">
      <c r="D899" s="668" t="str">
        <f>Intv_BA!D1939</f>
        <v>Eastern</v>
      </c>
      <c r="J899" s="183">
        <v>0</v>
      </c>
      <c r="K899" s="183">
        <v>0</v>
      </c>
      <c r="L899" s="183">
        <v>0</v>
      </c>
      <c r="M899" s="183">
        <v>0</v>
      </c>
      <c r="N899" s="183">
        <v>0</v>
      </c>
      <c r="O899" s="183">
        <v>0</v>
      </c>
    </row>
    <row r="900" spans="4:15" s="348" customFormat="1" outlineLevel="1" x14ac:dyDescent="0.2">
      <c r="D900" s="668" t="str">
        <f>Intv_BA!D1940</f>
        <v>Luapula</v>
      </c>
      <c r="J900" s="183">
        <v>0</v>
      </c>
      <c r="K900" s="183">
        <v>0</v>
      </c>
      <c r="L900" s="183">
        <v>0</v>
      </c>
      <c r="M900" s="183">
        <v>0</v>
      </c>
      <c r="N900" s="183">
        <v>0</v>
      </c>
      <c r="O900" s="183">
        <v>0</v>
      </c>
    </row>
    <row r="901" spans="4:15" s="348" customFormat="1" outlineLevel="1" x14ac:dyDescent="0.2">
      <c r="D901" s="668" t="str">
        <f>Intv_BA!D1941</f>
        <v>Lusaka</v>
      </c>
      <c r="J901" s="183">
        <v>0</v>
      </c>
      <c r="K901" s="183">
        <v>0</v>
      </c>
      <c r="L901" s="183">
        <v>0</v>
      </c>
      <c r="M901" s="183">
        <v>0</v>
      </c>
      <c r="N901" s="183">
        <v>0</v>
      </c>
      <c r="O901" s="183">
        <v>0</v>
      </c>
    </row>
    <row r="902" spans="4:15" s="348" customFormat="1" outlineLevel="1" x14ac:dyDescent="0.2">
      <c r="D902" s="668" t="str">
        <f>Intv_BA!D1942</f>
        <v>Muchinga</v>
      </c>
      <c r="J902" s="183">
        <v>0</v>
      </c>
      <c r="K902" s="183">
        <v>0</v>
      </c>
      <c r="L902" s="183">
        <v>0</v>
      </c>
      <c r="M902" s="183">
        <v>0</v>
      </c>
      <c r="N902" s="183">
        <v>0</v>
      </c>
      <c r="O902" s="183">
        <v>0</v>
      </c>
    </row>
    <row r="903" spans="4:15" s="348" customFormat="1" outlineLevel="1" x14ac:dyDescent="0.2">
      <c r="D903" s="668" t="str">
        <f>Intv_BA!D1943</f>
        <v>Northern</v>
      </c>
      <c r="J903" s="183">
        <v>0</v>
      </c>
      <c r="K903" s="183">
        <v>0</v>
      </c>
      <c r="L903" s="183">
        <v>0</v>
      </c>
      <c r="M903" s="183">
        <v>0</v>
      </c>
      <c r="N903" s="183">
        <v>0</v>
      </c>
      <c r="O903" s="183">
        <v>0</v>
      </c>
    </row>
    <row r="904" spans="4:15" s="348" customFormat="1" outlineLevel="1" x14ac:dyDescent="0.2">
      <c r="D904" s="668" t="str">
        <f>Intv_BA!D1944</f>
        <v>North-Western</v>
      </c>
      <c r="J904" s="183">
        <v>0</v>
      </c>
      <c r="K904" s="183">
        <v>0</v>
      </c>
      <c r="L904" s="183">
        <v>0</v>
      </c>
      <c r="M904" s="183">
        <v>0</v>
      </c>
      <c r="N904" s="183">
        <v>0</v>
      </c>
      <c r="O904" s="183">
        <v>0</v>
      </c>
    </row>
    <row r="905" spans="4:15" s="348" customFormat="1" outlineLevel="1" x14ac:dyDescent="0.2">
      <c r="D905" s="668" t="str">
        <f>Intv_BA!D1945</f>
        <v>Southern</v>
      </c>
      <c r="J905" s="183">
        <v>0</v>
      </c>
      <c r="K905" s="183">
        <v>0</v>
      </c>
      <c r="L905" s="183">
        <v>0</v>
      </c>
      <c r="M905" s="183">
        <v>0</v>
      </c>
      <c r="N905" s="183">
        <v>0</v>
      </c>
      <c r="O905" s="183">
        <v>0</v>
      </c>
    </row>
    <row r="906" spans="4:15" s="348" customFormat="1" outlineLevel="1" x14ac:dyDescent="0.2">
      <c r="D906" s="668" t="str">
        <f>Intv_BA!D1946</f>
        <v>Western</v>
      </c>
      <c r="J906" s="183">
        <v>0</v>
      </c>
      <c r="K906" s="183">
        <v>0</v>
      </c>
      <c r="L906" s="183">
        <v>0</v>
      </c>
      <c r="M906" s="183">
        <v>0</v>
      </c>
      <c r="N906" s="183">
        <v>0</v>
      </c>
      <c r="O906" s="183">
        <v>0</v>
      </c>
    </row>
    <row r="907" spans="4:15" s="348" customFormat="1" ht="15" x14ac:dyDescent="0.2">
      <c r="D907" s="359" t="str">
        <f ca="1">"Total "&amp;D895</f>
        <v>Total CIDRZ Mobile Health Team</v>
      </c>
      <c r="J907" s="131">
        <f t="shared" ref="J907:O907" si="54">SUM(J897:J906)</f>
        <v>0</v>
      </c>
      <c r="K907" s="131">
        <f t="shared" si="54"/>
        <v>0</v>
      </c>
      <c r="L907" s="131">
        <f t="shared" si="54"/>
        <v>0</v>
      </c>
      <c r="M907" s="131">
        <f t="shared" si="54"/>
        <v>0</v>
      </c>
      <c r="N907" s="131">
        <f t="shared" si="54"/>
        <v>0</v>
      </c>
      <c r="O907" s="131">
        <f t="shared" si="54"/>
        <v>0</v>
      </c>
    </row>
    <row r="908" spans="4:15" s="348" customFormat="1" x14ac:dyDescent="0.2">
      <c r="D908" s="721"/>
      <c r="E908" s="721"/>
      <c r="F908" s="721"/>
      <c r="G908" s="721"/>
      <c r="H908" s="721"/>
      <c r="I908" s="721"/>
    </row>
    <row r="909" spans="4:15" s="348" customFormat="1" ht="15" outlineLevel="1" x14ac:dyDescent="0.2">
      <c r="D909" s="667" t="s">
        <v>1611</v>
      </c>
      <c r="H909" s="372">
        <v>7</v>
      </c>
    </row>
    <row r="910" spans="4:15" s="348" customFormat="1" x14ac:dyDescent="0.2"/>
    <row r="911" spans="4:15" s="348" customFormat="1" ht="15" x14ac:dyDescent="0.2">
      <c r="D911" s="669" t="str">
        <f ca="1">OFFSET(Labels_BA!D16,0,H909)</f>
        <v>Facility Type 8</v>
      </c>
    </row>
    <row r="912" spans="4:15" s="348" customFormat="1" outlineLevel="1" x14ac:dyDescent="0.2"/>
    <row r="913" spans="4:15" s="348" customFormat="1" outlineLevel="1" collapsed="1" x14ac:dyDescent="0.2">
      <c r="D913" s="668" t="str">
        <f>Intv_BA!D1937</f>
        <v>Central</v>
      </c>
      <c r="J913" s="183">
        <v>0</v>
      </c>
      <c r="K913" s="183">
        <v>0</v>
      </c>
      <c r="L913" s="183">
        <v>0</v>
      </c>
      <c r="M913" s="183">
        <v>0</v>
      </c>
      <c r="N913" s="183">
        <v>0</v>
      </c>
      <c r="O913" s="183">
        <v>0</v>
      </c>
    </row>
    <row r="914" spans="4:15" s="348" customFormat="1" outlineLevel="1" x14ac:dyDescent="0.2">
      <c r="D914" s="668" t="str">
        <f>Intv_BA!D1938</f>
        <v>Copperbelt</v>
      </c>
      <c r="J914" s="183">
        <v>0</v>
      </c>
      <c r="K914" s="183">
        <v>0</v>
      </c>
      <c r="L914" s="183">
        <v>0</v>
      </c>
      <c r="M914" s="183">
        <v>0</v>
      </c>
      <c r="N914" s="183">
        <v>0</v>
      </c>
      <c r="O914" s="183">
        <v>0</v>
      </c>
    </row>
    <row r="915" spans="4:15" s="348" customFormat="1" outlineLevel="1" x14ac:dyDescent="0.2">
      <c r="D915" s="668" t="str">
        <f>Intv_BA!D1939</f>
        <v>Eastern</v>
      </c>
      <c r="J915" s="183">
        <v>0</v>
      </c>
      <c r="K915" s="183">
        <v>0</v>
      </c>
      <c r="L915" s="183">
        <v>0</v>
      </c>
      <c r="M915" s="183">
        <v>0</v>
      </c>
      <c r="N915" s="183">
        <v>0</v>
      </c>
      <c r="O915" s="183">
        <v>0</v>
      </c>
    </row>
    <row r="916" spans="4:15" s="348" customFormat="1" outlineLevel="1" x14ac:dyDescent="0.2">
      <c r="D916" s="668" t="str">
        <f>Intv_BA!D1940</f>
        <v>Luapula</v>
      </c>
      <c r="J916" s="183">
        <v>0</v>
      </c>
      <c r="K916" s="183">
        <v>0</v>
      </c>
      <c r="L916" s="183">
        <v>0</v>
      </c>
      <c r="M916" s="183">
        <v>0</v>
      </c>
      <c r="N916" s="183">
        <v>0</v>
      </c>
      <c r="O916" s="183">
        <v>0</v>
      </c>
    </row>
    <row r="917" spans="4:15" s="348" customFormat="1" outlineLevel="1" x14ac:dyDescent="0.2">
      <c r="D917" s="668" t="str">
        <f>Intv_BA!D1941</f>
        <v>Lusaka</v>
      </c>
      <c r="J917" s="183">
        <v>0</v>
      </c>
      <c r="K917" s="183">
        <v>0</v>
      </c>
      <c r="L917" s="183">
        <v>0</v>
      </c>
      <c r="M917" s="183">
        <v>0</v>
      </c>
      <c r="N917" s="183">
        <v>0</v>
      </c>
      <c r="O917" s="183">
        <v>0</v>
      </c>
    </row>
    <row r="918" spans="4:15" s="348" customFormat="1" outlineLevel="1" x14ac:dyDescent="0.2">
      <c r="D918" s="668" t="str">
        <f>Intv_BA!D1942</f>
        <v>Muchinga</v>
      </c>
      <c r="J918" s="183">
        <v>0</v>
      </c>
      <c r="K918" s="183">
        <v>0</v>
      </c>
      <c r="L918" s="183">
        <v>0</v>
      </c>
      <c r="M918" s="183">
        <v>0</v>
      </c>
      <c r="N918" s="183">
        <v>0</v>
      </c>
      <c r="O918" s="183">
        <v>0</v>
      </c>
    </row>
    <row r="919" spans="4:15" s="348" customFormat="1" outlineLevel="1" x14ac:dyDescent="0.2">
      <c r="D919" s="668" t="str">
        <f>Intv_BA!D1943</f>
        <v>Northern</v>
      </c>
      <c r="J919" s="183">
        <v>0</v>
      </c>
      <c r="K919" s="183">
        <v>0</v>
      </c>
      <c r="L919" s="183">
        <v>0</v>
      </c>
      <c r="M919" s="183">
        <v>0</v>
      </c>
      <c r="N919" s="183">
        <v>0</v>
      </c>
      <c r="O919" s="183">
        <v>0</v>
      </c>
    </row>
    <row r="920" spans="4:15" s="348" customFormat="1" outlineLevel="1" x14ac:dyDescent="0.2">
      <c r="D920" s="668" t="str">
        <f>Intv_BA!D1944</f>
        <v>North-Western</v>
      </c>
      <c r="J920" s="183">
        <v>0</v>
      </c>
      <c r="K920" s="183">
        <v>0</v>
      </c>
      <c r="L920" s="183">
        <v>0</v>
      </c>
      <c r="M920" s="183">
        <v>0</v>
      </c>
      <c r="N920" s="183">
        <v>0</v>
      </c>
      <c r="O920" s="183">
        <v>0</v>
      </c>
    </row>
    <row r="921" spans="4:15" s="348" customFormat="1" outlineLevel="1" x14ac:dyDescent="0.2">
      <c r="D921" s="668" t="str">
        <f>Intv_BA!D1945</f>
        <v>Southern</v>
      </c>
      <c r="J921" s="183">
        <v>0</v>
      </c>
      <c r="K921" s="183">
        <v>0</v>
      </c>
      <c r="L921" s="183">
        <v>0</v>
      </c>
      <c r="M921" s="183">
        <v>0</v>
      </c>
      <c r="N921" s="183">
        <v>0</v>
      </c>
      <c r="O921" s="183">
        <v>0</v>
      </c>
    </row>
    <row r="922" spans="4:15" s="348" customFormat="1" outlineLevel="1" x14ac:dyDescent="0.2">
      <c r="D922" s="668" t="str">
        <f>Intv_BA!D1946</f>
        <v>Western</v>
      </c>
      <c r="J922" s="183">
        <v>0</v>
      </c>
      <c r="K922" s="183">
        <v>0</v>
      </c>
      <c r="L922" s="183">
        <v>0</v>
      </c>
      <c r="M922" s="183">
        <v>0</v>
      </c>
      <c r="N922" s="183">
        <v>0</v>
      </c>
      <c r="O922" s="183">
        <v>0</v>
      </c>
    </row>
    <row r="923" spans="4:15" s="348" customFormat="1" ht="15" x14ac:dyDescent="0.2">
      <c r="D923" s="359" t="str">
        <f ca="1">"Total "&amp;D911</f>
        <v>Total Facility Type 8</v>
      </c>
      <c r="J923" s="131">
        <f t="shared" ref="J923:O923" si="55">SUM(J913:J922)</f>
        <v>0</v>
      </c>
      <c r="K923" s="131">
        <f t="shared" si="55"/>
        <v>0</v>
      </c>
      <c r="L923" s="131">
        <f t="shared" si="55"/>
        <v>0</v>
      </c>
      <c r="M923" s="131">
        <f t="shared" si="55"/>
        <v>0</v>
      </c>
      <c r="N923" s="131">
        <f t="shared" si="55"/>
        <v>0</v>
      </c>
      <c r="O923" s="131">
        <f t="shared" si="55"/>
        <v>0</v>
      </c>
    </row>
    <row r="924" spans="4:15" s="348" customFormat="1" x14ac:dyDescent="0.2">
      <c r="D924" s="721"/>
      <c r="E924" s="721"/>
      <c r="F924" s="721"/>
      <c r="G924" s="721"/>
      <c r="H924" s="721"/>
      <c r="I924" s="721"/>
    </row>
    <row r="925" spans="4:15" s="348" customFormat="1" ht="15" outlineLevel="1" x14ac:dyDescent="0.2">
      <c r="D925" s="667" t="s">
        <v>1611</v>
      </c>
      <c r="H925" s="372">
        <v>8</v>
      </c>
    </row>
    <row r="926" spans="4:15" s="348" customFormat="1" x14ac:dyDescent="0.2"/>
    <row r="927" spans="4:15" s="348" customFormat="1" ht="15" x14ac:dyDescent="0.2">
      <c r="D927" s="669" t="str">
        <f ca="1">OFFSET(Labels_BA!D16,0,H925)</f>
        <v>Facility Type 9</v>
      </c>
    </row>
    <row r="928" spans="4:15" s="348" customFormat="1" outlineLevel="1" x14ac:dyDescent="0.2"/>
    <row r="929" spans="4:15" s="348" customFormat="1" outlineLevel="1" collapsed="1" x14ac:dyDescent="0.2">
      <c r="D929" s="668" t="str">
        <f>Intv_BA!D1937</f>
        <v>Central</v>
      </c>
      <c r="J929" s="183">
        <v>0</v>
      </c>
      <c r="K929" s="183">
        <v>0</v>
      </c>
      <c r="L929" s="183">
        <v>0</v>
      </c>
      <c r="M929" s="183">
        <v>0</v>
      </c>
      <c r="N929" s="183">
        <v>0</v>
      </c>
      <c r="O929" s="183">
        <v>0</v>
      </c>
    </row>
    <row r="930" spans="4:15" s="348" customFormat="1" outlineLevel="1" x14ac:dyDescent="0.2">
      <c r="D930" s="668" t="str">
        <f>Intv_BA!D1938</f>
        <v>Copperbelt</v>
      </c>
      <c r="J930" s="183">
        <v>0</v>
      </c>
      <c r="K930" s="183">
        <v>0</v>
      </c>
      <c r="L930" s="183">
        <v>0</v>
      </c>
      <c r="M930" s="183">
        <v>0</v>
      </c>
      <c r="N930" s="183">
        <v>0</v>
      </c>
      <c r="O930" s="183">
        <v>0</v>
      </c>
    </row>
    <row r="931" spans="4:15" s="348" customFormat="1" outlineLevel="1" x14ac:dyDescent="0.2">
      <c r="D931" s="668" t="str">
        <f>Intv_BA!D1939</f>
        <v>Eastern</v>
      </c>
      <c r="J931" s="183">
        <v>0</v>
      </c>
      <c r="K931" s="183">
        <v>0</v>
      </c>
      <c r="L931" s="183">
        <v>0</v>
      </c>
      <c r="M931" s="183">
        <v>0</v>
      </c>
      <c r="N931" s="183">
        <v>0</v>
      </c>
      <c r="O931" s="183">
        <v>0</v>
      </c>
    </row>
    <row r="932" spans="4:15" s="348" customFormat="1" outlineLevel="1" x14ac:dyDescent="0.2">
      <c r="D932" s="668" t="str">
        <f>Intv_BA!D1940</f>
        <v>Luapula</v>
      </c>
      <c r="J932" s="183">
        <v>0</v>
      </c>
      <c r="K932" s="183">
        <v>0</v>
      </c>
      <c r="L932" s="183">
        <v>0</v>
      </c>
      <c r="M932" s="183">
        <v>0</v>
      </c>
      <c r="N932" s="183">
        <v>0</v>
      </c>
      <c r="O932" s="183">
        <v>0</v>
      </c>
    </row>
    <row r="933" spans="4:15" s="348" customFormat="1" outlineLevel="1" x14ac:dyDescent="0.2">
      <c r="D933" s="668" t="str">
        <f>Intv_BA!D1941</f>
        <v>Lusaka</v>
      </c>
      <c r="J933" s="183">
        <v>0</v>
      </c>
      <c r="K933" s="183">
        <v>0</v>
      </c>
      <c r="L933" s="183">
        <v>0</v>
      </c>
      <c r="M933" s="183">
        <v>0</v>
      </c>
      <c r="N933" s="183">
        <v>0</v>
      </c>
      <c r="O933" s="183">
        <v>0</v>
      </c>
    </row>
    <row r="934" spans="4:15" s="348" customFormat="1" outlineLevel="1" x14ac:dyDescent="0.2">
      <c r="D934" s="668" t="str">
        <f>Intv_BA!D1942</f>
        <v>Muchinga</v>
      </c>
      <c r="J934" s="183">
        <v>0</v>
      </c>
      <c r="K934" s="183">
        <v>0</v>
      </c>
      <c r="L934" s="183">
        <v>0</v>
      </c>
      <c r="M934" s="183">
        <v>0</v>
      </c>
      <c r="N934" s="183">
        <v>0</v>
      </c>
      <c r="O934" s="183">
        <v>0</v>
      </c>
    </row>
    <row r="935" spans="4:15" s="348" customFormat="1" outlineLevel="1" x14ac:dyDescent="0.2">
      <c r="D935" s="668" t="str">
        <f>Intv_BA!D1943</f>
        <v>Northern</v>
      </c>
      <c r="J935" s="183">
        <v>0</v>
      </c>
      <c r="K935" s="183">
        <v>0</v>
      </c>
      <c r="L935" s="183">
        <v>0</v>
      </c>
      <c r="M935" s="183">
        <v>0</v>
      </c>
      <c r="N935" s="183">
        <v>0</v>
      </c>
      <c r="O935" s="183">
        <v>0</v>
      </c>
    </row>
    <row r="936" spans="4:15" s="348" customFormat="1" outlineLevel="1" x14ac:dyDescent="0.2">
      <c r="D936" s="668" t="str">
        <f>Intv_BA!D1944</f>
        <v>North-Western</v>
      </c>
      <c r="J936" s="183">
        <v>0</v>
      </c>
      <c r="K936" s="183">
        <v>0</v>
      </c>
      <c r="L936" s="183">
        <v>0</v>
      </c>
      <c r="M936" s="183">
        <v>0</v>
      </c>
      <c r="N936" s="183">
        <v>0</v>
      </c>
      <c r="O936" s="183">
        <v>0</v>
      </c>
    </row>
    <row r="937" spans="4:15" s="348" customFormat="1" outlineLevel="1" x14ac:dyDescent="0.2">
      <c r="D937" s="668" t="str">
        <f>Intv_BA!D1945</f>
        <v>Southern</v>
      </c>
      <c r="J937" s="183">
        <v>0</v>
      </c>
      <c r="K937" s="183">
        <v>0</v>
      </c>
      <c r="L937" s="183">
        <v>0</v>
      </c>
      <c r="M937" s="183">
        <v>0</v>
      </c>
      <c r="N937" s="183">
        <v>0</v>
      </c>
      <c r="O937" s="183">
        <v>0</v>
      </c>
    </row>
    <row r="938" spans="4:15" s="348" customFormat="1" outlineLevel="1" x14ac:dyDescent="0.2">
      <c r="D938" s="668" t="str">
        <f>Intv_BA!D1946</f>
        <v>Western</v>
      </c>
      <c r="J938" s="183">
        <v>0</v>
      </c>
      <c r="K938" s="183">
        <v>0</v>
      </c>
      <c r="L938" s="183">
        <v>0</v>
      </c>
      <c r="M938" s="183">
        <v>0</v>
      </c>
      <c r="N938" s="183">
        <v>0</v>
      </c>
      <c r="O938" s="183">
        <v>0</v>
      </c>
    </row>
    <row r="939" spans="4:15" s="348" customFormat="1" ht="15" x14ac:dyDescent="0.2">
      <c r="D939" s="359" t="str">
        <f ca="1">"Total "&amp;D927</f>
        <v>Total Facility Type 9</v>
      </c>
      <c r="J939" s="131">
        <f t="shared" ref="J939:O939" si="56">SUM(J929:J938)</f>
        <v>0</v>
      </c>
      <c r="K939" s="131">
        <f t="shared" si="56"/>
        <v>0</v>
      </c>
      <c r="L939" s="131">
        <f t="shared" si="56"/>
        <v>0</v>
      </c>
      <c r="M939" s="131">
        <f t="shared" si="56"/>
        <v>0</v>
      </c>
      <c r="N939" s="131">
        <f t="shared" si="56"/>
        <v>0</v>
      </c>
      <c r="O939" s="131">
        <f t="shared" si="56"/>
        <v>0</v>
      </c>
    </row>
    <row r="940" spans="4:15" s="348" customFormat="1" x14ac:dyDescent="0.2">
      <c r="D940" s="721"/>
      <c r="E940" s="721"/>
      <c r="F940" s="721"/>
      <c r="G940" s="721"/>
      <c r="H940" s="721"/>
      <c r="I940" s="721"/>
    </row>
    <row r="941" spans="4:15" s="348" customFormat="1" ht="15" outlineLevel="1" x14ac:dyDescent="0.2">
      <c r="D941" s="667" t="s">
        <v>1611</v>
      </c>
      <c r="H941" s="372">
        <v>9</v>
      </c>
    </row>
    <row r="942" spans="4:15" s="348" customFormat="1" x14ac:dyDescent="0.2"/>
    <row r="943" spans="4:15" s="348" customFormat="1" ht="15" x14ac:dyDescent="0.2">
      <c r="D943" s="669" t="str">
        <f ca="1">OFFSET(Labels_BA!D16,0,H941)</f>
        <v>Facility Type 10</v>
      </c>
    </row>
    <row r="944" spans="4:15" s="348" customFormat="1" outlineLevel="1" x14ac:dyDescent="0.2"/>
    <row r="945" spans="3:15" s="348" customFormat="1" outlineLevel="1" collapsed="1" x14ac:dyDescent="0.2">
      <c r="D945" s="668" t="str">
        <f>Intv_BA!D1937</f>
        <v>Central</v>
      </c>
      <c r="J945" s="183">
        <v>0</v>
      </c>
      <c r="K945" s="183">
        <v>0</v>
      </c>
      <c r="L945" s="183">
        <v>0</v>
      </c>
      <c r="M945" s="183">
        <v>0</v>
      </c>
      <c r="N945" s="183">
        <v>0</v>
      </c>
      <c r="O945" s="183">
        <v>0</v>
      </c>
    </row>
    <row r="946" spans="3:15" s="348" customFormat="1" outlineLevel="1" x14ac:dyDescent="0.2">
      <c r="D946" s="668" t="str">
        <f>Intv_BA!D1938</f>
        <v>Copperbelt</v>
      </c>
      <c r="J946" s="183">
        <v>0</v>
      </c>
      <c r="K946" s="183">
        <v>0</v>
      </c>
      <c r="L946" s="183">
        <v>0</v>
      </c>
      <c r="M946" s="183">
        <v>0</v>
      </c>
      <c r="N946" s="183">
        <v>0</v>
      </c>
      <c r="O946" s="183">
        <v>0</v>
      </c>
    </row>
    <row r="947" spans="3:15" s="348" customFormat="1" outlineLevel="1" x14ac:dyDescent="0.2">
      <c r="D947" s="668" t="str">
        <f>Intv_BA!D1939</f>
        <v>Eastern</v>
      </c>
      <c r="J947" s="183">
        <v>0</v>
      </c>
      <c r="K947" s="183">
        <v>0</v>
      </c>
      <c r="L947" s="183">
        <v>0</v>
      </c>
      <c r="M947" s="183">
        <v>0</v>
      </c>
      <c r="N947" s="183">
        <v>0</v>
      </c>
      <c r="O947" s="183">
        <v>0</v>
      </c>
    </row>
    <row r="948" spans="3:15" s="348" customFormat="1" outlineLevel="1" x14ac:dyDescent="0.2">
      <c r="D948" s="668" t="str">
        <f>Intv_BA!D1940</f>
        <v>Luapula</v>
      </c>
      <c r="J948" s="183">
        <v>0</v>
      </c>
      <c r="K948" s="183">
        <v>0</v>
      </c>
      <c r="L948" s="183">
        <v>0</v>
      </c>
      <c r="M948" s="183">
        <v>0</v>
      </c>
      <c r="N948" s="183">
        <v>0</v>
      </c>
      <c r="O948" s="183">
        <v>0</v>
      </c>
    </row>
    <row r="949" spans="3:15" s="348" customFormat="1" outlineLevel="1" x14ac:dyDescent="0.2">
      <c r="D949" s="668" t="str">
        <f>Intv_BA!D1941</f>
        <v>Lusaka</v>
      </c>
      <c r="J949" s="183">
        <v>0</v>
      </c>
      <c r="K949" s="183">
        <v>0</v>
      </c>
      <c r="L949" s="183">
        <v>0</v>
      </c>
      <c r="M949" s="183">
        <v>0</v>
      </c>
      <c r="N949" s="183">
        <v>0</v>
      </c>
      <c r="O949" s="183">
        <v>0</v>
      </c>
    </row>
    <row r="950" spans="3:15" s="348" customFormat="1" outlineLevel="1" x14ac:dyDescent="0.2">
      <c r="D950" s="668" t="str">
        <f>Intv_BA!D1942</f>
        <v>Muchinga</v>
      </c>
      <c r="J950" s="183">
        <v>0</v>
      </c>
      <c r="K950" s="183">
        <v>0</v>
      </c>
      <c r="L950" s="183">
        <v>0</v>
      </c>
      <c r="M950" s="183">
        <v>0</v>
      </c>
      <c r="N950" s="183">
        <v>0</v>
      </c>
      <c r="O950" s="183">
        <v>0</v>
      </c>
    </row>
    <row r="951" spans="3:15" s="348" customFormat="1" outlineLevel="1" x14ac:dyDescent="0.2">
      <c r="D951" s="668" t="str">
        <f>Intv_BA!D1943</f>
        <v>Northern</v>
      </c>
      <c r="J951" s="183">
        <v>0</v>
      </c>
      <c r="K951" s="183">
        <v>0</v>
      </c>
      <c r="L951" s="183">
        <v>0</v>
      </c>
      <c r="M951" s="183">
        <v>0</v>
      </c>
      <c r="N951" s="183">
        <v>0</v>
      </c>
      <c r="O951" s="183">
        <v>0</v>
      </c>
    </row>
    <row r="952" spans="3:15" s="348" customFormat="1" outlineLevel="1" x14ac:dyDescent="0.2">
      <c r="D952" s="668" t="str">
        <f>Intv_BA!D1944</f>
        <v>North-Western</v>
      </c>
      <c r="J952" s="183">
        <v>0</v>
      </c>
      <c r="K952" s="183">
        <v>0</v>
      </c>
      <c r="L952" s="183">
        <v>0</v>
      </c>
      <c r="M952" s="183">
        <v>0</v>
      </c>
      <c r="N952" s="183">
        <v>0</v>
      </c>
      <c r="O952" s="183">
        <v>0</v>
      </c>
    </row>
    <row r="953" spans="3:15" s="348" customFormat="1" outlineLevel="1" x14ac:dyDescent="0.2">
      <c r="D953" s="668" t="str">
        <f>Intv_BA!D1945</f>
        <v>Southern</v>
      </c>
      <c r="J953" s="183">
        <v>0</v>
      </c>
      <c r="K953" s="183">
        <v>0</v>
      </c>
      <c r="L953" s="183">
        <v>0</v>
      </c>
      <c r="M953" s="183">
        <v>0</v>
      </c>
      <c r="N953" s="183">
        <v>0</v>
      </c>
      <c r="O953" s="183">
        <v>0</v>
      </c>
    </row>
    <row r="954" spans="3:15" s="348" customFormat="1" outlineLevel="1" x14ac:dyDescent="0.2">
      <c r="D954" s="668" t="str">
        <f>Intv_BA!D1946</f>
        <v>Western</v>
      </c>
      <c r="J954" s="183">
        <v>0</v>
      </c>
      <c r="K954" s="183">
        <v>0</v>
      </c>
      <c r="L954" s="183">
        <v>0</v>
      </c>
      <c r="M954" s="183">
        <v>0</v>
      </c>
      <c r="N954" s="183">
        <v>0</v>
      </c>
      <c r="O954" s="183">
        <v>0</v>
      </c>
    </row>
    <row r="955" spans="3:15" s="348" customFormat="1" ht="15" x14ac:dyDescent="0.2">
      <c r="D955" s="359" t="str">
        <f ca="1">"Total "&amp;D943</f>
        <v>Total Facility Type 10</v>
      </c>
      <c r="J955" s="131">
        <f t="shared" ref="J955:O955" si="57">SUM(J945:J954)</f>
        <v>0</v>
      </c>
      <c r="K955" s="131">
        <f t="shared" si="57"/>
        <v>0</v>
      </c>
      <c r="L955" s="131">
        <f t="shared" si="57"/>
        <v>0</v>
      </c>
      <c r="M955" s="131">
        <f t="shared" si="57"/>
        <v>0</v>
      </c>
      <c r="N955" s="131">
        <f t="shared" si="57"/>
        <v>0</v>
      </c>
      <c r="O955" s="131">
        <f t="shared" si="57"/>
        <v>0</v>
      </c>
    </row>
    <row r="956" spans="3:15" s="348" customFormat="1" x14ac:dyDescent="0.2">
      <c r="D956" s="721"/>
      <c r="E956" s="721"/>
      <c r="F956" s="721"/>
      <c r="G956" s="721"/>
      <c r="H956" s="721"/>
      <c r="I956" s="721"/>
    </row>
    <row r="957" spans="3:15" s="348" customFormat="1" x14ac:dyDescent="0.2"/>
    <row r="958" spans="3:15" s="348" customFormat="1" x14ac:dyDescent="0.2"/>
    <row r="959" spans="3:15" s="348" customFormat="1" x14ac:dyDescent="0.2"/>
    <row r="960" spans="3:15" s="348" customFormat="1" ht="15.75" x14ac:dyDescent="0.2">
      <c r="C960" s="664" t="s">
        <v>141</v>
      </c>
    </row>
    <row r="961" spans="4:15" s="348" customFormat="1" x14ac:dyDescent="0.2"/>
    <row r="962" spans="4:15" s="348" customFormat="1" ht="17.25" customHeight="1" x14ac:dyDescent="0.2">
      <c r="D962" s="671" t="s">
        <v>184</v>
      </c>
      <c r="H962" s="677" t="b">
        <v>1</v>
      </c>
    </row>
    <row r="963" spans="4:15" s="348" customFormat="1" outlineLevel="1" x14ac:dyDescent="0.2"/>
    <row r="964" spans="4:15" s="348" customFormat="1" ht="15" outlineLevel="1" x14ac:dyDescent="0.2">
      <c r="D964" s="669" t="str">
        <f>Labels_BA!G10</f>
        <v>Province</v>
      </c>
    </row>
    <row r="965" spans="4:15" s="348" customFormat="1" outlineLevel="1" x14ac:dyDescent="0.2">
      <c r="D965" s="668" t="str">
        <f>Intv_BA!D1937</f>
        <v>Central</v>
      </c>
      <c r="J965" s="119">
        <f ca="1">Reg_Pop_Ann_TO!J361</f>
        <v>5788</v>
      </c>
      <c r="K965" s="119">
        <f ca="1">Reg_Pop_Ann_TO!K361</f>
        <v>5788</v>
      </c>
      <c r="L965" s="119">
        <f ca="1">Reg_Pop_Ann_TO!L361</f>
        <v>5788</v>
      </c>
      <c r="M965" s="119">
        <f ca="1">Reg_Pop_Ann_TO!M361</f>
        <v>5788</v>
      </c>
      <c r="N965" s="119">
        <f ca="1">Reg_Pop_Ann_TO!N361</f>
        <v>5788</v>
      </c>
      <c r="O965" s="119">
        <f ca="1">Reg_Pop_Ann_TO!O361</f>
        <v>5788</v>
      </c>
    </row>
    <row r="966" spans="4:15" s="348" customFormat="1" outlineLevel="1" x14ac:dyDescent="0.2">
      <c r="D966" s="668" t="str">
        <f>Intv_BA!D1938</f>
        <v>Copperbelt</v>
      </c>
      <c r="J966" s="119">
        <f ca="1">Reg_Pop_Ann_TO!J362</f>
        <v>8128</v>
      </c>
      <c r="K966" s="119">
        <f ca="1">Reg_Pop_Ann_TO!K362</f>
        <v>8128</v>
      </c>
      <c r="L966" s="119">
        <f ca="1">Reg_Pop_Ann_TO!L362</f>
        <v>8128</v>
      </c>
      <c r="M966" s="119">
        <f ca="1">Reg_Pop_Ann_TO!M362</f>
        <v>8128</v>
      </c>
      <c r="N966" s="119">
        <f ca="1">Reg_Pop_Ann_TO!N362</f>
        <v>8128</v>
      </c>
      <c r="O966" s="119">
        <f ca="1">Reg_Pop_Ann_TO!O362</f>
        <v>8128</v>
      </c>
    </row>
    <row r="967" spans="4:15" s="348" customFormat="1" outlineLevel="1" x14ac:dyDescent="0.2">
      <c r="D967" s="668" t="str">
        <f>Intv_BA!D1939</f>
        <v>Eastern</v>
      </c>
      <c r="J967" s="119">
        <f ca="1">Reg_Pop_Ann_TO!J363</f>
        <v>10468</v>
      </c>
      <c r="K967" s="119">
        <f ca="1">Reg_Pop_Ann_TO!K363</f>
        <v>10468</v>
      </c>
      <c r="L967" s="119">
        <f ca="1">Reg_Pop_Ann_TO!L363</f>
        <v>10468</v>
      </c>
      <c r="M967" s="119">
        <f ca="1">Reg_Pop_Ann_TO!M363</f>
        <v>10468</v>
      </c>
      <c r="N967" s="119">
        <f ca="1">Reg_Pop_Ann_TO!N363</f>
        <v>10468</v>
      </c>
      <c r="O967" s="119">
        <f ca="1">Reg_Pop_Ann_TO!O363</f>
        <v>10468</v>
      </c>
    </row>
    <row r="968" spans="4:15" s="348" customFormat="1" outlineLevel="1" x14ac:dyDescent="0.2">
      <c r="D968" s="668" t="str">
        <f>Intv_BA!D1940</f>
        <v>Luapula</v>
      </c>
      <c r="J968" s="119">
        <f ca="1">Reg_Pop_Ann_TO!J364</f>
        <v>8128</v>
      </c>
      <c r="K968" s="119">
        <f ca="1">Reg_Pop_Ann_TO!K364</f>
        <v>8128</v>
      </c>
      <c r="L968" s="119">
        <f ca="1">Reg_Pop_Ann_TO!L364</f>
        <v>8128</v>
      </c>
      <c r="M968" s="119">
        <f ca="1">Reg_Pop_Ann_TO!M364</f>
        <v>8128</v>
      </c>
      <c r="N968" s="119">
        <f ca="1">Reg_Pop_Ann_TO!N364</f>
        <v>8128</v>
      </c>
      <c r="O968" s="119">
        <f ca="1">Reg_Pop_Ann_TO!O364</f>
        <v>8128</v>
      </c>
    </row>
    <row r="969" spans="4:15" s="348" customFormat="1" outlineLevel="1" x14ac:dyDescent="0.2">
      <c r="D969" s="668" t="str">
        <f>Intv_BA!D1941</f>
        <v>Lusaka</v>
      </c>
      <c r="J969" s="119">
        <f ca="1">Reg_Pop_Ann_TO!J365</f>
        <v>29188</v>
      </c>
      <c r="K969" s="119">
        <f ca="1">Reg_Pop_Ann_TO!K365</f>
        <v>29188</v>
      </c>
      <c r="L969" s="119">
        <f ca="1">Reg_Pop_Ann_TO!L365</f>
        <v>29188</v>
      </c>
      <c r="M969" s="119">
        <f ca="1">Reg_Pop_Ann_TO!M365</f>
        <v>29188</v>
      </c>
      <c r="N969" s="119">
        <f ca="1">Reg_Pop_Ann_TO!N365</f>
        <v>29188</v>
      </c>
      <c r="O969" s="119">
        <f ca="1">Reg_Pop_Ann_TO!O365</f>
        <v>29188</v>
      </c>
    </row>
    <row r="970" spans="4:15" s="348" customFormat="1" outlineLevel="1" x14ac:dyDescent="0.2">
      <c r="D970" s="668" t="str">
        <f>Intv_BA!D1942</f>
        <v>Muchinga</v>
      </c>
      <c r="J970" s="119">
        <f ca="1">Reg_Pop_Ann_TO!J366</f>
        <v>554</v>
      </c>
      <c r="K970" s="119">
        <f ca="1">Reg_Pop_Ann_TO!K366</f>
        <v>554</v>
      </c>
      <c r="L970" s="119">
        <f ca="1">Reg_Pop_Ann_TO!L366</f>
        <v>554</v>
      </c>
      <c r="M970" s="119">
        <f ca="1">Reg_Pop_Ann_TO!M366</f>
        <v>554</v>
      </c>
      <c r="N970" s="119">
        <f ca="1">Reg_Pop_Ann_TO!N366</f>
        <v>554</v>
      </c>
      <c r="O970" s="119">
        <f ca="1">Reg_Pop_Ann_TO!O366</f>
        <v>554</v>
      </c>
    </row>
    <row r="971" spans="4:15" s="348" customFormat="1" outlineLevel="1" x14ac:dyDescent="0.2">
      <c r="D971" s="668" t="str">
        <f>Intv_BA!D1943</f>
        <v>Northern</v>
      </c>
      <c r="J971" s="119">
        <f ca="1">Reg_Pop_Ann_TO!J367</f>
        <v>2894</v>
      </c>
      <c r="K971" s="119">
        <f ca="1">Reg_Pop_Ann_TO!K367</f>
        <v>2894</v>
      </c>
      <c r="L971" s="119">
        <f ca="1">Reg_Pop_Ann_TO!L367</f>
        <v>2894</v>
      </c>
      <c r="M971" s="119">
        <f ca="1">Reg_Pop_Ann_TO!M367</f>
        <v>2894</v>
      </c>
      <c r="N971" s="119">
        <f ca="1">Reg_Pop_Ann_TO!N367</f>
        <v>2894</v>
      </c>
      <c r="O971" s="119">
        <f ca="1">Reg_Pop_Ann_TO!O367</f>
        <v>2894</v>
      </c>
    </row>
    <row r="972" spans="4:15" s="348" customFormat="1" outlineLevel="1" x14ac:dyDescent="0.2">
      <c r="D972" s="668" t="str">
        <f>Intv_BA!D1944</f>
        <v>North-Western</v>
      </c>
      <c r="J972" s="119">
        <f ca="1">Reg_Pop_Ann_TO!J368</f>
        <v>3448</v>
      </c>
      <c r="K972" s="119">
        <f ca="1">Reg_Pop_Ann_TO!K368</f>
        <v>3448</v>
      </c>
      <c r="L972" s="119">
        <f ca="1">Reg_Pop_Ann_TO!L368</f>
        <v>3448</v>
      </c>
      <c r="M972" s="119">
        <f ca="1">Reg_Pop_Ann_TO!M368</f>
        <v>3448</v>
      </c>
      <c r="N972" s="119">
        <f ca="1">Reg_Pop_Ann_TO!N368</f>
        <v>3448</v>
      </c>
      <c r="O972" s="119">
        <f ca="1">Reg_Pop_Ann_TO!O368</f>
        <v>3448</v>
      </c>
    </row>
    <row r="973" spans="4:15" s="348" customFormat="1" outlineLevel="1" x14ac:dyDescent="0.2">
      <c r="D973" s="668" t="str">
        <f>Intv_BA!D1945</f>
        <v>Southern</v>
      </c>
      <c r="J973" s="119">
        <f ca="1">Reg_Pop_Ann_TO!J369</f>
        <v>8128</v>
      </c>
      <c r="K973" s="119">
        <f ca="1">Reg_Pop_Ann_TO!K369</f>
        <v>8128</v>
      </c>
      <c r="L973" s="119">
        <f ca="1">Reg_Pop_Ann_TO!L369</f>
        <v>8128</v>
      </c>
      <c r="M973" s="119">
        <f ca="1">Reg_Pop_Ann_TO!M369</f>
        <v>8128</v>
      </c>
      <c r="N973" s="119">
        <f ca="1">Reg_Pop_Ann_TO!N369</f>
        <v>8128</v>
      </c>
      <c r="O973" s="119">
        <f ca="1">Reg_Pop_Ann_TO!O369</f>
        <v>8128</v>
      </c>
    </row>
    <row r="974" spans="4:15" s="348" customFormat="1" outlineLevel="1" x14ac:dyDescent="0.2">
      <c r="D974" s="668" t="str">
        <f>Intv_BA!D1946</f>
        <v>Western</v>
      </c>
      <c r="J974" s="119">
        <f ca="1">Reg_Pop_Ann_TO!J370</f>
        <v>8128</v>
      </c>
      <c r="K974" s="119">
        <f ca="1">Reg_Pop_Ann_TO!K370</f>
        <v>8128</v>
      </c>
      <c r="L974" s="119">
        <f ca="1">Reg_Pop_Ann_TO!L370</f>
        <v>8128</v>
      </c>
      <c r="M974" s="119">
        <f ca="1">Reg_Pop_Ann_TO!M370</f>
        <v>8128</v>
      </c>
      <c r="N974" s="119">
        <f ca="1">Reg_Pop_Ann_TO!N370</f>
        <v>8128</v>
      </c>
      <c r="O974" s="119">
        <f ca="1">Reg_Pop_Ann_TO!O370</f>
        <v>8128</v>
      </c>
    </row>
    <row r="975" spans="4:15" s="348" customFormat="1" ht="12.95" customHeight="1" x14ac:dyDescent="0.2">
      <c r="D975" s="359" t="str">
        <f>"Total "&amp;C960</f>
        <v>Total Screened Population</v>
      </c>
      <c r="J975" s="164">
        <f t="shared" ref="J975:O975" ca="1" si="58">SUM(J965:J974)</f>
        <v>84852</v>
      </c>
      <c r="K975" s="164">
        <f t="shared" ca="1" si="58"/>
        <v>84852</v>
      </c>
      <c r="L975" s="164">
        <f t="shared" ca="1" si="58"/>
        <v>84852</v>
      </c>
      <c r="M975" s="164">
        <f t="shared" ca="1" si="58"/>
        <v>84852</v>
      </c>
      <c r="N975" s="164">
        <f t="shared" ca="1" si="58"/>
        <v>84852</v>
      </c>
      <c r="O975" s="164">
        <f t="shared" ca="1" si="58"/>
        <v>84852</v>
      </c>
    </row>
    <row r="976" spans="4:15" s="348" customFormat="1" x14ac:dyDescent="0.2"/>
    <row r="977" spans="2:15" s="348" customFormat="1" ht="15.75" x14ac:dyDescent="0.2">
      <c r="C977" s="664" t="s">
        <v>212</v>
      </c>
    </row>
    <row r="978" spans="2:15" s="348" customFormat="1" outlineLevel="1" x14ac:dyDescent="0.2"/>
    <row r="979" spans="2:15" s="348" customFormat="1" ht="15" outlineLevel="1" x14ac:dyDescent="0.2">
      <c r="D979" s="667" t="s">
        <v>167</v>
      </c>
    </row>
    <row r="980" spans="2:15" s="348" customFormat="1" ht="10.5" customHeight="1" outlineLevel="1" x14ac:dyDescent="0.2">
      <c r="D980" s="785" t="str">
        <f>Econ_Ann_TA!D13</f>
        <v>USD</v>
      </c>
      <c r="E980" s="786"/>
      <c r="F980" s="786"/>
      <c r="G980" s="786"/>
      <c r="J980" s="137">
        <f>Econ_Ann_TA!J13</f>
        <v>1</v>
      </c>
      <c r="K980" s="137">
        <f>Econ_Ann_TA!K13</f>
        <v>1</v>
      </c>
      <c r="L980" s="137">
        <f>Econ_Ann_TA!L13</f>
        <v>1</v>
      </c>
      <c r="M980" s="137">
        <f>Econ_Ann_TA!M13</f>
        <v>1</v>
      </c>
      <c r="N980" s="137">
        <f>Econ_Ann_TA!N13</f>
        <v>1</v>
      </c>
      <c r="O980" s="137">
        <f>Econ_Ann_TA!O13</f>
        <v>1</v>
      </c>
    </row>
    <row r="981" spans="2:15" s="348" customFormat="1" outlineLevel="1" x14ac:dyDescent="0.2">
      <c r="D981" s="785" t="str">
        <f>Econ_Ann_TA!D14</f>
        <v>ZMW</v>
      </c>
      <c r="E981" s="786"/>
      <c r="F981" s="786"/>
      <c r="G981" s="786"/>
      <c r="J981" s="137">
        <f>Econ_Ann_TA!J14</f>
        <v>10.971399999999999</v>
      </c>
      <c r="K981" s="137">
        <f>Econ_Ann_TA!K14</f>
        <v>10.971399999999999</v>
      </c>
      <c r="L981" s="137">
        <f>Econ_Ann_TA!L14</f>
        <v>10.971399999999999</v>
      </c>
      <c r="M981" s="137">
        <f>Econ_Ann_TA!M14</f>
        <v>10.971399999999999</v>
      </c>
      <c r="N981" s="137">
        <f>Econ_Ann_TA!N14</f>
        <v>10.971399999999999</v>
      </c>
      <c r="O981" s="137">
        <f>Econ_Ann_TA!O14</f>
        <v>10.971399999999999</v>
      </c>
    </row>
    <row r="982" spans="2:15" s="348" customFormat="1" x14ac:dyDescent="0.2"/>
    <row r="983" spans="2:15" s="348" customFormat="1" x14ac:dyDescent="0.2">
      <c r="C983" s="722" t="str">
        <f>"Go to "&amp;HL_Intv_4_Ass</f>
        <v>Go to Radiotherapy</v>
      </c>
      <c r="D983" s="777"/>
      <c r="E983" s="777"/>
      <c r="F983" s="777"/>
      <c r="G983" s="777"/>
      <c r="H983" s="777"/>
      <c r="I983" s="777"/>
    </row>
    <row r="984" spans="2:15" s="348" customFormat="1" x14ac:dyDescent="0.2">
      <c r="C984" s="722" t="str">
        <f>"Go to "&amp;HL_Intv_4_Out</f>
        <v>Go to Radiotherapy</v>
      </c>
      <c r="D984" s="777"/>
      <c r="E984" s="777"/>
      <c r="F984" s="777"/>
      <c r="G984" s="777"/>
      <c r="H984" s="777"/>
      <c r="I984" s="777"/>
    </row>
    <row r="985" spans="2:15" s="348" customFormat="1" x14ac:dyDescent="0.2"/>
    <row r="986" spans="2:15" s="348" customFormat="1" x14ac:dyDescent="0.2"/>
    <row r="987" spans="2:15" s="348" customFormat="1" ht="18.75" x14ac:dyDescent="0.2">
      <c r="B987" s="425" t="s">
        <v>1627</v>
      </c>
    </row>
    <row r="988" spans="2:15" s="348" customFormat="1" x14ac:dyDescent="0.2"/>
    <row r="989" spans="2:15" s="348" customFormat="1" ht="18.75" x14ac:dyDescent="0.2">
      <c r="B989" s="498" t="str">
        <f>HL_Intv_6_Ass</f>
        <v>Palliative Care</v>
      </c>
    </row>
    <row r="990" spans="2:15" s="348" customFormat="1" x14ac:dyDescent="0.2"/>
    <row r="991" spans="2:15" s="348" customFormat="1" ht="15.75" x14ac:dyDescent="0.2">
      <c r="C991" s="124" t="str">
        <f>"Assumed Numbers of Active Facilities Offering "&amp;B989&amp;" - By Type, Service Area, and Year."</f>
        <v>Assumed Numbers of Active Facilities Offering Palliative Care - By Type, Service Area, and Year.</v>
      </c>
    </row>
    <row r="992" spans="2:15" s="348" customFormat="1" ht="15" outlineLevel="1" x14ac:dyDescent="0.2">
      <c r="D992" s="667" t="s">
        <v>1611</v>
      </c>
      <c r="H992" s="372">
        <v>0</v>
      </c>
    </row>
    <row r="993" spans="4:15" s="348" customFormat="1" x14ac:dyDescent="0.2"/>
    <row r="994" spans="4:15" s="348" customFormat="1" ht="15" x14ac:dyDescent="0.2">
      <c r="D994" s="669" t="str">
        <f ca="1">OFFSET(Labels_BA!D16,0,H992)</f>
        <v>Central Referral Hospital</v>
      </c>
    </row>
    <row r="995" spans="4:15" s="348" customFormat="1" outlineLevel="1" x14ac:dyDescent="0.2"/>
    <row r="996" spans="4:15" s="348" customFormat="1" outlineLevel="1" collapsed="1" x14ac:dyDescent="0.2">
      <c r="D996" s="668" t="str">
        <f>Intv_BA!D3114</f>
        <v>Central</v>
      </c>
      <c r="J996" s="183">
        <v>0</v>
      </c>
      <c r="K996" s="183"/>
      <c r="L996" s="183"/>
      <c r="M996" s="183"/>
      <c r="N996" s="183"/>
      <c r="O996" s="183"/>
    </row>
    <row r="997" spans="4:15" s="348" customFormat="1" outlineLevel="1" x14ac:dyDescent="0.2">
      <c r="D997" s="668" t="str">
        <f>Intv_BA!D3115</f>
        <v>Copperbelt</v>
      </c>
      <c r="J997" s="183">
        <v>1</v>
      </c>
      <c r="K997" s="183">
        <v>1</v>
      </c>
      <c r="L997" s="183">
        <v>1</v>
      </c>
      <c r="M997" s="183">
        <v>1</v>
      </c>
      <c r="N997" s="183">
        <v>1</v>
      </c>
      <c r="O997" s="183">
        <v>1</v>
      </c>
    </row>
    <row r="998" spans="4:15" s="348" customFormat="1" outlineLevel="1" x14ac:dyDescent="0.2">
      <c r="D998" s="668" t="str">
        <f>Intv_BA!D3116</f>
        <v>Eastern</v>
      </c>
      <c r="J998" s="183">
        <v>0</v>
      </c>
      <c r="K998" s="183"/>
      <c r="L998" s="183"/>
      <c r="M998" s="183"/>
      <c r="N998" s="183"/>
      <c r="O998" s="183"/>
    </row>
    <row r="999" spans="4:15" s="348" customFormat="1" outlineLevel="1" x14ac:dyDescent="0.2">
      <c r="D999" s="668" t="str">
        <f>Intv_BA!D3117</f>
        <v>Luapula</v>
      </c>
      <c r="J999" s="183">
        <v>0</v>
      </c>
      <c r="K999" s="183"/>
      <c r="L999" s="183"/>
      <c r="M999" s="183"/>
      <c r="N999" s="183"/>
      <c r="O999" s="183"/>
    </row>
    <row r="1000" spans="4:15" s="348" customFormat="1" outlineLevel="1" x14ac:dyDescent="0.2">
      <c r="D1000" s="668" t="str">
        <f>Intv_BA!D3118</f>
        <v>Lusaka</v>
      </c>
      <c r="J1000" s="183">
        <v>2</v>
      </c>
      <c r="K1000" s="183">
        <v>2</v>
      </c>
      <c r="L1000" s="183">
        <v>2</v>
      </c>
      <c r="M1000" s="183">
        <v>2</v>
      </c>
      <c r="N1000" s="183">
        <v>2</v>
      </c>
      <c r="O1000" s="183">
        <v>2</v>
      </c>
    </row>
    <row r="1001" spans="4:15" s="348" customFormat="1" outlineLevel="1" x14ac:dyDescent="0.2">
      <c r="D1001" s="668" t="str">
        <f>Intv_BA!D3119</f>
        <v>Muchinga</v>
      </c>
      <c r="J1001" s="183">
        <v>0</v>
      </c>
      <c r="K1001" s="183"/>
      <c r="L1001" s="183"/>
      <c r="M1001" s="183"/>
      <c r="N1001" s="183"/>
      <c r="O1001" s="183"/>
    </row>
    <row r="1002" spans="4:15" s="348" customFormat="1" outlineLevel="1" x14ac:dyDescent="0.2">
      <c r="D1002" s="668" t="str">
        <f>Intv_BA!D3120</f>
        <v>Northern</v>
      </c>
      <c r="J1002" s="183">
        <v>0</v>
      </c>
      <c r="K1002" s="183"/>
      <c r="L1002" s="183"/>
      <c r="M1002" s="183"/>
      <c r="N1002" s="183"/>
      <c r="O1002" s="183"/>
    </row>
    <row r="1003" spans="4:15" s="348" customFormat="1" outlineLevel="1" x14ac:dyDescent="0.2">
      <c r="D1003" s="668" t="str">
        <f>Intv_BA!D3121</f>
        <v>North-Western</v>
      </c>
      <c r="J1003" s="183">
        <v>0</v>
      </c>
      <c r="K1003" s="183">
        <v>0</v>
      </c>
      <c r="L1003" s="183">
        <v>0</v>
      </c>
      <c r="M1003" s="183">
        <v>0</v>
      </c>
      <c r="N1003" s="183">
        <v>0</v>
      </c>
      <c r="O1003" s="183">
        <v>0</v>
      </c>
    </row>
    <row r="1004" spans="4:15" s="348" customFormat="1" outlineLevel="1" x14ac:dyDescent="0.2">
      <c r="D1004" s="668" t="str">
        <f>Intv_BA!D3122</f>
        <v>Southern</v>
      </c>
      <c r="J1004" s="183">
        <v>1</v>
      </c>
      <c r="K1004" s="183">
        <v>1</v>
      </c>
      <c r="L1004" s="183">
        <v>1</v>
      </c>
      <c r="M1004" s="183">
        <v>1</v>
      </c>
      <c r="N1004" s="183">
        <v>1</v>
      </c>
      <c r="O1004" s="183">
        <v>1</v>
      </c>
    </row>
    <row r="1005" spans="4:15" s="348" customFormat="1" outlineLevel="1" x14ac:dyDescent="0.2">
      <c r="D1005" s="668" t="str">
        <f>Intv_BA!D3123</f>
        <v>Western</v>
      </c>
      <c r="J1005" s="183">
        <v>0</v>
      </c>
      <c r="K1005" s="183">
        <v>0</v>
      </c>
      <c r="L1005" s="183">
        <v>0</v>
      </c>
      <c r="M1005" s="183">
        <v>0</v>
      </c>
      <c r="N1005" s="183">
        <v>0</v>
      </c>
      <c r="O1005" s="183">
        <v>0</v>
      </c>
    </row>
    <row r="1006" spans="4:15" s="348" customFormat="1" ht="15" x14ac:dyDescent="0.2">
      <c r="D1006" s="359" t="str">
        <f ca="1">"Total "&amp;D994</f>
        <v>Total Central Referral Hospital</v>
      </c>
      <c r="J1006" s="131">
        <f t="shared" ref="J1006:O1006" si="59">SUM(J996:J1005)</f>
        <v>4</v>
      </c>
      <c r="K1006" s="131">
        <f t="shared" si="59"/>
        <v>4</v>
      </c>
      <c r="L1006" s="131">
        <f t="shared" si="59"/>
        <v>4</v>
      </c>
      <c r="M1006" s="131">
        <f t="shared" si="59"/>
        <v>4</v>
      </c>
      <c r="N1006" s="131">
        <f t="shared" si="59"/>
        <v>4</v>
      </c>
      <c r="O1006" s="131">
        <f t="shared" si="59"/>
        <v>4</v>
      </c>
    </row>
    <row r="1007" spans="4:15" s="348" customFormat="1" x14ac:dyDescent="0.2">
      <c r="D1007" s="721"/>
      <c r="E1007" s="721"/>
      <c r="F1007" s="721"/>
      <c r="G1007" s="721"/>
      <c r="H1007" s="721"/>
      <c r="I1007" s="721"/>
    </row>
    <row r="1008" spans="4:15" s="348" customFormat="1" ht="15" outlineLevel="1" x14ac:dyDescent="0.2">
      <c r="D1008" s="667" t="s">
        <v>1611</v>
      </c>
      <c r="H1008" s="372">
        <v>1</v>
      </c>
    </row>
    <row r="1009" spans="4:15" s="348" customFormat="1" x14ac:dyDescent="0.2"/>
    <row r="1010" spans="4:15" s="348" customFormat="1" ht="15" x14ac:dyDescent="0.2">
      <c r="D1010" s="669" t="str">
        <f ca="1">OFFSET(Labels_BA!D16,0,H1008)</f>
        <v>Provincial Hospital</v>
      </c>
    </row>
    <row r="1011" spans="4:15" s="348" customFormat="1" outlineLevel="1" x14ac:dyDescent="0.2"/>
    <row r="1012" spans="4:15" s="348" customFormat="1" outlineLevel="1" collapsed="1" x14ac:dyDescent="0.2">
      <c r="D1012" s="668" t="str">
        <f>Intv_BA!D3114</f>
        <v>Central</v>
      </c>
      <c r="J1012" s="183">
        <v>0</v>
      </c>
      <c r="K1012" s="183">
        <v>1</v>
      </c>
      <c r="L1012" s="183">
        <v>1</v>
      </c>
      <c r="M1012" s="183">
        <v>1</v>
      </c>
      <c r="N1012" s="183">
        <v>1</v>
      </c>
      <c r="O1012" s="183">
        <v>1</v>
      </c>
    </row>
    <row r="1013" spans="4:15" s="348" customFormat="1" outlineLevel="1" x14ac:dyDescent="0.2">
      <c r="D1013" s="668" t="str">
        <f>Intv_BA!D3115</f>
        <v>Copperbelt</v>
      </c>
      <c r="J1013" s="183">
        <v>0</v>
      </c>
      <c r="K1013" s="183">
        <v>1</v>
      </c>
      <c r="L1013" s="183">
        <v>1</v>
      </c>
      <c r="M1013" s="183">
        <v>1</v>
      </c>
      <c r="N1013" s="183">
        <v>1</v>
      </c>
      <c r="O1013" s="183">
        <v>1</v>
      </c>
    </row>
    <row r="1014" spans="4:15" s="348" customFormat="1" outlineLevel="1" x14ac:dyDescent="0.2">
      <c r="D1014" s="668" t="str">
        <f>Intv_BA!D3116</f>
        <v>Eastern</v>
      </c>
      <c r="J1014" s="183">
        <v>0</v>
      </c>
      <c r="K1014" s="183">
        <v>1</v>
      </c>
      <c r="L1014" s="183">
        <v>1</v>
      </c>
      <c r="M1014" s="183">
        <v>1</v>
      </c>
      <c r="N1014" s="183">
        <v>1</v>
      </c>
      <c r="O1014" s="183">
        <v>1</v>
      </c>
    </row>
    <row r="1015" spans="4:15" s="348" customFormat="1" outlineLevel="1" x14ac:dyDescent="0.2">
      <c r="D1015" s="668" t="str">
        <f>Intv_BA!D3117</f>
        <v>Luapula</v>
      </c>
      <c r="J1015" s="183">
        <v>0</v>
      </c>
      <c r="K1015" s="183">
        <v>1</v>
      </c>
      <c r="L1015" s="183">
        <v>1</v>
      </c>
      <c r="M1015" s="183">
        <v>1</v>
      </c>
      <c r="N1015" s="183">
        <v>1</v>
      </c>
      <c r="O1015" s="183">
        <v>1</v>
      </c>
    </row>
    <row r="1016" spans="4:15" s="348" customFormat="1" outlineLevel="1" x14ac:dyDescent="0.2">
      <c r="D1016" s="668" t="str">
        <f>Intv_BA!D3118</f>
        <v>Lusaka</v>
      </c>
      <c r="J1016" s="183">
        <v>0</v>
      </c>
      <c r="K1016" s="183">
        <v>1</v>
      </c>
      <c r="L1016" s="183">
        <v>1</v>
      </c>
      <c r="M1016" s="183">
        <v>1</v>
      </c>
      <c r="N1016" s="183">
        <v>1</v>
      </c>
      <c r="O1016" s="183">
        <v>1</v>
      </c>
    </row>
    <row r="1017" spans="4:15" s="348" customFormat="1" outlineLevel="1" x14ac:dyDescent="0.2">
      <c r="D1017" s="668" t="str">
        <f>Intv_BA!D3119</f>
        <v>Muchinga</v>
      </c>
      <c r="J1017" s="183">
        <v>0</v>
      </c>
      <c r="K1017" s="183">
        <v>1</v>
      </c>
      <c r="L1017" s="183">
        <v>1</v>
      </c>
      <c r="M1017" s="183">
        <v>1</v>
      </c>
      <c r="N1017" s="183">
        <v>1</v>
      </c>
      <c r="O1017" s="183">
        <v>1</v>
      </c>
    </row>
    <row r="1018" spans="4:15" s="348" customFormat="1" outlineLevel="1" x14ac:dyDescent="0.2">
      <c r="D1018" s="668" t="str">
        <f>Intv_BA!D3120</f>
        <v>Northern</v>
      </c>
      <c r="J1018" s="183">
        <v>0</v>
      </c>
      <c r="K1018" s="183">
        <v>1</v>
      </c>
      <c r="L1018" s="183">
        <v>1</v>
      </c>
      <c r="M1018" s="183">
        <v>1</v>
      </c>
      <c r="N1018" s="183">
        <v>1</v>
      </c>
      <c r="O1018" s="183">
        <v>1</v>
      </c>
    </row>
    <row r="1019" spans="4:15" s="348" customFormat="1" outlineLevel="1" x14ac:dyDescent="0.2">
      <c r="D1019" s="668" t="str">
        <f>Intv_BA!D3121</f>
        <v>North-Western</v>
      </c>
      <c r="J1019" s="183">
        <v>0</v>
      </c>
      <c r="K1019" s="183">
        <v>1</v>
      </c>
      <c r="L1019" s="183">
        <v>1</v>
      </c>
      <c r="M1019" s="183">
        <v>1</v>
      </c>
      <c r="N1019" s="183">
        <v>1</v>
      </c>
      <c r="O1019" s="183">
        <v>1</v>
      </c>
    </row>
    <row r="1020" spans="4:15" s="348" customFormat="1" outlineLevel="1" x14ac:dyDescent="0.2">
      <c r="D1020" s="668" t="str">
        <f>Intv_BA!D3122</f>
        <v>Southern</v>
      </c>
      <c r="J1020" s="183">
        <v>1</v>
      </c>
      <c r="K1020" s="183">
        <v>1</v>
      </c>
      <c r="L1020" s="183">
        <v>1</v>
      </c>
      <c r="M1020" s="183">
        <v>1</v>
      </c>
      <c r="N1020" s="183">
        <v>1</v>
      </c>
      <c r="O1020" s="183">
        <v>1</v>
      </c>
    </row>
    <row r="1021" spans="4:15" s="348" customFormat="1" outlineLevel="1" x14ac:dyDescent="0.2">
      <c r="D1021" s="668" t="str">
        <f>Intv_BA!D3123</f>
        <v>Western</v>
      </c>
      <c r="J1021" s="183">
        <v>0</v>
      </c>
      <c r="K1021" s="183">
        <v>1</v>
      </c>
      <c r="L1021" s="183">
        <v>1</v>
      </c>
      <c r="M1021" s="183">
        <v>1</v>
      </c>
      <c r="N1021" s="183">
        <v>1</v>
      </c>
      <c r="O1021" s="183">
        <v>1</v>
      </c>
    </row>
    <row r="1022" spans="4:15" s="348" customFormat="1" ht="15" x14ac:dyDescent="0.2">
      <c r="D1022" s="359" t="str">
        <f ca="1">"Total "&amp;D1010</f>
        <v>Total Provincial Hospital</v>
      </c>
      <c r="J1022" s="131">
        <f t="shared" ref="J1022:O1022" si="60">SUM(J1012:J1021)</f>
        <v>1</v>
      </c>
      <c r="K1022" s="131">
        <f t="shared" si="60"/>
        <v>10</v>
      </c>
      <c r="L1022" s="131">
        <f t="shared" si="60"/>
        <v>10</v>
      </c>
      <c r="M1022" s="131">
        <f t="shared" si="60"/>
        <v>10</v>
      </c>
      <c r="N1022" s="131">
        <f t="shared" si="60"/>
        <v>10</v>
      </c>
      <c r="O1022" s="131">
        <f t="shared" si="60"/>
        <v>10</v>
      </c>
    </row>
    <row r="1023" spans="4:15" s="348" customFormat="1" x14ac:dyDescent="0.2">
      <c r="D1023" s="721"/>
      <c r="E1023" s="721"/>
      <c r="F1023" s="721"/>
      <c r="G1023" s="721"/>
      <c r="H1023" s="721"/>
      <c r="I1023" s="721"/>
    </row>
    <row r="1024" spans="4:15" s="348" customFormat="1" ht="15" outlineLevel="1" x14ac:dyDescent="0.2">
      <c r="D1024" s="667" t="s">
        <v>1611</v>
      </c>
      <c r="H1024" s="372">
        <v>2</v>
      </c>
    </row>
    <row r="1025" spans="4:15" s="348" customFormat="1" x14ac:dyDescent="0.2"/>
    <row r="1026" spans="4:15" s="348" customFormat="1" ht="15" x14ac:dyDescent="0.2">
      <c r="D1026" s="669" t="str">
        <f ca="1">OFFSET(Labels_BA!D16,0,H1024)</f>
        <v>District Hospital</v>
      </c>
    </row>
    <row r="1027" spans="4:15" s="348" customFormat="1" outlineLevel="1" x14ac:dyDescent="0.2"/>
    <row r="1028" spans="4:15" s="348" customFormat="1" outlineLevel="1" collapsed="1" x14ac:dyDescent="0.2">
      <c r="D1028" s="668" t="str">
        <f>Intv_BA!D3114</f>
        <v>Central</v>
      </c>
      <c r="J1028" s="183">
        <v>0</v>
      </c>
      <c r="K1028" s="183">
        <v>0</v>
      </c>
      <c r="L1028" s="183">
        <v>1</v>
      </c>
      <c r="M1028" s="183">
        <v>2</v>
      </c>
      <c r="N1028" s="183">
        <v>3</v>
      </c>
      <c r="O1028" s="183">
        <v>4</v>
      </c>
    </row>
    <row r="1029" spans="4:15" s="348" customFormat="1" outlineLevel="1" x14ac:dyDescent="0.2">
      <c r="D1029" s="668" t="str">
        <f>Intv_BA!D3115</f>
        <v>Copperbelt</v>
      </c>
      <c r="J1029" s="183">
        <v>0</v>
      </c>
      <c r="K1029" s="183">
        <v>0</v>
      </c>
      <c r="L1029" s="183">
        <v>0</v>
      </c>
      <c r="M1029" s="183">
        <v>0</v>
      </c>
      <c r="N1029" s="183">
        <v>0</v>
      </c>
      <c r="O1029" s="183">
        <v>0</v>
      </c>
    </row>
    <row r="1030" spans="4:15" s="348" customFormat="1" outlineLevel="1" x14ac:dyDescent="0.2">
      <c r="D1030" s="668" t="str">
        <f>Intv_BA!D3116</f>
        <v>Eastern</v>
      </c>
      <c r="J1030" s="183">
        <v>0</v>
      </c>
      <c r="K1030" s="183">
        <v>0</v>
      </c>
      <c r="L1030" s="183">
        <v>1</v>
      </c>
      <c r="M1030" s="183">
        <v>2</v>
      </c>
      <c r="N1030" s="183">
        <v>3</v>
      </c>
      <c r="O1030" s="183">
        <v>4</v>
      </c>
    </row>
    <row r="1031" spans="4:15" s="348" customFormat="1" outlineLevel="1" x14ac:dyDescent="0.2">
      <c r="D1031" s="668" t="str">
        <f>Intv_BA!D3117</f>
        <v>Luapula</v>
      </c>
      <c r="J1031" s="183">
        <v>0</v>
      </c>
      <c r="K1031" s="183">
        <v>0</v>
      </c>
      <c r="L1031" s="183">
        <v>1</v>
      </c>
      <c r="M1031" s="183">
        <v>2</v>
      </c>
      <c r="N1031" s="183">
        <v>3</v>
      </c>
      <c r="O1031" s="183">
        <v>4</v>
      </c>
    </row>
    <row r="1032" spans="4:15" s="348" customFormat="1" outlineLevel="1" x14ac:dyDescent="0.2">
      <c r="D1032" s="668" t="str">
        <f>Intv_BA!D3118</f>
        <v>Lusaka</v>
      </c>
      <c r="J1032" s="183">
        <v>0</v>
      </c>
      <c r="K1032" s="183">
        <v>0</v>
      </c>
      <c r="L1032" s="183">
        <v>1</v>
      </c>
      <c r="M1032" s="183">
        <v>2</v>
      </c>
      <c r="N1032" s="183">
        <v>3</v>
      </c>
      <c r="O1032" s="183">
        <v>4</v>
      </c>
    </row>
    <row r="1033" spans="4:15" s="348" customFormat="1" outlineLevel="1" x14ac:dyDescent="0.2">
      <c r="D1033" s="668" t="str">
        <f>Intv_BA!D3119</f>
        <v>Muchinga</v>
      </c>
      <c r="J1033" s="183">
        <v>0</v>
      </c>
      <c r="K1033" s="183">
        <v>0</v>
      </c>
      <c r="L1033" s="183">
        <v>1</v>
      </c>
      <c r="M1033" s="183">
        <v>2</v>
      </c>
      <c r="N1033" s="183">
        <v>3</v>
      </c>
      <c r="O1033" s="183">
        <v>4</v>
      </c>
    </row>
    <row r="1034" spans="4:15" s="348" customFormat="1" outlineLevel="1" x14ac:dyDescent="0.2">
      <c r="D1034" s="668" t="str">
        <f>Intv_BA!D3120</f>
        <v>Northern</v>
      </c>
      <c r="J1034" s="183">
        <v>0</v>
      </c>
      <c r="K1034" s="183">
        <v>0</v>
      </c>
      <c r="L1034" s="183">
        <v>1</v>
      </c>
      <c r="M1034" s="183">
        <v>2</v>
      </c>
      <c r="N1034" s="183">
        <v>3</v>
      </c>
      <c r="O1034" s="183">
        <v>4</v>
      </c>
    </row>
    <row r="1035" spans="4:15" s="348" customFormat="1" outlineLevel="1" x14ac:dyDescent="0.2">
      <c r="D1035" s="668" t="str">
        <f>Intv_BA!D3121</f>
        <v>North-Western</v>
      </c>
      <c r="J1035" s="183">
        <v>0</v>
      </c>
      <c r="K1035" s="183">
        <v>0</v>
      </c>
      <c r="L1035" s="183">
        <v>1</v>
      </c>
      <c r="M1035" s="183">
        <v>2</v>
      </c>
      <c r="N1035" s="183">
        <v>3</v>
      </c>
      <c r="O1035" s="183">
        <v>4</v>
      </c>
    </row>
    <row r="1036" spans="4:15" s="348" customFormat="1" outlineLevel="1" x14ac:dyDescent="0.2">
      <c r="D1036" s="668" t="str">
        <f>Intv_BA!D3122</f>
        <v>Southern</v>
      </c>
      <c r="J1036" s="183">
        <v>0</v>
      </c>
      <c r="K1036" s="183">
        <v>1</v>
      </c>
      <c r="L1036" s="183">
        <v>2</v>
      </c>
      <c r="M1036" s="183">
        <v>3</v>
      </c>
      <c r="N1036" s="183">
        <v>4</v>
      </c>
      <c r="O1036" s="183">
        <v>5</v>
      </c>
    </row>
    <row r="1037" spans="4:15" s="348" customFormat="1" outlineLevel="1" x14ac:dyDescent="0.2">
      <c r="D1037" s="668" t="str">
        <f>Intv_BA!D3123</f>
        <v>Western</v>
      </c>
      <c r="J1037" s="183">
        <v>0</v>
      </c>
      <c r="K1037" s="183">
        <v>0</v>
      </c>
      <c r="L1037" s="183">
        <v>1</v>
      </c>
      <c r="M1037" s="183">
        <v>2</v>
      </c>
      <c r="N1037" s="183">
        <v>3</v>
      </c>
      <c r="O1037" s="183">
        <v>4</v>
      </c>
    </row>
    <row r="1038" spans="4:15" s="348" customFormat="1" ht="15" x14ac:dyDescent="0.2">
      <c r="D1038" s="359" t="str">
        <f ca="1">"Total "&amp;D1026</f>
        <v>Total District Hospital</v>
      </c>
      <c r="J1038" s="131">
        <f t="shared" ref="J1038:O1038" si="61">SUM(J1028:J1037)</f>
        <v>0</v>
      </c>
      <c r="K1038" s="131">
        <f t="shared" si="61"/>
        <v>1</v>
      </c>
      <c r="L1038" s="131">
        <f t="shared" si="61"/>
        <v>10</v>
      </c>
      <c r="M1038" s="131">
        <f t="shared" si="61"/>
        <v>19</v>
      </c>
      <c r="N1038" s="131">
        <f t="shared" si="61"/>
        <v>28</v>
      </c>
      <c r="O1038" s="131">
        <f t="shared" si="61"/>
        <v>37</v>
      </c>
    </row>
    <row r="1039" spans="4:15" s="348" customFormat="1" x14ac:dyDescent="0.2">
      <c r="D1039" s="721"/>
      <c r="E1039" s="721"/>
      <c r="F1039" s="721"/>
      <c r="G1039" s="721"/>
      <c r="H1039" s="721"/>
      <c r="I1039" s="721"/>
    </row>
    <row r="1040" spans="4:15" s="348" customFormat="1" ht="15" outlineLevel="1" x14ac:dyDescent="0.2">
      <c r="D1040" s="667" t="s">
        <v>1611</v>
      </c>
      <c r="H1040" s="372">
        <v>3</v>
      </c>
    </row>
    <row r="1041" spans="4:15" s="348" customFormat="1" x14ac:dyDescent="0.2"/>
    <row r="1042" spans="4:15" s="348" customFormat="1" ht="15" x14ac:dyDescent="0.2">
      <c r="D1042" s="669" t="str">
        <f ca="1">OFFSET(Labels_BA!D16,0,H1040)</f>
        <v>Fixed Health Clinic</v>
      </c>
    </row>
    <row r="1043" spans="4:15" s="348" customFormat="1" outlineLevel="1" x14ac:dyDescent="0.2"/>
    <row r="1044" spans="4:15" s="348" customFormat="1" outlineLevel="1" collapsed="1" x14ac:dyDescent="0.2">
      <c r="D1044" s="668" t="str">
        <f>Intv_BA!D3114</f>
        <v>Central</v>
      </c>
      <c r="J1044" s="183">
        <v>0</v>
      </c>
      <c r="K1044" s="183">
        <v>0</v>
      </c>
      <c r="L1044" s="183">
        <v>0</v>
      </c>
      <c r="M1044" s="183">
        <v>0</v>
      </c>
      <c r="N1044" s="183">
        <v>0</v>
      </c>
      <c r="O1044" s="183">
        <v>0</v>
      </c>
    </row>
    <row r="1045" spans="4:15" s="348" customFormat="1" outlineLevel="1" x14ac:dyDescent="0.2">
      <c r="D1045" s="668" t="str">
        <f>Intv_BA!D3115</f>
        <v>Copperbelt</v>
      </c>
      <c r="J1045" s="183">
        <v>0</v>
      </c>
      <c r="K1045" s="183">
        <v>0</v>
      </c>
      <c r="L1045" s="183">
        <v>0</v>
      </c>
      <c r="M1045" s="183">
        <v>0</v>
      </c>
      <c r="N1045" s="183">
        <v>0</v>
      </c>
      <c r="O1045" s="183">
        <v>0</v>
      </c>
    </row>
    <row r="1046" spans="4:15" s="348" customFormat="1" outlineLevel="1" x14ac:dyDescent="0.2">
      <c r="D1046" s="668" t="str">
        <f>Intv_BA!D3116</f>
        <v>Eastern</v>
      </c>
      <c r="J1046" s="183">
        <v>0</v>
      </c>
      <c r="K1046" s="183">
        <v>0</v>
      </c>
      <c r="L1046" s="183">
        <v>0</v>
      </c>
      <c r="M1046" s="183">
        <v>0</v>
      </c>
      <c r="N1046" s="183">
        <v>0</v>
      </c>
      <c r="O1046" s="183">
        <v>0</v>
      </c>
    </row>
    <row r="1047" spans="4:15" s="348" customFormat="1" outlineLevel="1" x14ac:dyDescent="0.2">
      <c r="D1047" s="668" t="str">
        <f>Intv_BA!D3117</f>
        <v>Luapula</v>
      </c>
      <c r="J1047" s="183">
        <v>0</v>
      </c>
      <c r="K1047" s="183">
        <v>0</v>
      </c>
      <c r="L1047" s="183">
        <v>0</v>
      </c>
      <c r="M1047" s="183">
        <v>0</v>
      </c>
      <c r="N1047" s="183">
        <v>0</v>
      </c>
      <c r="O1047" s="183">
        <v>0</v>
      </c>
    </row>
    <row r="1048" spans="4:15" s="348" customFormat="1" outlineLevel="1" x14ac:dyDescent="0.2">
      <c r="D1048" s="668" t="str">
        <f>Intv_BA!D3118</f>
        <v>Lusaka</v>
      </c>
      <c r="J1048" s="183">
        <v>0</v>
      </c>
      <c r="K1048" s="183">
        <v>0</v>
      </c>
      <c r="L1048" s="183">
        <v>0</v>
      </c>
      <c r="M1048" s="183">
        <v>0</v>
      </c>
      <c r="N1048" s="183">
        <v>0</v>
      </c>
      <c r="O1048" s="183">
        <v>0</v>
      </c>
    </row>
    <row r="1049" spans="4:15" s="348" customFormat="1" outlineLevel="1" x14ac:dyDescent="0.2">
      <c r="D1049" s="668" t="str">
        <f>Intv_BA!D3119</f>
        <v>Muchinga</v>
      </c>
      <c r="J1049" s="183">
        <v>0</v>
      </c>
      <c r="K1049" s="183">
        <v>0</v>
      </c>
      <c r="L1049" s="183">
        <v>0</v>
      </c>
      <c r="M1049" s="183">
        <v>0</v>
      </c>
      <c r="N1049" s="183">
        <v>0</v>
      </c>
      <c r="O1049" s="183">
        <v>0</v>
      </c>
    </row>
    <row r="1050" spans="4:15" s="348" customFormat="1" outlineLevel="1" x14ac:dyDescent="0.2">
      <c r="D1050" s="668" t="str">
        <f>Intv_BA!D3120</f>
        <v>Northern</v>
      </c>
      <c r="J1050" s="183">
        <v>0</v>
      </c>
      <c r="K1050" s="183">
        <v>0</v>
      </c>
      <c r="L1050" s="183">
        <v>0</v>
      </c>
      <c r="M1050" s="183">
        <v>0</v>
      </c>
      <c r="N1050" s="183">
        <v>0</v>
      </c>
      <c r="O1050" s="183">
        <v>0</v>
      </c>
    </row>
    <row r="1051" spans="4:15" s="348" customFormat="1" outlineLevel="1" x14ac:dyDescent="0.2">
      <c r="D1051" s="668" t="str">
        <f>Intv_BA!D3121</f>
        <v>North-Western</v>
      </c>
      <c r="J1051" s="183">
        <v>0</v>
      </c>
      <c r="K1051" s="183">
        <v>0</v>
      </c>
      <c r="L1051" s="183">
        <v>0</v>
      </c>
      <c r="M1051" s="183">
        <v>0</v>
      </c>
      <c r="N1051" s="183">
        <v>0</v>
      </c>
      <c r="O1051" s="183">
        <v>0</v>
      </c>
    </row>
    <row r="1052" spans="4:15" s="348" customFormat="1" outlineLevel="1" x14ac:dyDescent="0.2">
      <c r="D1052" s="668" t="str">
        <f>Intv_BA!D3122</f>
        <v>Southern</v>
      </c>
      <c r="J1052" s="183">
        <v>0</v>
      </c>
      <c r="K1052" s="183">
        <v>0</v>
      </c>
      <c r="L1052" s="183">
        <v>0</v>
      </c>
      <c r="M1052" s="183">
        <v>0</v>
      </c>
      <c r="N1052" s="183">
        <v>0</v>
      </c>
      <c r="O1052" s="183">
        <v>0</v>
      </c>
    </row>
    <row r="1053" spans="4:15" s="348" customFormat="1" outlineLevel="1" x14ac:dyDescent="0.2">
      <c r="D1053" s="668" t="str">
        <f>Intv_BA!D3123</f>
        <v>Western</v>
      </c>
      <c r="J1053" s="183">
        <v>0</v>
      </c>
      <c r="K1053" s="183">
        <v>0</v>
      </c>
      <c r="L1053" s="183">
        <v>0</v>
      </c>
      <c r="M1053" s="183">
        <v>0</v>
      </c>
      <c r="N1053" s="183">
        <v>0</v>
      </c>
      <c r="O1053" s="183">
        <v>0</v>
      </c>
    </row>
    <row r="1054" spans="4:15" s="348" customFormat="1" ht="15" x14ac:dyDescent="0.2">
      <c r="D1054" s="359" t="str">
        <f ca="1">"Total "&amp;D1042</f>
        <v>Total Fixed Health Clinic</v>
      </c>
      <c r="J1054" s="131">
        <f t="shared" ref="J1054:O1054" si="62">SUM(J1044:J1053)</f>
        <v>0</v>
      </c>
      <c r="K1054" s="131">
        <f t="shared" si="62"/>
        <v>0</v>
      </c>
      <c r="L1054" s="131">
        <f t="shared" si="62"/>
        <v>0</v>
      </c>
      <c r="M1054" s="131">
        <f t="shared" si="62"/>
        <v>0</v>
      </c>
      <c r="N1054" s="131">
        <f t="shared" si="62"/>
        <v>0</v>
      </c>
      <c r="O1054" s="131">
        <f t="shared" si="62"/>
        <v>0</v>
      </c>
    </row>
    <row r="1055" spans="4:15" s="348" customFormat="1" x14ac:dyDescent="0.2">
      <c r="D1055" s="721"/>
      <c r="E1055" s="721"/>
      <c r="F1055" s="721"/>
      <c r="G1055" s="721"/>
      <c r="H1055" s="721"/>
      <c r="I1055" s="721"/>
    </row>
    <row r="1056" spans="4:15" s="348" customFormat="1" ht="15" outlineLevel="1" x14ac:dyDescent="0.2">
      <c r="D1056" s="667" t="s">
        <v>1611</v>
      </c>
      <c r="H1056" s="372">
        <v>4</v>
      </c>
    </row>
    <row r="1057" spans="4:15" s="348" customFormat="1" x14ac:dyDescent="0.2"/>
    <row r="1058" spans="4:15" s="348" customFormat="1" ht="15" x14ac:dyDescent="0.2">
      <c r="D1058" s="669" t="str">
        <f ca="1">OFFSET(Labels_BA!D16,0,H1056)</f>
        <v>PCI Mobile Health Team</v>
      </c>
    </row>
    <row r="1059" spans="4:15" s="348" customFormat="1" outlineLevel="1" x14ac:dyDescent="0.2"/>
    <row r="1060" spans="4:15" s="348" customFormat="1" outlineLevel="1" collapsed="1" x14ac:dyDescent="0.2">
      <c r="D1060" s="668" t="str">
        <f>Intv_BA!D3114</f>
        <v>Central</v>
      </c>
      <c r="J1060" s="183">
        <v>0</v>
      </c>
      <c r="K1060" s="183">
        <v>0</v>
      </c>
      <c r="L1060" s="183">
        <v>0</v>
      </c>
      <c r="M1060" s="183">
        <v>0</v>
      </c>
      <c r="N1060" s="183">
        <v>0</v>
      </c>
      <c r="O1060" s="183">
        <v>0</v>
      </c>
    </row>
    <row r="1061" spans="4:15" s="348" customFormat="1" outlineLevel="1" x14ac:dyDescent="0.2">
      <c r="D1061" s="668" t="str">
        <f>Intv_BA!D3115</f>
        <v>Copperbelt</v>
      </c>
      <c r="J1061" s="183">
        <v>0</v>
      </c>
      <c r="K1061" s="183">
        <v>0</v>
      </c>
      <c r="L1061" s="183">
        <v>0</v>
      </c>
      <c r="M1061" s="183">
        <v>0</v>
      </c>
      <c r="N1061" s="183">
        <v>0</v>
      </c>
      <c r="O1061" s="183">
        <v>0</v>
      </c>
    </row>
    <row r="1062" spans="4:15" s="348" customFormat="1" outlineLevel="1" x14ac:dyDescent="0.2">
      <c r="D1062" s="668" t="str">
        <f>Intv_BA!D3116</f>
        <v>Eastern</v>
      </c>
      <c r="J1062" s="183">
        <v>0</v>
      </c>
      <c r="K1062" s="183">
        <v>0</v>
      </c>
      <c r="L1062" s="183">
        <v>0</v>
      </c>
      <c r="M1062" s="183">
        <v>0</v>
      </c>
      <c r="N1062" s="183">
        <v>0</v>
      </c>
      <c r="O1062" s="183">
        <v>0</v>
      </c>
    </row>
    <row r="1063" spans="4:15" s="348" customFormat="1" outlineLevel="1" x14ac:dyDescent="0.2">
      <c r="D1063" s="668" t="str">
        <f>Intv_BA!D3117</f>
        <v>Luapula</v>
      </c>
      <c r="J1063" s="183">
        <v>0</v>
      </c>
      <c r="K1063" s="183">
        <v>0</v>
      </c>
      <c r="L1063" s="183">
        <v>0</v>
      </c>
      <c r="M1063" s="183">
        <v>0</v>
      </c>
      <c r="N1063" s="183">
        <v>0</v>
      </c>
      <c r="O1063" s="183">
        <v>0</v>
      </c>
    </row>
    <row r="1064" spans="4:15" s="348" customFormat="1" outlineLevel="1" x14ac:dyDescent="0.2">
      <c r="D1064" s="668" t="str">
        <f>Intv_BA!D3118</f>
        <v>Lusaka</v>
      </c>
      <c r="J1064" s="183">
        <v>0</v>
      </c>
      <c r="K1064" s="183">
        <v>0</v>
      </c>
      <c r="L1064" s="183">
        <v>0</v>
      </c>
      <c r="M1064" s="183">
        <v>0</v>
      </c>
      <c r="N1064" s="183">
        <v>0</v>
      </c>
      <c r="O1064" s="183">
        <v>0</v>
      </c>
    </row>
    <row r="1065" spans="4:15" s="348" customFormat="1" outlineLevel="1" x14ac:dyDescent="0.2">
      <c r="D1065" s="668" t="str">
        <f>Intv_BA!D3119</f>
        <v>Muchinga</v>
      </c>
      <c r="J1065" s="183">
        <v>0</v>
      </c>
      <c r="K1065" s="183">
        <v>0</v>
      </c>
      <c r="L1065" s="183">
        <v>0</v>
      </c>
      <c r="M1065" s="183">
        <v>0</v>
      </c>
      <c r="N1065" s="183">
        <v>0</v>
      </c>
      <c r="O1065" s="183">
        <v>0</v>
      </c>
    </row>
    <row r="1066" spans="4:15" s="348" customFormat="1" outlineLevel="1" x14ac:dyDescent="0.2">
      <c r="D1066" s="668" t="str">
        <f>Intv_BA!D3120</f>
        <v>Northern</v>
      </c>
      <c r="J1066" s="183">
        <v>0</v>
      </c>
      <c r="K1066" s="183">
        <v>0</v>
      </c>
      <c r="L1066" s="183">
        <v>0</v>
      </c>
      <c r="M1066" s="183">
        <v>0</v>
      </c>
      <c r="N1066" s="183">
        <v>0</v>
      </c>
      <c r="O1066" s="183">
        <v>0</v>
      </c>
    </row>
    <row r="1067" spans="4:15" s="348" customFormat="1" outlineLevel="1" x14ac:dyDescent="0.2">
      <c r="D1067" s="668" t="str">
        <f>Intv_BA!D3121</f>
        <v>North-Western</v>
      </c>
      <c r="J1067" s="183">
        <v>0</v>
      </c>
      <c r="K1067" s="183">
        <v>0</v>
      </c>
      <c r="L1067" s="183">
        <v>0</v>
      </c>
      <c r="M1067" s="183">
        <v>0</v>
      </c>
      <c r="N1067" s="183">
        <v>0</v>
      </c>
      <c r="O1067" s="183">
        <v>0</v>
      </c>
    </row>
    <row r="1068" spans="4:15" s="348" customFormat="1" outlineLevel="1" x14ac:dyDescent="0.2">
      <c r="D1068" s="668" t="str">
        <f>Intv_BA!D3122</f>
        <v>Southern</v>
      </c>
      <c r="J1068" s="183">
        <v>0</v>
      </c>
      <c r="K1068" s="183">
        <v>0</v>
      </c>
      <c r="L1068" s="183">
        <v>0</v>
      </c>
      <c r="M1068" s="183">
        <v>0</v>
      </c>
      <c r="N1068" s="183">
        <v>0</v>
      </c>
      <c r="O1068" s="183">
        <v>0</v>
      </c>
    </row>
    <row r="1069" spans="4:15" s="348" customFormat="1" outlineLevel="1" x14ac:dyDescent="0.2">
      <c r="D1069" s="668" t="str">
        <f>Intv_BA!D3123</f>
        <v>Western</v>
      </c>
      <c r="J1069" s="183">
        <v>0</v>
      </c>
      <c r="K1069" s="183">
        <v>0</v>
      </c>
      <c r="L1069" s="183">
        <v>0</v>
      </c>
      <c r="M1069" s="183">
        <v>0</v>
      </c>
      <c r="N1069" s="183">
        <v>0</v>
      </c>
      <c r="O1069" s="183">
        <v>0</v>
      </c>
    </row>
    <row r="1070" spans="4:15" s="348" customFormat="1" ht="15" x14ac:dyDescent="0.2">
      <c r="D1070" s="359" t="str">
        <f ca="1">"Total "&amp;D1058</f>
        <v>Total PCI Mobile Health Team</v>
      </c>
      <c r="J1070" s="131">
        <f t="shared" ref="J1070:O1070" si="63">SUM(J1060:J1069)</f>
        <v>0</v>
      </c>
      <c r="K1070" s="131">
        <f t="shared" si="63"/>
        <v>0</v>
      </c>
      <c r="L1070" s="131">
        <f t="shared" si="63"/>
        <v>0</v>
      </c>
      <c r="M1070" s="131">
        <f t="shared" si="63"/>
        <v>0</v>
      </c>
      <c r="N1070" s="131">
        <f t="shared" si="63"/>
        <v>0</v>
      </c>
      <c r="O1070" s="131">
        <f t="shared" si="63"/>
        <v>0</v>
      </c>
    </row>
    <row r="1071" spans="4:15" s="348" customFormat="1" x14ac:dyDescent="0.2">
      <c r="D1071" s="721"/>
      <c r="E1071" s="721"/>
      <c r="F1071" s="721"/>
      <c r="G1071" s="721"/>
      <c r="H1071" s="721"/>
      <c r="I1071" s="721"/>
    </row>
    <row r="1072" spans="4:15" s="348" customFormat="1" ht="15" outlineLevel="1" x14ac:dyDescent="0.2">
      <c r="D1072" s="667" t="s">
        <v>1611</v>
      </c>
      <c r="H1072" s="372">
        <v>5</v>
      </c>
    </row>
    <row r="1073" spans="4:15" s="348" customFormat="1" x14ac:dyDescent="0.2"/>
    <row r="1074" spans="4:15" s="348" customFormat="1" ht="15" x14ac:dyDescent="0.2">
      <c r="D1074" s="669" t="str">
        <f ca="1">OFFSET(Labels_BA!D16,0,H1072)</f>
        <v>Gov't Mobile Health Team (Hospital)</v>
      </c>
    </row>
    <row r="1075" spans="4:15" s="348" customFormat="1" outlineLevel="1" x14ac:dyDescent="0.2"/>
    <row r="1076" spans="4:15" s="348" customFormat="1" outlineLevel="1" collapsed="1" x14ac:dyDescent="0.2">
      <c r="D1076" s="668" t="str">
        <f>Intv_BA!D3114</f>
        <v>Central</v>
      </c>
      <c r="J1076" s="183">
        <v>0</v>
      </c>
      <c r="K1076" s="183">
        <v>0</v>
      </c>
      <c r="L1076" s="183">
        <v>0</v>
      </c>
      <c r="M1076" s="183">
        <v>0</v>
      </c>
      <c r="N1076" s="183">
        <v>0</v>
      </c>
      <c r="O1076" s="183">
        <v>0</v>
      </c>
    </row>
    <row r="1077" spans="4:15" s="348" customFormat="1" outlineLevel="1" x14ac:dyDescent="0.2">
      <c r="D1077" s="668" t="str">
        <f>Intv_BA!D3115</f>
        <v>Copperbelt</v>
      </c>
      <c r="J1077" s="183">
        <v>0</v>
      </c>
      <c r="K1077" s="183">
        <v>0</v>
      </c>
      <c r="L1077" s="183">
        <v>0</v>
      </c>
      <c r="M1077" s="183">
        <v>0</v>
      </c>
      <c r="N1077" s="183">
        <v>0</v>
      </c>
      <c r="O1077" s="183">
        <v>0</v>
      </c>
    </row>
    <row r="1078" spans="4:15" s="348" customFormat="1" outlineLevel="1" x14ac:dyDescent="0.2">
      <c r="D1078" s="668" t="str">
        <f>Intv_BA!D3116</f>
        <v>Eastern</v>
      </c>
      <c r="J1078" s="183">
        <v>0</v>
      </c>
      <c r="K1078" s="183">
        <v>0</v>
      </c>
      <c r="L1078" s="183">
        <v>0</v>
      </c>
      <c r="M1078" s="183">
        <v>0</v>
      </c>
      <c r="N1078" s="183">
        <v>0</v>
      </c>
      <c r="O1078" s="183">
        <v>0</v>
      </c>
    </row>
    <row r="1079" spans="4:15" s="348" customFormat="1" outlineLevel="1" x14ac:dyDescent="0.2">
      <c r="D1079" s="668" t="str">
        <f>Intv_BA!D3117</f>
        <v>Luapula</v>
      </c>
      <c r="J1079" s="183">
        <v>0</v>
      </c>
      <c r="K1079" s="183">
        <v>0</v>
      </c>
      <c r="L1079" s="183">
        <v>0</v>
      </c>
      <c r="M1079" s="183">
        <v>0</v>
      </c>
      <c r="N1079" s="183">
        <v>0</v>
      </c>
      <c r="O1079" s="183">
        <v>0</v>
      </c>
    </row>
    <row r="1080" spans="4:15" s="348" customFormat="1" outlineLevel="1" x14ac:dyDescent="0.2">
      <c r="D1080" s="668" t="str">
        <f>Intv_BA!D3118</f>
        <v>Lusaka</v>
      </c>
      <c r="J1080" s="183">
        <v>0</v>
      </c>
      <c r="K1080" s="183">
        <v>0</v>
      </c>
      <c r="L1080" s="183">
        <v>0</v>
      </c>
      <c r="M1080" s="183">
        <v>0</v>
      </c>
      <c r="N1080" s="183">
        <v>0</v>
      </c>
      <c r="O1080" s="183">
        <v>0</v>
      </c>
    </row>
    <row r="1081" spans="4:15" s="348" customFormat="1" outlineLevel="1" x14ac:dyDescent="0.2">
      <c r="D1081" s="668" t="str">
        <f>Intv_BA!D3119</f>
        <v>Muchinga</v>
      </c>
      <c r="J1081" s="183">
        <v>0</v>
      </c>
      <c r="K1081" s="183">
        <v>0</v>
      </c>
      <c r="L1081" s="183">
        <v>0</v>
      </c>
      <c r="M1081" s="183">
        <v>0</v>
      </c>
      <c r="N1081" s="183">
        <v>0</v>
      </c>
      <c r="O1081" s="183">
        <v>0</v>
      </c>
    </row>
    <row r="1082" spans="4:15" s="348" customFormat="1" outlineLevel="1" x14ac:dyDescent="0.2">
      <c r="D1082" s="668" t="str">
        <f>Intv_BA!D3120</f>
        <v>Northern</v>
      </c>
      <c r="J1082" s="183">
        <v>0</v>
      </c>
      <c r="K1082" s="183">
        <v>0</v>
      </c>
      <c r="L1082" s="183">
        <v>0</v>
      </c>
      <c r="M1082" s="183">
        <v>0</v>
      </c>
      <c r="N1082" s="183">
        <v>0</v>
      </c>
      <c r="O1082" s="183">
        <v>0</v>
      </c>
    </row>
    <row r="1083" spans="4:15" s="348" customFormat="1" outlineLevel="1" x14ac:dyDescent="0.2">
      <c r="D1083" s="668" t="str">
        <f>Intv_BA!D3121</f>
        <v>North-Western</v>
      </c>
      <c r="J1083" s="183">
        <v>0</v>
      </c>
      <c r="K1083" s="183">
        <v>0</v>
      </c>
      <c r="L1083" s="183">
        <v>0</v>
      </c>
      <c r="M1083" s="183">
        <v>0</v>
      </c>
      <c r="N1083" s="183">
        <v>0</v>
      </c>
      <c r="O1083" s="183">
        <v>0</v>
      </c>
    </row>
    <row r="1084" spans="4:15" s="348" customFormat="1" outlineLevel="1" x14ac:dyDescent="0.2">
      <c r="D1084" s="668" t="str">
        <f>Intv_BA!D3122</f>
        <v>Southern</v>
      </c>
      <c r="J1084" s="183">
        <v>0</v>
      </c>
      <c r="K1084" s="183">
        <v>0</v>
      </c>
      <c r="L1084" s="183">
        <v>0</v>
      </c>
      <c r="M1084" s="183">
        <v>0</v>
      </c>
      <c r="N1084" s="183">
        <v>0</v>
      </c>
      <c r="O1084" s="183">
        <v>0</v>
      </c>
    </row>
    <row r="1085" spans="4:15" s="348" customFormat="1" outlineLevel="1" x14ac:dyDescent="0.2">
      <c r="D1085" s="668" t="str">
        <f>Intv_BA!D3123</f>
        <v>Western</v>
      </c>
      <c r="J1085" s="183">
        <v>0</v>
      </c>
      <c r="K1085" s="183">
        <v>0</v>
      </c>
      <c r="L1085" s="183">
        <v>0</v>
      </c>
      <c r="M1085" s="183">
        <v>0</v>
      </c>
      <c r="N1085" s="183">
        <v>0</v>
      </c>
      <c r="O1085" s="183">
        <v>0</v>
      </c>
    </row>
    <row r="1086" spans="4:15" s="348" customFormat="1" ht="15" x14ac:dyDescent="0.2">
      <c r="D1086" s="359" t="str">
        <f ca="1">"Total "&amp;D1074</f>
        <v>Total Gov't Mobile Health Team (Hospital)</v>
      </c>
      <c r="J1086" s="131">
        <f t="shared" ref="J1086:O1086" si="64">SUM(J1076:J1085)</f>
        <v>0</v>
      </c>
      <c r="K1086" s="131">
        <f t="shared" si="64"/>
        <v>0</v>
      </c>
      <c r="L1086" s="131">
        <f t="shared" si="64"/>
        <v>0</v>
      </c>
      <c r="M1086" s="131">
        <f t="shared" si="64"/>
        <v>0</v>
      </c>
      <c r="N1086" s="131">
        <f t="shared" si="64"/>
        <v>0</v>
      </c>
      <c r="O1086" s="131">
        <f t="shared" si="64"/>
        <v>0</v>
      </c>
    </row>
    <row r="1087" spans="4:15" s="348" customFormat="1" x14ac:dyDescent="0.2">
      <c r="D1087" s="721"/>
      <c r="E1087" s="721"/>
      <c r="F1087" s="721"/>
      <c r="G1087" s="721"/>
      <c r="H1087" s="721"/>
      <c r="I1087" s="721"/>
    </row>
    <row r="1088" spans="4:15" s="348" customFormat="1" ht="15" outlineLevel="1" x14ac:dyDescent="0.2">
      <c r="D1088" s="667" t="s">
        <v>1611</v>
      </c>
      <c r="H1088" s="372">
        <v>6</v>
      </c>
    </row>
    <row r="1089" spans="4:15" s="348" customFormat="1" x14ac:dyDescent="0.2"/>
    <row r="1090" spans="4:15" s="348" customFormat="1" ht="15" x14ac:dyDescent="0.2">
      <c r="D1090" s="669" t="str">
        <f ca="1">OFFSET(Labels_BA!D16,0,H1088)</f>
        <v>CIDRZ Mobile Health Team</v>
      </c>
    </row>
    <row r="1091" spans="4:15" s="348" customFormat="1" outlineLevel="1" x14ac:dyDescent="0.2"/>
    <row r="1092" spans="4:15" s="348" customFormat="1" outlineLevel="1" collapsed="1" x14ac:dyDescent="0.2">
      <c r="D1092" s="668" t="str">
        <f>Intv_BA!D3114</f>
        <v>Central</v>
      </c>
      <c r="J1092" s="183">
        <v>0</v>
      </c>
      <c r="K1092" s="183">
        <v>0</v>
      </c>
      <c r="L1092" s="183">
        <v>0</v>
      </c>
      <c r="M1092" s="183">
        <v>0</v>
      </c>
      <c r="N1092" s="183">
        <v>0</v>
      </c>
      <c r="O1092" s="183">
        <v>0</v>
      </c>
    </row>
    <row r="1093" spans="4:15" s="348" customFormat="1" outlineLevel="1" x14ac:dyDescent="0.2">
      <c r="D1093" s="668" t="str">
        <f>Intv_BA!D3115</f>
        <v>Copperbelt</v>
      </c>
      <c r="J1093" s="183">
        <v>0</v>
      </c>
      <c r="K1093" s="183">
        <v>0</v>
      </c>
      <c r="L1093" s="183">
        <v>0</v>
      </c>
      <c r="M1093" s="183">
        <v>0</v>
      </c>
      <c r="N1093" s="183">
        <v>0</v>
      </c>
      <c r="O1093" s="183">
        <v>0</v>
      </c>
    </row>
    <row r="1094" spans="4:15" s="348" customFormat="1" outlineLevel="1" x14ac:dyDescent="0.2">
      <c r="D1094" s="668" t="str">
        <f>Intv_BA!D3116</f>
        <v>Eastern</v>
      </c>
      <c r="J1094" s="183">
        <v>0</v>
      </c>
      <c r="K1094" s="183">
        <v>0</v>
      </c>
      <c r="L1094" s="183">
        <v>0</v>
      </c>
      <c r="M1094" s="183">
        <v>0</v>
      </c>
      <c r="N1094" s="183">
        <v>0</v>
      </c>
      <c r="O1094" s="183">
        <v>0</v>
      </c>
    </row>
    <row r="1095" spans="4:15" s="348" customFormat="1" outlineLevel="1" x14ac:dyDescent="0.2">
      <c r="D1095" s="668" t="str">
        <f>Intv_BA!D3117</f>
        <v>Luapula</v>
      </c>
      <c r="J1095" s="183">
        <v>0</v>
      </c>
      <c r="K1095" s="183">
        <v>0</v>
      </c>
      <c r="L1095" s="183">
        <v>0</v>
      </c>
      <c r="M1095" s="183">
        <v>0</v>
      </c>
      <c r="N1095" s="183">
        <v>0</v>
      </c>
      <c r="O1095" s="183">
        <v>0</v>
      </c>
    </row>
    <row r="1096" spans="4:15" s="348" customFormat="1" outlineLevel="1" x14ac:dyDescent="0.2">
      <c r="D1096" s="668" t="str">
        <f>Intv_BA!D3118</f>
        <v>Lusaka</v>
      </c>
      <c r="J1096" s="183">
        <v>0</v>
      </c>
      <c r="K1096" s="183">
        <v>0</v>
      </c>
      <c r="L1096" s="183">
        <v>0</v>
      </c>
      <c r="M1096" s="183">
        <v>0</v>
      </c>
      <c r="N1096" s="183">
        <v>0</v>
      </c>
      <c r="O1096" s="183">
        <v>0</v>
      </c>
    </row>
    <row r="1097" spans="4:15" s="348" customFormat="1" outlineLevel="1" x14ac:dyDescent="0.2">
      <c r="D1097" s="668" t="str">
        <f>Intv_BA!D3119</f>
        <v>Muchinga</v>
      </c>
      <c r="J1097" s="183">
        <v>0</v>
      </c>
      <c r="K1097" s="183">
        <v>0</v>
      </c>
      <c r="L1097" s="183">
        <v>0</v>
      </c>
      <c r="M1097" s="183">
        <v>0</v>
      </c>
      <c r="N1097" s="183">
        <v>0</v>
      </c>
      <c r="O1097" s="183">
        <v>0</v>
      </c>
    </row>
    <row r="1098" spans="4:15" s="348" customFormat="1" outlineLevel="1" x14ac:dyDescent="0.2">
      <c r="D1098" s="668" t="str">
        <f>Intv_BA!D3120</f>
        <v>Northern</v>
      </c>
      <c r="J1098" s="183">
        <v>0</v>
      </c>
      <c r="K1098" s="183">
        <v>0</v>
      </c>
      <c r="L1098" s="183">
        <v>0</v>
      </c>
      <c r="M1098" s="183">
        <v>0</v>
      </c>
      <c r="N1098" s="183">
        <v>0</v>
      </c>
      <c r="O1098" s="183">
        <v>0</v>
      </c>
    </row>
    <row r="1099" spans="4:15" s="348" customFormat="1" outlineLevel="1" x14ac:dyDescent="0.2">
      <c r="D1099" s="668" t="str">
        <f>Intv_BA!D3121</f>
        <v>North-Western</v>
      </c>
      <c r="J1099" s="183">
        <v>0</v>
      </c>
      <c r="K1099" s="183">
        <v>0</v>
      </c>
      <c r="L1099" s="183">
        <v>0</v>
      </c>
      <c r="M1099" s="183">
        <v>0</v>
      </c>
      <c r="N1099" s="183">
        <v>0</v>
      </c>
      <c r="O1099" s="183">
        <v>0</v>
      </c>
    </row>
    <row r="1100" spans="4:15" s="348" customFormat="1" outlineLevel="1" x14ac:dyDescent="0.2">
      <c r="D1100" s="668" t="str">
        <f>Intv_BA!D3122</f>
        <v>Southern</v>
      </c>
      <c r="J1100" s="183">
        <v>0</v>
      </c>
      <c r="K1100" s="183">
        <v>0</v>
      </c>
      <c r="L1100" s="183">
        <v>0</v>
      </c>
      <c r="M1100" s="183">
        <v>0</v>
      </c>
      <c r="N1100" s="183">
        <v>0</v>
      </c>
      <c r="O1100" s="183">
        <v>0</v>
      </c>
    </row>
    <row r="1101" spans="4:15" s="348" customFormat="1" outlineLevel="1" x14ac:dyDescent="0.2">
      <c r="D1101" s="668" t="str">
        <f>Intv_BA!D3123</f>
        <v>Western</v>
      </c>
      <c r="J1101" s="183">
        <v>0</v>
      </c>
      <c r="K1101" s="183">
        <v>0</v>
      </c>
      <c r="L1101" s="183">
        <v>0</v>
      </c>
      <c r="M1101" s="183">
        <v>0</v>
      </c>
      <c r="N1101" s="183">
        <v>0</v>
      </c>
      <c r="O1101" s="183">
        <v>0</v>
      </c>
    </row>
    <row r="1102" spans="4:15" s="348" customFormat="1" ht="15" x14ac:dyDescent="0.2">
      <c r="D1102" s="359" t="str">
        <f ca="1">"Total "&amp;D1090</f>
        <v>Total CIDRZ Mobile Health Team</v>
      </c>
      <c r="J1102" s="131">
        <f t="shared" ref="J1102:O1102" si="65">SUM(J1092:J1101)</f>
        <v>0</v>
      </c>
      <c r="K1102" s="131">
        <f t="shared" si="65"/>
        <v>0</v>
      </c>
      <c r="L1102" s="131">
        <f t="shared" si="65"/>
        <v>0</v>
      </c>
      <c r="M1102" s="131">
        <f t="shared" si="65"/>
        <v>0</v>
      </c>
      <c r="N1102" s="131">
        <f t="shared" si="65"/>
        <v>0</v>
      </c>
      <c r="O1102" s="131">
        <f t="shared" si="65"/>
        <v>0</v>
      </c>
    </row>
    <row r="1103" spans="4:15" s="348" customFormat="1" x14ac:dyDescent="0.2">
      <c r="D1103" s="721"/>
      <c r="E1103" s="721"/>
      <c r="F1103" s="721"/>
      <c r="G1103" s="721"/>
      <c r="H1103" s="721"/>
      <c r="I1103" s="721"/>
    </row>
    <row r="1104" spans="4:15" s="348" customFormat="1" ht="15" outlineLevel="1" x14ac:dyDescent="0.2">
      <c r="D1104" s="667" t="s">
        <v>1611</v>
      </c>
      <c r="H1104" s="372">
        <v>7</v>
      </c>
    </row>
    <row r="1105" spans="4:15" s="348" customFormat="1" x14ac:dyDescent="0.2"/>
    <row r="1106" spans="4:15" s="348" customFormat="1" ht="15" x14ac:dyDescent="0.2">
      <c r="D1106" s="669" t="str">
        <f ca="1">OFFSET(Labels_BA!D16,0,H1104)</f>
        <v>Facility Type 8</v>
      </c>
    </row>
    <row r="1107" spans="4:15" s="348" customFormat="1" outlineLevel="1" x14ac:dyDescent="0.2"/>
    <row r="1108" spans="4:15" s="348" customFormat="1" outlineLevel="1" collapsed="1" x14ac:dyDescent="0.2">
      <c r="D1108" s="668" t="str">
        <f>Intv_BA!D3114</f>
        <v>Central</v>
      </c>
      <c r="J1108" s="183">
        <v>0</v>
      </c>
      <c r="K1108" s="183">
        <v>0</v>
      </c>
      <c r="L1108" s="183">
        <v>0</v>
      </c>
      <c r="M1108" s="183">
        <v>0</v>
      </c>
      <c r="N1108" s="183">
        <v>0</v>
      </c>
      <c r="O1108" s="183">
        <v>0</v>
      </c>
    </row>
    <row r="1109" spans="4:15" s="348" customFormat="1" outlineLevel="1" x14ac:dyDescent="0.2">
      <c r="D1109" s="668" t="str">
        <f>Intv_BA!D3115</f>
        <v>Copperbelt</v>
      </c>
      <c r="J1109" s="183">
        <v>0</v>
      </c>
      <c r="K1109" s="183">
        <v>0</v>
      </c>
      <c r="L1109" s="183">
        <v>0</v>
      </c>
      <c r="M1109" s="183">
        <v>0</v>
      </c>
      <c r="N1109" s="183">
        <v>0</v>
      </c>
      <c r="O1109" s="183">
        <v>0</v>
      </c>
    </row>
    <row r="1110" spans="4:15" s="348" customFormat="1" outlineLevel="1" x14ac:dyDescent="0.2">
      <c r="D1110" s="668" t="str">
        <f>Intv_BA!D3116</f>
        <v>Eastern</v>
      </c>
      <c r="J1110" s="183">
        <v>0</v>
      </c>
      <c r="K1110" s="183">
        <v>0</v>
      </c>
      <c r="L1110" s="183">
        <v>0</v>
      </c>
      <c r="M1110" s="183">
        <v>0</v>
      </c>
      <c r="N1110" s="183">
        <v>0</v>
      </c>
      <c r="O1110" s="183">
        <v>0</v>
      </c>
    </row>
    <row r="1111" spans="4:15" s="348" customFormat="1" outlineLevel="1" x14ac:dyDescent="0.2">
      <c r="D1111" s="668" t="str">
        <f>Intv_BA!D3117</f>
        <v>Luapula</v>
      </c>
      <c r="J1111" s="183">
        <v>0</v>
      </c>
      <c r="K1111" s="183">
        <v>0</v>
      </c>
      <c r="L1111" s="183">
        <v>0</v>
      </c>
      <c r="M1111" s="183">
        <v>0</v>
      </c>
      <c r="N1111" s="183">
        <v>0</v>
      </c>
      <c r="O1111" s="183">
        <v>0</v>
      </c>
    </row>
    <row r="1112" spans="4:15" s="348" customFormat="1" outlineLevel="1" x14ac:dyDescent="0.2">
      <c r="D1112" s="668" t="str">
        <f>Intv_BA!D3118</f>
        <v>Lusaka</v>
      </c>
      <c r="J1112" s="183">
        <v>0</v>
      </c>
      <c r="K1112" s="183">
        <v>0</v>
      </c>
      <c r="L1112" s="183">
        <v>0</v>
      </c>
      <c r="M1112" s="183">
        <v>0</v>
      </c>
      <c r="N1112" s="183">
        <v>0</v>
      </c>
      <c r="O1112" s="183">
        <v>0</v>
      </c>
    </row>
    <row r="1113" spans="4:15" s="348" customFormat="1" outlineLevel="1" x14ac:dyDescent="0.2">
      <c r="D1113" s="668" t="str">
        <f>Intv_BA!D3119</f>
        <v>Muchinga</v>
      </c>
      <c r="J1113" s="183">
        <v>0</v>
      </c>
      <c r="K1113" s="183">
        <v>0</v>
      </c>
      <c r="L1113" s="183">
        <v>0</v>
      </c>
      <c r="M1113" s="183">
        <v>0</v>
      </c>
      <c r="N1113" s="183">
        <v>0</v>
      </c>
      <c r="O1113" s="183">
        <v>0</v>
      </c>
    </row>
    <row r="1114" spans="4:15" s="348" customFormat="1" outlineLevel="1" x14ac:dyDescent="0.2">
      <c r="D1114" s="668" t="str">
        <f>Intv_BA!D3120</f>
        <v>Northern</v>
      </c>
      <c r="J1114" s="183">
        <v>0</v>
      </c>
      <c r="K1114" s="183">
        <v>0</v>
      </c>
      <c r="L1114" s="183">
        <v>0</v>
      </c>
      <c r="M1114" s="183">
        <v>0</v>
      </c>
      <c r="N1114" s="183">
        <v>0</v>
      </c>
      <c r="O1114" s="183">
        <v>0</v>
      </c>
    </row>
    <row r="1115" spans="4:15" s="348" customFormat="1" outlineLevel="1" x14ac:dyDescent="0.2">
      <c r="D1115" s="668" t="str">
        <f>Intv_BA!D3121</f>
        <v>North-Western</v>
      </c>
      <c r="J1115" s="183">
        <v>0</v>
      </c>
      <c r="K1115" s="183">
        <v>0</v>
      </c>
      <c r="L1115" s="183">
        <v>0</v>
      </c>
      <c r="M1115" s="183">
        <v>0</v>
      </c>
      <c r="N1115" s="183">
        <v>0</v>
      </c>
      <c r="O1115" s="183">
        <v>0</v>
      </c>
    </row>
    <row r="1116" spans="4:15" s="348" customFormat="1" outlineLevel="1" x14ac:dyDescent="0.2">
      <c r="D1116" s="668" t="str">
        <f>Intv_BA!D3122</f>
        <v>Southern</v>
      </c>
      <c r="J1116" s="183">
        <v>0</v>
      </c>
      <c r="K1116" s="183">
        <v>0</v>
      </c>
      <c r="L1116" s="183">
        <v>0</v>
      </c>
      <c r="M1116" s="183">
        <v>0</v>
      </c>
      <c r="N1116" s="183">
        <v>0</v>
      </c>
      <c r="O1116" s="183">
        <v>0</v>
      </c>
    </row>
    <row r="1117" spans="4:15" s="348" customFormat="1" outlineLevel="1" x14ac:dyDescent="0.2">
      <c r="D1117" s="668" t="str">
        <f>Intv_BA!D3123</f>
        <v>Western</v>
      </c>
      <c r="J1117" s="183">
        <v>0</v>
      </c>
      <c r="K1117" s="183">
        <v>0</v>
      </c>
      <c r="L1117" s="183">
        <v>0</v>
      </c>
      <c r="M1117" s="183">
        <v>0</v>
      </c>
      <c r="N1117" s="183">
        <v>0</v>
      </c>
      <c r="O1117" s="183">
        <v>0</v>
      </c>
    </row>
    <row r="1118" spans="4:15" s="348" customFormat="1" ht="15" x14ac:dyDescent="0.2">
      <c r="D1118" s="359" t="str">
        <f ca="1">"Total "&amp;D1106</f>
        <v>Total Facility Type 8</v>
      </c>
      <c r="J1118" s="131">
        <f t="shared" ref="J1118:O1118" si="66">SUM(J1108:J1117)</f>
        <v>0</v>
      </c>
      <c r="K1118" s="131">
        <f t="shared" si="66"/>
        <v>0</v>
      </c>
      <c r="L1118" s="131">
        <f t="shared" si="66"/>
        <v>0</v>
      </c>
      <c r="M1118" s="131">
        <f t="shared" si="66"/>
        <v>0</v>
      </c>
      <c r="N1118" s="131">
        <f t="shared" si="66"/>
        <v>0</v>
      </c>
      <c r="O1118" s="131">
        <f t="shared" si="66"/>
        <v>0</v>
      </c>
    </row>
    <row r="1119" spans="4:15" s="348" customFormat="1" x14ac:dyDescent="0.2">
      <c r="D1119" s="721"/>
      <c r="E1119" s="721"/>
      <c r="F1119" s="721"/>
      <c r="G1119" s="721"/>
      <c r="H1119" s="721"/>
      <c r="I1119" s="721"/>
    </row>
    <row r="1120" spans="4:15" s="348" customFormat="1" ht="15" outlineLevel="1" x14ac:dyDescent="0.2">
      <c r="D1120" s="667" t="s">
        <v>1611</v>
      </c>
      <c r="H1120" s="372">
        <v>8</v>
      </c>
    </row>
    <row r="1121" spans="4:15" s="348" customFormat="1" x14ac:dyDescent="0.2"/>
    <row r="1122" spans="4:15" s="348" customFormat="1" ht="15" x14ac:dyDescent="0.2">
      <c r="D1122" s="669" t="str">
        <f ca="1">OFFSET(Labels_BA!D16,0,H1120)</f>
        <v>Facility Type 9</v>
      </c>
    </row>
    <row r="1123" spans="4:15" s="348" customFormat="1" outlineLevel="1" x14ac:dyDescent="0.2"/>
    <row r="1124" spans="4:15" s="348" customFormat="1" outlineLevel="1" collapsed="1" x14ac:dyDescent="0.2">
      <c r="D1124" s="668" t="str">
        <f>Intv_BA!D3114</f>
        <v>Central</v>
      </c>
      <c r="J1124" s="183">
        <v>0</v>
      </c>
      <c r="K1124" s="183">
        <v>0</v>
      </c>
      <c r="L1124" s="183">
        <v>0</v>
      </c>
      <c r="M1124" s="183">
        <v>0</v>
      </c>
      <c r="N1124" s="183">
        <v>0</v>
      </c>
      <c r="O1124" s="183">
        <v>0</v>
      </c>
    </row>
    <row r="1125" spans="4:15" s="348" customFormat="1" outlineLevel="1" x14ac:dyDescent="0.2">
      <c r="D1125" s="668" t="str">
        <f>Intv_BA!D3115</f>
        <v>Copperbelt</v>
      </c>
      <c r="J1125" s="183">
        <v>0</v>
      </c>
      <c r="K1125" s="183">
        <v>0</v>
      </c>
      <c r="L1125" s="183">
        <v>0</v>
      </c>
      <c r="M1125" s="183">
        <v>0</v>
      </c>
      <c r="N1125" s="183">
        <v>0</v>
      </c>
      <c r="O1125" s="183">
        <v>0</v>
      </c>
    </row>
    <row r="1126" spans="4:15" s="348" customFormat="1" outlineLevel="1" x14ac:dyDescent="0.2">
      <c r="D1126" s="668" t="str">
        <f>Intv_BA!D3116</f>
        <v>Eastern</v>
      </c>
      <c r="J1126" s="183">
        <v>0</v>
      </c>
      <c r="K1126" s="183">
        <v>0</v>
      </c>
      <c r="L1126" s="183">
        <v>0</v>
      </c>
      <c r="M1126" s="183">
        <v>0</v>
      </c>
      <c r="N1126" s="183">
        <v>0</v>
      </c>
      <c r="O1126" s="183">
        <v>0</v>
      </c>
    </row>
    <row r="1127" spans="4:15" s="348" customFormat="1" outlineLevel="1" x14ac:dyDescent="0.2">
      <c r="D1127" s="668" t="str">
        <f>Intv_BA!D3117</f>
        <v>Luapula</v>
      </c>
      <c r="J1127" s="183">
        <v>0</v>
      </c>
      <c r="K1127" s="183">
        <v>0</v>
      </c>
      <c r="L1127" s="183">
        <v>0</v>
      </c>
      <c r="M1127" s="183">
        <v>0</v>
      </c>
      <c r="N1127" s="183">
        <v>0</v>
      </c>
      <c r="O1127" s="183">
        <v>0</v>
      </c>
    </row>
    <row r="1128" spans="4:15" s="348" customFormat="1" outlineLevel="1" x14ac:dyDescent="0.2">
      <c r="D1128" s="668" t="str">
        <f>Intv_BA!D3118</f>
        <v>Lusaka</v>
      </c>
      <c r="J1128" s="183">
        <v>0</v>
      </c>
      <c r="K1128" s="183">
        <v>0</v>
      </c>
      <c r="L1128" s="183">
        <v>0</v>
      </c>
      <c r="M1128" s="183">
        <v>0</v>
      </c>
      <c r="N1128" s="183">
        <v>0</v>
      </c>
      <c r="O1128" s="183">
        <v>0</v>
      </c>
    </row>
    <row r="1129" spans="4:15" s="348" customFormat="1" outlineLevel="1" x14ac:dyDescent="0.2">
      <c r="D1129" s="668" t="str">
        <f>Intv_BA!D3119</f>
        <v>Muchinga</v>
      </c>
      <c r="J1129" s="183">
        <v>0</v>
      </c>
      <c r="K1129" s="183">
        <v>0</v>
      </c>
      <c r="L1129" s="183">
        <v>0</v>
      </c>
      <c r="M1129" s="183">
        <v>0</v>
      </c>
      <c r="N1129" s="183">
        <v>0</v>
      </c>
      <c r="O1129" s="183">
        <v>0</v>
      </c>
    </row>
    <row r="1130" spans="4:15" s="348" customFormat="1" outlineLevel="1" x14ac:dyDescent="0.2">
      <c r="D1130" s="668" t="str">
        <f>Intv_BA!D3120</f>
        <v>Northern</v>
      </c>
      <c r="J1130" s="183">
        <v>0</v>
      </c>
      <c r="K1130" s="183">
        <v>0</v>
      </c>
      <c r="L1130" s="183">
        <v>0</v>
      </c>
      <c r="M1130" s="183">
        <v>0</v>
      </c>
      <c r="N1130" s="183">
        <v>0</v>
      </c>
      <c r="O1130" s="183">
        <v>0</v>
      </c>
    </row>
    <row r="1131" spans="4:15" s="348" customFormat="1" outlineLevel="1" x14ac:dyDescent="0.2">
      <c r="D1131" s="668" t="str">
        <f>Intv_BA!D3121</f>
        <v>North-Western</v>
      </c>
      <c r="J1131" s="183">
        <v>0</v>
      </c>
      <c r="K1131" s="183">
        <v>0</v>
      </c>
      <c r="L1131" s="183">
        <v>0</v>
      </c>
      <c r="M1131" s="183">
        <v>0</v>
      </c>
      <c r="N1131" s="183">
        <v>0</v>
      </c>
      <c r="O1131" s="183">
        <v>0</v>
      </c>
    </row>
    <row r="1132" spans="4:15" s="348" customFormat="1" outlineLevel="1" x14ac:dyDescent="0.2">
      <c r="D1132" s="668" t="str">
        <f>Intv_BA!D3122</f>
        <v>Southern</v>
      </c>
      <c r="J1132" s="183">
        <v>0</v>
      </c>
      <c r="K1132" s="183">
        <v>0</v>
      </c>
      <c r="L1132" s="183">
        <v>0</v>
      </c>
      <c r="M1132" s="183">
        <v>0</v>
      </c>
      <c r="N1132" s="183">
        <v>0</v>
      </c>
      <c r="O1132" s="183">
        <v>0</v>
      </c>
    </row>
    <row r="1133" spans="4:15" s="348" customFormat="1" outlineLevel="1" x14ac:dyDescent="0.2">
      <c r="D1133" s="668" t="str">
        <f>Intv_BA!D3123</f>
        <v>Western</v>
      </c>
      <c r="J1133" s="183">
        <v>0</v>
      </c>
      <c r="K1133" s="183">
        <v>0</v>
      </c>
      <c r="L1133" s="183">
        <v>0</v>
      </c>
      <c r="M1133" s="183">
        <v>0</v>
      </c>
      <c r="N1133" s="183">
        <v>0</v>
      </c>
      <c r="O1133" s="183">
        <v>0</v>
      </c>
    </row>
    <row r="1134" spans="4:15" s="348" customFormat="1" ht="15" x14ac:dyDescent="0.2">
      <c r="D1134" s="359" t="str">
        <f ca="1">"Total "&amp;D1122</f>
        <v>Total Facility Type 9</v>
      </c>
      <c r="J1134" s="131">
        <f t="shared" ref="J1134:O1134" si="67">SUM(J1124:J1133)</f>
        <v>0</v>
      </c>
      <c r="K1134" s="131">
        <f t="shared" si="67"/>
        <v>0</v>
      </c>
      <c r="L1134" s="131">
        <f t="shared" si="67"/>
        <v>0</v>
      </c>
      <c r="M1134" s="131">
        <f t="shared" si="67"/>
        <v>0</v>
      </c>
      <c r="N1134" s="131">
        <f t="shared" si="67"/>
        <v>0</v>
      </c>
      <c r="O1134" s="131">
        <f t="shared" si="67"/>
        <v>0</v>
      </c>
    </row>
    <row r="1135" spans="4:15" s="348" customFormat="1" x14ac:dyDescent="0.2">
      <c r="D1135" s="721"/>
      <c r="E1135" s="721"/>
      <c r="F1135" s="721"/>
      <c r="G1135" s="721"/>
      <c r="H1135" s="721"/>
      <c r="I1135" s="721"/>
    </row>
    <row r="1136" spans="4:15" s="348" customFormat="1" ht="15" outlineLevel="1" x14ac:dyDescent="0.2">
      <c r="D1136" s="667" t="s">
        <v>1611</v>
      </c>
      <c r="H1136" s="372">
        <v>9</v>
      </c>
    </row>
    <row r="1137" spans="4:15" s="348" customFormat="1" x14ac:dyDescent="0.2"/>
    <row r="1138" spans="4:15" s="348" customFormat="1" ht="15" x14ac:dyDescent="0.2">
      <c r="D1138" s="669" t="str">
        <f ca="1">OFFSET(Labels_BA!D16,0,H1136)</f>
        <v>Facility Type 10</v>
      </c>
    </row>
    <row r="1139" spans="4:15" s="348" customFormat="1" outlineLevel="1" x14ac:dyDescent="0.2"/>
    <row r="1140" spans="4:15" s="348" customFormat="1" outlineLevel="1" collapsed="1" x14ac:dyDescent="0.2">
      <c r="D1140" s="668" t="str">
        <f>Intv_BA!D3114</f>
        <v>Central</v>
      </c>
      <c r="J1140" s="183">
        <v>0</v>
      </c>
      <c r="K1140" s="183">
        <v>0</v>
      </c>
      <c r="L1140" s="183">
        <v>0</v>
      </c>
      <c r="M1140" s="183">
        <v>0</v>
      </c>
      <c r="N1140" s="183">
        <v>0</v>
      </c>
      <c r="O1140" s="183">
        <v>0</v>
      </c>
    </row>
    <row r="1141" spans="4:15" s="348" customFormat="1" outlineLevel="1" x14ac:dyDescent="0.2">
      <c r="D1141" s="668" t="str">
        <f>Intv_BA!D3115</f>
        <v>Copperbelt</v>
      </c>
      <c r="J1141" s="183">
        <v>0</v>
      </c>
      <c r="K1141" s="183">
        <v>0</v>
      </c>
      <c r="L1141" s="183">
        <v>0</v>
      </c>
      <c r="M1141" s="183">
        <v>0</v>
      </c>
      <c r="N1141" s="183">
        <v>0</v>
      </c>
      <c r="O1141" s="183">
        <v>0</v>
      </c>
    </row>
    <row r="1142" spans="4:15" s="348" customFormat="1" outlineLevel="1" x14ac:dyDescent="0.2">
      <c r="D1142" s="668" t="str">
        <f>Intv_BA!D3116</f>
        <v>Eastern</v>
      </c>
      <c r="J1142" s="183">
        <v>0</v>
      </c>
      <c r="K1142" s="183">
        <v>0</v>
      </c>
      <c r="L1142" s="183">
        <v>0</v>
      </c>
      <c r="M1142" s="183">
        <v>0</v>
      </c>
      <c r="N1142" s="183">
        <v>0</v>
      </c>
      <c r="O1142" s="183">
        <v>0</v>
      </c>
    </row>
    <row r="1143" spans="4:15" s="348" customFormat="1" outlineLevel="1" x14ac:dyDescent="0.2">
      <c r="D1143" s="668" t="str">
        <f>Intv_BA!D3117</f>
        <v>Luapula</v>
      </c>
      <c r="J1143" s="183">
        <v>0</v>
      </c>
      <c r="K1143" s="183">
        <v>0</v>
      </c>
      <c r="L1143" s="183">
        <v>0</v>
      </c>
      <c r="M1143" s="183">
        <v>0</v>
      </c>
      <c r="N1143" s="183">
        <v>0</v>
      </c>
      <c r="O1143" s="183">
        <v>0</v>
      </c>
    </row>
    <row r="1144" spans="4:15" s="348" customFormat="1" outlineLevel="1" x14ac:dyDescent="0.2">
      <c r="D1144" s="668" t="str">
        <f>Intv_BA!D3118</f>
        <v>Lusaka</v>
      </c>
      <c r="J1144" s="183">
        <v>0</v>
      </c>
      <c r="K1144" s="183">
        <v>0</v>
      </c>
      <c r="L1144" s="183">
        <v>0</v>
      </c>
      <c r="M1144" s="183">
        <v>0</v>
      </c>
      <c r="N1144" s="183">
        <v>0</v>
      </c>
      <c r="O1144" s="183">
        <v>0</v>
      </c>
    </row>
    <row r="1145" spans="4:15" s="348" customFormat="1" outlineLevel="1" x14ac:dyDescent="0.2">
      <c r="D1145" s="668" t="str">
        <f>Intv_BA!D3119</f>
        <v>Muchinga</v>
      </c>
      <c r="J1145" s="183">
        <v>0</v>
      </c>
      <c r="K1145" s="183">
        <v>0</v>
      </c>
      <c r="L1145" s="183">
        <v>0</v>
      </c>
      <c r="M1145" s="183">
        <v>0</v>
      </c>
      <c r="N1145" s="183">
        <v>0</v>
      </c>
      <c r="O1145" s="183">
        <v>0</v>
      </c>
    </row>
    <row r="1146" spans="4:15" s="348" customFormat="1" outlineLevel="1" x14ac:dyDescent="0.2">
      <c r="D1146" s="668" t="str">
        <f>Intv_BA!D3120</f>
        <v>Northern</v>
      </c>
      <c r="J1146" s="183">
        <v>0</v>
      </c>
      <c r="K1146" s="183">
        <v>0</v>
      </c>
      <c r="L1146" s="183">
        <v>0</v>
      </c>
      <c r="M1146" s="183">
        <v>0</v>
      </c>
      <c r="N1146" s="183">
        <v>0</v>
      </c>
      <c r="O1146" s="183">
        <v>0</v>
      </c>
    </row>
    <row r="1147" spans="4:15" s="348" customFormat="1" outlineLevel="1" x14ac:dyDescent="0.2">
      <c r="D1147" s="668" t="str">
        <f>Intv_BA!D3121</f>
        <v>North-Western</v>
      </c>
      <c r="J1147" s="183">
        <v>0</v>
      </c>
      <c r="K1147" s="183">
        <v>0</v>
      </c>
      <c r="L1147" s="183">
        <v>0</v>
      </c>
      <c r="M1147" s="183">
        <v>0</v>
      </c>
      <c r="N1147" s="183">
        <v>0</v>
      </c>
      <c r="O1147" s="183">
        <v>0</v>
      </c>
    </row>
    <row r="1148" spans="4:15" s="348" customFormat="1" outlineLevel="1" x14ac:dyDescent="0.2">
      <c r="D1148" s="668" t="str">
        <f>Intv_BA!D3122</f>
        <v>Southern</v>
      </c>
      <c r="J1148" s="183">
        <v>0</v>
      </c>
      <c r="K1148" s="183">
        <v>0</v>
      </c>
      <c r="L1148" s="183">
        <v>0</v>
      </c>
      <c r="M1148" s="183">
        <v>0</v>
      </c>
      <c r="N1148" s="183">
        <v>0</v>
      </c>
      <c r="O1148" s="183">
        <v>0</v>
      </c>
    </row>
    <row r="1149" spans="4:15" s="348" customFormat="1" outlineLevel="1" x14ac:dyDescent="0.2">
      <c r="D1149" s="668" t="str">
        <f>Intv_BA!D3123</f>
        <v>Western</v>
      </c>
      <c r="J1149" s="183">
        <v>0</v>
      </c>
      <c r="K1149" s="183">
        <v>0</v>
      </c>
      <c r="L1149" s="183">
        <v>0</v>
      </c>
      <c r="M1149" s="183">
        <v>0</v>
      </c>
      <c r="N1149" s="183">
        <v>0</v>
      </c>
      <c r="O1149" s="183">
        <v>0</v>
      </c>
    </row>
    <row r="1150" spans="4:15" s="348" customFormat="1" ht="15" x14ac:dyDescent="0.2">
      <c r="D1150" s="359" t="str">
        <f ca="1">"Total "&amp;D1138</f>
        <v>Total Facility Type 10</v>
      </c>
      <c r="J1150" s="131">
        <f t="shared" ref="J1150:O1150" si="68">SUM(J1140:J1149)</f>
        <v>0</v>
      </c>
      <c r="K1150" s="131">
        <f t="shared" si="68"/>
        <v>0</v>
      </c>
      <c r="L1150" s="131">
        <f t="shared" si="68"/>
        <v>0</v>
      </c>
      <c r="M1150" s="131">
        <f t="shared" si="68"/>
        <v>0</v>
      </c>
      <c r="N1150" s="131">
        <f t="shared" si="68"/>
        <v>0</v>
      </c>
      <c r="O1150" s="131">
        <f t="shared" si="68"/>
        <v>0</v>
      </c>
    </row>
    <row r="1151" spans="4:15" s="348" customFormat="1" x14ac:dyDescent="0.2">
      <c r="D1151" s="721"/>
      <c r="E1151" s="721"/>
      <c r="F1151" s="721"/>
      <c r="G1151" s="721"/>
      <c r="H1151" s="721"/>
      <c r="I1151" s="721"/>
    </row>
    <row r="1152" spans="4:15" s="348" customFormat="1" x14ac:dyDescent="0.2"/>
    <row r="1153" spans="3:15" s="348" customFormat="1" x14ac:dyDescent="0.2"/>
    <row r="1154" spans="3:15" s="348" customFormat="1" x14ac:dyDescent="0.2"/>
    <row r="1155" spans="3:15" s="348" customFormat="1" ht="15.75" x14ac:dyDescent="0.2">
      <c r="C1155" s="664" t="s">
        <v>141</v>
      </c>
    </row>
    <row r="1156" spans="3:15" s="348" customFormat="1" x14ac:dyDescent="0.2"/>
    <row r="1157" spans="3:15" s="348" customFormat="1" ht="17.25" customHeight="1" x14ac:dyDescent="0.2">
      <c r="D1157" s="671" t="s">
        <v>184</v>
      </c>
      <c r="H1157" s="677" t="b">
        <v>1</v>
      </c>
    </row>
    <row r="1158" spans="3:15" s="348" customFormat="1" outlineLevel="1" x14ac:dyDescent="0.2"/>
    <row r="1159" spans="3:15" s="348" customFormat="1" ht="15" outlineLevel="1" x14ac:dyDescent="0.2">
      <c r="D1159" s="669" t="str">
        <f>Labels_BA!G10</f>
        <v>Province</v>
      </c>
    </row>
    <row r="1160" spans="3:15" s="348" customFormat="1" outlineLevel="1" x14ac:dyDescent="0.2">
      <c r="D1160" s="668" t="str">
        <f>Intv_BA!D3114</f>
        <v>Central</v>
      </c>
      <c r="J1160" s="119">
        <f ca="1">Reg_Pop_Ann_TO!J361</f>
        <v>5788</v>
      </c>
      <c r="K1160" s="119">
        <f ca="1">Reg_Pop_Ann_TO!K361</f>
        <v>5788</v>
      </c>
      <c r="L1160" s="119">
        <f ca="1">Reg_Pop_Ann_TO!L361</f>
        <v>5788</v>
      </c>
      <c r="M1160" s="119">
        <f ca="1">Reg_Pop_Ann_TO!M361</f>
        <v>5788</v>
      </c>
      <c r="N1160" s="119">
        <f ca="1">Reg_Pop_Ann_TO!N361</f>
        <v>5788</v>
      </c>
      <c r="O1160" s="119">
        <f ca="1">Reg_Pop_Ann_TO!O361</f>
        <v>5788</v>
      </c>
    </row>
    <row r="1161" spans="3:15" s="348" customFormat="1" outlineLevel="1" x14ac:dyDescent="0.2">
      <c r="D1161" s="668" t="str">
        <f>Intv_BA!D3115</f>
        <v>Copperbelt</v>
      </c>
      <c r="J1161" s="119">
        <f ca="1">Reg_Pop_Ann_TO!J362</f>
        <v>8128</v>
      </c>
      <c r="K1161" s="119">
        <f ca="1">Reg_Pop_Ann_TO!K362</f>
        <v>8128</v>
      </c>
      <c r="L1161" s="119">
        <f ca="1">Reg_Pop_Ann_TO!L362</f>
        <v>8128</v>
      </c>
      <c r="M1161" s="119">
        <f ca="1">Reg_Pop_Ann_TO!M362</f>
        <v>8128</v>
      </c>
      <c r="N1161" s="119">
        <f ca="1">Reg_Pop_Ann_TO!N362</f>
        <v>8128</v>
      </c>
      <c r="O1161" s="119">
        <f ca="1">Reg_Pop_Ann_TO!O362</f>
        <v>8128</v>
      </c>
    </row>
    <row r="1162" spans="3:15" s="348" customFormat="1" outlineLevel="1" x14ac:dyDescent="0.2">
      <c r="D1162" s="668" t="str">
        <f>Intv_BA!D3116</f>
        <v>Eastern</v>
      </c>
      <c r="J1162" s="119">
        <f ca="1">Reg_Pop_Ann_TO!J363</f>
        <v>10468</v>
      </c>
      <c r="K1162" s="119">
        <f ca="1">Reg_Pop_Ann_TO!K363</f>
        <v>10468</v>
      </c>
      <c r="L1162" s="119">
        <f ca="1">Reg_Pop_Ann_TO!L363</f>
        <v>10468</v>
      </c>
      <c r="M1162" s="119">
        <f ca="1">Reg_Pop_Ann_TO!M363</f>
        <v>10468</v>
      </c>
      <c r="N1162" s="119">
        <f ca="1">Reg_Pop_Ann_TO!N363</f>
        <v>10468</v>
      </c>
      <c r="O1162" s="119">
        <f ca="1">Reg_Pop_Ann_TO!O363</f>
        <v>10468</v>
      </c>
    </row>
    <row r="1163" spans="3:15" s="348" customFormat="1" outlineLevel="1" x14ac:dyDescent="0.2">
      <c r="D1163" s="668" t="str">
        <f>Intv_BA!D3117</f>
        <v>Luapula</v>
      </c>
      <c r="J1163" s="119">
        <f ca="1">Reg_Pop_Ann_TO!J364</f>
        <v>8128</v>
      </c>
      <c r="K1163" s="119">
        <f ca="1">Reg_Pop_Ann_TO!K364</f>
        <v>8128</v>
      </c>
      <c r="L1163" s="119">
        <f ca="1">Reg_Pop_Ann_TO!L364</f>
        <v>8128</v>
      </c>
      <c r="M1163" s="119">
        <f ca="1">Reg_Pop_Ann_TO!M364</f>
        <v>8128</v>
      </c>
      <c r="N1163" s="119">
        <f ca="1">Reg_Pop_Ann_TO!N364</f>
        <v>8128</v>
      </c>
      <c r="O1163" s="119">
        <f ca="1">Reg_Pop_Ann_TO!O364</f>
        <v>8128</v>
      </c>
    </row>
    <row r="1164" spans="3:15" s="348" customFormat="1" outlineLevel="1" x14ac:dyDescent="0.2">
      <c r="D1164" s="668" t="str">
        <f>Intv_BA!D3118</f>
        <v>Lusaka</v>
      </c>
      <c r="J1164" s="119">
        <f ca="1">Reg_Pop_Ann_TO!J365</f>
        <v>29188</v>
      </c>
      <c r="K1164" s="119">
        <f ca="1">Reg_Pop_Ann_TO!K365</f>
        <v>29188</v>
      </c>
      <c r="L1164" s="119">
        <f ca="1">Reg_Pop_Ann_TO!L365</f>
        <v>29188</v>
      </c>
      <c r="M1164" s="119">
        <f ca="1">Reg_Pop_Ann_TO!M365</f>
        <v>29188</v>
      </c>
      <c r="N1164" s="119">
        <f ca="1">Reg_Pop_Ann_TO!N365</f>
        <v>29188</v>
      </c>
      <c r="O1164" s="119">
        <f ca="1">Reg_Pop_Ann_TO!O365</f>
        <v>29188</v>
      </c>
    </row>
    <row r="1165" spans="3:15" s="348" customFormat="1" outlineLevel="1" x14ac:dyDescent="0.2">
      <c r="D1165" s="668" t="str">
        <f>Intv_BA!D3119</f>
        <v>Muchinga</v>
      </c>
      <c r="J1165" s="119">
        <f ca="1">Reg_Pop_Ann_TO!J366</f>
        <v>554</v>
      </c>
      <c r="K1165" s="119">
        <f ca="1">Reg_Pop_Ann_TO!K366</f>
        <v>554</v>
      </c>
      <c r="L1165" s="119">
        <f ca="1">Reg_Pop_Ann_TO!L366</f>
        <v>554</v>
      </c>
      <c r="M1165" s="119">
        <f ca="1">Reg_Pop_Ann_TO!M366</f>
        <v>554</v>
      </c>
      <c r="N1165" s="119">
        <f ca="1">Reg_Pop_Ann_TO!N366</f>
        <v>554</v>
      </c>
      <c r="O1165" s="119">
        <f ca="1">Reg_Pop_Ann_TO!O366</f>
        <v>554</v>
      </c>
    </row>
    <row r="1166" spans="3:15" s="348" customFormat="1" outlineLevel="1" x14ac:dyDescent="0.2">
      <c r="D1166" s="668" t="str">
        <f>Intv_BA!D3120</f>
        <v>Northern</v>
      </c>
      <c r="J1166" s="119">
        <f ca="1">Reg_Pop_Ann_TO!J367</f>
        <v>2894</v>
      </c>
      <c r="K1166" s="119">
        <f ca="1">Reg_Pop_Ann_TO!K367</f>
        <v>2894</v>
      </c>
      <c r="L1166" s="119">
        <f ca="1">Reg_Pop_Ann_TO!L367</f>
        <v>2894</v>
      </c>
      <c r="M1166" s="119">
        <f ca="1">Reg_Pop_Ann_TO!M367</f>
        <v>2894</v>
      </c>
      <c r="N1166" s="119">
        <f ca="1">Reg_Pop_Ann_TO!N367</f>
        <v>2894</v>
      </c>
      <c r="O1166" s="119">
        <f ca="1">Reg_Pop_Ann_TO!O367</f>
        <v>2894</v>
      </c>
    </row>
    <row r="1167" spans="3:15" s="348" customFormat="1" outlineLevel="1" x14ac:dyDescent="0.2">
      <c r="D1167" s="668" t="str">
        <f>Intv_BA!D3121</f>
        <v>North-Western</v>
      </c>
      <c r="J1167" s="119">
        <f ca="1">Reg_Pop_Ann_TO!J368</f>
        <v>3448</v>
      </c>
      <c r="K1167" s="119">
        <f ca="1">Reg_Pop_Ann_TO!K368</f>
        <v>3448</v>
      </c>
      <c r="L1167" s="119">
        <f ca="1">Reg_Pop_Ann_TO!L368</f>
        <v>3448</v>
      </c>
      <c r="M1167" s="119">
        <f ca="1">Reg_Pop_Ann_TO!M368</f>
        <v>3448</v>
      </c>
      <c r="N1167" s="119">
        <f ca="1">Reg_Pop_Ann_TO!N368</f>
        <v>3448</v>
      </c>
      <c r="O1167" s="119">
        <f ca="1">Reg_Pop_Ann_TO!O368</f>
        <v>3448</v>
      </c>
    </row>
    <row r="1168" spans="3:15" s="348" customFormat="1" outlineLevel="1" x14ac:dyDescent="0.2">
      <c r="D1168" s="668" t="str">
        <f>Intv_BA!D3122</f>
        <v>Southern</v>
      </c>
      <c r="J1168" s="119">
        <f ca="1">Reg_Pop_Ann_TO!J369</f>
        <v>8128</v>
      </c>
      <c r="K1168" s="119">
        <f ca="1">Reg_Pop_Ann_TO!K369</f>
        <v>8128</v>
      </c>
      <c r="L1168" s="119">
        <f ca="1">Reg_Pop_Ann_TO!L369</f>
        <v>8128</v>
      </c>
      <c r="M1168" s="119">
        <f ca="1">Reg_Pop_Ann_TO!M369</f>
        <v>8128</v>
      </c>
      <c r="N1168" s="119">
        <f ca="1">Reg_Pop_Ann_TO!N369</f>
        <v>8128</v>
      </c>
      <c r="O1168" s="119">
        <f ca="1">Reg_Pop_Ann_TO!O369</f>
        <v>8128</v>
      </c>
    </row>
    <row r="1169" spans="3:15" s="348" customFormat="1" outlineLevel="1" x14ac:dyDescent="0.2">
      <c r="D1169" s="668" t="str">
        <f>Intv_BA!D3123</f>
        <v>Western</v>
      </c>
      <c r="J1169" s="119">
        <f ca="1">Reg_Pop_Ann_TO!J370</f>
        <v>8128</v>
      </c>
      <c r="K1169" s="119">
        <f ca="1">Reg_Pop_Ann_TO!K370</f>
        <v>8128</v>
      </c>
      <c r="L1169" s="119">
        <f ca="1">Reg_Pop_Ann_TO!L370</f>
        <v>8128</v>
      </c>
      <c r="M1169" s="119">
        <f ca="1">Reg_Pop_Ann_TO!M370</f>
        <v>8128</v>
      </c>
      <c r="N1169" s="119">
        <f ca="1">Reg_Pop_Ann_TO!N370</f>
        <v>8128</v>
      </c>
      <c r="O1169" s="119">
        <f ca="1">Reg_Pop_Ann_TO!O370</f>
        <v>8128</v>
      </c>
    </row>
    <row r="1170" spans="3:15" s="348" customFormat="1" ht="12.95" customHeight="1" x14ac:dyDescent="0.2">
      <c r="D1170" s="359" t="str">
        <f>"Total "&amp;C1155</f>
        <v>Total Screened Population</v>
      </c>
      <c r="J1170" s="164">
        <f t="shared" ref="J1170:O1170" ca="1" si="69">SUM(J1160:J1169)</f>
        <v>84852</v>
      </c>
      <c r="K1170" s="164">
        <f t="shared" ca="1" si="69"/>
        <v>84852</v>
      </c>
      <c r="L1170" s="164">
        <f t="shared" ca="1" si="69"/>
        <v>84852</v>
      </c>
      <c r="M1170" s="164">
        <f t="shared" ca="1" si="69"/>
        <v>84852</v>
      </c>
      <c r="N1170" s="164">
        <f t="shared" ca="1" si="69"/>
        <v>84852</v>
      </c>
      <c r="O1170" s="164">
        <f t="shared" ca="1" si="69"/>
        <v>84852</v>
      </c>
    </row>
    <row r="1171" spans="3:15" s="348" customFormat="1" x14ac:dyDescent="0.2"/>
    <row r="1172" spans="3:15" s="348" customFormat="1" ht="15.75" x14ac:dyDescent="0.2">
      <c r="C1172" s="664" t="s">
        <v>212</v>
      </c>
    </row>
    <row r="1173" spans="3:15" s="348" customFormat="1" outlineLevel="1" x14ac:dyDescent="0.2"/>
    <row r="1174" spans="3:15" s="348" customFormat="1" ht="15" outlineLevel="1" x14ac:dyDescent="0.2">
      <c r="D1174" s="667" t="s">
        <v>167</v>
      </c>
    </row>
    <row r="1175" spans="3:15" s="348" customFormat="1" ht="10.5" customHeight="1" outlineLevel="1" x14ac:dyDescent="0.2">
      <c r="D1175" s="785" t="str">
        <f>Econ_Ann_TA!D13</f>
        <v>USD</v>
      </c>
      <c r="E1175" s="786"/>
      <c r="F1175" s="786"/>
      <c r="G1175" s="786"/>
      <c r="J1175" s="137">
        <f>Econ_Ann_TA!J13</f>
        <v>1</v>
      </c>
      <c r="K1175" s="137">
        <f>Econ_Ann_TA!K13</f>
        <v>1</v>
      </c>
      <c r="L1175" s="137">
        <f>Econ_Ann_TA!L13</f>
        <v>1</v>
      </c>
      <c r="M1175" s="137">
        <f>Econ_Ann_TA!M13</f>
        <v>1</v>
      </c>
      <c r="N1175" s="137">
        <f>Econ_Ann_TA!N13</f>
        <v>1</v>
      </c>
      <c r="O1175" s="137">
        <f>Econ_Ann_TA!O13</f>
        <v>1</v>
      </c>
    </row>
    <row r="1176" spans="3:15" s="348" customFormat="1" outlineLevel="1" x14ac:dyDescent="0.2">
      <c r="D1176" s="785" t="str">
        <f>Econ_Ann_TA!D14</f>
        <v>ZMW</v>
      </c>
      <c r="E1176" s="786"/>
      <c r="F1176" s="786"/>
      <c r="G1176" s="786"/>
      <c r="J1176" s="137">
        <f>Econ_Ann_TA!J14</f>
        <v>10.971399999999999</v>
      </c>
      <c r="K1176" s="137">
        <f>Econ_Ann_TA!K14</f>
        <v>10.971399999999999</v>
      </c>
      <c r="L1176" s="137">
        <f>Econ_Ann_TA!L14</f>
        <v>10.971399999999999</v>
      </c>
      <c r="M1176" s="137">
        <f>Econ_Ann_TA!M14</f>
        <v>10.971399999999999</v>
      </c>
      <c r="N1176" s="137">
        <f>Econ_Ann_TA!N14</f>
        <v>10.971399999999999</v>
      </c>
      <c r="O1176" s="137">
        <f>Econ_Ann_TA!O14</f>
        <v>10.971399999999999</v>
      </c>
    </row>
    <row r="1177" spans="3:15" s="348" customFormat="1" x14ac:dyDescent="0.2"/>
    <row r="1178" spans="3:15" s="348" customFormat="1" x14ac:dyDescent="0.2">
      <c r="C1178" s="722" t="str">
        <f>"Go to "&amp;HL_Intv_6_Ass</f>
        <v>Go to Palliative Care</v>
      </c>
      <c r="D1178" s="777"/>
      <c r="E1178" s="777"/>
      <c r="F1178" s="777"/>
      <c r="G1178" s="777"/>
      <c r="H1178" s="777"/>
      <c r="I1178" s="777"/>
    </row>
    <row r="1179" spans="3:15" s="348" customFormat="1" x14ac:dyDescent="0.2">
      <c r="C1179" s="722" t="str">
        <f>"Go to "&amp;HL_Intv_6_Out</f>
        <v>Go to Palliative Care</v>
      </c>
      <c r="D1179" s="777"/>
      <c r="E1179" s="777"/>
      <c r="F1179" s="777"/>
      <c r="G1179" s="777"/>
      <c r="H1179" s="777"/>
      <c r="I1179" s="777"/>
    </row>
  </sheetData>
  <sheetProtection password="F0F4" sheet="1" scenarios="1"/>
  <dataConsolidate/>
  <mergeCells count="85">
    <mergeCell ref="D1176:G1176"/>
    <mergeCell ref="D566:I566"/>
    <mergeCell ref="D1151:I1151"/>
    <mergeCell ref="D201:G201"/>
    <mergeCell ref="D396:G396"/>
    <mergeCell ref="D591:G591"/>
    <mergeCell ref="D786:G786"/>
    <mergeCell ref="D981:G981"/>
    <mergeCell ref="D956:I956"/>
    <mergeCell ref="D1103:I1103"/>
    <mergeCell ref="D1055:I1055"/>
    <mergeCell ref="D1007:I1007"/>
    <mergeCell ref="D486:I486"/>
    <mergeCell ref="D422:I422"/>
    <mergeCell ref="D844:I844"/>
    <mergeCell ref="D860:I860"/>
    <mergeCell ref="D160:I160"/>
    <mergeCell ref="D355:I355"/>
    <mergeCell ref="D745:I745"/>
    <mergeCell ref="D940:I940"/>
    <mergeCell ref="D550:I550"/>
    <mergeCell ref="D176:I176"/>
    <mergeCell ref="D371:I371"/>
    <mergeCell ref="D761:I761"/>
    <mergeCell ref="D518:I518"/>
    <mergeCell ref="D339:I339"/>
    <mergeCell ref="D729:I729"/>
    <mergeCell ref="D924:I924"/>
    <mergeCell ref="D534:I534"/>
    <mergeCell ref="D908:I908"/>
    <mergeCell ref="D681:I681"/>
    <mergeCell ref="D876:I876"/>
    <mergeCell ref="D697:I697"/>
    <mergeCell ref="D502:I502"/>
    <mergeCell ref="D713:I713"/>
    <mergeCell ref="D470:I470"/>
    <mergeCell ref="D633:I633"/>
    <mergeCell ref="D828:I828"/>
    <mergeCell ref="D438:I438"/>
    <mergeCell ref="D64:I64"/>
    <mergeCell ref="D259:I259"/>
    <mergeCell ref="D649:I649"/>
    <mergeCell ref="D454:I454"/>
    <mergeCell ref="D80:I80"/>
    <mergeCell ref="D275:I275"/>
    <mergeCell ref="D665:I665"/>
    <mergeCell ref="C593:I593"/>
    <mergeCell ref="D590:G590"/>
    <mergeCell ref="D785:G785"/>
    <mergeCell ref="C594:I594"/>
    <mergeCell ref="D96:I96"/>
    <mergeCell ref="D291:I291"/>
    <mergeCell ref="D617:I617"/>
    <mergeCell ref="C1178:I1178"/>
    <mergeCell ref="C1179:I1179"/>
    <mergeCell ref="C788:I788"/>
    <mergeCell ref="C789:I789"/>
    <mergeCell ref="C983:I983"/>
    <mergeCell ref="C984:I984"/>
    <mergeCell ref="D812:I812"/>
    <mergeCell ref="D1023:I1023"/>
    <mergeCell ref="D1039:I1039"/>
    <mergeCell ref="D1071:I1071"/>
    <mergeCell ref="D1087:I1087"/>
    <mergeCell ref="D1119:I1119"/>
    <mergeCell ref="D1135:I1135"/>
    <mergeCell ref="D1175:G1175"/>
    <mergeCell ref="D980:G980"/>
    <mergeCell ref="D892:I892"/>
    <mergeCell ref="B3:F3"/>
    <mergeCell ref="C203:I203"/>
    <mergeCell ref="C204:I204"/>
    <mergeCell ref="C398:I398"/>
    <mergeCell ref="C399:I399"/>
    <mergeCell ref="D200:G200"/>
    <mergeCell ref="D395:G395"/>
    <mergeCell ref="D32:I32"/>
    <mergeCell ref="D227:I227"/>
    <mergeCell ref="D48:I48"/>
    <mergeCell ref="D243:I243"/>
    <mergeCell ref="D112:I112"/>
    <mergeCell ref="D307:I307"/>
    <mergeCell ref="D128:I128"/>
    <mergeCell ref="D323:I323"/>
    <mergeCell ref="D144:I144"/>
  </mergeCells>
  <dataValidations disablePrompts="1" count="9">
    <dataValidation type="custom" showDropDown="1" showErrorMessage="1" errorTitle="Check Box Cell Link" error="The value in a check box cell link must be either &quot;TRUE&quot; or &quot;FALSE&quot;" sqref="H182 H377 H767 H962 H572 H1157">
      <formula1>ISLOGICAL(H182)</formula1>
    </dataValidation>
    <dataValidation type="decimal" operator="greaterThanOrEqual" allowBlank="1" showDropDown="1" showErrorMessage="1" errorTitle="Invalid Assumption" error="Assumption must be a value greater than or equal to zero." sqref="J575:O584 J185:O194 J1160:O1169 J965:O974 J770:O779 J380:O389 J980:O980 J785:O785 J590:O590 J395:O395 J200:O200 J1175:O1175">
      <formula1>0</formula1>
    </dataValidation>
    <dataValidation type="custom" showErrorMessage="1" errorTitle="Invalid Assumption" error="Assumption must be a number." sqref="H212 H161 H1136 H551 H941 H746 H356 H145 H1120 H535 H925 H730 H340 H129 H1104 H519 H909 H714 H324 H113 H1088 H503 H893 H698 H308 H97 H1072 H487 H877 H682 H292 H81 H1056 H471 H861 H666 H276 H65 H1040 H455 H845 H650 H260 H49 H1024 H439 H829 H634 H244 H33 H1008 H423 H813 H618 H228 H17 H992 H407 H797 H602 J555:O565 J539:O549 J523:O533 J507:O517 J491:O501 J475:O485 J459:O469 J443:O453 J427:O437 J411:O421 J165:O175 J149:O159 J133:O143 J117:O127 J101:O111 J85:O95 J69:O79 J53:O63 J37:O47 J21:O31 J750:O760 J734:O744 J718:O728 J702:O712 J686:O696 J670:O680 J654:O664 J638:O648 J622:O632 J606:O616 J945:O955 J929:O939 J913:O923 J897:O907 J881:O891 J865:O875 J849:O859 J833:O843 J817:O827 J801:O811 J1140:O1150 J1124:O1134 J1108:O1118 J1092:O1102 J1076:O1086 J1060:O1070 J1044:O1054 J1028:O1038 J1012:O1022 J996:O1006 J360:O370 J344:O354 J328:O338 J312:O322 J296:O306 J280:O290 J264:O274 J248:O258 J232:O242 J216:O226">
      <formula1>NOT(ISERROR(H17/1))</formula1>
    </dataValidation>
    <dataValidation type="decimal" operator="greaterThanOrEqual" allowBlank="1" showDropDown="1" showErrorMessage="1" errorTitle="Invalid Assumption" error="Assumption must be a value greater than or equal to zero." sqref="J201:O201">
      <formula1>0</formula1>
    </dataValidation>
    <dataValidation type="decimal" operator="greaterThanOrEqual" allowBlank="1" showDropDown="1" showErrorMessage="1" errorTitle="Invalid Assumption" error="Assumption must be a value greater than or equal to zero." sqref="J396:O396">
      <formula1>0</formula1>
    </dataValidation>
    <dataValidation type="decimal" operator="greaterThanOrEqual" allowBlank="1" showDropDown="1" showErrorMessage="1" errorTitle="Invalid Assumption" error="Assumption must be a value greater than or equal to zero." sqref="J591:O591">
      <formula1>0</formula1>
    </dataValidation>
    <dataValidation type="decimal" operator="greaterThanOrEqual" allowBlank="1" showDropDown="1" showErrorMessage="1" errorTitle="Invalid Assumption" error="Assumption must be a value greater than or equal to zero." sqref="J786:O786">
      <formula1>0</formula1>
    </dataValidation>
    <dataValidation type="decimal" operator="greaterThanOrEqual" allowBlank="1" showDropDown="1" showErrorMessage="1" errorTitle="Invalid Assumption" error="Assumption must be a value greater than or equal to zero." sqref="J981:O981">
      <formula1>0</formula1>
    </dataValidation>
    <dataValidation type="decimal" operator="greaterThanOrEqual" allowBlank="1" showDropDown="1" showErrorMessage="1" errorTitle="Invalid Assumption" error="Assumption must be a value greater than or equal to zero." sqref="J1176:O1176">
      <formula1>0</formula1>
    </dataValidation>
  </dataValidations>
  <hyperlinks>
    <hyperlink ref="A4" location="$A$10" tooltip="Go to Top of Sheet" display="$A$10"/>
    <hyperlink ref="B4" location="HL_Sheet_Main_26" tooltip="Go to Previous Sheet" display="HL_Sheet_Main_26"/>
    <hyperlink ref="C203:I203" location="HL_Intv_Ass" tooltip="Click to follow hyperlink." display="HL_Intv_Ass"/>
    <hyperlink ref="C204:I204" location="HL_Intv_Out" tooltip="Click to follow hyperlink." display="HL_Intv_Out"/>
    <hyperlink ref="C398:I398" location="HL_Intv_2_Ass" tooltip="Click to follow hyperlink." display="HL_Intv_2_Ass"/>
    <hyperlink ref="C399:I399" location="HL_Intv_2_Out" tooltip="Click to follow hyperlink." display="HL_Intv_2_Out"/>
    <hyperlink ref="C593:I593" location="HL_Intv_5_Ass" tooltip="Click to follow hyperlink." display="HL_Intv_5_Ass"/>
    <hyperlink ref="C594:I594" location="HL_Intv_5_Out" tooltip="Click to follow hyperlink." display="HL_Intv_5_Out"/>
    <hyperlink ref="C788:I788" location="HL_Intv_3_Ass" tooltip="Click to follow hyperlink." display="HL_Intv_3_Ass"/>
    <hyperlink ref="C789:I789" location="HL_Intv_3_Out" tooltip="Click to follow hyperlink." display="HL_Intv_3_Out"/>
    <hyperlink ref="C983:I983" location="HL_Intv_4_Ass" tooltip="Click to follow hyperlink." display="HL_Intv_4_Ass"/>
    <hyperlink ref="C984:I984" location="HL_Intv_4_Out" tooltip="Click to follow hyperlink." display="HL_Intv_4_Out"/>
    <hyperlink ref="C1178:I1178" location="HL_Intv_6_Ass" tooltip="Click to follow hyperlink." display="HL_Intv_6_Ass"/>
    <hyperlink ref="C1179:I1179" location="HL_Intv_6_Out" tooltip="Click to follow hyperlink." display="HL_Intv_6_Out"/>
    <hyperlink ref="C4" location="HL_Sheet_Main_33" tooltip="Go to Next Sheet" display="HL_Sheet_Main_33"/>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61576" r:id="rId4" name="bpmCheckBoxIntv_35">
              <controlPr defaultSize="0" autoFill="0" autoLine="0" autoPict="0">
                <anchor moveWithCells="1">
                  <from>
                    <xdr:col>8</xdr:col>
                    <xdr:colOff>257175</xdr:colOff>
                    <xdr:row>766</xdr:row>
                    <xdr:rowOff>0</xdr:rowOff>
                  </from>
                  <to>
                    <xdr:col>9</xdr:col>
                    <xdr:colOff>0</xdr:colOff>
                    <xdr:row>767</xdr:row>
                    <xdr:rowOff>0</xdr:rowOff>
                  </to>
                </anchor>
              </controlPr>
            </control>
          </mc:Choice>
        </mc:AlternateContent>
        <mc:AlternateContent xmlns:mc="http://schemas.openxmlformats.org/markup-compatibility/2006">
          <mc:Choice Requires="x14">
            <control shapeId="61577" r:id="rId5" name="bpmCheckBoxIntv5">
              <controlPr defaultSize="0" autoFill="0" autoLine="0" autoPict="0">
                <anchor moveWithCells="1">
                  <from>
                    <xdr:col>7</xdr:col>
                    <xdr:colOff>352425</xdr:colOff>
                    <xdr:row>181</xdr:row>
                    <xdr:rowOff>0</xdr:rowOff>
                  </from>
                  <to>
                    <xdr:col>8</xdr:col>
                    <xdr:colOff>0</xdr:colOff>
                    <xdr:row>182</xdr:row>
                    <xdr:rowOff>0</xdr:rowOff>
                  </to>
                </anchor>
              </controlPr>
            </control>
          </mc:Choice>
        </mc:AlternateContent>
        <mc:AlternateContent xmlns:mc="http://schemas.openxmlformats.org/markup-compatibility/2006">
          <mc:Choice Requires="x14">
            <control shapeId="61578" r:id="rId6" name="bpmCheckBoxIntv_25">
              <controlPr defaultSize="0" autoFill="0" autoLine="0" autoPict="0">
                <anchor moveWithCells="1">
                  <from>
                    <xdr:col>7</xdr:col>
                    <xdr:colOff>352425</xdr:colOff>
                    <xdr:row>376</xdr:row>
                    <xdr:rowOff>0</xdr:rowOff>
                  </from>
                  <to>
                    <xdr:col>8</xdr:col>
                    <xdr:colOff>0</xdr:colOff>
                    <xdr:row>377</xdr:row>
                    <xdr:rowOff>0</xdr:rowOff>
                  </to>
                </anchor>
              </controlPr>
            </control>
          </mc:Choice>
        </mc:AlternateContent>
        <mc:AlternateContent xmlns:mc="http://schemas.openxmlformats.org/markup-compatibility/2006">
          <mc:Choice Requires="x14">
            <control shapeId="61581" r:id="rId7" name="bpmCheckBoxIntv_45">
              <controlPr defaultSize="0" autoFill="0" autoLine="0" autoPict="0">
                <anchor moveWithCells="1">
                  <from>
                    <xdr:col>8</xdr:col>
                    <xdr:colOff>257175</xdr:colOff>
                    <xdr:row>961</xdr:row>
                    <xdr:rowOff>0</xdr:rowOff>
                  </from>
                  <to>
                    <xdr:col>9</xdr:col>
                    <xdr:colOff>0</xdr:colOff>
                    <xdr:row>962</xdr:row>
                    <xdr:rowOff>0</xdr:rowOff>
                  </to>
                </anchor>
              </controlPr>
            </control>
          </mc:Choice>
        </mc:AlternateContent>
        <mc:AlternateContent xmlns:mc="http://schemas.openxmlformats.org/markup-compatibility/2006">
          <mc:Choice Requires="x14">
            <control shapeId="61584" r:id="rId8" name="bpmCheckBoxIntv_55">
              <controlPr defaultSize="0" autoFill="0" autoLine="0" autoPict="0">
                <anchor moveWithCells="1">
                  <from>
                    <xdr:col>8</xdr:col>
                    <xdr:colOff>266700</xdr:colOff>
                    <xdr:row>571</xdr:row>
                    <xdr:rowOff>0</xdr:rowOff>
                  </from>
                  <to>
                    <xdr:col>9</xdr:col>
                    <xdr:colOff>0</xdr:colOff>
                    <xdr:row>572</xdr:row>
                    <xdr:rowOff>0</xdr:rowOff>
                  </to>
                </anchor>
              </controlPr>
            </control>
          </mc:Choice>
        </mc:AlternateContent>
        <mc:AlternateContent xmlns:mc="http://schemas.openxmlformats.org/markup-compatibility/2006">
          <mc:Choice Requires="x14">
            <control shapeId="61587" r:id="rId9" name="bpmCheckBoxIntv_65">
              <controlPr defaultSize="0" autoFill="0" autoLine="0" autoPict="0">
                <anchor moveWithCells="1">
                  <from>
                    <xdr:col>8</xdr:col>
                    <xdr:colOff>266700</xdr:colOff>
                    <xdr:row>1156</xdr:row>
                    <xdr:rowOff>0</xdr:rowOff>
                  </from>
                  <to>
                    <xdr:col>9</xdr:col>
                    <xdr:colOff>0</xdr:colOff>
                    <xdr:row>1157</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C9:G20"/>
  <sheetViews>
    <sheetView showGridLines="0" zoomScaleNormal="100" workbookViewId="0">
      <selection activeCell="C12" sqref="C12:G12"/>
    </sheetView>
  </sheetViews>
  <sheetFormatPr defaultColWidth="11.7109375" defaultRowHeight="12.75" x14ac:dyDescent="0.2"/>
  <cols>
    <col min="3" max="6" width="3.7109375" customWidth="1"/>
  </cols>
  <sheetData>
    <row r="9" spans="3:7" ht="23.25" x14ac:dyDescent="0.2">
      <c r="C9" s="333" t="s">
        <v>1998</v>
      </c>
    </row>
    <row r="10" spans="3:7" ht="21" x14ac:dyDescent="0.2">
      <c r="C10" s="35" t="s">
        <v>1918</v>
      </c>
    </row>
    <row r="11" spans="3:7" ht="18.75" x14ac:dyDescent="0.2">
      <c r="C11" s="334" t="str">
        <f>Model_Name</f>
        <v>Zambia C4P* - Screening &amp; Treatment Tool</v>
      </c>
    </row>
    <row r="12" spans="3:7" x14ac:dyDescent="0.2">
      <c r="C12" s="702" t="s">
        <v>2</v>
      </c>
      <c r="D12" s="702"/>
      <c r="E12" s="702"/>
      <c r="F12" s="702"/>
      <c r="G12" s="702"/>
    </row>
    <row r="13" spans="3:7" x14ac:dyDescent="0.2">
      <c r="C13" s="337" t="s">
        <v>6</v>
      </c>
      <c r="D13" s="324" t="s">
        <v>7</v>
      </c>
    </row>
    <row r="17" spans="3:3" ht="15" x14ac:dyDescent="0.2">
      <c r="C17" s="54" t="s">
        <v>10</v>
      </c>
    </row>
    <row r="18" spans="3:3" x14ac:dyDescent="0.2">
      <c r="C18" s="89" t="s">
        <v>1731</v>
      </c>
    </row>
    <row r="19" spans="3:3" x14ac:dyDescent="0.2">
      <c r="C19" s="89" t="s">
        <v>1732</v>
      </c>
    </row>
    <row r="20" spans="3:3" x14ac:dyDescent="0.2">
      <c r="C20" s="89" t="s">
        <v>1733</v>
      </c>
    </row>
  </sheetData>
  <mergeCells count="1">
    <mergeCell ref="C12:G12"/>
  </mergeCells>
  <hyperlinks>
    <hyperlink ref="D13" location="HL_Sheet_Main_19" tooltip="Go to Next Sheet" display="HL_Sheet_Main_19"/>
    <hyperlink ref="C13" location="HL_Sheet_Main_27" tooltip="Go to Previous Sheet" display="HL_Sheet_Main_27"/>
    <hyperlink ref="C12" location="HL_Home" tooltip="Go to Table of Contents" display="HL_Home"/>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tabColor rgb="FFFFC000"/>
    <pageSetUpPr autoPageBreaks="0"/>
  </sheetPr>
  <dimension ref="A1:O303"/>
  <sheetViews>
    <sheetView showGridLines="0" showZeros="0" zoomScaleNormal="100" workbookViewId="0">
      <pane ySplit="9" topLeftCell="A147" activePane="bottomLeft" state="frozen"/>
      <selection pane="bottomLeft" activeCell="P157" sqref="P157"/>
    </sheetView>
  </sheetViews>
  <sheetFormatPr defaultColWidth="11.7109375" defaultRowHeight="12.75" outlineLevelRow="2" outlineLevelCol="1" x14ac:dyDescent="0.2"/>
  <cols>
    <col min="1" max="1" width="3.7109375" style="105" customWidth="1"/>
    <col min="2" max="2" width="5.7109375" style="105" customWidth="1"/>
    <col min="3" max="5" width="3.7109375" style="105" customWidth="1"/>
    <col min="6" max="6" width="11.7109375" style="105"/>
    <col min="7" max="7" width="14.7109375" style="105" customWidth="1"/>
    <col min="8" max="8" width="15.7109375" style="105" customWidth="1"/>
    <col min="9" max="9" width="11.7109375" style="105"/>
    <col min="10" max="15" width="11.7109375" style="105" outlineLevel="1"/>
    <col min="16" max="16384" width="11.7109375" style="105"/>
  </cols>
  <sheetData>
    <row r="1" spans="1:15" ht="23.25" x14ac:dyDescent="0.2">
      <c r="A1" s="321"/>
      <c r="B1" s="106" t="s">
        <v>993</v>
      </c>
    </row>
    <row r="2" spans="1:15" ht="18.75" x14ac:dyDescent="0.2">
      <c r="B2" s="107" t="str">
        <f>Model_Name</f>
        <v>Zambia C4P* - Screening &amp; Treatment Tool</v>
      </c>
    </row>
    <row r="3" spans="1:15" x14ac:dyDescent="0.2">
      <c r="B3" s="722" t="s">
        <v>2</v>
      </c>
      <c r="C3" s="722"/>
      <c r="D3" s="722"/>
      <c r="E3" s="722"/>
      <c r="F3" s="722"/>
    </row>
    <row r="4" spans="1:15" x14ac:dyDescent="0.2">
      <c r="A4" s="108" t="s">
        <v>4</v>
      </c>
      <c r="B4" s="352" t="s">
        <v>6</v>
      </c>
      <c r="C4" s="353" t="s">
        <v>7</v>
      </c>
      <c r="D4" s="354" t="s">
        <v>27</v>
      </c>
      <c r="E4" s="355" t="s">
        <v>28</v>
      </c>
      <c r="F4" s="356" t="s">
        <v>29</v>
      </c>
    </row>
    <row r="5" spans="1:15" s="348" customFormat="1" x14ac:dyDescent="0.2">
      <c r="B5" s="200" t="str">
        <f>"Year Ending "&amp;INDEX(LU_TS_Mth_Names,DD_TS_Fin_Yr_End_Mth)</f>
        <v>Year Ending December</v>
      </c>
      <c r="C5" s="117"/>
      <c r="D5" s="117"/>
      <c r="E5" s="117"/>
      <c r="F5" s="117"/>
      <c r="G5" s="117"/>
      <c r="H5" s="117"/>
      <c r="I5" s="117"/>
      <c r="J5" s="455">
        <f t="shared" ref="J5:O5" si="0">J9</f>
        <v>2015</v>
      </c>
      <c r="K5" s="455">
        <f t="shared" si="0"/>
        <v>2016</v>
      </c>
      <c r="L5" s="455">
        <f t="shared" si="0"/>
        <v>2017</v>
      </c>
      <c r="M5" s="455">
        <f t="shared" si="0"/>
        <v>2018</v>
      </c>
      <c r="N5" s="455">
        <f t="shared" si="0"/>
        <v>2019</v>
      </c>
      <c r="O5" s="455">
        <f t="shared" si="0"/>
        <v>2020</v>
      </c>
    </row>
    <row r="6" spans="1:15" s="348" customFormat="1" outlineLevel="2" x14ac:dyDescent="0.2">
      <c r="B6" s="671" t="s">
        <v>70</v>
      </c>
      <c r="J6" s="118">
        <f t="shared" ref="J6:O6" si="1">EDATE(TS_Start_Date,(J8-1)*TS_Mths_In_Yr)</f>
        <v>42005</v>
      </c>
      <c r="K6" s="118">
        <f t="shared" si="1"/>
        <v>42370</v>
      </c>
      <c r="L6" s="118">
        <f t="shared" si="1"/>
        <v>42736</v>
      </c>
      <c r="M6" s="118">
        <f t="shared" si="1"/>
        <v>43101</v>
      </c>
      <c r="N6" s="118">
        <f t="shared" si="1"/>
        <v>43466</v>
      </c>
      <c r="O6" s="118">
        <f t="shared" si="1"/>
        <v>43831</v>
      </c>
    </row>
    <row r="7" spans="1:15" s="348" customFormat="1" outlineLevel="2" x14ac:dyDescent="0.2">
      <c r="B7" s="671" t="s">
        <v>71</v>
      </c>
      <c r="J7" s="118">
        <f t="shared" ref="J7:O7" si="2">EDATE(J6,TS_Mths_In_Yr)-1</f>
        <v>42369</v>
      </c>
      <c r="K7" s="118">
        <f t="shared" si="2"/>
        <v>42735</v>
      </c>
      <c r="L7" s="118">
        <f t="shared" si="2"/>
        <v>43100</v>
      </c>
      <c r="M7" s="118">
        <f t="shared" si="2"/>
        <v>43465</v>
      </c>
      <c r="N7" s="118">
        <f t="shared" si="2"/>
        <v>43830</v>
      </c>
      <c r="O7" s="118">
        <f t="shared" si="2"/>
        <v>44196</v>
      </c>
    </row>
    <row r="8" spans="1:15" s="348" customFormat="1" outlineLevel="2" x14ac:dyDescent="0.2">
      <c r="B8" s="671" t="s">
        <v>72</v>
      </c>
      <c r="J8" s="119">
        <f>COLUMNS($J8:J8)</f>
        <v>1</v>
      </c>
      <c r="K8" s="119">
        <f>COLUMNS($J8:K8)</f>
        <v>2</v>
      </c>
      <c r="L8" s="119">
        <f>COLUMNS($J8:L8)</f>
        <v>3</v>
      </c>
      <c r="M8" s="119">
        <f>COLUMNS($J8:M8)</f>
        <v>4</v>
      </c>
      <c r="N8" s="119">
        <f>COLUMNS($J8:N8)</f>
        <v>5</v>
      </c>
      <c r="O8" s="119">
        <f>COLUMNS($J8:O8)</f>
        <v>6</v>
      </c>
    </row>
    <row r="9" spans="1:15" s="348" customFormat="1" outlineLevel="2" x14ac:dyDescent="0.2">
      <c r="B9" s="120" t="s">
        <v>73</v>
      </c>
      <c r="C9" s="117"/>
      <c r="D9" s="117"/>
      <c r="E9" s="117"/>
      <c r="F9" s="117"/>
      <c r="G9" s="117"/>
      <c r="H9" s="117"/>
      <c r="I9" s="117"/>
      <c r="J9" s="121">
        <f t="shared" ref="J9:O9" si="3">YEAR(J7)</f>
        <v>2015</v>
      </c>
      <c r="K9" s="121">
        <f t="shared" si="3"/>
        <v>2016</v>
      </c>
      <c r="L9" s="121">
        <f t="shared" si="3"/>
        <v>2017</v>
      </c>
      <c r="M9" s="121">
        <f t="shared" si="3"/>
        <v>2018</v>
      </c>
      <c r="N9" s="121">
        <f t="shared" si="3"/>
        <v>2019</v>
      </c>
      <c r="O9" s="121">
        <f t="shared" si="3"/>
        <v>2020</v>
      </c>
    </row>
    <row r="10" spans="1:15" s="348" customFormat="1" x14ac:dyDescent="0.2"/>
    <row r="11" spans="1:15" s="348" customFormat="1" x14ac:dyDescent="0.2"/>
    <row r="12" spans="1:15" s="348" customFormat="1" ht="18.75" x14ac:dyDescent="0.2">
      <c r="B12" s="425" t="s">
        <v>83</v>
      </c>
    </row>
    <row r="13" spans="1:15" s="348" customFormat="1" x14ac:dyDescent="0.2"/>
    <row r="14" spans="1:15" s="348" customFormat="1" ht="15.75" customHeight="1" x14ac:dyDescent="0.2">
      <c r="C14" s="671" t="s">
        <v>215</v>
      </c>
      <c r="H14" s="677">
        <v>1</v>
      </c>
    </row>
    <row r="15" spans="1:15" s="348" customFormat="1" x14ac:dyDescent="0.2"/>
    <row r="16" spans="1:15" s="348" customFormat="1" ht="15.75" x14ac:dyDescent="0.2">
      <c r="C16" s="664" t="s">
        <v>145</v>
      </c>
    </row>
    <row r="17" spans="4:9" s="348" customFormat="1" x14ac:dyDescent="0.2"/>
    <row r="18" spans="4:9" s="348" customFormat="1" ht="45" x14ac:dyDescent="0.2">
      <c r="D18" s="667" t="s">
        <v>406</v>
      </c>
      <c r="H18" s="132" t="str">
        <f>"Financial Cost ("&amp;INDEX(LU_Micro_Curr,DD_Micro_Curr)&amp;"/Unit)"</f>
        <v>Financial Cost (USD/Unit)</v>
      </c>
      <c r="I18" s="132" t="str">
        <f>"Economic Cost ("&amp;INDEX(LU_Micro_Curr,DD_Micro_Curr)&amp;"/Unit)"</f>
        <v>Economic Cost (USD/Unit)</v>
      </c>
    </row>
    <row r="19" spans="4:9" s="348" customFormat="1" x14ac:dyDescent="0.2">
      <c r="D19" s="721" t="s">
        <v>2004</v>
      </c>
      <c r="E19" s="721"/>
      <c r="F19" s="721"/>
      <c r="G19" s="721"/>
      <c r="H19" s="183">
        <v>5000</v>
      </c>
      <c r="I19" s="183">
        <v>7500</v>
      </c>
    </row>
    <row r="20" spans="4:9" s="348" customFormat="1" x14ac:dyDescent="0.2">
      <c r="D20" s="721" t="s">
        <v>2005</v>
      </c>
      <c r="E20" s="721"/>
      <c r="F20" s="721"/>
      <c r="G20" s="721"/>
      <c r="H20" s="183">
        <v>3000</v>
      </c>
      <c r="I20" s="183">
        <v>4500</v>
      </c>
    </row>
    <row r="21" spans="4:9" s="348" customFormat="1" x14ac:dyDescent="0.2">
      <c r="D21" s="721"/>
      <c r="E21" s="721"/>
      <c r="F21" s="721"/>
      <c r="G21" s="721"/>
      <c r="H21" s="183"/>
      <c r="I21" s="183"/>
    </row>
    <row r="22" spans="4:9" s="348" customFormat="1" x14ac:dyDescent="0.2">
      <c r="D22" s="721"/>
      <c r="E22" s="721"/>
      <c r="F22" s="721"/>
      <c r="G22" s="721"/>
      <c r="H22" s="183"/>
      <c r="I22" s="183"/>
    </row>
    <row r="23" spans="4:9" s="348" customFormat="1" x14ac:dyDescent="0.2"/>
    <row r="24" spans="4:9" s="348" customFormat="1" x14ac:dyDescent="0.2"/>
    <row r="25" spans="4:9" s="348" customFormat="1" x14ac:dyDescent="0.2">
      <c r="D25" s="903" t="s">
        <v>1629</v>
      </c>
      <c r="E25" s="904"/>
      <c r="F25" s="904"/>
      <c r="G25" s="904"/>
      <c r="H25" s="904"/>
      <c r="I25" s="904"/>
    </row>
    <row r="26" spans="4:9" s="348" customFormat="1" x14ac:dyDescent="0.2">
      <c r="D26" s="721" t="s">
        <v>2006</v>
      </c>
      <c r="E26" s="721"/>
      <c r="F26" s="721"/>
      <c r="G26" s="721"/>
      <c r="H26" s="721"/>
      <c r="I26" s="721"/>
    </row>
    <row r="27" spans="4:9" s="348" customFormat="1" x14ac:dyDescent="0.2">
      <c r="D27" s="721"/>
      <c r="E27" s="721"/>
      <c r="F27" s="721"/>
      <c r="G27" s="721"/>
      <c r="H27" s="721"/>
      <c r="I27" s="721"/>
    </row>
    <row r="28" spans="4:9" s="348" customFormat="1" x14ac:dyDescent="0.2">
      <c r="D28" s="721"/>
      <c r="E28" s="721"/>
      <c r="F28" s="721"/>
      <c r="G28" s="721"/>
      <c r="H28" s="721"/>
      <c r="I28" s="721"/>
    </row>
    <row r="29" spans="4:9" s="348" customFormat="1" x14ac:dyDescent="0.2">
      <c r="D29" s="721"/>
      <c r="E29" s="721"/>
      <c r="F29" s="721"/>
      <c r="G29" s="721"/>
      <c r="H29" s="721"/>
      <c r="I29" s="721"/>
    </row>
    <row r="30" spans="4:9" s="348" customFormat="1" x14ac:dyDescent="0.2"/>
    <row r="31" spans="4:9" s="348" customFormat="1" x14ac:dyDescent="0.2">
      <c r="D31" s="903" t="s">
        <v>1628</v>
      </c>
      <c r="E31" s="904"/>
      <c r="F31" s="904"/>
      <c r="G31" s="904"/>
      <c r="H31" s="904"/>
      <c r="I31" s="904"/>
    </row>
    <row r="32" spans="4:9" s="348" customFormat="1" x14ac:dyDescent="0.2">
      <c r="D32" s="721" t="s">
        <v>2006</v>
      </c>
      <c r="E32" s="721"/>
      <c r="F32" s="721"/>
      <c r="G32" s="721"/>
      <c r="H32" s="721"/>
      <c r="I32" s="721"/>
    </row>
    <row r="33" spans="4:15" s="348" customFormat="1" x14ac:dyDescent="0.2">
      <c r="D33" s="721"/>
      <c r="E33" s="721"/>
      <c r="F33" s="721"/>
      <c r="G33" s="721"/>
      <c r="H33" s="721"/>
      <c r="I33" s="721"/>
    </row>
    <row r="34" spans="4:15" s="348" customFormat="1" x14ac:dyDescent="0.2">
      <c r="D34" s="721"/>
      <c r="E34" s="721"/>
      <c r="F34" s="721"/>
      <c r="G34" s="721"/>
      <c r="H34" s="721"/>
      <c r="I34" s="721"/>
    </row>
    <row r="35" spans="4:15" s="348" customFormat="1" x14ac:dyDescent="0.2">
      <c r="D35" s="721"/>
      <c r="E35" s="721"/>
      <c r="F35" s="721"/>
      <c r="G35" s="721"/>
      <c r="H35" s="721"/>
      <c r="I35" s="721"/>
    </row>
    <row r="36" spans="4:15" s="348" customFormat="1" x14ac:dyDescent="0.2"/>
    <row r="37" spans="4:15" s="348" customFormat="1" ht="15" x14ac:dyDescent="0.2">
      <c r="D37" s="667" t="s">
        <v>851</v>
      </c>
    </row>
    <row r="38" spans="4:15" s="348" customFormat="1" ht="15" x14ac:dyDescent="0.2">
      <c r="D38" s="667" t="s">
        <v>849</v>
      </c>
    </row>
    <row r="39" spans="4:15" s="348" customFormat="1" x14ac:dyDescent="0.2">
      <c r="D39" s="668" t="str">
        <f t="shared" ref="D39:D42" si="4">D19</f>
        <v>National Programme Microplanning</v>
      </c>
      <c r="J39" s="183">
        <v>1</v>
      </c>
      <c r="K39" s="183">
        <v>1</v>
      </c>
      <c r="L39" s="183">
        <v>1</v>
      </c>
      <c r="M39" s="183">
        <v>1</v>
      </c>
      <c r="N39" s="183">
        <v>1</v>
      </c>
      <c r="O39" s="183">
        <v>1</v>
      </c>
    </row>
    <row r="40" spans="4:15" s="348" customFormat="1" x14ac:dyDescent="0.2">
      <c r="D40" s="668" t="str">
        <f t="shared" si="4"/>
        <v>Provincial Programme Microplanning</v>
      </c>
      <c r="J40" s="183">
        <v>10</v>
      </c>
      <c r="K40" s="183">
        <v>10</v>
      </c>
      <c r="L40" s="183">
        <v>10</v>
      </c>
      <c r="M40" s="183">
        <v>10</v>
      </c>
      <c r="N40" s="183">
        <v>10</v>
      </c>
      <c r="O40" s="183">
        <v>10</v>
      </c>
    </row>
    <row r="41" spans="4:15" s="348" customFormat="1" x14ac:dyDescent="0.2">
      <c r="D41" s="668">
        <f t="shared" si="4"/>
        <v>0</v>
      </c>
      <c r="J41" s="183">
        <v>0</v>
      </c>
      <c r="K41" s="183">
        <v>0</v>
      </c>
      <c r="L41" s="183">
        <v>0</v>
      </c>
      <c r="M41" s="183">
        <v>0</v>
      </c>
      <c r="N41" s="183">
        <v>0</v>
      </c>
      <c r="O41" s="183">
        <v>0</v>
      </c>
    </row>
    <row r="42" spans="4:15" s="348" customFormat="1" x14ac:dyDescent="0.2">
      <c r="D42" s="668">
        <f t="shared" si="4"/>
        <v>0</v>
      </c>
      <c r="J42" s="183">
        <v>0</v>
      </c>
      <c r="K42" s="183">
        <v>0</v>
      </c>
      <c r="L42" s="183">
        <v>0</v>
      </c>
      <c r="M42" s="183">
        <v>0</v>
      </c>
      <c r="N42" s="183">
        <v>0</v>
      </c>
      <c r="O42" s="183">
        <v>0</v>
      </c>
    </row>
    <row r="43" spans="4:15" s="348" customFormat="1" x14ac:dyDescent="0.2"/>
    <row r="44" spans="4:15" s="348" customFormat="1" ht="15" x14ac:dyDescent="0.2">
      <c r="D44" s="667" t="s">
        <v>850</v>
      </c>
    </row>
    <row r="45" spans="4:15" s="348" customFormat="1" x14ac:dyDescent="0.2">
      <c r="D45" s="785" t="str">
        <f t="shared" ref="D45:D48" si="5">D19</f>
        <v>National Programme Microplanning</v>
      </c>
      <c r="E45" s="786"/>
      <c r="F45" s="786"/>
      <c r="G45" s="786"/>
      <c r="H45" s="668"/>
      <c r="J45" s="721" t="s">
        <v>2007</v>
      </c>
      <c r="K45" s="721"/>
      <c r="L45" s="721"/>
      <c r="M45" s="721"/>
      <c r="N45" s="721"/>
      <c r="O45" s="721"/>
    </row>
    <row r="46" spans="4:15" s="348" customFormat="1" x14ac:dyDescent="0.2">
      <c r="D46" s="785" t="str">
        <f t="shared" si="5"/>
        <v>Provincial Programme Microplanning</v>
      </c>
      <c r="E46" s="786"/>
      <c r="F46" s="786"/>
      <c r="G46" s="786"/>
      <c r="H46" s="668"/>
      <c r="J46" s="721" t="s">
        <v>2007</v>
      </c>
      <c r="K46" s="721"/>
      <c r="L46" s="721"/>
      <c r="M46" s="721"/>
      <c r="N46" s="721"/>
      <c r="O46" s="721"/>
    </row>
    <row r="47" spans="4:15" s="348" customFormat="1" x14ac:dyDescent="0.2">
      <c r="D47" s="785">
        <f t="shared" si="5"/>
        <v>0</v>
      </c>
      <c r="E47" s="786"/>
      <c r="F47" s="786"/>
      <c r="G47" s="786"/>
      <c r="H47" s="668"/>
      <c r="J47" s="721"/>
      <c r="K47" s="721"/>
      <c r="L47" s="721"/>
      <c r="M47" s="721"/>
      <c r="N47" s="721"/>
      <c r="O47" s="721"/>
    </row>
    <row r="48" spans="4:15" s="348" customFormat="1" x14ac:dyDescent="0.2">
      <c r="D48" s="785">
        <f t="shared" si="5"/>
        <v>0</v>
      </c>
      <c r="E48" s="786"/>
      <c r="F48" s="786"/>
      <c r="G48" s="786"/>
      <c r="H48" s="668"/>
      <c r="J48" s="721"/>
      <c r="K48" s="721"/>
      <c r="L48" s="721"/>
      <c r="M48" s="721"/>
      <c r="N48" s="721"/>
      <c r="O48" s="721"/>
    </row>
    <row r="49" spans="2:15" s="348" customFormat="1" x14ac:dyDescent="0.2"/>
    <row r="50" spans="2:15" s="348" customFormat="1" x14ac:dyDescent="0.2"/>
    <row r="51" spans="2:15" s="348" customFormat="1" ht="15" x14ac:dyDescent="0.2">
      <c r="D51" s="667" t="s">
        <v>167</v>
      </c>
    </row>
    <row r="52" spans="2:15" s="348" customFormat="1" ht="12.95" hidden="1" customHeight="1" outlineLevel="1" x14ac:dyDescent="0.2">
      <c r="D52" s="785" t="str">
        <f>Econ_Ann_TA!D13</f>
        <v>USD</v>
      </c>
      <c r="E52" s="786"/>
      <c r="F52" s="786"/>
      <c r="G52" s="786"/>
      <c r="J52" s="137">
        <f>Econ_Ann_TA!J13</f>
        <v>1</v>
      </c>
      <c r="K52" s="137">
        <f>Econ_Ann_TA!K13</f>
        <v>1</v>
      </c>
      <c r="L52" s="137">
        <f>Econ_Ann_TA!L13</f>
        <v>1</v>
      </c>
      <c r="M52" s="137">
        <f>Econ_Ann_TA!M13</f>
        <v>1</v>
      </c>
      <c r="N52" s="137">
        <f>Econ_Ann_TA!N13</f>
        <v>1</v>
      </c>
      <c r="O52" s="137">
        <f>Econ_Ann_TA!O13</f>
        <v>1</v>
      </c>
    </row>
    <row r="53" spans="2:15" s="348" customFormat="1" hidden="1" outlineLevel="1" x14ac:dyDescent="0.2">
      <c r="D53" s="785" t="str">
        <f>Econ_Ann_TA!D14</f>
        <v>ZMW</v>
      </c>
      <c r="E53" s="786"/>
      <c r="F53" s="786"/>
      <c r="G53" s="786"/>
      <c r="J53" s="137">
        <f>Econ_Ann_TA!J14</f>
        <v>10.971399999999999</v>
      </c>
      <c r="K53" s="137">
        <f>Econ_Ann_TA!K14</f>
        <v>10.971399999999999</v>
      </c>
      <c r="L53" s="137">
        <f>Econ_Ann_TA!L14</f>
        <v>10.971399999999999</v>
      </c>
      <c r="M53" s="137">
        <f>Econ_Ann_TA!M14</f>
        <v>10.971399999999999</v>
      </c>
      <c r="N53" s="137">
        <f>Econ_Ann_TA!N14</f>
        <v>10.971399999999999</v>
      </c>
      <c r="O53" s="137">
        <f>Econ_Ann_TA!O14</f>
        <v>10.971399999999999</v>
      </c>
    </row>
    <row r="54" spans="2:15" s="348" customFormat="1" collapsed="1" x14ac:dyDescent="0.2"/>
    <row r="55" spans="2:15" s="348" customFormat="1" x14ac:dyDescent="0.2">
      <c r="C55" s="722" t="str">
        <f>"Go to "&amp;HL_Micro_Out</f>
        <v>Go to Microplanning - Outputs</v>
      </c>
      <c r="D55" s="777"/>
      <c r="E55" s="777"/>
      <c r="F55" s="777"/>
      <c r="G55" s="777"/>
      <c r="H55" s="777"/>
      <c r="I55" s="777"/>
    </row>
    <row r="56" spans="2:15" s="348" customFormat="1" x14ac:dyDescent="0.2"/>
    <row r="57" spans="2:15" s="348" customFormat="1" x14ac:dyDescent="0.2"/>
    <row r="58" spans="2:15" s="348" customFormat="1" ht="18.75" x14ac:dyDescent="0.2">
      <c r="B58" s="425" t="s">
        <v>87</v>
      </c>
    </row>
    <row r="59" spans="2:15" s="348" customFormat="1" x14ac:dyDescent="0.2"/>
    <row r="60" spans="2:15" s="348" customFormat="1" ht="15.75" customHeight="1" x14ac:dyDescent="0.2">
      <c r="C60" s="671" t="s">
        <v>215</v>
      </c>
      <c r="H60" s="677">
        <v>1</v>
      </c>
    </row>
    <row r="61" spans="2:15" s="348" customFormat="1" x14ac:dyDescent="0.2"/>
    <row r="62" spans="2:15" s="348" customFormat="1" ht="15.75" x14ac:dyDescent="0.2">
      <c r="C62" s="664" t="s">
        <v>146</v>
      </c>
    </row>
    <row r="63" spans="2:15" s="348" customFormat="1" x14ac:dyDescent="0.2"/>
    <row r="64" spans="2:15" s="348" customFormat="1" ht="75" x14ac:dyDescent="0.2">
      <c r="D64" s="782" t="s">
        <v>641</v>
      </c>
      <c r="E64" s="783"/>
      <c r="F64" s="783"/>
      <c r="G64" s="783"/>
      <c r="H64" s="676" t="s">
        <v>642</v>
      </c>
      <c r="I64" s="132" t="str">
        <f>"Financial Cost ("&amp;INDEX(LU_Train_Curr,DD_Train_Curr)&amp;") - based on max # participants"</f>
        <v>Financial Cost (USD) - based on max # participants</v>
      </c>
      <c r="J64" s="132" t="str">
        <f>"Economic Cost ("&amp;INDEX(LU_Train_Curr,DD_Train_Curr)&amp;") - based on max # participants"</f>
        <v>Economic Cost (USD) - based on max # participants</v>
      </c>
      <c r="K64" s="923" t="s">
        <v>1191</v>
      </c>
      <c r="L64" s="924"/>
      <c r="M64" s="924"/>
      <c r="N64" s="924"/>
      <c r="O64" s="924"/>
    </row>
    <row r="65" spans="4:15" s="348" customFormat="1" x14ac:dyDescent="0.2">
      <c r="D65" s="922" t="s">
        <v>2008</v>
      </c>
      <c r="E65" s="922"/>
      <c r="F65" s="922"/>
      <c r="G65" s="922"/>
      <c r="H65" s="183">
        <v>25</v>
      </c>
      <c r="I65" s="183">
        <v>5000</v>
      </c>
      <c r="J65" s="183">
        <v>7500</v>
      </c>
      <c r="K65" s="721"/>
      <c r="L65" s="721"/>
      <c r="M65" s="721"/>
      <c r="N65" s="721"/>
      <c r="O65" s="721"/>
    </row>
    <row r="66" spans="4:15" s="348" customFormat="1" x14ac:dyDescent="0.2">
      <c r="D66" s="922" t="s">
        <v>2009</v>
      </c>
      <c r="E66" s="922"/>
      <c r="F66" s="922"/>
      <c r="G66" s="922"/>
      <c r="H66" s="183">
        <v>25</v>
      </c>
      <c r="I66" s="183">
        <v>5000</v>
      </c>
      <c r="J66" s="183">
        <v>7500</v>
      </c>
      <c r="K66" s="721"/>
      <c r="L66" s="721"/>
      <c r="M66" s="721"/>
      <c r="N66" s="721"/>
      <c r="O66" s="721"/>
    </row>
    <row r="67" spans="4:15" s="348" customFormat="1" x14ac:dyDescent="0.2">
      <c r="D67" s="922"/>
      <c r="E67" s="922"/>
      <c r="F67" s="922"/>
      <c r="G67" s="922"/>
      <c r="H67" s="183"/>
      <c r="I67" s="183"/>
      <c r="J67" s="183"/>
      <c r="K67" s="721"/>
      <c r="L67" s="721"/>
      <c r="M67" s="721"/>
      <c r="N67" s="721"/>
      <c r="O67" s="721"/>
    </row>
    <row r="68" spans="4:15" s="348" customFormat="1" x14ac:dyDescent="0.2">
      <c r="D68" s="922"/>
      <c r="E68" s="922"/>
      <c r="F68" s="922"/>
      <c r="G68" s="922"/>
      <c r="H68" s="183"/>
      <c r="I68" s="183"/>
      <c r="J68" s="183"/>
      <c r="K68" s="721"/>
      <c r="L68" s="721"/>
      <c r="M68" s="721"/>
      <c r="N68" s="721"/>
      <c r="O68" s="721"/>
    </row>
    <row r="69" spans="4:15" s="348" customFormat="1" x14ac:dyDescent="0.2">
      <c r="D69" s="922"/>
      <c r="E69" s="922"/>
      <c r="F69" s="922"/>
      <c r="G69" s="922"/>
      <c r="H69" s="183"/>
      <c r="I69" s="183"/>
      <c r="J69" s="183"/>
      <c r="K69" s="721"/>
      <c r="L69" s="721"/>
      <c r="M69" s="721"/>
      <c r="N69" s="721"/>
      <c r="O69" s="721"/>
    </row>
    <row r="70" spans="4:15" s="348" customFormat="1" x14ac:dyDescent="0.2">
      <c r="D70" s="922"/>
      <c r="E70" s="922"/>
      <c r="F70" s="922"/>
      <c r="G70" s="922"/>
      <c r="H70" s="183"/>
      <c r="I70" s="183"/>
      <c r="J70" s="183"/>
      <c r="K70" s="721"/>
      <c r="L70" s="721"/>
      <c r="M70" s="721"/>
      <c r="N70" s="721"/>
      <c r="O70" s="721"/>
    </row>
    <row r="71" spans="4:15" s="348" customFormat="1" x14ac:dyDescent="0.2">
      <c r="D71" s="922"/>
      <c r="E71" s="922"/>
      <c r="F71" s="922"/>
      <c r="G71" s="922"/>
      <c r="H71" s="183">
        <v>0</v>
      </c>
      <c r="I71" s="183">
        <v>0</v>
      </c>
      <c r="J71" s="183">
        <v>0</v>
      </c>
      <c r="K71" s="721"/>
      <c r="L71" s="721"/>
      <c r="M71" s="721"/>
      <c r="N71" s="721"/>
      <c r="O71" s="721"/>
    </row>
    <row r="72" spans="4:15" s="348" customFormat="1" x14ac:dyDescent="0.2"/>
    <row r="73" spans="4:15" s="348" customFormat="1" x14ac:dyDescent="0.2"/>
    <row r="74" spans="4:15" s="348" customFormat="1" ht="15" x14ac:dyDescent="0.2">
      <c r="D74" s="667" t="s">
        <v>852</v>
      </c>
    </row>
    <row r="75" spans="4:15" s="348" customFormat="1" x14ac:dyDescent="0.2">
      <c r="D75" s="668" t="str">
        <f t="shared" ref="D75:D81" si="6">D65</f>
        <v>VIA and Cryotherapy Training</v>
      </c>
      <c r="J75" s="183">
        <v>10</v>
      </c>
      <c r="K75" s="183">
        <v>10</v>
      </c>
      <c r="L75" s="183">
        <v>10</v>
      </c>
      <c r="M75" s="183">
        <v>10</v>
      </c>
      <c r="N75" s="183">
        <v>10</v>
      </c>
      <c r="O75" s="183">
        <v>10</v>
      </c>
    </row>
    <row r="76" spans="4:15" s="348" customFormat="1" x14ac:dyDescent="0.2">
      <c r="D76" s="668" t="str">
        <f t="shared" si="6"/>
        <v>LEEP Training</v>
      </c>
      <c r="J76" s="183">
        <v>10</v>
      </c>
      <c r="K76" s="183">
        <v>10</v>
      </c>
      <c r="L76" s="183">
        <v>10</v>
      </c>
      <c r="M76" s="183">
        <v>10</v>
      </c>
      <c r="N76" s="183">
        <v>10</v>
      </c>
      <c r="O76" s="183">
        <v>10</v>
      </c>
    </row>
    <row r="77" spans="4:15" s="348" customFormat="1" x14ac:dyDescent="0.2">
      <c r="D77" s="668">
        <f t="shared" si="6"/>
        <v>0</v>
      </c>
      <c r="J77" s="183"/>
      <c r="K77" s="183"/>
      <c r="L77" s="183"/>
      <c r="M77" s="183"/>
      <c r="N77" s="183"/>
      <c r="O77" s="183"/>
    </row>
    <row r="78" spans="4:15" s="348" customFormat="1" x14ac:dyDescent="0.2">
      <c r="D78" s="668">
        <f t="shared" si="6"/>
        <v>0</v>
      </c>
      <c r="J78" s="183"/>
      <c r="K78" s="183"/>
      <c r="L78" s="183"/>
      <c r="M78" s="183"/>
      <c r="N78" s="183"/>
      <c r="O78" s="183"/>
    </row>
    <row r="79" spans="4:15" s="348" customFormat="1" x14ac:dyDescent="0.2">
      <c r="D79" s="668">
        <f t="shared" si="6"/>
        <v>0</v>
      </c>
      <c r="J79" s="183"/>
      <c r="K79" s="183"/>
      <c r="L79" s="183"/>
      <c r="M79" s="183"/>
      <c r="N79" s="183"/>
      <c r="O79" s="183"/>
    </row>
    <row r="80" spans="4:15" s="348" customFormat="1" x14ac:dyDescent="0.2">
      <c r="D80" s="668">
        <f t="shared" si="6"/>
        <v>0</v>
      </c>
      <c r="J80" s="183">
        <v>0</v>
      </c>
      <c r="K80" s="183">
        <v>0</v>
      </c>
      <c r="L80" s="183">
        <v>0</v>
      </c>
      <c r="M80" s="183">
        <v>0</v>
      </c>
      <c r="N80" s="183">
        <v>0</v>
      </c>
      <c r="O80" s="183">
        <v>0</v>
      </c>
    </row>
    <row r="81" spans="3:15" s="348" customFormat="1" x14ac:dyDescent="0.2">
      <c r="D81" s="668">
        <f t="shared" si="6"/>
        <v>0</v>
      </c>
      <c r="J81" s="183">
        <v>0</v>
      </c>
      <c r="K81" s="183">
        <v>0</v>
      </c>
      <c r="L81" s="183">
        <v>0</v>
      </c>
      <c r="M81" s="183">
        <v>0</v>
      </c>
      <c r="N81" s="183">
        <v>0</v>
      </c>
      <c r="O81" s="183">
        <v>0</v>
      </c>
    </row>
    <row r="82" spans="3:15" s="348" customFormat="1" x14ac:dyDescent="0.2"/>
    <row r="83" spans="3:15" s="348" customFormat="1" x14ac:dyDescent="0.2"/>
    <row r="84" spans="3:15" s="348" customFormat="1" ht="15" x14ac:dyDescent="0.2">
      <c r="D84" s="667" t="s">
        <v>853</v>
      </c>
    </row>
    <row r="85" spans="3:15" s="348" customFormat="1" x14ac:dyDescent="0.2">
      <c r="D85" s="668" t="str">
        <f t="shared" ref="D85:D91" si="7">D65</f>
        <v>VIA and Cryotherapy Training</v>
      </c>
      <c r="I85" s="721" t="s">
        <v>2007</v>
      </c>
      <c r="J85" s="721"/>
      <c r="K85" s="721"/>
      <c r="L85" s="721"/>
      <c r="M85" s="721"/>
      <c r="N85" s="721"/>
      <c r="O85" s="721"/>
    </row>
    <row r="86" spans="3:15" s="348" customFormat="1" x14ac:dyDescent="0.2">
      <c r="D86" s="668" t="str">
        <f t="shared" si="7"/>
        <v>LEEP Training</v>
      </c>
      <c r="I86" s="721"/>
      <c r="J86" s="721"/>
      <c r="K86" s="721"/>
      <c r="L86" s="721"/>
      <c r="M86" s="721"/>
      <c r="N86" s="721"/>
      <c r="O86" s="721"/>
    </row>
    <row r="87" spans="3:15" s="348" customFormat="1" x14ac:dyDescent="0.2">
      <c r="D87" s="668">
        <f t="shared" si="7"/>
        <v>0</v>
      </c>
      <c r="I87" s="721"/>
      <c r="J87" s="721"/>
      <c r="K87" s="721"/>
      <c r="L87" s="721"/>
      <c r="M87" s="721"/>
      <c r="N87" s="721"/>
      <c r="O87" s="721"/>
    </row>
    <row r="88" spans="3:15" s="348" customFormat="1" x14ac:dyDescent="0.2">
      <c r="D88" s="668">
        <f t="shared" si="7"/>
        <v>0</v>
      </c>
      <c r="I88" s="721"/>
      <c r="J88" s="721"/>
      <c r="K88" s="721"/>
      <c r="L88" s="721"/>
      <c r="M88" s="721"/>
      <c r="N88" s="721"/>
      <c r="O88" s="721"/>
    </row>
    <row r="89" spans="3:15" s="348" customFormat="1" x14ac:dyDescent="0.2">
      <c r="D89" s="668">
        <f t="shared" si="7"/>
        <v>0</v>
      </c>
      <c r="I89" s="721"/>
      <c r="J89" s="721"/>
      <c r="K89" s="721"/>
      <c r="L89" s="721"/>
      <c r="M89" s="721"/>
      <c r="N89" s="721"/>
      <c r="O89" s="721"/>
    </row>
    <row r="90" spans="3:15" s="348" customFormat="1" x14ac:dyDescent="0.2">
      <c r="D90" s="668">
        <f t="shared" si="7"/>
        <v>0</v>
      </c>
      <c r="I90" s="721"/>
      <c r="J90" s="721"/>
      <c r="K90" s="721"/>
      <c r="L90" s="721"/>
      <c r="M90" s="721"/>
      <c r="N90" s="721"/>
      <c r="O90" s="721"/>
    </row>
    <row r="91" spans="3:15" s="348" customFormat="1" x14ac:dyDescent="0.2">
      <c r="D91" s="668">
        <f t="shared" si="7"/>
        <v>0</v>
      </c>
      <c r="I91" s="721"/>
      <c r="J91" s="721"/>
      <c r="K91" s="721"/>
      <c r="L91" s="721"/>
      <c r="M91" s="721"/>
      <c r="N91" s="721"/>
      <c r="O91" s="721"/>
    </row>
    <row r="92" spans="3:15" s="348" customFormat="1" x14ac:dyDescent="0.2"/>
    <row r="93" spans="3:15" s="348" customFormat="1" x14ac:dyDescent="0.2"/>
    <row r="94" spans="3:15" s="348" customFormat="1" x14ac:dyDescent="0.2">
      <c r="C94" s="671" t="s">
        <v>734</v>
      </c>
    </row>
    <row r="95" spans="3:15" s="348" customFormat="1" outlineLevel="1" x14ac:dyDescent="0.2"/>
    <row r="96" spans="3:15" s="348" customFormat="1" ht="15" outlineLevel="1" x14ac:dyDescent="0.2">
      <c r="D96" s="667" t="s">
        <v>167</v>
      </c>
    </row>
    <row r="97" spans="2:15" s="348" customFormat="1" outlineLevel="1" x14ac:dyDescent="0.2">
      <c r="D97" s="785" t="str">
        <f>Econ_Ann_TA!D13</f>
        <v>USD</v>
      </c>
      <c r="E97" s="786"/>
      <c r="F97" s="786"/>
      <c r="G97" s="786"/>
      <c r="J97" s="137">
        <f>Econ_Ann_TA!J13</f>
        <v>1</v>
      </c>
      <c r="K97" s="137">
        <f>Econ_Ann_TA!K13</f>
        <v>1</v>
      </c>
      <c r="L97" s="137">
        <f>Econ_Ann_TA!L13</f>
        <v>1</v>
      </c>
      <c r="M97" s="137">
        <f>Econ_Ann_TA!M13</f>
        <v>1</v>
      </c>
      <c r="N97" s="137">
        <f>Econ_Ann_TA!N13</f>
        <v>1</v>
      </c>
      <c r="O97" s="137">
        <f>Econ_Ann_TA!O13</f>
        <v>1</v>
      </c>
    </row>
    <row r="98" spans="2:15" s="348" customFormat="1" outlineLevel="1" x14ac:dyDescent="0.2">
      <c r="D98" s="785" t="str">
        <f>Econ_Ann_TA!D14</f>
        <v>ZMW</v>
      </c>
      <c r="E98" s="786"/>
      <c r="F98" s="786"/>
      <c r="G98" s="786"/>
      <c r="J98" s="137">
        <f>Econ_Ann_TA!J14</f>
        <v>10.971399999999999</v>
      </c>
      <c r="K98" s="137">
        <f>Econ_Ann_TA!K14</f>
        <v>10.971399999999999</v>
      </c>
      <c r="L98" s="137">
        <f>Econ_Ann_TA!L14</f>
        <v>10.971399999999999</v>
      </c>
      <c r="M98" s="137">
        <f>Econ_Ann_TA!M14</f>
        <v>10.971399999999999</v>
      </c>
      <c r="N98" s="137">
        <f>Econ_Ann_TA!N14</f>
        <v>10.971399999999999</v>
      </c>
      <c r="O98" s="137">
        <f>Econ_Ann_TA!O14</f>
        <v>10.971399999999999</v>
      </c>
    </row>
    <row r="99" spans="2:15" s="348" customFormat="1" x14ac:dyDescent="0.2"/>
    <row r="100" spans="2:15" s="348" customFormat="1" x14ac:dyDescent="0.2">
      <c r="C100" s="722" t="str">
        <f>"Go to "&amp;HL_Train_Out</f>
        <v>Go to Training - Outputs</v>
      </c>
      <c r="D100" s="777"/>
      <c r="E100" s="777"/>
      <c r="F100" s="777"/>
      <c r="G100" s="777"/>
      <c r="H100" s="777"/>
      <c r="I100" s="777"/>
    </row>
    <row r="101" spans="2:15" s="348" customFormat="1" x14ac:dyDescent="0.2"/>
    <row r="102" spans="2:15" s="348" customFormat="1" x14ac:dyDescent="0.2"/>
    <row r="103" spans="2:15" s="348" customFormat="1" ht="18.75" x14ac:dyDescent="0.2">
      <c r="B103" s="425" t="s">
        <v>2012</v>
      </c>
    </row>
    <row r="104" spans="2:15" s="348" customFormat="1" x14ac:dyDescent="0.2"/>
    <row r="105" spans="2:15" s="348" customFormat="1" ht="15.75" customHeight="1" x14ac:dyDescent="0.2">
      <c r="C105" s="671" t="s">
        <v>215</v>
      </c>
      <c r="H105" s="677">
        <v>1</v>
      </c>
    </row>
    <row r="106" spans="2:15" s="348" customFormat="1" x14ac:dyDescent="0.2"/>
    <row r="107" spans="2:15" s="348" customFormat="1" ht="15.75" x14ac:dyDescent="0.2">
      <c r="C107" s="664" t="s">
        <v>2010</v>
      </c>
    </row>
    <row r="108" spans="2:15" s="348" customFormat="1" x14ac:dyDescent="0.2"/>
    <row r="109" spans="2:15" s="348" customFormat="1" ht="45" x14ac:dyDescent="0.2">
      <c r="D109" s="914" t="s">
        <v>2014</v>
      </c>
      <c r="E109" s="915"/>
      <c r="F109" s="915"/>
      <c r="G109" s="915"/>
      <c r="H109" s="132" t="str">
        <f>"Financial Cost ("&amp;INDEX(LU_Comm_Curr,DD_Comm_Curr)&amp;"/Unit)"</f>
        <v>Financial Cost (USD/Unit)</v>
      </c>
      <c r="I109" s="132" t="str">
        <f>"Economic Cost ("&amp;INDEX(LU_Comm_Curr,DD_Comm_Curr)&amp;"/Unit)"</f>
        <v>Economic Cost (USD/Unit)</v>
      </c>
    </row>
    <row r="110" spans="2:15" s="348" customFormat="1" ht="15" x14ac:dyDescent="0.2">
      <c r="D110" s="667" t="s">
        <v>2016</v>
      </c>
      <c r="H110" s="314">
        <v>1500</v>
      </c>
      <c r="I110" s="314">
        <v>2000</v>
      </c>
    </row>
    <row r="111" spans="2:15" s="348" customFormat="1" ht="15" x14ac:dyDescent="0.2">
      <c r="D111" s="667" t="s">
        <v>2017</v>
      </c>
      <c r="H111" s="314">
        <v>2000</v>
      </c>
      <c r="I111" s="314">
        <v>2500</v>
      </c>
    </row>
    <row r="112" spans="2:15" s="348" customFormat="1" ht="15" x14ac:dyDescent="0.2">
      <c r="D112" s="667" t="s">
        <v>2018</v>
      </c>
      <c r="H112" s="314">
        <v>1800</v>
      </c>
      <c r="I112" s="314">
        <v>2500</v>
      </c>
    </row>
    <row r="113" spans="3:15" s="348" customFormat="1" ht="15" x14ac:dyDescent="0.2">
      <c r="D113" s="667" t="s">
        <v>2013</v>
      </c>
      <c r="H113" s="314">
        <v>2200</v>
      </c>
      <c r="I113" s="314">
        <v>2800</v>
      </c>
    </row>
    <row r="114" spans="3:15" s="348" customFormat="1" x14ac:dyDescent="0.2"/>
    <row r="115" spans="3:15" s="348" customFormat="1" ht="15" x14ac:dyDescent="0.2">
      <c r="C115" s="667" t="s">
        <v>2019</v>
      </c>
    </row>
    <row r="116" spans="3:15" s="348" customFormat="1" x14ac:dyDescent="0.2">
      <c r="D116" s="721" t="s">
        <v>2007</v>
      </c>
      <c r="E116" s="721"/>
      <c r="F116" s="721"/>
      <c r="G116" s="721"/>
      <c r="H116" s="721"/>
      <c r="I116" s="721"/>
    </row>
    <row r="117" spans="3:15" s="348" customFormat="1" x14ac:dyDescent="0.2">
      <c r="D117" s="721"/>
      <c r="E117" s="721"/>
      <c r="F117" s="721"/>
      <c r="G117" s="721"/>
      <c r="H117" s="721"/>
      <c r="I117" s="721"/>
    </row>
    <row r="118" spans="3:15" s="348" customFormat="1" x14ac:dyDescent="0.2">
      <c r="D118" s="721"/>
      <c r="E118" s="721"/>
      <c r="F118" s="721"/>
      <c r="G118" s="721"/>
      <c r="H118" s="721"/>
      <c r="I118" s="721"/>
    </row>
    <row r="119" spans="3:15" s="348" customFormat="1" x14ac:dyDescent="0.2">
      <c r="D119" s="721"/>
      <c r="E119" s="721"/>
      <c r="F119" s="721"/>
      <c r="G119" s="721"/>
      <c r="H119" s="721"/>
      <c r="I119" s="721"/>
    </row>
    <row r="120" spans="3:15" s="348" customFormat="1" x14ac:dyDescent="0.2">
      <c r="D120" s="721"/>
      <c r="E120" s="721"/>
      <c r="F120" s="721"/>
      <c r="G120" s="721"/>
      <c r="H120" s="721"/>
      <c r="I120" s="721"/>
    </row>
    <row r="121" spans="3:15" s="348" customFormat="1" x14ac:dyDescent="0.2"/>
    <row r="122" spans="3:15" s="348" customFormat="1" x14ac:dyDescent="0.2"/>
    <row r="123" spans="3:15" s="348" customFormat="1" ht="15.75" x14ac:dyDescent="0.2">
      <c r="C123" s="664" t="s">
        <v>2015</v>
      </c>
    </row>
    <row r="124" spans="3:15" s="348" customFormat="1" ht="15" x14ac:dyDescent="0.2">
      <c r="D124" s="920" t="str">
        <f t="shared" ref="D124" si="8">D110</f>
        <v>Fixed Facility Patient Recruitment</v>
      </c>
      <c r="E124" s="921"/>
      <c r="F124" s="921"/>
      <c r="G124" s="921"/>
      <c r="J124" s="183">
        <v>4</v>
      </c>
      <c r="K124" s="183">
        <v>4</v>
      </c>
      <c r="L124" s="183">
        <v>4</v>
      </c>
      <c r="M124" s="183">
        <v>4</v>
      </c>
      <c r="N124" s="183">
        <v>4</v>
      </c>
      <c r="O124" s="183">
        <v>4</v>
      </c>
    </row>
    <row r="125" spans="3:15" s="348" customFormat="1" ht="15" x14ac:dyDescent="0.2">
      <c r="D125" s="920" t="str">
        <f t="shared" ref="D125" si="9">D111</f>
        <v>Mobile Team Patient Recruitment</v>
      </c>
      <c r="E125" s="921"/>
      <c r="F125" s="921"/>
      <c r="G125" s="921"/>
      <c r="J125" s="183">
        <v>4</v>
      </c>
      <c r="K125" s="183">
        <v>4</v>
      </c>
      <c r="L125" s="183">
        <v>4</v>
      </c>
      <c r="M125" s="183">
        <v>4</v>
      </c>
      <c r="N125" s="183">
        <v>4</v>
      </c>
      <c r="O125" s="183">
        <v>4</v>
      </c>
    </row>
    <row r="126" spans="3:15" s="348" customFormat="1" ht="15" x14ac:dyDescent="0.2">
      <c r="D126" s="920" t="str">
        <f t="shared" ref="D126" si="10">D112</f>
        <v>Fixed Facility Referral Follow-up</v>
      </c>
      <c r="E126" s="921"/>
      <c r="F126" s="921"/>
      <c r="G126" s="921"/>
      <c r="J126" s="183">
        <v>4</v>
      </c>
      <c r="K126" s="183">
        <v>4</v>
      </c>
      <c r="L126" s="183">
        <v>4</v>
      </c>
      <c r="M126" s="183">
        <v>4</v>
      </c>
      <c r="N126" s="183">
        <v>4</v>
      </c>
      <c r="O126" s="183">
        <v>4</v>
      </c>
    </row>
    <row r="127" spans="3:15" s="348" customFormat="1" ht="15" x14ac:dyDescent="0.2">
      <c r="D127" s="920" t="str">
        <f t="shared" ref="D127" si="11">D113</f>
        <v>Mobile Team Referral Follow-up</v>
      </c>
      <c r="E127" s="921"/>
      <c r="F127" s="921"/>
      <c r="G127" s="921"/>
      <c r="J127" s="183">
        <v>4</v>
      </c>
      <c r="K127" s="183">
        <v>4</v>
      </c>
      <c r="L127" s="183">
        <v>4</v>
      </c>
      <c r="M127" s="183">
        <v>4</v>
      </c>
      <c r="N127" s="183">
        <v>4</v>
      </c>
      <c r="O127" s="183">
        <v>4</v>
      </c>
    </row>
    <row r="128" spans="3:15" s="348" customFormat="1" x14ac:dyDescent="0.2"/>
    <row r="129" spans="3:9" s="348" customFormat="1" x14ac:dyDescent="0.2"/>
    <row r="130" spans="3:9" s="348" customFormat="1" x14ac:dyDescent="0.2"/>
    <row r="131" spans="3:9" s="348" customFormat="1" ht="15" x14ac:dyDescent="0.2">
      <c r="D131" s="667" t="s">
        <v>854</v>
      </c>
    </row>
    <row r="132" spans="3:9" s="348" customFormat="1" x14ac:dyDescent="0.2">
      <c r="D132" s="721" t="s">
        <v>2007</v>
      </c>
      <c r="E132" s="721"/>
      <c r="F132" s="721"/>
      <c r="G132" s="721"/>
      <c r="H132" s="721"/>
      <c r="I132" s="721"/>
    </row>
    <row r="133" spans="3:9" s="348" customFormat="1" x14ac:dyDescent="0.2">
      <c r="D133" s="721"/>
      <c r="E133" s="721"/>
      <c r="F133" s="721"/>
      <c r="G133" s="721"/>
      <c r="H133" s="721"/>
      <c r="I133" s="721"/>
    </row>
    <row r="134" spans="3:9" s="348" customFormat="1" x14ac:dyDescent="0.2">
      <c r="D134" s="721"/>
      <c r="E134" s="721"/>
      <c r="F134" s="721"/>
      <c r="G134" s="721"/>
      <c r="H134" s="721"/>
      <c r="I134" s="721"/>
    </row>
    <row r="135" spans="3:9" s="348" customFormat="1" x14ac:dyDescent="0.2">
      <c r="D135" s="721"/>
      <c r="E135" s="721"/>
      <c r="F135" s="721"/>
      <c r="G135" s="721"/>
      <c r="H135" s="721"/>
      <c r="I135" s="721"/>
    </row>
    <row r="136" spans="3:9" s="348" customFormat="1" x14ac:dyDescent="0.2">
      <c r="D136" s="721"/>
      <c r="E136" s="721"/>
      <c r="F136" s="721"/>
      <c r="G136" s="721"/>
      <c r="H136" s="721"/>
      <c r="I136" s="721"/>
    </row>
    <row r="137" spans="3:9" s="348" customFormat="1" x14ac:dyDescent="0.2">
      <c r="D137" s="721"/>
      <c r="E137" s="721"/>
      <c r="F137" s="721"/>
      <c r="G137" s="721"/>
      <c r="H137" s="721"/>
      <c r="I137" s="721"/>
    </row>
    <row r="138" spans="3:9" s="348" customFormat="1" x14ac:dyDescent="0.2">
      <c r="D138" s="721"/>
      <c r="E138" s="721"/>
      <c r="F138" s="721"/>
      <c r="G138" s="721"/>
      <c r="H138" s="721"/>
      <c r="I138" s="721"/>
    </row>
    <row r="139" spans="3:9" s="348" customFormat="1" x14ac:dyDescent="0.2"/>
    <row r="140" spans="3:9" s="348" customFormat="1" x14ac:dyDescent="0.2"/>
    <row r="141" spans="3:9" s="348" customFormat="1" ht="15.75" x14ac:dyDescent="0.2">
      <c r="C141" s="664" t="s">
        <v>2011</v>
      </c>
    </row>
    <row r="142" spans="3:9" s="348" customFormat="1" x14ac:dyDescent="0.2"/>
    <row r="143" spans="3:9" s="348" customFormat="1" ht="60" x14ac:dyDescent="0.2">
      <c r="D143" s="918" t="s">
        <v>1193</v>
      </c>
      <c r="E143" s="919"/>
      <c r="F143" s="919"/>
      <c r="G143" s="919"/>
      <c r="H143" s="132" t="str">
        <f>"Financial Cost ("&amp;INDEX(LU_Comm_Curr,DD_Comm_Curr)&amp;"/Package)"</f>
        <v>Financial Cost (USD/Package)</v>
      </c>
      <c r="I143" s="132" t="str">
        <f>"Economic Cost ("&amp;INDEX(LU_Comm_Curr,DD_Comm_Curr)&amp;"/Package)"</f>
        <v>Economic Cost (USD/Package)</v>
      </c>
    </row>
    <row r="144" spans="3:9" s="348" customFormat="1" x14ac:dyDescent="0.2">
      <c r="D144" s="905" t="s">
        <v>2022</v>
      </c>
      <c r="E144" s="906"/>
      <c r="F144" s="906"/>
      <c r="G144" s="907"/>
      <c r="H144" s="372">
        <v>400000</v>
      </c>
      <c r="I144" s="372">
        <v>450000</v>
      </c>
    </row>
    <row r="145" spans="4:15" s="348" customFormat="1" x14ac:dyDescent="0.2">
      <c r="D145" s="905" t="s">
        <v>2023</v>
      </c>
      <c r="E145" s="906"/>
      <c r="F145" s="906"/>
      <c r="G145" s="907"/>
      <c r="H145" s="372">
        <v>20000</v>
      </c>
      <c r="I145" s="372">
        <v>25000</v>
      </c>
    </row>
    <row r="146" spans="4:15" s="348" customFormat="1" x14ac:dyDescent="0.2">
      <c r="D146" s="911"/>
      <c r="E146" s="912"/>
      <c r="F146" s="912"/>
      <c r="G146" s="913"/>
      <c r="H146" s="372">
        <v>0</v>
      </c>
      <c r="I146" s="372">
        <v>0</v>
      </c>
    </row>
    <row r="147" spans="4:15" s="348" customFormat="1" x14ac:dyDescent="0.2">
      <c r="D147" s="911"/>
      <c r="E147" s="912"/>
      <c r="F147" s="912"/>
      <c r="G147" s="913"/>
      <c r="H147" s="372">
        <v>0</v>
      </c>
      <c r="I147" s="372">
        <v>0</v>
      </c>
    </row>
    <row r="148" spans="4:15" s="348" customFormat="1" x14ac:dyDescent="0.2"/>
    <row r="149" spans="4:15" s="348" customFormat="1" ht="60" x14ac:dyDescent="0.2">
      <c r="D149" s="914" t="s">
        <v>1194</v>
      </c>
      <c r="E149" s="915"/>
      <c r="F149" s="915"/>
      <c r="G149" s="915"/>
      <c r="H149" s="157" t="str">
        <f>H143</f>
        <v>Financial Cost (USD/Package)</v>
      </c>
      <c r="I149" s="157" t="str">
        <f>I143</f>
        <v>Economic Cost (USD/Package)</v>
      </c>
    </row>
    <row r="150" spans="4:15" s="348" customFormat="1" x14ac:dyDescent="0.2">
      <c r="D150" s="911" t="s">
        <v>2025</v>
      </c>
      <c r="E150" s="912"/>
      <c r="F150" s="912"/>
      <c r="G150" s="913"/>
      <c r="H150" s="372">
        <v>200000</v>
      </c>
      <c r="I150" s="372">
        <v>250000</v>
      </c>
    </row>
    <row r="151" spans="4:15" s="348" customFormat="1" x14ac:dyDescent="0.2">
      <c r="D151" s="911" t="s">
        <v>2026</v>
      </c>
      <c r="E151" s="912"/>
      <c r="F151" s="912"/>
      <c r="G151" s="913"/>
      <c r="H151" s="372">
        <v>200000</v>
      </c>
      <c r="I151" s="372">
        <v>250000</v>
      </c>
    </row>
    <row r="152" spans="4:15" s="348" customFormat="1" x14ac:dyDescent="0.2">
      <c r="D152" s="721" t="s">
        <v>2027</v>
      </c>
      <c r="E152" s="721"/>
      <c r="F152" s="721"/>
      <c r="G152" s="721"/>
      <c r="H152" s="372">
        <v>200000</v>
      </c>
      <c r="I152" s="372">
        <v>250000</v>
      </c>
    </row>
    <row r="153" spans="4:15" s="348" customFormat="1" x14ac:dyDescent="0.2">
      <c r="D153" s="911"/>
      <c r="E153" s="912"/>
      <c r="F153" s="912"/>
      <c r="G153" s="913"/>
      <c r="H153" s="372">
        <v>0</v>
      </c>
      <c r="I153" s="372">
        <v>0</v>
      </c>
    </row>
    <row r="154" spans="4:15" s="348" customFormat="1" x14ac:dyDescent="0.2"/>
    <row r="155" spans="4:15" s="348" customFormat="1" ht="15" x14ac:dyDescent="0.2">
      <c r="D155" s="284" t="s">
        <v>2024</v>
      </c>
    </row>
    <row r="156" spans="4:15" s="348" customFormat="1" x14ac:dyDescent="0.2">
      <c r="D156" s="780" t="str">
        <f t="shared" ref="D156" si="12">D144</f>
        <v>National Pink Ribbon Red Ribbon Launch</v>
      </c>
      <c r="E156" s="781"/>
      <c r="F156" s="781"/>
      <c r="G156" s="781"/>
      <c r="J156" s="183">
        <v>0</v>
      </c>
      <c r="K156" s="183">
        <v>0</v>
      </c>
      <c r="L156" s="183">
        <v>0</v>
      </c>
      <c r="M156" s="183">
        <v>0</v>
      </c>
      <c r="N156" s="183">
        <v>0</v>
      </c>
      <c r="O156" s="183">
        <v>0</v>
      </c>
    </row>
    <row r="157" spans="4:15" s="348" customFormat="1" x14ac:dyDescent="0.2">
      <c r="D157" s="916" t="str">
        <f t="shared" ref="D157" si="13">D145</f>
        <v>Provincial Pink Ribbon Red Ribbon Launch</v>
      </c>
      <c r="E157" s="917"/>
      <c r="F157" s="917"/>
      <c r="G157" s="917"/>
      <c r="J157" s="183">
        <v>0</v>
      </c>
      <c r="K157" s="183">
        <v>0</v>
      </c>
      <c r="L157" s="183">
        <v>0</v>
      </c>
      <c r="M157" s="183">
        <v>0</v>
      </c>
      <c r="N157" s="183">
        <v>0</v>
      </c>
      <c r="O157" s="183"/>
    </row>
    <row r="158" spans="4:15" s="348" customFormat="1" x14ac:dyDescent="0.2">
      <c r="D158" s="916">
        <f t="shared" ref="D158" si="14">D146</f>
        <v>0</v>
      </c>
      <c r="E158" s="917"/>
      <c r="F158" s="917"/>
      <c r="G158" s="917"/>
      <c r="J158" s="183">
        <v>0</v>
      </c>
      <c r="K158" s="183">
        <v>0</v>
      </c>
      <c r="L158" s="183">
        <v>0</v>
      </c>
      <c r="M158" s="183">
        <v>0</v>
      </c>
      <c r="N158" s="183">
        <v>0</v>
      </c>
      <c r="O158" s="183">
        <v>0</v>
      </c>
    </row>
    <row r="159" spans="4:15" s="348" customFormat="1" x14ac:dyDescent="0.2">
      <c r="D159" s="778">
        <f t="shared" ref="D159" si="15">D147</f>
        <v>0</v>
      </c>
      <c r="E159" s="779"/>
      <c r="F159" s="779"/>
      <c r="G159" s="779"/>
      <c r="J159" s="183">
        <v>0</v>
      </c>
      <c r="K159" s="183">
        <v>0</v>
      </c>
      <c r="L159" s="183">
        <v>0</v>
      </c>
      <c r="M159" s="183">
        <v>0</v>
      </c>
      <c r="N159" s="183">
        <v>0</v>
      </c>
      <c r="O159" s="183">
        <v>0</v>
      </c>
    </row>
    <row r="160" spans="4:15" s="348" customFormat="1" ht="15" x14ac:dyDescent="0.2">
      <c r="D160" s="667" t="s">
        <v>855</v>
      </c>
    </row>
    <row r="161" spans="3:15" s="348" customFormat="1" x14ac:dyDescent="0.2">
      <c r="D161" s="780" t="str">
        <f t="shared" ref="D161" si="16">D150</f>
        <v>Initial Screening Campaign</v>
      </c>
      <c r="E161" s="781"/>
      <c r="F161" s="781"/>
      <c r="G161" s="781"/>
      <c r="J161" s="183">
        <v>1</v>
      </c>
      <c r="K161" s="183">
        <v>0</v>
      </c>
      <c r="L161" s="183">
        <v>0</v>
      </c>
      <c r="M161" s="183">
        <v>1</v>
      </c>
      <c r="N161" s="183">
        <v>0</v>
      </c>
      <c r="O161" s="183">
        <v>0</v>
      </c>
    </row>
    <row r="162" spans="3:15" s="348" customFormat="1" x14ac:dyDescent="0.2">
      <c r="D162" s="916" t="str">
        <f t="shared" ref="D162" si="17">D151</f>
        <v>Re-screening Campaign</v>
      </c>
      <c r="E162" s="917"/>
      <c r="F162" s="917"/>
      <c r="G162" s="917"/>
      <c r="J162" s="183">
        <v>0</v>
      </c>
      <c r="K162" s="183">
        <v>1</v>
      </c>
      <c r="L162" s="183">
        <v>0</v>
      </c>
      <c r="M162" s="183">
        <v>0</v>
      </c>
      <c r="N162" s="183">
        <v>1</v>
      </c>
      <c r="O162" s="183">
        <v>0</v>
      </c>
    </row>
    <row r="163" spans="3:15" s="348" customFormat="1" x14ac:dyDescent="0.2">
      <c r="D163" s="916" t="str">
        <f t="shared" ref="D163" si="18">D152</f>
        <v xml:space="preserve"> Dropout Reduction Campaign</v>
      </c>
      <c r="E163" s="917"/>
      <c r="F163" s="917"/>
      <c r="G163" s="917"/>
      <c r="J163" s="183">
        <v>0</v>
      </c>
      <c r="K163" s="183">
        <v>0</v>
      </c>
      <c r="L163" s="183">
        <v>1</v>
      </c>
      <c r="M163" s="183">
        <v>0</v>
      </c>
      <c r="N163" s="183">
        <v>0</v>
      </c>
      <c r="O163" s="183">
        <v>1</v>
      </c>
    </row>
    <row r="164" spans="3:15" s="348" customFormat="1" x14ac:dyDescent="0.2">
      <c r="D164" s="778">
        <f t="shared" ref="D164" si="19">D153</f>
        <v>0</v>
      </c>
      <c r="E164" s="779"/>
      <c r="F164" s="779"/>
      <c r="G164" s="779"/>
      <c r="J164" s="183">
        <v>0</v>
      </c>
      <c r="K164" s="183">
        <v>0</v>
      </c>
      <c r="L164" s="183">
        <v>0</v>
      </c>
      <c r="M164" s="183">
        <v>0</v>
      </c>
      <c r="N164" s="183">
        <v>0</v>
      </c>
      <c r="O164" s="183">
        <v>0</v>
      </c>
    </row>
    <row r="165" spans="3:15" s="348" customFormat="1" x14ac:dyDescent="0.2"/>
    <row r="166" spans="3:15" s="348" customFormat="1" ht="15" x14ac:dyDescent="0.2">
      <c r="D166" s="667" t="s">
        <v>2028</v>
      </c>
    </row>
    <row r="167" spans="3:15" s="348" customFormat="1" x14ac:dyDescent="0.2">
      <c r="D167" s="721" t="s">
        <v>2007</v>
      </c>
      <c r="E167" s="721"/>
      <c r="F167" s="721"/>
      <c r="G167" s="721"/>
      <c r="H167" s="721"/>
      <c r="I167" s="721"/>
    </row>
    <row r="168" spans="3:15" s="348" customFormat="1" x14ac:dyDescent="0.2">
      <c r="D168" s="721"/>
      <c r="E168" s="721"/>
      <c r="F168" s="721"/>
      <c r="G168" s="721"/>
      <c r="H168" s="721"/>
      <c r="I168" s="721"/>
    </row>
    <row r="169" spans="3:15" s="348" customFormat="1" x14ac:dyDescent="0.2">
      <c r="D169" s="721"/>
      <c r="E169" s="721"/>
      <c r="F169" s="721"/>
      <c r="G169" s="721"/>
      <c r="H169" s="721"/>
      <c r="I169" s="721"/>
    </row>
    <row r="170" spans="3:15" s="348" customFormat="1" x14ac:dyDescent="0.2">
      <c r="D170" s="721"/>
      <c r="E170" s="721"/>
      <c r="F170" s="721"/>
      <c r="G170" s="721"/>
      <c r="H170" s="721"/>
      <c r="I170" s="721"/>
    </row>
    <row r="171" spans="3:15" s="348" customFormat="1" x14ac:dyDescent="0.2">
      <c r="D171" s="721"/>
      <c r="E171" s="721"/>
      <c r="F171" s="721"/>
      <c r="G171" s="721"/>
      <c r="H171" s="721"/>
      <c r="I171" s="721"/>
    </row>
    <row r="172" spans="3:15" s="348" customFormat="1" x14ac:dyDescent="0.2">
      <c r="D172" s="721"/>
      <c r="E172" s="721"/>
      <c r="F172" s="721"/>
      <c r="G172" s="721"/>
      <c r="H172" s="721"/>
      <c r="I172" s="721"/>
    </row>
    <row r="173" spans="3:15" s="348" customFormat="1" x14ac:dyDescent="0.2">
      <c r="D173" s="721"/>
      <c r="E173" s="721"/>
      <c r="F173" s="721"/>
      <c r="G173" s="721"/>
      <c r="H173" s="721"/>
      <c r="I173" s="721"/>
    </row>
    <row r="174" spans="3:15" s="348" customFormat="1" x14ac:dyDescent="0.2"/>
    <row r="175" spans="3:15" s="348" customFormat="1" x14ac:dyDescent="0.2"/>
    <row r="176" spans="3:15" s="348" customFormat="1" ht="15.75" x14ac:dyDescent="0.2">
      <c r="C176" s="664" t="s">
        <v>212</v>
      </c>
    </row>
    <row r="177" spans="2:15" s="348" customFormat="1" hidden="1" outlineLevel="1" x14ac:dyDescent="0.2"/>
    <row r="178" spans="2:15" s="348" customFormat="1" ht="15" hidden="1" outlineLevel="1" x14ac:dyDescent="0.2">
      <c r="D178" s="667" t="s">
        <v>167</v>
      </c>
    </row>
    <row r="179" spans="2:15" s="348" customFormat="1" hidden="1" outlineLevel="1" x14ac:dyDescent="0.2">
      <c r="D179" s="785" t="str">
        <f>Econ_Ann_TA!D13</f>
        <v>USD</v>
      </c>
      <c r="E179" s="786"/>
      <c r="F179" s="786"/>
      <c r="G179" s="786"/>
      <c r="J179" s="137">
        <f>Econ_Ann_TA!J13</f>
        <v>1</v>
      </c>
      <c r="K179" s="137">
        <f>Econ_Ann_TA!K13</f>
        <v>1</v>
      </c>
      <c r="L179" s="137">
        <f>Econ_Ann_TA!L13</f>
        <v>1</v>
      </c>
      <c r="M179" s="137">
        <f>Econ_Ann_TA!M13</f>
        <v>1</v>
      </c>
      <c r="N179" s="137">
        <f>Econ_Ann_TA!N13</f>
        <v>1</v>
      </c>
      <c r="O179" s="137">
        <f>Econ_Ann_TA!O13</f>
        <v>1</v>
      </c>
    </row>
    <row r="180" spans="2:15" s="348" customFormat="1" hidden="1" outlineLevel="1" x14ac:dyDescent="0.2">
      <c r="D180" s="785" t="str">
        <f>Econ_Ann_TA!D14</f>
        <v>ZMW</v>
      </c>
      <c r="E180" s="786"/>
      <c r="F180" s="786"/>
      <c r="G180" s="786"/>
      <c r="J180" s="137">
        <f>Econ_Ann_TA!J14</f>
        <v>10.971399999999999</v>
      </c>
      <c r="K180" s="137">
        <f>Econ_Ann_TA!K14</f>
        <v>10.971399999999999</v>
      </c>
      <c r="L180" s="137">
        <f>Econ_Ann_TA!L14</f>
        <v>10.971399999999999</v>
      </c>
      <c r="M180" s="137">
        <f>Econ_Ann_TA!M14</f>
        <v>10.971399999999999</v>
      </c>
      <c r="N180" s="137">
        <f>Econ_Ann_TA!N14</f>
        <v>10.971399999999999</v>
      </c>
      <c r="O180" s="137">
        <f>Econ_Ann_TA!O14</f>
        <v>10.971399999999999</v>
      </c>
    </row>
    <row r="181" spans="2:15" s="348" customFormat="1" collapsed="1" x14ac:dyDescent="0.2"/>
    <row r="182" spans="2:15" s="348" customFormat="1" x14ac:dyDescent="0.2">
      <c r="C182" s="722" t="str">
        <f>"Go to "&amp;HL_Comm_Out</f>
        <v>Go to Communication - Outputs</v>
      </c>
      <c r="D182" s="777"/>
      <c r="E182" s="777"/>
      <c r="F182" s="777"/>
      <c r="G182" s="777"/>
      <c r="H182" s="777"/>
      <c r="I182" s="777"/>
    </row>
    <row r="183" spans="2:15" s="348" customFormat="1" x14ac:dyDescent="0.2">
      <c r="C183" s="722" t="str">
        <f>"Go to "&amp;HL_Comm_Out_Sum</f>
        <v>Go to Communication - Summary</v>
      </c>
      <c r="D183" s="777"/>
      <c r="E183" s="777"/>
      <c r="F183" s="777"/>
      <c r="G183" s="777"/>
      <c r="H183" s="777"/>
      <c r="I183" s="777"/>
    </row>
    <row r="184" spans="2:15" s="348" customFormat="1" x14ac:dyDescent="0.2"/>
    <row r="185" spans="2:15" s="348" customFormat="1" x14ac:dyDescent="0.2"/>
    <row r="186" spans="2:15" s="348" customFormat="1" ht="18.75" x14ac:dyDescent="0.2">
      <c r="B186" s="425" t="s">
        <v>124</v>
      </c>
    </row>
    <row r="187" spans="2:15" s="348" customFormat="1" x14ac:dyDescent="0.2"/>
    <row r="188" spans="2:15" s="348" customFormat="1" ht="15.75" customHeight="1" x14ac:dyDescent="0.2">
      <c r="C188" s="671" t="s">
        <v>215</v>
      </c>
      <c r="H188" s="677">
        <v>1</v>
      </c>
    </row>
    <row r="189" spans="2:15" s="348" customFormat="1" x14ac:dyDescent="0.2"/>
    <row r="190" spans="2:15" s="348" customFormat="1" ht="15.75" x14ac:dyDescent="0.2">
      <c r="C190" s="664" t="s">
        <v>136</v>
      </c>
    </row>
    <row r="191" spans="2:15" s="348" customFormat="1" x14ac:dyDescent="0.2"/>
    <row r="192" spans="2:15" s="348" customFormat="1" ht="45" x14ac:dyDescent="0.2">
      <c r="D192" s="667" t="s">
        <v>407</v>
      </c>
      <c r="H192" s="132" t="str">
        <f>"Financial Cost ("&amp;INDEX(LU_SME_Curr,DD_SME_Curr)&amp;"/Visit)"</f>
        <v>Financial Cost (USD/Visit)</v>
      </c>
      <c r="I192" s="132" t="str">
        <f>"Economic Cost ("&amp;INDEX(LU_SME_Curr,DD_SME_Curr)&amp;"/Visit)"</f>
        <v>Economic Cost (USD/Visit)</v>
      </c>
    </row>
    <row r="193" spans="4:15" s="348" customFormat="1" x14ac:dyDescent="0.2">
      <c r="D193" s="721" t="s">
        <v>1184</v>
      </c>
      <c r="E193" s="721"/>
      <c r="F193" s="721"/>
      <c r="G193" s="721"/>
      <c r="H193" s="183">
        <v>2000</v>
      </c>
      <c r="I193" s="183">
        <v>2500</v>
      </c>
    </row>
    <row r="194" spans="4:15" s="348" customFormat="1" x14ac:dyDescent="0.2">
      <c r="D194" s="721" t="s">
        <v>2029</v>
      </c>
      <c r="E194" s="721"/>
      <c r="F194" s="721"/>
      <c r="G194" s="721"/>
      <c r="H194" s="183">
        <v>1000</v>
      </c>
      <c r="I194" s="183">
        <v>1200</v>
      </c>
    </row>
    <row r="195" spans="4:15" s="348" customFormat="1" x14ac:dyDescent="0.2">
      <c r="D195" s="721" t="s">
        <v>1185</v>
      </c>
      <c r="E195" s="721"/>
      <c r="F195" s="721"/>
      <c r="G195" s="721"/>
      <c r="H195" s="183">
        <v>500</v>
      </c>
      <c r="I195" s="183">
        <v>800</v>
      </c>
    </row>
    <row r="196" spans="4:15" s="348" customFormat="1" x14ac:dyDescent="0.2">
      <c r="D196" s="721" t="s">
        <v>1199</v>
      </c>
      <c r="E196" s="721"/>
      <c r="F196" s="721"/>
      <c r="G196" s="721"/>
      <c r="H196" s="183"/>
      <c r="I196" s="183"/>
    </row>
    <row r="197" spans="4:15" s="348" customFormat="1" x14ac:dyDescent="0.2">
      <c r="D197" s="721" t="s">
        <v>1200</v>
      </c>
      <c r="E197" s="721"/>
      <c r="F197" s="721"/>
      <c r="G197" s="721"/>
      <c r="H197" s="183"/>
      <c r="I197" s="183"/>
    </row>
    <row r="198" spans="4:15" s="348" customFormat="1" x14ac:dyDescent="0.2">
      <c r="D198" s="721" t="s">
        <v>1201</v>
      </c>
      <c r="E198" s="721"/>
      <c r="F198" s="721"/>
      <c r="G198" s="721"/>
      <c r="H198" s="183"/>
      <c r="I198" s="183"/>
    </row>
    <row r="199" spans="4:15" s="348" customFormat="1" x14ac:dyDescent="0.2"/>
    <row r="200" spans="4:15" s="348" customFormat="1" x14ac:dyDescent="0.2"/>
    <row r="201" spans="4:15" s="348" customFormat="1" ht="15" x14ac:dyDescent="0.2">
      <c r="D201" s="667" t="s">
        <v>1198</v>
      </c>
    </row>
    <row r="202" spans="4:15" s="348" customFormat="1" x14ac:dyDescent="0.2"/>
    <row r="203" spans="4:15" s="348" customFormat="1" x14ac:dyDescent="0.2">
      <c r="D203" s="671" t="s">
        <v>277</v>
      </c>
      <c r="H203" s="184">
        <v>0.2</v>
      </c>
      <c r="I203" s="184">
        <v>0.2</v>
      </c>
    </row>
    <row r="204" spans="4:15" s="348" customFormat="1" x14ac:dyDescent="0.2"/>
    <row r="205" spans="4:15" s="348" customFormat="1" ht="15" x14ac:dyDescent="0.2">
      <c r="D205" s="669" t="str">
        <f t="shared" ref="D205:D211" si="20">D192</f>
        <v xml:space="preserve">Supervision Team Activity Type </v>
      </c>
      <c r="I205" s="416" t="s">
        <v>127</v>
      </c>
    </row>
    <row r="206" spans="4:15" s="348" customFormat="1" x14ac:dyDescent="0.2">
      <c r="D206" s="668" t="str">
        <f t="shared" si="20"/>
        <v>National Supervision Team Visits</v>
      </c>
      <c r="I206" s="671"/>
      <c r="J206" s="183">
        <v>4</v>
      </c>
      <c r="K206" s="183">
        <v>4</v>
      </c>
      <c r="L206" s="183">
        <v>4</v>
      </c>
      <c r="M206" s="183">
        <v>4</v>
      </c>
      <c r="N206" s="183">
        <v>4</v>
      </c>
      <c r="O206" s="183">
        <v>4</v>
      </c>
    </row>
    <row r="207" spans="4:15" s="348" customFormat="1" x14ac:dyDescent="0.2">
      <c r="D207" s="668" t="str">
        <f t="shared" si="20"/>
        <v>Provincial Supervision Team Visits</v>
      </c>
      <c r="I207" s="671"/>
      <c r="J207" s="183">
        <v>4</v>
      </c>
      <c r="K207" s="183">
        <v>4</v>
      </c>
      <c r="L207" s="183">
        <v>4</v>
      </c>
      <c r="M207" s="183">
        <v>4</v>
      </c>
      <c r="N207" s="183">
        <v>4</v>
      </c>
      <c r="O207" s="183">
        <v>4</v>
      </c>
    </row>
    <row r="208" spans="4:15" s="348" customFormat="1" x14ac:dyDescent="0.2">
      <c r="D208" s="668" t="str">
        <f t="shared" si="20"/>
        <v>District Supervision Team Visits</v>
      </c>
      <c r="I208" s="671"/>
      <c r="J208" s="183">
        <v>4</v>
      </c>
      <c r="K208" s="183">
        <v>4</v>
      </c>
      <c r="L208" s="183">
        <v>4</v>
      </c>
      <c r="M208" s="183">
        <v>4</v>
      </c>
      <c r="N208" s="183">
        <v>4</v>
      </c>
      <c r="O208" s="183">
        <v>4</v>
      </c>
    </row>
    <row r="209" spans="3:15" s="348" customFormat="1" x14ac:dyDescent="0.2">
      <c r="D209" s="668" t="str">
        <f t="shared" si="20"/>
        <v>SupVisitAllocation Category 4</v>
      </c>
      <c r="I209" s="668"/>
      <c r="J209" s="183">
        <v>0</v>
      </c>
      <c r="K209" s="183">
        <v>0</v>
      </c>
      <c r="L209" s="183">
        <v>0</v>
      </c>
      <c r="M209" s="183">
        <v>0</v>
      </c>
      <c r="N209" s="183">
        <v>0</v>
      </c>
      <c r="O209" s="183">
        <v>0</v>
      </c>
    </row>
    <row r="210" spans="3:15" s="348" customFormat="1" x14ac:dyDescent="0.2">
      <c r="D210" s="668" t="str">
        <f t="shared" si="20"/>
        <v>SupVisitAllocation Category 5</v>
      </c>
      <c r="I210" s="668"/>
      <c r="J210" s="183">
        <v>0</v>
      </c>
      <c r="K210" s="183">
        <v>0</v>
      </c>
      <c r="L210" s="183">
        <v>0</v>
      </c>
      <c r="M210" s="183">
        <v>0</v>
      </c>
      <c r="N210" s="183">
        <v>0</v>
      </c>
      <c r="O210" s="183">
        <v>0</v>
      </c>
    </row>
    <row r="211" spans="3:15" s="348" customFormat="1" x14ac:dyDescent="0.2">
      <c r="D211" s="668" t="str">
        <f t="shared" si="20"/>
        <v>SupVisitAllocation Category 6</v>
      </c>
      <c r="I211" s="668"/>
      <c r="J211" s="183">
        <v>0</v>
      </c>
      <c r="K211" s="183">
        <v>0</v>
      </c>
      <c r="L211" s="183">
        <v>0</v>
      </c>
      <c r="M211" s="183">
        <v>0</v>
      </c>
      <c r="N211" s="183">
        <v>0</v>
      </c>
      <c r="O211" s="183">
        <v>0</v>
      </c>
    </row>
    <row r="212" spans="3:15" s="348" customFormat="1" x14ac:dyDescent="0.2"/>
    <row r="213" spans="3:15" s="348" customFormat="1" x14ac:dyDescent="0.2"/>
    <row r="214" spans="3:15" s="348" customFormat="1" x14ac:dyDescent="0.2"/>
    <row r="215" spans="3:15" s="348" customFormat="1" ht="15.75" x14ac:dyDescent="0.2">
      <c r="C215" s="664" t="s">
        <v>128</v>
      </c>
    </row>
    <row r="216" spans="3:15" s="348" customFormat="1" x14ac:dyDescent="0.2"/>
    <row r="217" spans="3:15" s="348" customFormat="1" ht="30" x14ac:dyDescent="0.2">
      <c r="D217" s="667" t="s">
        <v>408</v>
      </c>
      <c r="H217" s="132" t="str">
        <f>"Financial ("&amp;INDEX(LU_SME_Curr,DD_SME_Curr)&amp;"/Unit)"</f>
        <v>Financial (USD/Unit)</v>
      </c>
      <c r="I217" s="132" t="str">
        <f>"Economic ("&amp;INDEX(LU_SME_Curr,DD_SME_Curr)&amp;"/Unit)"</f>
        <v>Economic (USD/Unit)</v>
      </c>
    </row>
    <row r="218" spans="3:15" s="348" customFormat="1" x14ac:dyDescent="0.2">
      <c r="D218" s="721"/>
      <c r="E218" s="721"/>
      <c r="F218" s="721"/>
      <c r="G218" s="721"/>
      <c r="H218" s="370"/>
      <c r="I218" s="370"/>
    </row>
    <row r="219" spans="3:15" s="348" customFormat="1" x14ac:dyDescent="0.2">
      <c r="D219" s="744"/>
      <c r="E219" s="721"/>
      <c r="F219" s="721"/>
      <c r="G219" s="721"/>
      <c r="H219" s="370"/>
      <c r="I219" s="370"/>
    </row>
    <row r="220" spans="3:15" s="348" customFormat="1" x14ac:dyDescent="0.2">
      <c r="D220" s="744"/>
      <c r="E220" s="721"/>
      <c r="F220" s="721"/>
      <c r="G220" s="721"/>
      <c r="H220" s="370"/>
      <c r="I220" s="370"/>
    </row>
    <row r="221" spans="3:15" s="348" customFormat="1" x14ac:dyDescent="0.2"/>
    <row r="222" spans="3:15" s="348" customFormat="1" ht="15" x14ac:dyDescent="0.2">
      <c r="D222" s="669" t="str">
        <f>D217</f>
        <v>Item Unit</v>
      </c>
      <c r="I222" s="667" t="s">
        <v>129</v>
      </c>
    </row>
    <row r="223" spans="3:15" s="348" customFormat="1" x14ac:dyDescent="0.2">
      <c r="D223" s="668">
        <f>D218</f>
        <v>0</v>
      </c>
      <c r="I223" s="372"/>
    </row>
    <row r="224" spans="3:15" s="348" customFormat="1" x14ac:dyDescent="0.2">
      <c r="D224" s="668">
        <f>D219</f>
        <v>0</v>
      </c>
      <c r="I224" s="372"/>
    </row>
    <row r="225" spans="3:9" s="348" customFormat="1" x14ac:dyDescent="0.2">
      <c r="D225" s="668">
        <f>D220</f>
        <v>0</v>
      </c>
      <c r="I225" s="372"/>
    </row>
    <row r="226" spans="3:9" s="348" customFormat="1" x14ac:dyDescent="0.2"/>
    <row r="227" spans="3:9" s="348" customFormat="1" ht="15" x14ac:dyDescent="0.2">
      <c r="D227" s="284" t="s">
        <v>409</v>
      </c>
      <c r="I227" s="667" t="s">
        <v>410</v>
      </c>
    </row>
    <row r="228" spans="3:9" s="348" customFormat="1" ht="15.75" customHeight="1" x14ac:dyDescent="0.2">
      <c r="D228" s="419">
        <f>D218</f>
        <v>0</v>
      </c>
      <c r="I228" s="677">
        <v>2</v>
      </c>
    </row>
    <row r="229" spans="3:9" s="348" customFormat="1" ht="15.75" customHeight="1" x14ac:dyDescent="0.2">
      <c r="D229" s="419">
        <f>D219</f>
        <v>0</v>
      </c>
      <c r="I229" s="677">
        <v>2</v>
      </c>
    </row>
    <row r="230" spans="3:9" s="348" customFormat="1" ht="15.75" customHeight="1" x14ac:dyDescent="0.2">
      <c r="D230" s="419">
        <f>D220</f>
        <v>0</v>
      </c>
      <c r="I230" s="677">
        <v>3</v>
      </c>
    </row>
    <row r="231" spans="3:9" s="348" customFormat="1" x14ac:dyDescent="0.2"/>
    <row r="232" spans="3:9" s="348" customFormat="1" ht="15.75" x14ac:dyDescent="0.2">
      <c r="C232" s="664" t="s">
        <v>130</v>
      </c>
    </row>
    <row r="233" spans="3:9" s="348" customFormat="1" x14ac:dyDescent="0.2"/>
    <row r="234" spans="3:9" s="348" customFormat="1" ht="30" x14ac:dyDescent="0.2">
      <c r="D234" s="667" t="s">
        <v>89</v>
      </c>
      <c r="H234" s="132" t="str">
        <f>"Financial ("&amp;INDEX(LU_SME_Curr,DD_SME_Curr)&amp;"/Unit)"</f>
        <v>Financial (USD/Unit)</v>
      </c>
      <c r="I234" s="132" t="str">
        <f>"Economic ("&amp;INDEX(LU_SME_Curr,DD_SME_Curr)&amp;"/Unit)"</f>
        <v>Economic (USD/Unit)</v>
      </c>
    </row>
    <row r="235" spans="3:9" s="348" customFormat="1" x14ac:dyDescent="0.2">
      <c r="D235" s="721" t="s">
        <v>2031</v>
      </c>
      <c r="E235" s="721"/>
      <c r="F235" s="721"/>
      <c r="G235" s="721"/>
      <c r="H235" s="183">
        <v>10000</v>
      </c>
      <c r="I235" s="183">
        <v>15000</v>
      </c>
    </row>
    <row r="236" spans="3:9" s="348" customFormat="1" x14ac:dyDescent="0.2"/>
    <row r="237" spans="3:9" s="348" customFormat="1" ht="15" x14ac:dyDescent="0.2">
      <c r="D237" s="667" t="s">
        <v>411</v>
      </c>
      <c r="I237" s="667" t="s">
        <v>410</v>
      </c>
    </row>
    <row r="238" spans="3:9" s="348" customFormat="1" ht="15.75" customHeight="1" x14ac:dyDescent="0.2">
      <c r="D238" s="668" t="str">
        <f>D235</f>
        <v>National Programme Evaluation</v>
      </c>
      <c r="I238" s="677">
        <v>4</v>
      </c>
    </row>
    <row r="239" spans="3:9" s="348" customFormat="1" outlineLevel="2" x14ac:dyDescent="0.2"/>
    <row r="240" spans="3:9" s="348" customFormat="1" ht="15.75" outlineLevel="2" x14ac:dyDescent="0.2">
      <c r="C240" s="664" t="s">
        <v>93</v>
      </c>
    </row>
    <row r="241" spans="3:15" s="348" customFormat="1" outlineLevel="2" x14ac:dyDescent="0.2"/>
    <row r="242" spans="3:15" s="348" customFormat="1" ht="15" outlineLevel="2" x14ac:dyDescent="0.2">
      <c r="D242" s="667" t="s">
        <v>93</v>
      </c>
      <c r="J242" s="667" t="s">
        <v>90</v>
      </c>
    </row>
    <row r="243" spans="3:15" s="348" customFormat="1" outlineLevel="2" x14ac:dyDescent="0.2">
      <c r="D243" s="785" t="str">
        <f>Screen_Ann_TO!D183</f>
        <v>Total Active Facilities (VIA)</v>
      </c>
      <c r="E243" s="786"/>
      <c r="F243" s="786"/>
      <c r="G243" s="786"/>
      <c r="H243" s="786"/>
      <c r="J243" s="119">
        <f>Screen_Ann_TO!J183</f>
        <v>50</v>
      </c>
      <c r="K243" s="119">
        <f>Screen_Ann_TO!K183</f>
        <v>50</v>
      </c>
      <c r="L243" s="119">
        <f>Screen_Ann_TO!L183</f>
        <v>50</v>
      </c>
      <c r="M243" s="119">
        <f>Screen_Ann_TO!M183</f>
        <v>50</v>
      </c>
      <c r="N243" s="119">
        <f>Screen_Ann_TO!N183</f>
        <v>50</v>
      </c>
      <c r="O243" s="119">
        <f>Screen_Ann_TO!O183</f>
        <v>50</v>
      </c>
    </row>
    <row r="244" spans="3:15" s="348" customFormat="1" outlineLevel="2" x14ac:dyDescent="0.2">
      <c r="D244" s="908" t="s">
        <v>1202</v>
      </c>
      <c r="E244" s="908"/>
      <c r="F244" s="908"/>
      <c r="G244" s="908"/>
      <c r="H244" s="908"/>
      <c r="J244" s="526"/>
      <c r="K244" s="526"/>
      <c r="L244" s="526"/>
      <c r="M244" s="526"/>
      <c r="N244" s="526"/>
      <c r="O244" s="183"/>
    </row>
    <row r="245" spans="3:15" s="348" customFormat="1" outlineLevel="2" x14ac:dyDescent="0.2">
      <c r="D245" s="909" t="str">
        <f>Reg_Pop_Ann_TO!D371&amp; " Screened Population"</f>
        <v>Total Screened Population</v>
      </c>
      <c r="E245" s="910"/>
      <c r="F245" s="910"/>
      <c r="G245" s="910"/>
      <c r="H245" s="910"/>
      <c r="J245" s="119">
        <f ca="1">Reg_Pop_Ann_TO!J371</f>
        <v>84852</v>
      </c>
      <c r="K245" s="119">
        <f ca="1">Reg_Pop_Ann_TO!K371</f>
        <v>84852</v>
      </c>
      <c r="L245" s="119">
        <f ca="1">Reg_Pop_Ann_TO!L371</f>
        <v>84852</v>
      </c>
      <c r="M245" s="119">
        <f ca="1">Reg_Pop_Ann_TO!M371</f>
        <v>84852</v>
      </c>
      <c r="N245" s="119">
        <f ca="1">Reg_Pop_Ann_TO!N371</f>
        <v>84852</v>
      </c>
      <c r="O245" s="119">
        <f ca="1">Reg_Pop_Ann_TO!O371</f>
        <v>84852</v>
      </c>
    </row>
    <row r="246" spans="3:15" s="348" customFormat="1" outlineLevel="2" x14ac:dyDescent="0.2">
      <c r="D246" s="908" t="s">
        <v>1203</v>
      </c>
      <c r="E246" s="908"/>
      <c r="F246" s="908"/>
      <c r="G246" s="908"/>
      <c r="H246" s="908"/>
      <c r="J246" s="183">
        <v>1</v>
      </c>
      <c r="K246" s="183">
        <v>1</v>
      </c>
      <c r="L246" s="183">
        <v>1</v>
      </c>
      <c r="M246" s="183">
        <v>1</v>
      </c>
      <c r="N246" s="183">
        <v>1</v>
      </c>
      <c r="O246" s="183"/>
    </row>
    <row r="247" spans="3:15" s="348" customFormat="1" outlineLevel="2" x14ac:dyDescent="0.2">
      <c r="D247" s="908" t="s">
        <v>1186</v>
      </c>
      <c r="E247" s="908"/>
      <c r="F247" s="908"/>
      <c r="G247" s="908"/>
      <c r="H247" s="908"/>
      <c r="J247" s="183">
        <v>0</v>
      </c>
      <c r="K247" s="183">
        <v>0</v>
      </c>
      <c r="L247" s="183">
        <v>0</v>
      </c>
      <c r="M247" s="183">
        <v>0</v>
      </c>
      <c r="N247" s="183">
        <v>0</v>
      </c>
      <c r="O247" s="183"/>
    </row>
    <row r="248" spans="3:15" s="348" customFormat="1" x14ac:dyDescent="0.2"/>
    <row r="249" spans="3:15" s="348" customFormat="1" x14ac:dyDescent="0.2"/>
    <row r="250" spans="3:15" s="348" customFormat="1" ht="15.75" x14ac:dyDescent="0.2">
      <c r="C250" s="664" t="s">
        <v>212</v>
      </c>
    </row>
    <row r="251" spans="3:15" s="348" customFormat="1" x14ac:dyDescent="0.2"/>
    <row r="252" spans="3:15" s="348" customFormat="1" ht="15" x14ac:dyDescent="0.2">
      <c r="D252" s="667" t="s">
        <v>167</v>
      </c>
    </row>
    <row r="253" spans="3:15" s="348" customFormat="1" x14ac:dyDescent="0.2">
      <c r="D253" s="785" t="str">
        <f>Econ_Ann_TA!D13</f>
        <v>USD</v>
      </c>
      <c r="E253" s="786"/>
      <c r="F253" s="786"/>
      <c r="G253" s="786"/>
      <c r="J253" s="137">
        <f>Econ_Ann_TA!J13</f>
        <v>1</v>
      </c>
      <c r="K253" s="137">
        <f>Econ_Ann_TA!K13</f>
        <v>1</v>
      </c>
      <c r="L253" s="137">
        <f>Econ_Ann_TA!L13</f>
        <v>1</v>
      </c>
      <c r="M253" s="137">
        <f>Econ_Ann_TA!M13</f>
        <v>1</v>
      </c>
      <c r="N253" s="137">
        <f>Econ_Ann_TA!N13</f>
        <v>1</v>
      </c>
      <c r="O253" s="137">
        <f>Econ_Ann_TA!O13</f>
        <v>1</v>
      </c>
    </row>
    <row r="254" spans="3:15" s="348" customFormat="1" x14ac:dyDescent="0.2">
      <c r="D254" s="785" t="str">
        <f>Econ_Ann_TA!D14</f>
        <v>ZMW</v>
      </c>
      <c r="E254" s="786"/>
      <c r="F254" s="786"/>
      <c r="G254" s="786"/>
      <c r="J254" s="137">
        <f>Econ_Ann_TA!J14</f>
        <v>10.971399999999999</v>
      </c>
      <c r="K254" s="137">
        <f>Econ_Ann_TA!K14</f>
        <v>10.971399999999999</v>
      </c>
      <c r="L254" s="137">
        <f>Econ_Ann_TA!L14</f>
        <v>10.971399999999999</v>
      </c>
      <c r="M254" s="137">
        <f>Econ_Ann_TA!M14</f>
        <v>10.971399999999999</v>
      </c>
      <c r="N254" s="137">
        <f>Econ_Ann_TA!N14</f>
        <v>10.971399999999999</v>
      </c>
      <c r="O254" s="137">
        <f>Econ_Ann_TA!O14</f>
        <v>10.971399999999999</v>
      </c>
    </row>
    <row r="255" spans="3:15" s="348" customFormat="1" x14ac:dyDescent="0.2"/>
    <row r="256" spans="3:15" s="348" customFormat="1" x14ac:dyDescent="0.2">
      <c r="C256" s="722" t="str">
        <f>"Go to "&amp;HL_SME_Out</f>
        <v>Go to Supervision, Monitoring, and Evaluation - Outputs</v>
      </c>
      <c r="D256" s="777"/>
      <c r="E256" s="777"/>
      <c r="F256" s="777"/>
      <c r="G256" s="777"/>
      <c r="H256" s="777"/>
      <c r="I256" s="777"/>
    </row>
    <row r="257" spans="2:9" s="348" customFormat="1" x14ac:dyDescent="0.2">
      <c r="C257" s="722" t="str">
        <f>"Go to "&amp;HL_SME_Out_Sum</f>
        <v>Go to Supervision, Monitoring, and Evaluation - Summary</v>
      </c>
      <c r="D257" s="777"/>
      <c r="E257" s="777"/>
      <c r="F257" s="777"/>
      <c r="G257" s="777"/>
      <c r="H257" s="777"/>
      <c r="I257" s="777"/>
    </row>
    <row r="258" spans="2:9" s="348" customFormat="1" x14ac:dyDescent="0.2"/>
    <row r="259" spans="2:9" s="348" customFormat="1" x14ac:dyDescent="0.2"/>
    <row r="260" spans="2:9" s="348" customFormat="1" ht="18.75" x14ac:dyDescent="0.2">
      <c r="B260" s="425" t="s">
        <v>413</v>
      </c>
    </row>
    <row r="261" spans="2:9" s="348" customFormat="1" x14ac:dyDescent="0.2"/>
    <row r="262" spans="2:9" s="348" customFormat="1" ht="15.75" customHeight="1" x14ac:dyDescent="0.2">
      <c r="C262" s="671" t="s">
        <v>215</v>
      </c>
      <c r="H262" s="677">
        <v>1</v>
      </c>
    </row>
    <row r="263" spans="2:9" s="348" customFormat="1" x14ac:dyDescent="0.2"/>
    <row r="264" spans="2:9" s="348" customFormat="1" ht="15.75" x14ac:dyDescent="0.2">
      <c r="C264" s="664" t="s">
        <v>170</v>
      </c>
    </row>
    <row r="265" spans="2:9" s="348" customFormat="1" x14ac:dyDescent="0.2"/>
    <row r="266" spans="2:9" s="348" customFormat="1" ht="45" x14ac:dyDescent="0.2">
      <c r="D266" s="667" t="s">
        <v>412</v>
      </c>
      <c r="H266" s="132" t="str">
        <f>"Financial Cost ("&amp;INDEX(LU_Oth_Curr,DD_Oth_Curr)&amp;"/Unit)"</f>
        <v>Financial Cost (USD/Unit)</v>
      </c>
      <c r="I266" s="132" t="str">
        <f>"Economic Cost("&amp;INDEX(LU_Oth_Curr,DD_Oth_Curr)&amp;"/Unit)"</f>
        <v>Economic Cost(USD/Unit)</v>
      </c>
    </row>
    <row r="267" spans="2:9" s="348" customFormat="1" x14ac:dyDescent="0.2">
      <c r="D267" s="721" t="s">
        <v>151</v>
      </c>
      <c r="E267" s="721"/>
      <c r="F267" s="721"/>
      <c r="G267" s="721"/>
      <c r="H267" s="418">
        <v>0</v>
      </c>
      <c r="I267" s="418">
        <v>0</v>
      </c>
    </row>
    <row r="268" spans="2:9" s="348" customFormat="1" x14ac:dyDescent="0.2">
      <c r="D268" s="721" t="s">
        <v>152</v>
      </c>
      <c r="E268" s="721"/>
      <c r="F268" s="721"/>
      <c r="G268" s="721"/>
      <c r="H268" s="418">
        <v>0</v>
      </c>
      <c r="I268" s="418">
        <v>0</v>
      </c>
    </row>
    <row r="269" spans="2:9" s="348" customFormat="1" x14ac:dyDescent="0.2">
      <c r="D269" s="721" t="s">
        <v>153</v>
      </c>
      <c r="E269" s="721"/>
      <c r="F269" s="721"/>
      <c r="G269" s="721"/>
      <c r="H269" s="418">
        <v>0</v>
      </c>
      <c r="I269" s="418">
        <v>0</v>
      </c>
    </row>
    <row r="270" spans="2:9" s="348" customFormat="1" x14ac:dyDescent="0.2">
      <c r="D270" s="721" t="s">
        <v>154</v>
      </c>
      <c r="E270" s="721"/>
      <c r="F270" s="721"/>
      <c r="G270" s="721"/>
      <c r="H270" s="418">
        <v>0</v>
      </c>
      <c r="I270" s="418">
        <v>0</v>
      </c>
    </row>
    <row r="271" spans="2:9" s="348" customFormat="1" x14ac:dyDescent="0.2">
      <c r="D271" s="721" t="s">
        <v>155</v>
      </c>
      <c r="E271" s="721"/>
      <c r="F271" s="721"/>
      <c r="G271" s="721"/>
      <c r="H271" s="418">
        <v>0</v>
      </c>
      <c r="I271" s="418">
        <v>0</v>
      </c>
    </row>
    <row r="272" spans="2:9" s="348" customFormat="1" x14ac:dyDescent="0.2">
      <c r="D272" s="721" t="s">
        <v>156</v>
      </c>
      <c r="E272" s="721"/>
      <c r="F272" s="721"/>
      <c r="G272" s="721"/>
      <c r="H272" s="418">
        <v>0</v>
      </c>
      <c r="I272" s="418">
        <v>0</v>
      </c>
    </row>
    <row r="273" spans="3:15" s="348" customFormat="1" x14ac:dyDescent="0.2"/>
    <row r="274" spans="3:15" s="348" customFormat="1" ht="15" x14ac:dyDescent="0.2">
      <c r="D274" s="667" t="s">
        <v>158</v>
      </c>
    </row>
    <row r="275" spans="3:15" s="348" customFormat="1" x14ac:dyDescent="0.2">
      <c r="D275" s="668" t="str">
        <f t="shared" ref="D275:D280" si="21">D267</f>
        <v>Recurrent Cost Category 1</v>
      </c>
      <c r="J275" s="372">
        <v>0</v>
      </c>
      <c r="K275" s="372">
        <v>0</v>
      </c>
      <c r="L275" s="372">
        <v>0</v>
      </c>
      <c r="M275" s="372">
        <v>0</v>
      </c>
      <c r="N275" s="372">
        <v>0</v>
      </c>
      <c r="O275" s="372">
        <v>0</v>
      </c>
    </row>
    <row r="276" spans="3:15" s="348" customFormat="1" x14ac:dyDescent="0.2">
      <c r="D276" s="668" t="str">
        <f t="shared" si="21"/>
        <v>Recurrent Cost Category 2</v>
      </c>
      <c r="J276" s="372">
        <v>0</v>
      </c>
      <c r="K276" s="372">
        <v>0</v>
      </c>
      <c r="L276" s="372">
        <v>0</v>
      </c>
      <c r="M276" s="372">
        <v>0</v>
      </c>
      <c r="N276" s="372">
        <v>0</v>
      </c>
      <c r="O276" s="372">
        <v>0</v>
      </c>
    </row>
    <row r="277" spans="3:15" s="348" customFormat="1" x14ac:dyDescent="0.2">
      <c r="D277" s="668" t="str">
        <f t="shared" si="21"/>
        <v>Recurrent Cost Category 3</v>
      </c>
      <c r="J277" s="372">
        <v>0</v>
      </c>
      <c r="K277" s="372">
        <v>0</v>
      </c>
      <c r="L277" s="372">
        <v>0</v>
      </c>
      <c r="M277" s="372">
        <v>0</v>
      </c>
      <c r="N277" s="372">
        <v>0</v>
      </c>
      <c r="O277" s="372">
        <v>0</v>
      </c>
    </row>
    <row r="278" spans="3:15" s="348" customFormat="1" x14ac:dyDescent="0.2">
      <c r="D278" s="668" t="str">
        <f t="shared" si="21"/>
        <v>Recurrent Cost Category 4</v>
      </c>
      <c r="J278" s="372">
        <v>0</v>
      </c>
      <c r="K278" s="372">
        <v>0</v>
      </c>
      <c r="L278" s="372">
        <v>0</v>
      </c>
      <c r="M278" s="372">
        <v>0</v>
      </c>
      <c r="N278" s="372">
        <v>0</v>
      </c>
      <c r="O278" s="372">
        <v>0</v>
      </c>
    </row>
    <row r="279" spans="3:15" s="348" customFormat="1" x14ac:dyDescent="0.2">
      <c r="D279" s="668" t="str">
        <f t="shared" si="21"/>
        <v>Recurrent Cost Category 5</v>
      </c>
      <c r="J279" s="372">
        <v>0</v>
      </c>
      <c r="K279" s="372">
        <v>0</v>
      </c>
      <c r="L279" s="372">
        <v>0</v>
      </c>
      <c r="M279" s="372">
        <v>0</v>
      </c>
      <c r="N279" s="372">
        <v>0</v>
      </c>
      <c r="O279" s="372">
        <v>0</v>
      </c>
    </row>
    <row r="280" spans="3:15" s="348" customFormat="1" x14ac:dyDescent="0.2">
      <c r="D280" s="668" t="str">
        <f t="shared" si="21"/>
        <v>Recurrent Cost Category 6</v>
      </c>
      <c r="J280" s="372">
        <v>0</v>
      </c>
      <c r="K280" s="372">
        <v>0</v>
      </c>
      <c r="L280" s="372">
        <v>0</v>
      </c>
      <c r="M280" s="372">
        <v>0</v>
      </c>
      <c r="N280" s="372">
        <v>0</v>
      </c>
      <c r="O280" s="372">
        <v>0</v>
      </c>
    </row>
    <row r="281" spans="3:15" s="348" customFormat="1" x14ac:dyDescent="0.2"/>
    <row r="282" spans="3:15" s="348" customFormat="1" ht="15.75" x14ac:dyDescent="0.2">
      <c r="C282" s="664" t="s">
        <v>157</v>
      </c>
    </row>
    <row r="283" spans="3:15" s="348" customFormat="1" x14ac:dyDescent="0.2"/>
    <row r="284" spans="3:15" s="348" customFormat="1" ht="30" x14ac:dyDescent="0.2">
      <c r="D284" s="667" t="s">
        <v>167</v>
      </c>
      <c r="H284" s="132" t="str">
        <f>INDEX(LU_Oth_Curr,DD_Oth_Curr)&amp;"/Unit"</f>
        <v>USD/Unit</v>
      </c>
      <c r="I284" s="366" t="s">
        <v>165</v>
      </c>
      <c r="J284" s="366" t="s">
        <v>166</v>
      </c>
    </row>
    <row r="285" spans="3:15" s="348" customFormat="1" x14ac:dyDescent="0.2">
      <c r="D285" s="721" t="s">
        <v>159</v>
      </c>
      <c r="E285" s="721"/>
      <c r="F285" s="721"/>
      <c r="G285" s="721"/>
      <c r="H285" s="418">
        <v>0</v>
      </c>
      <c r="I285" s="183">
        <v>0</v>
      </c>
      <c r="J285" s="296">
        <v>0</v>
      </c>
    </row>
    <row r="286" spans="3:15" s="348" customFormat="1" x14ac:dyDescent="0.2">
      <c r="D286" s="721" t="s">
        <v>160</v>
      </c>
      <c r="E286" s="721"/>
      <c r="F286" s="721"/>
      <c r="G286" s="721"/>
      <c r="H286" s="418">
        <v>0</v>
      </c>
      <c r="I286" s="183">
        <v>0</v>
      </c>
      <c r="J286" s="296">
        <v>0</v>
      </c>
    </row>
    <row r="287" spans="3:15" s="348" customFormat="1" x14ac:dyDescent="0.2">
      <c r="D287" s="721" t="s">
        <v>161</v>
      </c>
      <c r="E287" s="721"/>
      <c r="F287" s="721"/>
      <c r="G287" s="721"/>
      <c r="H287" s="418">
        <v>0</v>
      </c>
      <c r="I287" s="183">
        <v>0</v>
      </c>
      <c r="J287" s="296">
        <v>0</v>
      </c>
    </row>
    <row r="288" spans="3:15" s="348" customFormat="1" x14ac:dyDescent="0.2">
      <c r="D288" s="721" t="s">
        <v>162</v>
      </c>
      <c r="E288" s="721"/>
      <c r="F288" s="721"/>
      <c r="G288" s="721"/>
      <c r="H288" s="418">
        <v>0</v>
      </c>
      <c r="I288" s="183">
        <v>0</v>
      </c>
      <c r="J288" s="296">
        <v>0</v>
      </c>
    </row>
    <row r="289" spans="3:15" s="348" customFormat="1" x14ac:dyDescent="0.2">
      <c r="D289" s="721" t="s">
        <v>163</v>
      </c>
      <c r="E289" s="721"/>
      <c r="F289" s="721"/>
      <c r="G289" s="721"/>
      <c r="H289" s="418">
        <v>0</v>
      </c>
      <c r="I289" s="183">
        <v>0</v>
      </c>
      <c r="J289" s="296">
        <v>0</v>
      </c>
    </row>
    <row r="290" spans="3:15" s="348" customFormat="1" x14ac:dyDescent="0.2">
      <c r="D290" s="721" t="s">
        <v>164</v>
      </c>
      <c r="E290" s="721"/>
      <c r="F290" s="721"/>
      <c r="G290" s="721"/>
      <c r="H290" s="418">
        <v>0</v>
      </c>
      <c r="I290" s="183">
        <v>0</v>
      </c>
      <c r="J290" s="296">
        <v>0</v>
      </c>
    </row>
    <row r="291" spans="3:15" s="348" customFormat="1" x14ac:dyDescent="0.2"/>
    <row r="292" spans="3:15" s="348" customFormat="1" ht="15.75" x14ac:dyDescent="0.2">
      <c r="C292" s="664" t="s">
        <v>212</v>
      </c>
    </row>
    <row r="293" spans="3:15" s="348" customFormat="1" x14ac:dyDescent="0.2"/>
    <row r="294" spans="3:15" s="348" customFormat="1" ht="15" x14ac:dyDescent="0.2">
      <c r="D294" s="667" t="s">
        <v>167</v>
      </c>
    </row>
    <row r="295" spans="3:15" s="348" customFormat="1" x14ac:dyDescent="0.2">
      <c r="D295" s="785" t="str">
        <f>Econ_Ann_TA!D13</f>
        <v>USD</v>
      </c>
      <c r="E295" s="786"/>
      <c r="F295" s="786"/>
      <c r="G295" s="786"/>
      <c r="J295" s="137">
        <f>Econ_Ann_TA!J13</f>
        <v>1</v>
      </c>
      <c r="K295" s="137">
        <f>Econ_Ann_TA!K13</f>
        <v>1</v>
      </c>
      <c r="L295" s="137">
        <f>Econ_Ann_TA!L13</f>
        <v>1</v>
      </c>
      <c r="M295" s="137">
        <f>Econ_Ann_TA!M13</f>
        <v>1</v>
      </c>
      <c r="N295" s="137">
        <f>Econ_Ann_TA!N13</f>
        <v>1</v>
      </c>
      <c r="O295" s="137">
        <f>Econ_Ann_TA!O13</f>
        <v>1</v>
      </c>
    </row>
    <row r="296" spans="3:15" s="348" customFormat="1" x14ac:dyDescent="0.2">
      <c r="D296" s="785" t="str">
        <f>Econ_Ann_TA!D14</f>
        <v>ZMW</v>
      </c>
      <c r="E296" s="786"/>
      <c r="F296" s="786"/>
      <c r="G296" s="786"/>
      <c r="J296" s="137">
        <f>Econ_Ann_TA!J14</f>
        <v>10.971399999999999</v>
      </c>
      <c r="K296" s="137">
        <f>Econ_Ann_TA!K14</f>
        <v>10.971399999999999</v>
      </c>
      <c r="L296" s="137">
        <f>Econ_Ann_TA!L14</f>
        <v>10.971399999999999</v>
      </c>
      <c r="M296" s="137">
        <f>Econ_Ann_TA!M14</f>
        <v>10.971399999999999</v>
      </c>
      <c r="N296" s="137">
        <f>Econ_Ann_TA!N14</f>
        <v>10.971399999999999</v>
      </c>
      <c r="O296" s="137">
        <f>Econ_Ann_TA!O14</f>
        <v>10.971399999999999</v>
      </c>
    </row>
    <row r="297" spans="3:15" s="348" customFormat="1" x14ac:dyDescent="0.2"/>
    <row r="298" spans="3:15" s="348" customFormat="1" ht="15.75" x14ac:dyDescent="0.2">
      <c r="C298" s="664" t="s">
        <v>275</v>
      </c>
    </row>
    <row r="299" spans="3:15" s="348" customFormat="1" x14ac:dyDescent="0.2"/>
    <row r="300" spans="3:15" s="348" customFormat="1" x14ac:dyDescent="0.2">
      <c r="D300" s="671" t="s">
        <v>276</v>
      </c>
      <c r="I300" s="122">
        <f>Econ_Ann_TA!H26</f>
        <v>0.03</v>
      </c>
    </row>
    <row r="301" spans="3:15" s="348" customFormat="1" x14ac:dyDescent="0.2"/>
    <row r="302" spans="3:15" s="348" customFormat="1" x14ac:dyDescent="0.2">
      <c r="C302" s="722" t="str">
        <f>"Go to "&amp;HL_Oth_Out</f>
        <v>Go to Other Costs - Outputs</v>
      </c>
      <c r="D302" s="777"/>
      <c r="E302" s="777"/>
      <c r="F302" s="777"/>
      <c r="G302" s="777"/>
      <c r="H302" s="777"/>
      <c r="I302" s="777"/>
    </row>
    <row r="303" spans="3:15" s="348" customFormat="1" x14ac:dyDescent="0.2">
      <c r="C303" s="722" t="str">
        <f>"Go to "&amp;HL_Oth_Out_Sum</f>
        <v>Go to Other Costs - Summary</v>
      </c>
      <c r="D303" s="777"/>
      <c r="E303" s="777"/>
      <c r="F303" s="777"/>
      <c r="G303" s="777"/>
      <c r="H303" s="777"/>
      <c r="I303" s="777"/>
    </row>
  </sheetData>
  <sheetProtection password="F0F4" sheet="1" scenarios="1"/>
  <mergeCells count="133">
    <mergeCell ref="D172:I172"/>
    <mergeCell ref="D173:I173"/>
    <mergeCell ref="D180:G180"/>
    <mergeCell ref="D158:G158"/>
    <mergeCell ref="D159:G159"/>
    <mergeCell ref="D161:G161"/>
    <mergeCell ref="D162:G162"/>
    <mergeCell ref="D163:G163"/>
    <mergeCell ref="D164:G164"/>
    <mergeCell ref="D179:G179"/>
    <mergeCell ref="I85:O85"/>
    <mergeCell ref="D124:G124"/>
    <mergeCell ref="D116:I116"/>
    <mergeCell ref="D156:G156"/>
    <mergeCell ref="D167:I167"/>
    <mergeCell ref="D168:I168"/>
    <mergeCell ref="D169:I169"/>
    <mergeCell ref="D170:I170"/>
    <mergeCell ref="D171:I171"/>
    <mergeCell ref="J45:O45"/>
    <mergeCell ref="J46:O46"/>
    <mergeCell ref="J47:O47"/>
    <mergeCell ref="J48:O48"/>
    <mergeCell ref="D53:G53"/>
    <mergeCell ref="D254:G254"/>
    <mergeCell ref="D296:G296"/>
    <mergeCell ref="D138:I138"/>
    <mergeCell ref="K64:O64"/>
    <mergeCell ref="K65:O65"/>
    <mergeCell ref="K66:O66"/>
    <mergeCell ref="K67:O67"/>
    <mergeCell ref="K68:O68"/>
    <mergeCell ref="K69:O69"/>
    <mergeCell ref="K70:O70"/>
    <mergeCell ref="K71:O71"/>
    <mergeCell ref="D66:G66"/>
    <mergeCell ref="D67:G67"/>
    <mergeCell ref="D64:G64"/>
    <mergeCell ref="D65:G65"/>
    <mergeCell ref="D71:G71"/>
    <mergeCell ref="I88:O88"/>
    <mergeCell ref="I89:O89"/>
    <mergeCell ref="D97:G97"/>
    <mergeCell ref="C100:I100"/>
    <mergeCell ref="D143:G143"/>
    <mergeCell ref="D109:G109"/>
    <mergeCell ref="D98:G98"/>
    <mergeCell ref="D125:G125"/>
    <mergeCell ref="D126:G126"/>
    <mergeCell ref="D127:G127"/>
    <mergeCell ref="D137:I137"/>
    <mergeCell ref="B3:F3"/>
    <mergeCell ref="D21:G21"/>
    <mergeCell ref="D22:G22"/>
    <mergeCell ref="D19:G19"/>
    <mergeCell ref="D20:G20"/>
    <mergeCell ref="D45:G45"/>
    <mergeCell ref="D68:G68"/>
    <mergeCell ref="D69:G69"/>
    <mergeCell ref="D70:G70"/>
    <mergeCell ref="D46:G46"/>
    <mergeCell ref="D52:G52"/>
    <mergeCell ref="C55:I55"/>
    <mergeCell ref="D47:G47"/>
    <mergeCell ref="D48:G48"/>
    <mergeCell ref="I86:O86"/>
    <mergeCell ref="I87:O87"/>
    <mergeCell ref="D144:G144"/>
    <mergeCell ref="D150:G150"/>
    <mergeCell ref="D151:G151"/>
    <mergeCell ref="D152:G152"/>
    <mergeCell ref="D153:G153"/>
    <mergeCell ref="D157:G157"/>
    <mergeCell ref="D117:I117"/>
    <mergeCell ref="D118:I118"/>
    <mergeCell ref="D119:I119"/>
    <mergeCell ref="D120:I120"/>
    <mergeCell ref="C302:I302"/>
    <mergeCell ref="C303:I303"/>
    <mergeCell ref="D271:G271"/>
    <mergeCell ref="D272:G272"/>
    <mergeCell ref="D285:G285"/>
    <mergeCell ref="D286:G286"/>
    <mergeCell ref="D287:G287"/>
    <mergeCell ref="D288:G288"/>
    <mergeCell ref="D247:H247"/>
    <mergeCell ref="D267:G267"/>
    <mergeCell ref="D268:G268"/>
    <mergeCell ref="D269:G269"/>
    <mergeCell ref="D270:G270"/>
    <mergeCell ref="D253:G253"/>
    <mergeCell ref="C256:I256"/>
    <mergeCell ref="C257:I257"/>
    <mergeCell ref="D289:G289"/>
    <mergeCell ref="D290:G290"/>
    <mergeCell ref="D295:G295"/>
    <mergeCell ref="D244:H244"/>
    <mergeCell ref="D246:H246"/>
    <mergeCell ref="D245:H245"/>
    <mergeCell ref="D198:G198"/>
    <mergeCell ref="D218:G218"/>
    <mergeCell ref="D219:G219"/>
    <mergeCell ref="D220:G220"/>
    <mergeCell ref="D235:G235"/>
    <mergeCell ref="D193:G193"/>
    <mergeCell ref="D194:G194"/>
    <mergeCell ref="D195:G195"/>
    <mergeCell ref="D196:G196"/>
    <mergeCell ref="D197:G197"/>
    <mergeCell ref="C182:I182"/>
    <mergeCell ref="D243:H243"/>
    <mergeCell ref="C183:I183"/>
    <mergeCell ref="D35:I35"/>
    <mergeCell ref="D25:I25"/>
    <mergeCell ref="D26:I26"/>
    <mergeCell ref="D27:I27"/>
    <mergeCell ref="D28:I28"/>
    <mergeCell ref="D29:I29"/>
    <mergeCell ref="D31:I31"/>
    <mergeCell ref="D32:I32"/>
    <mergeCell ref="D33:I33"/>
    <mergeCell ref="D34:I34"/>
    <mergeCell ref="I90:O90"/>
    <mergeCell ref="I91:O91"/>
    <mergeCell ref="D132:I132"/>
    <mergeCell ref="D133:I133"/>
    <mergeCell ref="D134:I134"/>
    <mergeCell ref="D135:I135"/>
    <mergeCell ref="D136:I136"/>
    <mergeCell ref="D145:G145"/>
    <mergeCell ref="D146:G146"/>
    <mergeCell ref="D147:G147"/>
    <mergeCell ref="D149:G149"/>
  </mergeCells>
  <dataValidations count="9">
    <dataValidation type="decimal" operator="greaterThanOrEqual" allowBlank="1" showDropDown="1" showErrorMessage="1" errorTitle="Invalid Assumption" error="Assumption must be a value greater than or equal to zero." sqref="H19:I22 H193:I198 H235:I235 I223:I225 H218:I220 H285:J290 H267:I272 J275:O280 I206:O211 J243:O247 H65:J71 J75:O81 J39:O42 J295:O296 J253:O254 J179:O180 J97:O98 J52:O53">
      <formula1>0</formula1>
    </dataValidation>
    <dataValidation type="decimal" showDropDown="1" showErrorMessage="1" errorTitle="Invalid Assumption" error="Assumption must be between 0% and 100%." sqref="H203:I203">
      <formula1>0</formula1>
      <formula2>1</formula2>
    </dataValidation>
    <dataValidation type="custom" showErrorMessage="1" errorTitle="Invalid Assumption" error="Assumption must be a number." sqref="I300">
      <formula1>NOT(ISERROR(I300/1))</formula1>
    </dataValidation>
    <dataValidation type="whole" showDropDown="1" showErrorMessage="1" errorTitle="Drop Down Box Cell Link" error="The value in a drop down box cell link must be a whole number within the control's lookup range rows." sqref="I228:I230 I238">
      <formula1>1</formula1>
      <formula2>ROWS(LU_SME_Num_Act)</formula2>
    </dataValidation>
    <dataValidation type="whole" showDropDown="1" showErrorMessage="1" errorTitle="Drop Down Box Cell Link" error="The value in a drop down box cell link must be a whole number within the control's lookup range rows." sqref="H14">
      <formula1>1</formula1>
      <formula2>ROWS(LU_Micro_Curr)</formula2>
    </dataValidation>
    <dataValidation type="whole" showDropDown="1" showErrorMessage="1" errorTitle="Drop Down Box Cell Link" error="The value in a drop down box cell link must be a whole number within the control's lookup range rows." sqref="H60">
      <formula1>1</formula1>
      <formula2>ROWS(LU_Train_Curr)</formula2>
    </dataValidation>
    <dataValidation type="whole" showDropDown="1" showErrorMessage="1" errorTitle="Drop Down Box Cell Link" error="The value in a drop down box cell link must be a whole number within the control's lookup range rows." sqref="H105">
      <formula1>1</formula1>
      <formula2>ROWS(LU_Comm_Curr)</formula2>
    </dataValidation>
    <dataValidation type="whole" showDropDown="1" showErrorMessage="1" errorTitle="Drop Down Box Cell Link" error="The value in a drop down box cell link must be a whole number within the control's lookup range rows." sqref="H188">
      <formula1>1</formula1>
      <formula2>ROWS(LU_SME_Curr)</formula2>
    </dataValidation>
    <dataValidation type="whole" showDropDown="1" showErrorMessage="1" errorTitle="Drop Down Box Cell Link" error="The value in a drop down box cell link must be a whole number within the control's lookup range rows." sqref="H262">
      <formula1>1</formula1>
      <formula2>ROWS(LU_Oth_Curr)</formula2>
    </dataValidation>
  </dataValidations>
  <hyperlinks>
    <hyperlink ref="C55:I55" location="HL_Micro_Out" tooltip="Click to follow hyperlink." display="HL_Micro_Out"/>
    <hyperlink ref="A4" location="$A$10" tooltip="Go to Top of Sheet" display="$A$10"/>
    <hyperlink ref="C100:I100" location="HL_Train_Out" tooltip="Click to follow hyperlink." display="HL_Train_Out"/>
    <hyperlink ref="C182:I182" location="HL_Comm_Out" tooltip="Click to follow hyperlink." display="HL_Comm_Out"/>
    <hyperlink ref="C183:I183" location="HL_Comm_Out_Sum" tooltip="Click to follow hyperlink." display="HL_Comm_Out_Sum"/>
    <hyperlink ref="C256:I256" location="HL_SME_Out" tooltip="Click to follow hyperlink." display="HL_SME_Out"/>
    <hyperlink ref="C257:I257" location="HL_SME_Out_Sum" tooltip="Click to follow hyperlink." display="HL_SME_Out_Sum"/>
    <hyperlink ref="C302:I302" location="HL_Oth_Out" tooltip="Click to follow hyperlink." display="HL_Oth_Out"/>
    <hyperlink ref="C303:I303" location="HL_Oth_Out_Sum" tooltip="Click to follow hyperlink." display="HL_Oth_Out_Sum"/>
    <hyperlink ref="B4" location="HL_Sheet_Main_33" tooltip="Go to Previous Sheet" display="HL_Sheet_Main_33"/>
    <hyperlink ref="C4" location="HL_Sheet_Main_34" tooltip="Go to Next Sheet" display="HL_Sheet_Main_34"/>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76167" r:id="rId4" name="bpmDropDownMicro7">
              <controlPr defaultSize="0" autoFill="0" autoPict="0">
                <anchor moveWithCells="1">
                  <from>
                    <xdr:col>7</xdr:col>
                    <xdr:colOff>0</xdr:colOff>
                    <xdr:row>13</xdr:row>
                    <xdr:rowOff>0</xdr:rowOff>
                  </from>
                  <to>
                    <xdr:col>9</xdr:col>
                    <xdr:colOff>0</xdr:colOff>
                    <xdr:row>14</xdr:row>
                    <xdr:rowOff>0</xdr:rowOff>
                  </to>
                </anchor>
              </controlPr>
            </control>
          </mc:Choice>
        </mc:AlternateContent>
        <mc:AlternateContent xmlns:mc="http://schemas.openxmlformats.org/markup-compatibility/2006">
          <mc:Choice Requires="x14">
            <control shapeId="476168" r:id="rId5" name="bpmDropDownTrain1">
              <controlPr defaultSize="0" autoFill="0" autoPict="0">
                <anchor moveWithCells="1">
                  <from>
                    <xdr:col>7</xdr:col>
                    <xdr:colOff>0</xdr:colOff>
                    <xdr:row>59</xdr:row>
                    <xdr:rowOff>0</xdr:rowOff>
                  </from>
                  <to>
                    <xdr:col>9</xdr:col>
                    <xdr:colOff>0</xdr:colOff>
                    <xdr:row>60</xdr:row>
                    <xdr:rowOff>0</xdr:rowOff>
                  </to>
                </anchor>
              </controlPr>
            </control>
          </mc:Choice>
        </mc:AlternateContent>
        <mc:AlternateContent xmlns:mc="http://schemas.openxmlformats.org/markup-compatibility/2006">
          <mc:Choice Requires="x14">
            <control shapeId="476182" r:id="rId6" name="bpmDropDownComm7">
              <controlPr defaultSize="0" autoFill="0" autoPict="0">
                <anchor moveWithCells="1">
                  <from>
                    <xdr:col>7</xdr:col>
                    <xdr:colOff>0</xdr:colOff>
                    <xdr:row>104</xdr:row>
                    <xdr:rowOff>0</xdr:rowOff>
                  </from>
                  <to>
                    <xdr:col>9</xdr:col>
                    <xdr:colOff>0</xdr:colOff>
                    <xdr:row>105</xdr:row>
                    <xdr:rowOff>0</xdr:rowOff>
                  </to>
                </anchor>
              </controlPr>
            </control>
          </mc:Choice>
        </mc:AlternateContent>
        <mc:AlternateContent xmlns:mc="http://schemas.openxmlformats.org/markup-compatibility/2006">
          <mc:Choice Requires="x14">
            <control shapeId="476183" r:id="rId7" name="bpmDropDownSME1">
              <controlPr defaultSize="0" autoFill="0" autoPict="0">
                <anchor moveWithCells="1">
                  <from>
                    <xdr:col>8</xdr:col>
                    <xdr:colOff>0</xdr:colOff>
                    <xdr:row>227</xdr:row>
                    <xdr:rowOff>0</xdr:rowOff>
                  </from>
                  <to>
                    <xdr:col>11</xdr:col>
                    <xdr:colOff>0</xdr:colOff>
                    <xdr:row>228</xdr:row>
                    <xdr:rowOff>0</xdr:rowOff>
                  </to>
                </anchor>
              </controlPr>
            </control>
          </mc:Choice>
        </mc:AlternateContent>
        <mc:AlternateContent xmlns:mc="http://schemas.openxmlformats.org/markup-compatibility/2006">
          <mc:Choice Requires="x14">
            <control shapeId="476184" r:id="rId8" name="bpmDropDownSME2">
              <controlPr defaultSize="0" autoFill="0" autoPict="0">
                <anchor moveWithCells="1">
                  <from>
                    <xdr:col>8</xdr:col>
                    <xdr:colOff>0</xdr:colOff>
                    <xdr:row>228</xdr:row>
                    <xdr:rowOff>0</xdr:rowOff>
                  </from>
                  <to>
                    <xdr:col>11</xdr:col>
                    <xdr:colOff>0</xdr:colOff>
                    <xdr:row>229</xdr:row>
                    <xdr:rowOff>0</xdr:rowOff>
                  </to>
                </anchor>
              </controlPr>
            </control>
          </mc:Choice>
        </mc:AlternateContent>
        <mc:AlternateContent xmlns:mc="http://schemas.openxmlformats.org/markup-compatibility/2006">
          <mc:Choice Requires="x14">
            <control shapeId="476185" r:id="rId9" name="bpmDropDownSME3">
              <controlPr defaultSize="0" autoFill="0" autoPict="0">
                <anchor moveWithCells="1">
                  <from>
                    <xdr:col>8</xdr:col>
                    <xdr:colOff>0</xdr:colOff>
                    <xdr:row>229</xdr:row>
                    <xdr:rowOff>0</xdr:rowOff>
                  </from>
                  <to>
                    <xdr:col>11</xdr:col>
                    <xdr:colOff>0</xdr:colOff>
                    <xdr:row>230</xdr:row>
                    <xdr:rowOff>0</xdr:rowOff>
                  </to>
                </anchor>
              </controlPr>
            </control>
          </mc:Choice>
        </mc:AlternateContent>
        <mc:AlternateContent xmlns:mc="http://schemas.openxmlformats.org/markup-compatibility/2006">
          <mc:Choice Requires="x14">
            <control shapeId="476193" r:id="rId10" name="bpmDropDownSME11">
              <controlPr defaultSize="0" autoFill="0" autoPict="0">
                <anchor moveWithCells="1">
                  <from>
                    <xdr:col>8</xdr:col>
                    <xdr:colOff>0</xdr:colOff>
                    <xdr:row>237</xdr:row>
                    <xdr:rowOff>0</xdr:rowOff>
                  </from>
                  <to>
                    <xdr:col>11</xdr:col>
                    <xdr:colOff>0</xdr:colOff>
                    <xdr:row>238</xdr:row>
                    <xdr:rowOff>0</xdr:rowOff>
                  </to>
                </anchor>
              </controlPr>
            </control>
          </mc:Choice>
        </mc:AlternateContent>
        <mc:AlternateContent xmlns:mc="http://schemas.openxmlformats.org/markup-compatibility/2006">
          <mc:Choice Requires="x14">
            <control shapeId="476194" r:id="rId11" name="bpmDropDownSME12">
              <controlPr defaultSize="0" autoFill="0" autoPict="0">
                <anchor moveWithCells="1">
                  <from>
                    <xdr:col>7</xdr:col>
                    <xdr:colOff>0</xdr:colOff>
                    <xdr:row>187</xdr:row>
                    <xdr:rowOff>0</xdr:rowOff>
                  </from>
                  <to>
                    <xdr:col>9</xdr:col>
                    <xdr:colOff>0</xdr:colOff>
                    <xdr:row>188</xdr:row>
                    <xdr:rowOff>0</xdr:rowOff>
                  </to>
                </anchor>
              </controlPr>
            </control>
          </mc:Choice>
        </mc:AlternateContent>
        <mc:AlternateContent xmlns:mc="http://schemas.openxmlformats.org/markup-compatibility/2006">
          <mc:Choice Requires="x14">
            <control shapeId="476195" r:id="rId12" name="bpmDropDownOth1">
              <controlPr defaultSize="0" autoFill="0" autoPict="0">
                <anchor moveWithCells="1">
                  <from>
                    <xdr:col>7</xdr:col>
                    <xdr:colOff>0</xdr:colOff>
                    <xdr:row>261</xdr:row>
                    <xdr:rowOff>0</xdr:rowOff>
                  </from>
                  <to>
                    <xdr:col>9</xdr:col>
                    <xdr:colOff>0</xdr:colOff>
                    <xdr:row>262</xdr:row>
                    <xdr:rowOff>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autoPageBreaks="0" fitToPage="1"/>
  </sheetPr>
  <dimension ref="A1:P27"/>
  <sheetViews>
    <sheetView showGridLines="0" zoomScaleNormal="100" workbookViewId="0">
      <selection activeCell="H4" sqref="H4"/>
    </sheetView>
  </sheetViews>
  <sheetFormatPr defaultColWidth="0" defaultRowHeight="12.75" zeroHeight="1" x14ac:dyDescent="0.2"/>
  <cols>
    <col min="1" max="2" width="11.7109375" customWidth="1"/>
    <col min="3" max="6" width="3.7109375" customWidth="1"/>
    <col min="7" max="11" width="11.7109375" customWidth="1"/>
    <col min="12" max="13" width="12.140625" customWidth="1"/>
    <col min="14" max="16" width="11.7109375" customWidth="1"/>
    <col min="17" max="16384" width="11.7109375" hidden="1"/>
  </cols>
  <sheetData>
    <row r="1" spans="1:16" x14ac:dyDescent="0.2">
      <c r="A1" s="420"/>
    </row>
    <row r="2" spans="1:16" ht="43.5" customHeight="1" x14ac:dyDescent="0.2"/>
    <row r="3" spans="1:16" x14ac:dyDescent="0.2"/>
    <row r="4" spans="1:16" x14ac:dyDescent="0.2"/>
    <row r="5" spans="1:16" x14ac:dyDescent="0.2"/>
    <row r="6" spans="1:16" x14ac:dyDescent="0.2"/>
    <row r="7" spans="1:16" ht="23.25" x14ac:dyDescent="0.2">
      <c r="C7" s="42"/>
    </row>
    <row r="8" spans="1:16" x14ac:dyDescent="0.2">
      <c r="P8" s="47"/>
    </row>
    <row r="9" spans="1:16" ht="23.25" x14ac:dyDescent="0.2">
      <c r="C9" s="32" t="s">
        <v>8</v>
      </c>
      <c r="P9" s="47"/>
    </row>
    <row r="10" spans="1:16" ht="21" x14ac:dyDescent="0.2">
      <c r="C10" s="35" t="s">
        <v>416</v>
      </c>
      <c r="P10" s="47"/>
    </row>
    <row r="11" spans="1:16" ht="18.75" x14ac:dyDescent="0.2">
      <c r="C11" s="36" t="str">
        <f>Model_Name</f>
        <v>Zambia C4P* - Screening &amp; Treatment Tool</v>
      </c>
      <c r="P11" s="47"/>
    </row>
    <row r="12" spans="1:16" x14ac:dyDescent="0.2">
      <c r="C12" s="702" t="s">
        <v>2</v>
      </c>
      <c r="D12" s="702"/>
      <c r="E12" s="702"/>
      <c r="F12" s="702"/>
      <c r="G12" s="702"/>
      <c r="M12" s="47"/>
      <c r="N12" s="47"/>
      <c r="O12" s="47"/>
      <c r="P12" s="47"/>
    </row>
    <row r="13" spans="1:16" x14ac:dyDescent="0.2">
      <c r="C13" s="337" t="s">
        <v>6</v>
      </c>
      <c r="D13" s="324" t="s">
        <v>7</v>
      </c>
      <c r="M13" s="47"/>
      <c r="N13" s="47"/>
      <c r="O13" s="47"/>
      <c r="P13" s="47"/>
    </row>
    <row r="14" spans="1:16" x14ac:dyDescent="0.2"/>
    <row r="15" spans="1:16" x14ac:dyDescent="0.2"/>
    <row r="16" spans="1:16" x14ac:dyDescent="0.2"/>
    <row r="17" spans="3:3" ht="15" x14ac:dyDescent="0.2">
      <c r="C17" s="30" t="s">
        <v>5</v>
      </c>
    </row>
    <row r="18" spans="3:3" x14ac:dyDescent="0.2">
      <c r="C18" s="38" t="str">
        <f>"This section contains the "&amp;C9&amp;"."</f>
        <v>This section contains the Outputs.</v>
      </c>
    </row>
    <row r="19" spans="3:3" x14ac:dyDescent="0.2"/>
    <row r="20" spans="3:3" x14ac:dyDescent="0.2"/>
    <row r="21" spans="3:3" x14ac:dyDescent="0.2"/>
    <row r="22" spans="3:3" x14ac:dyDescent="0.2"/>
    <row r="23" spans="3:3" x14ac:dyDescent="0.2"/>
    <row r="24" spans="3:3" x14ac:dyDescent="0.2"/>
    <row r="25" spans="3:3" x14ac:dyDescent="0.2"/>
    <row r="26" spans="3:3" x14ac:dyDescent="0.2"/>
    <row r="27" spans="3:3" x14ac:dyDescent="0.2"/>
  </sheetData>
  <mergeCells count="1">
    <mergeCell ref="C12:G12"/>
  </mergeCells>
  <hyperlinks>
    <hyperlink ref="D13" location="HL_Sheet_Main_54" tooltip="Go to Next Sheet" display="HL_Sheet_Main_54"/>
    <hyperlink ref="C13" location="HL_Sheet_Main_19" tooltip="Go to Previous Sheet" display="HL_Sheet_Main_19"/>
    <hyperlink ref="C12" location="HL_Home" tooltip="Go to Table of Contents" display="HL_Home"/>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C9:G20"/>
  <sheetViews>
    <sheetView showGridLines="0" topLeftCell="A4" zoomScaleNormal="100" workbookViewId="0">
      <selection activeCell="H28" sqref="H28"/>
    </sheetView>
  </sheetViews>
  <sheetFormatPr defaultColWidth="11.7109375" defaultRowHeight="12.75" x14ac:dyDescent="0.2"/>
  <cols>
    <col min="3" max="6" width="3.7109375" customWidth="1"/>
  </cols>
  <sheetData>
    <row r="9" spans="3:7" ht="23.25" x14ac:dyDescent="0.2">
      <c r="C9" s="333" t="s">
        <v>1734</v>
      </c>
    </row>
    <row r="10" spans="3:7" ht="21" x14ac:dyDescent="0.2">
      <c r="C10" s="35" t="s">
        <v>1871</v>
      </c>
    </row>
    <row r="11" spans="3:7" ht="18.75" x14ac:dyDescent="0.2">
      <c r="C11" s="334" t="str">
        <f>Model_Name</f>
        <v>Zambia C4P* - Screening &amp; Treatment Tool</v>
      </c>
    </row>
    <row r="12" spans="3:7" x14ac:dyDescent="0.2">
      <c r="C12" s="702" t="s">
        <v>2</v>
      </c>
      <c r="D12" s="702"/>
      <c r="E12" s="702"/>
      <c r="F12" s="702"/>
      <c r="G12" s="702"/>
    </row>
    <row r="13" spans="3:7" x14ac:dyDescent="0.2">
      <c r="C13" s="337" t="s">
        <v>6</v>
      </c>
      <c r="D13" s="324" t="s">
        <v>7</v>
      </c>
    </row>
    <row r="17" spans="3:7" ht="15" x14ac:dyDescent="0.2">
      <c r="C17" s="618" t="s">
        <v>10</v>
      </c>
      <c r="D17" s="619"/>
      <c r="E17" s="619"/>
      <c r="F17" s="619"/>
      <c r="G17" s="619"/>
    </row>
    <row r="18" spans="3:7" x14ac:dyDescent="0.2">
      <c r="C18" s="620" t="s">
        <v>1731</v>
      </c>
      <c r="D18" s="619"/>
      <c r="E18" s="619"/>
      <c r="F18" s="619"/>
      <c r="G18" s="619"/>
    </row>
    <row r="19" spans="3:7" x14ac:dyDescent="0.2">
      <c r="C19" s="620" t="s">
        <v>1732</v>
      </c>
      <c r="D19" s="619"/>
      <c r="E19" s="619"/>
      <c r="F19" s="619"/>
      <c r="G19" s="619"/>
    </row>
    <row r="20" spans="3:7" x14ac:dyDescent="0.2">
      <c r="C20" s="620" t="s">
        <v>1733</v>
      </c>
      <c r="D20" s="619"/>
      <c r="E20" s="619"/>
      <c r="F20" s="619"/>
      <c r="G20" s="619"/>
    </row>
  </sheetData>
  <mergeCells count="1">
    <mergeCell ref="C12:G12"/>
  </mergeCells>
  <hyperlinks>
    <hyperlink ref="C13" location="HL_Sheet_Main_34" tooltip="Go to Previous Sheet" display="HL_Sheet_Main_34"/>
    <hyperlink ref="D13" location="HL_Sheet_Main_17" tooltip="Go to Next Sheet" display="HL_Sheet_Main_17"/>
    <hyperlink ref="C12" location="HL_Home" tooltip="Go to Table of Contents" display="HL_Home"/>
  </hyperlinks>
  <pageMargins left="0.39370078740157499" right="0.39370078740157499" top="0.59055118110236204" bottom="0.98425196850393704" header="0" footer="0.31496062992126"/>
  <pageSetup orientation="landscape" horizontalDpi="0" verticalDpi="0" r:id="rId1"/>
  <headerFooter>
    <oddFooter>&amp;L&amp;F
&amp;A
Printed: &amp;T on &amp;D&amp;CPage &amp;P of &amp;N</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tabColor indexed="60"/>
    <pageSetUpPr autoPageBreaks="0"/>
  </sheetPr>
  <dimension ref="A1:O392"/>
  <sheetViews>
    <sheetView showGridLines="0" zoomScaleNormal="100" workbookViewId="0">
      <pane ySplit="9" topLeftCell="A10" activePane="bottomLeft" state="frozen"/>
      <selection activeCell="F4" sqref="F4"/>
      <selection pane="bottomLeft" activeCell="D16" sqref="D16"/>
    </sheetView>
  </sheetViews>
  <sheetFormatPr defaultColWidth="11.7109375" defaultRowHeight="12.75" outlineLevelRow="2" outlineLevelCol="1" x14ac:dyDescent="0.2"/>
  <cols>
    <col min="1" max="1" width="3.7109375" style="49" customWidth="1"/>
    <col min="2" max="2" width="5.85546875" style="49" customWidth="1"/>
    <col min="3" max="4" width="3.85546875" style="49" customWidth="1"/>
    <col min="5" max="5" width="3.7109375" style="49" customWidth="1"/>
    <col min="6" max="6" width="11.7109375" style="49"/>
    <col min="7" max="7" width="14.7109375" style="49" customWidth="1"/>
    <col min="8" max="8" width="15.7109375" style="49" customWidth="1"/>
    <col min="9" max="9" width="11.7109375" style="49" customWidth="1"/>
    <col min="10" max="14" width="11.7109375" style="49" customWidth="1" outlineLevel="1"/>
    <col min="15" max="15" width="12.42578125" style="49" bestFit="1" customWidth="1" outlineLevel="1"/>
    <col min="16" max="16384" width="11.7109375" style="49"/>
  </cols>
  <sheetData>
    <row r="1" spans="1:15" ht="23.45" customHeight="1" x14ac:dyDescent="0.2">
      <c r="A1" s="422"/>
      <c r="B1" s="100" t="s">
        <v>600</v>
      </c>
    </row>
    <row r="2" spans="1:15" ht="18.75" x14ac:dyDescent="0.2">
      <c r="B2" s="101" t="str">
        <f>Model_Name</f>
        <v>Zambia C4P* - Screening &amp; Treatment Tool</v>
      </c>
    </row>
    <row r="3" spans="1:15" x14ac:dyDescent="0.2">
      <c r="B3" s="716" t="s">
        <v>2</v>
      </c>
      <c r="C3" s="716"/>
      <c r="D3" s="716"/>
      <c r="E3" s="716"/>
      <c r="F3" s="716"/>
    </row>
    <row r="4" spans="1:15" x14ac:dyDescent="0.2">
      <c r="A4" s="102" t="s">
        <v>4</v>
      </c>
      <c r="B4" s="343" t="s">
        <v>6</v>
      </c>
      <c r="C4" s="344" t="s">
        <v>7</v>
      </c>
      <c r="D4" s="345" t="s">
        <v>27</v>
      </c>
      <c r="E4" s="346" t="s">
        <v>28</v>
      </c>
      <c r="F4" s="347" t="s">
        <v>29</v>
      </c>
    </row>
    <row r="5" spans="1:15" s="327" customFormat="1" x14ac:dyDescent="0.2">
      <c r="B5" s="199" t="str">
        <f>"Year Ending "&amp;INDEX(LU_TS_Mth_Names,DD_TS_Fin_Yr_End_Mth)</f>
        <v>Year Ending December</v>
      </c>
      <c r="C5" s="231"/>
      <c r="D5" s="231"/>
      <c r="E5" s="231"/>
      <c r="F5" s="231"/>
      <c r="G5" s="231"/>
      <c r="H5" s="231"/>
      <c r="I5" s="231"/>
      <c r="J5" s="454">
        <f t="shared" ref="J5:O5" si="0">J9</f>
        <v>2015</v>
      </c>
      <c r="K5" s="454">
        <f t="shared" si="0"/>
        <v>2016</v>
      </c>
      <c r="L5" s="454">
        <f t="shared" si="0"/>
        <v>2017</v>
      </c>
      <c r="M5" s="454">
        <f t="shared" si="0"/>
        <v>2018</v>
      </c>
      <c r="N5" s="454">
        <f t="shared" si="0"/>
        <v>2019</v>
      </c>
      <c r="O5" s="454">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426" t="s">
        <v>2030</v>
      </c>
    </row>
    <row r="13" spans="1:15" s="327" customFormat="1" x14ac:dyDescent="0.2"/>
    <row r="14" spans="1:15" s="327" customFormat="1" ht="15.75" x14ac:dyDescent="0.2">
      <c r="C14" s="26" t="str">
        <f>"Active "&amp;D16&amp;"s"</f>
        <v>Active Provinces</v>
      </c>
    </row>
    <row r="15" spans="1:15" s="327" customFormat="1" outlineLevel="1" x14ac:dyDescent="0.2"/>
    <row r="16" spans="1:15" s="327" customFormat="1" ht="15" outlineLevel="1" x14ac:dyDescent="0.2">
      <c r="D16" s="646" t="str">
        <f>Plac_Start_Facs_BA!H25</f>
        <v>Province</v>
      </c>
    </row>
    <row r="17" spans="4:15" s="327" customFormat="1" outlineLevel="1" x14ac:dyDescent="0.2">
      <c r="D17" s="660" t="str">
        <f>Plac_Start_Facs_BA!C10</f>
        <v>Central</v>
      </c>
      <c r="J17" s="8">
        <f>IF(Plac_Start_Facs_BA!$J10&lt;=J$8,1,0)</f>
        <v>1</v>
      </c>
      <c r="K17" s="8">
        <f>IF(Plac_Start_Facs_BA!$J10&lt;=K$8,1,0)</f>
        <v>1</v>
      </c>
      <c r="L17" s="8">
        <f>IF(Plac_Start_Facs_BA!$J10&lt;=L$8,1,0)</f>
        <v>1</v>
      </c>
      <c r="M17" s="8">
        <f>IF(Plac_Start_Facs_BA!$J10&lt;=M$8,1,0)</f>
        <v>1</v>
      </c>
      <c r="N17" s="8">
        <f>IF(Plac_Start_Facs_BA!$J10&lt;=N$8,1,0)</f>
        <v>1</v>
      </c>
      <c r="O17" s="8">
        <f>IF(Plac_Start_Facs_BA!$J10&lt;=O$8,1,0)</f>
        <v>1</v>
      </c>
    </row>
    <row r="18" spans="4:15" s="327" customFormat="1" outlineLevel="1" x14ac:dyDescent="0.2">
      <c r="D18" s="660" t="str">
        <f>Plac_Start_Facs_BA!C11</f>
        <v>Copperbelt</v>
      </c>
      <c r="J18" s="8">
        <f>IF(Plac_Start_Facs_BA!$J11&lt;=J$8,1,0)</f>
        <v>1</v>
      </c>
      <c r="K18" s="8">
        <f>IF(Plac_Start_Facs_BA!$J11&lt;=K$8,1,0)</f>
        <v>1</v>
      </c>
      <c r="L18" s="8">
        <f>IF(Plac_Start_Facs_BA!$J11&lt;=L$8,1,0)</f>
        <v>1</v>
      </c>
      <c r="M18" s="8">
        <f>IF(Plac_Start_Facs_BA!$J11&lt;=M$8,1,0)</f>
        <v>1</v>
      </c>
      <c r="N18" s="8">
        <f>IF(Plac_Start_Facs_BA!$J11&lt;=N$8,1,0)</f>
        <v>1</v>
      </c>
      <c r="O18" s="8">
        <f>IF(Plac_Start_Facs_BA!$J11&lt;=O$8,1,0)</f>
        <v>1</v>
      </c>
    </row>
    <row r="19" spans="4:15" s="327" customFormat="1" outlineLevel="1" x14ac:dyDescent="0.2">
      <c r="D19" s="660" t="str">
        <f>Plac_Start_Facs_BA!C12</f>
        <v>Eastern</v>
      </c>
      <c r="J19" s="8">
        <f>IF(Plac_Start_Facs_BA!$J12&lt;=J$8,1,0)</f>
        <v>1</v>
      </c>
      <c r="K19" s="8">
        <f>IF(Plac_Start_Facs_BA!$J12&lt;=K$8,1,0)</f>
        <v>1</v>
      </c>
      <c r="L19" s="8">
        <f>IF(Plac_Start_Facs_BA!$J12&lt;=L$8,1,0)</f>
        <v>1</v>
      </c>
      <c r="M19" s="8">
        <f>IF(Plac_Start_Facs_BA!$J12&lt;=M$8,1,0)</f>
        <v>1</v>
      </c>
      <c r="N19" s="8">
        <f>IF(Plac_Start_Facs_BA!$J12&lt;=N$8,1,0)</f>
        <v>1</v>
      </c>
      <c r="O19" s="8">
        <f>IF(Plac_Start_Facs_BA!$J12&lt;=O$8,1,0)</f>
        <v>1</v>
      </c>
    </row>
    <row r="20" spans="4:15" s="327" customFormat="1" outlineLevel="1" x14ac:dyDescent="0.2">
      <c r="D20" s="660" t="str">
        <f>Plac_Start_Facs_BA!C13</f>
        <v>Luapula</v>
      </c>
      <c r="J20" s="8">
        <f>IF(Plac_Start_Facs_BA!$J13&lt;=J$8,1,0)</f>
        <v>1</v>
      </c>
      <c r="K20" s="8">
        <f>IF(Plac_Start_Facs_BA!$J13&lt;=K$8,1,0)</f>
        <v>1</v>
      </c>
      <c r="L20" s="8">
        <f>IF(Plac_Start_Facs_BA!$J13&lt;=L$8,1,0)</f>
        <v>1</v>
      </c>
      <c r="M20" s="8">
        <f>IF(Plac_Start_Facs_BA!$J13&lt;=M$8,1,0)</f>
        <v>1</v>
      </c>
      <c r="N20" s="8">
        <f>IF(Plac_Start_Facs_BA!$J13&lt;=N$8,1,0)</f>
        <v>1</v>
      </c>
      <c r="O20" s="8">
        <f>IF(Plac_Start_Facs_BA!$J13&lt;=O$8,1,0)</f>
        <v>1</v>
      </c>
    </row>
    <row r="21" spans="4:15" s="327" customFormat="1" outlineLevel="1" x14ac:dyDescent="0.2">
      <c r="D21" s="660" t="str">
        <f>Plac_Start_Facs_BA!C14</f>
        <v>Lusaka</v>
      </c>
      <c r="J21" s="8">
        <f>IF(Plac_Start_Facs_BA!$J14&lt;=J$8,1,0)</f>
        <v>1</v>
      </c>
      <c r="K21" s="8">
        <f>IF(Plac_Start_Facs_BA!$J14&lt;=K$8,1,0)</f>
        <v>1</v>
      </c>
      <c r="L21" s="8">
        <f>IF(Plac_Start_Facs_BA!$J14&lt;=L$8,1,0)</f>
        <v>1</v>
      </c>
      <c r="M21" s="8">
        <f>IF(Plac_Start_Facs_BA!$J14&lt;=M$8,1,0)</f>
        <v>1</v>
      </c>
      <c r="N21" s="8">
        <f>IF(Plac_Start_Facs_BA!$J14&lt;=N$8,1,0)</f>
        <v>1</v>
      </c>
      <c r="O21" s="8">
        <f>IF(Plac_Start_Facs_BA!$J14&lt;=O$8,1,0)</f>
        <v>1</v>
      </c>
    </row>
    <row r="22" spans="4:15" s="327" customFormat="1" outlineLevel="1" x14ac:dyDescent="0.2">
      <c r="D22" s="660" t="str">
        <f>Plac_Start_Facs_BA!C15</f>
        <v>Muchinga</v>
      </c>
      <c r="J22" s="8">
        <f>IF(Plac_Start_Facs_BA!$J15&lt;=J$8,1,0)</f>
        <v>1</v>
      </c>
      <c r="K22" s="8">
        <f>IF(Plac_Start_Facs_BA!$J15&lt;=K$8,1,0)</f>
        <v>1</v>
      </c>
      <c r="L22" s="8">
        <f>IF(Plac_Start_Facs_BA!$J15&lt;=L$8,1,0)</f>
        <v>1</v>
      </c>
      <c r="M22" s="8">
        <f>IF(Plac_Start_Facs_BA!$J15&lt;=M$8,1,0)</f>
        <v>1</v>
      </c>
      <c r="N22" s="8">
        <f>IF(Plac_Start_Facs_BA!$J15&lt;=N$8,1,0)</f>
        <v>1</v>
      </c>
      <c r="O22" s="8">
        <f>IF(Plac_Start_Facs_BA!$J15&lt;=O$8,1,0)</f>
        <v>1</v>
      </c>
    </row>
    <row r="23" spans="4:15" s="327" customFormat="1" outlineLevel="1" x14ac:dyDescent="0.2">
      <c r="D23" s="660" t="str">
        <f>Plac_Start_Facs_BA!C16</f>
        <v>Northern</v>
      </c>
      <c r="J23" s="8">
        <f>IF(Plac_Start_Facs_BA!$J16&lt;=J$8,1,0)</f>
        <v>1</v>
      </c>
      <c r="K23" s="8">
        <f>IF(Plac_Start_Facs_BA!$J16&lt;=K$8,1,0)</f>
        <v>1</v>
      </c>
      <c r="L23" s="8">
        <f>IF(Plac_Start_Facs_BA!$J16&lt;=L$8,1,0)</f>
        <v>1</v>
      </c>
      <c r="M23" s="8">
        <f>IF(Plac_Start_Facs_BA!$J16&lt;=M$8,1,0)</f>
        <v>1</v>
      </c>
      <c r="N23" s="8">
        <f>IF(Plac_Start_Facs_BA!$J16&lt;=N$8,1,0)</f>
        <v>1</v>
      </c>
      <c r="O23" s="8">
        <f>IF(Plac_Start_Facs_BA!$J16&lt;=O$8,1,0)</f>
        <v>1</v>
      </c>
    </row>
    <row r="24" spans="4:15" s="327" customFormat="1" outlineLevel="1" x14ac:dyDescent="0.2">
      <c r="D24" s="660" t="str">
        <f>Plac_Start_Facs_BA!C17</f>
        <v>North-Western</v>
      </c>
      <c r="J24" s="8">
        <f>IF(Plac_Start_Facs_BA!$J17&lt;=J$8,1,0)</f>
        <v>1</v>
      </c>
      <c r="K24" s="8">
        <f>IF(Plac_Start_Facs_BA!$J17&lt;=K$8,1,0)</f>
        <v>1</v>
      </c>
      <c r="L24" s="8">
        <f>IF(Plac_Start_Facs_BA!$J17&lt;=L$8,1,0)</f>
        <v>1</v>
      </c>
      <c r="M24" s="8">
        <f>IF(Plac_Start_Facs_BA!$J17&lt;=M$8,1,0)</f>
        <v>1</v>
      </c>
      <c r="N24" s="8">
        <f>IF(Plac_Start_Facs_BA!$J17&lt;=N$8,1,0)</f>
        <v>1</v>
      </c>
      <c r="O24" s="8">
        <f>IF(Plac_Start_Facs_BA!$J17&lt;=O$8,1,0)</f>
        <v>1</v>
      </c>
    </row>
    <row r="25" spans="4:15" s="327" customFormat="1" outlineLevel="1" x14ac:dyDescent="0.2">
      <c r="D25" s="660" t="str">
        <f>Plac_Start_Facs_BA!C18</f>
        <v>Southern</v>
      </c>
      <c r="J25" s="8">
        <f>IF(Plac_Start_Facs_BA!$J18&lt;=J$8,1,0)</f>
        <v>1</v>
      </c>
      <c r="K25" s="8">
        <f>IF(Plac_Start_Facs_BA!$J18&lt;=K$8,1,0)</f>
        <v>1</v>
      </c>
      <c r="L25" s="8">
        <f>IF(Plac_Start_Facs_BA!$J18&lt;=L$8,1,0)</f>
        <v>1</v>
      </c>
      <c r="M25" s="8">
        <f>IF(Plac_Start_Facs_BA!$J18&lt;=M$8,1,0)</f>
        <v>1</v>
      </c>
      <c r="N25" s="8">
        <f>IF(Plac_Start_Facs_BA!$J18&lt;=N$8,1,0)</f>
        <v>1</v>
      </c>
      <c r="O25" s="8">
        <f>IF(Plac_Start_Facs_BA!$J18&lt;=O$8,1,0)</f>
        <v>1</v>
      </c>
    </row>
    <row r="26" spans="4:15" s="327" customFormat="1" outlineLevel="1" x14ac:dyDescent="0.2">
      <c r="D26" s="660" t="str">
        <f>Plac_Start_Facs_BA!C19</f>
        <v>Western</v>
      </c>
      <c r="J26" s="9">
        <f>IF(Plac_Start_Facs_BA!$J19&lt;=J$8,1,0)</f>
        <v>1</v>
      </c>
      <c r="K26" s="9">
        <f>IF(Plac_Start_Facs_BA!$J19&lt;=K$8,1,0)</f>
        <v>1</v>
      </c>
      <c r="L26" s="9">
        <f>IF(Plac_Start_Facs_BA!$J19&lt;=L$8,1,0)</f>
        <v>1</v>
      </c>
      <c r="M26" s="9">
        <f>IF(Plac_Start_Facs_BA!$J19&lt;=M$8,1,0)</f>
        <v>1</v>
      </c>
      <c r="N26" s="9">
        <f>IF(Plac_Start_Facs_BA!$J19&lt;=N$8,1,0)</f>
        <v>1</v>
      </c>
      <c r="O26" s="9">
        <f>IF(Plac_Start_Facs_BA!$J19&lt;=O$8,1,0)</f>
        <v>1</v>
      </c>
    </row>
    <row r="27" spans="4:15" s="327" customFormat="1" ht="15" x14ac:dyDescent="0.2">
      <c r="D27" s="679" t="str">
        <f>"Total "&amp;C14</f>
        <v>Total Active Provinces</v>
      </c>
      <c r="J27" s="5">
        <f t="shared" ref="J27:O27" si="4">SUM(J17:J26)</f>
        <v>10</v>
      </c>
      <c r="K27" s="5">
        <f t="shared" si="4"/>
        <v>10</v>
      </c>
      <c r="L27" s="5">
        <f t="shared" si="4"/>
        <v>10</v>
      </c>
      <c r="M27" s="5">
        <f t="shared" si="4"/>
        <v>10</v>
      </c>
      <c r="N27" s="5">
        <f t="shared" si="4"/>
        <v>10</v>
      </c>
      <c r="O27" s="5">
        <f t="shared" si="4"/>
        <v>10</v>
      </c>
    </row>
    <row r="28" spans="4:15" s="327" customFormat="1" x14ac:dyDescent="0.2"/>
    <row r="29" spans="4:15" s="327" customFormat="1" x14ac:dyDescent="0.2">
      <c r="D29" s="499" t="str">
        <f>"Startup "&amp;Plac_Start_Facs_BA!H25&amp;"s"</f>
        <v>Startup Provinces</v>
      </c>
      <c r="J29" s="5">
        <f t="shared" ref="J29:O29" si="5">J27-I27</f>
        <v>10</v>
      </c>
      <c r="K29" s="5">
        <f t="shared" si="5"/>
        <v>0</v>
      </c>
      <c r="L29" s="5">
        <f t="shared" si="5"/>
        <v>0</v>
      </c>
      <c r="M29" s="5">
        <f t="shared" si="5"/>
        <v>0</v>
      </c>
      <c r="N29" s="5">
        <f t="shared" si="5"/>
        <v>0</v>
      </c>
      <c r="O29" s="5">
        <f t="shared" si="5"/>
        <v>0</v>
      </c>
    </row>
    <row r="30" spans="4:15" s="327" customFormat="1" x14ac:dyDescent="0.2">
      <c r="D30" s="659" t="str">
        <f>"Continuing "&amp;Plac_Start_Facs_BA!H25&amp;"s"</f>
        <v>Continuing Provinces</v>
      </c>
      <c r="J30" s="5">
        <f t="shared" ref="J30:O30" si="6">J27-J29</f>
        <v>0</v>
      </c>
      <c r="K30" s="5">
        <f t="shared" si="6"/>
        <v>10</v>
      </c>
      <c r="L30" s="5">
        <f t="shared" si="6"/>
        <v>10</v>
      </c>
      <c r="M30" s="5">
        <f t="shared" si="6"/>
        <v>10</v>
      </c>
      <c r="N30" s="5">
        <f t="shared" si="6"/>
        <v>10</v>
      </c>
      <c r="O30" s="5">
        <f t="shared" si="6"/>
        <v>10</v>
      </c>
    </row>
    <row r="31" spans="4:15" s="327" customFormat="1" x14ac:dyDescent="0.2">
      <c r="D31" s="680" t="s">
        <v>1630</v>
      </c>
      <c r="J31" s="5">
        <f t="shared" ref="J31:O31" si="7">IF(TS_First_Fin_Yr=J$5,1,0)</f>
        <v>1</v>
      </c>
      <c r="K31" s="5">
        <f t="shared" si="7"/>
        <v>0</v>
      </c>
      <c r="L31" s="5">
        <f t="shared" si="7"/>
        <v>0</v>
      </c>
      <c r="M31" s="5">
        <f t="shared" si="7"/>
        <v>0</v>
      </c>
      <c r="N31" s="5">
        <f t="shared" si="7"/>
        <v>0</v>
      </c>
      <c r="O31" s="5">
        <f t="shared" si="7"/>
        <v>0</v>
      </c>
    </row>
    <row r="32" spans="4:15" s="327" customFormat="1" x14ac:dyDescent="0.2">
      <c r="D32" s="680" t="s">
        <v>1631</v>
      </c>
      <c r="J32" s="5">
        <f>IF(SUM($I31:I31)=1,1,0)</f>
        <v>0</v>
      </c>
      <c r="K32" s="5">
        <f>IF(SUM($I31:J31)=1,1,0)</f>
        <v>1</v>
      </c>
      <c r="L32" s="5">
        <f>IF(SUM($I31:K31)=1,1,0)</f>
        <v>1</v>
      </c>
      <c r="M32" s="5">
        <f>IF(SUM($I31:L31)=1,1,0)</f>
        <v>1</v>
      </c>
      <c r="N32" s="5">
        <f>IF(SUM($I31:M31)=1,1,0)</f>
        <v>1</v>
      </c>
      <c r="O32" s="5">
        <f>IF(SUM($I31:N31)=1,1,0)</f>
        <v>1</v>
      </c>
    </row>
    <row r="33" spans="3:15" s="327" customFormat="1" ht="15.75" x14ac:dyDescent="0.2">
      <c r="C33" s="26" t="str">
        <f>"Active "&amp;Plac_Start_Facs_BA!H26&amp;"s"</f>
        <v>Active Districts</v>
      </c>
    </row>
    <row r="34" spans="3:15" s="327" customFormat="1" hidden="1" outlineLevel="1" x14ac:dyDescent="0.2"/>
    <row r="35" spans="3:15" s="327" customFormat="1" ht="15" hidden="1" outlineLevel="1" x14ac:dyDescent="0.2">
      <c r="D35" s="646" t="str">
        <f>Plac_Start_Facs_BA!H25</f>
        <v>Province</v>
      </c>
    </row>
    <row r="36" spans="3:15" s="327" customFormat="1" hidden="1" outlineLevel="1" x14ac:dyDescent="0.2">
      <c r="D36" s="660" t="str">
        <f>Plac_Start_Facs_BA!C10</f>
        <v>Central</v>
      </c>
      <c r="J36" s="8">
        <f>J17*Plac_Start_Facs_BA!$H10</f>
        <v>11</v>
      </c>
      <c r="K36" s="8">
        <f>K17*Plac_Start_Facs_BA!$H10</f>
        <v>11</v>
      </c>
      <c r="L36" s="8">
        <f>L17*Plac_Start_Facs_BA!$H10</f>
        <v>11</v>
      </c>
      <c r="M36" s="8">
        <f>M17*Plac_Start_Facs_BA!$H10</f>
        <v>11</v>
      </c>
      <c r="N36" s="8">
        <f>N17*Plac_Start_Facs_BA!$H10</f>
        <v>11</v>
      </c>
      <c r="O36" s="8">
        <f>O17*Plac_Start_Facs_BA!$H10</f>
        <v>11</v>
      </c>
    </row>
    <row r="37" spans="3:15" s="327" customFormat="1" hidden="1" outlineLevel="1" x14ac:dyDescent="0.2">
      <c r="D37" s="660" t="str">
        <f>Plac_Start_Facs_BA!C11</f>
        <v>Copperbelt</v>
      </c>
      <c r="J37" s="8">
        <f>J18*Plac_Start_Facs_BA!$H11</f>
        <v>10</v>
      </c>
      <c r="K37" s="8">
        <f>K18*Plac_Start_Facs_BA!$H11</f>
        <v>10</v>
      </c>
      <c r="L37" s="8">
        <f>L18*Plac_Start_Facs_BA!$H11</f>
        <v>10</v>
      </c>
      <c r="M37" s="8">
        <f>M18*Plac_Start_Facs_BA!$H11</f>
        <v>10</v>
      </c>
      <c r="N37" s="8">
        <f>N18*Plac_Start_Facs_BA!$H11</f>
        <v>10</v>
      </c>
      <c r="O37" s="8">
        <f>O18*Plac_Start_Facs_BA!$H11</f>
        <v>10</v>
      </c>
    </row>
    <row r="38" spans="3:15" s="327" customFormat="1" hidden="1" outlineLevel="1" x14ac:dyDescent="0.2">
      <c r="D38" s="660" t="str">
        <f>Plac_Start_Facs_BA!C12</f>
        <v>Eastern</v>
      </c>
      <c r="J38" s="8">
        <f>J19*Plac_Start_Facs_BA!$H12</f>
        <v>9</v>
      </c>
      <c r="K38" s="8">
        <f>K19*Plac_Start_Facs_BA!$H12</f>
        <v>9</v>
      </c>
      <c r="L38" s="8">
        <f>L19*Plac_Start_Facs_BA!$H12</f>
        <v>9</v>
      </c>
      <c r="M38" s="8">
        <f>M19*Plac_Start_Facs_BA!$H12</f>
        <v>9</v>
      </c>
      <c r="N38" s="8">
        <f>N19*Plac_Start_Facs_BA!$H12</f>
        <v>9</v>
      </c>
      <c r="O38" s="8">
        <f>O19*Plac_Start_Facs_BA!$H12</f>
        <v>9</v>
      </c>
    </row>
    <row r="39" spans="3:15" s="327" customFormat="1" hidden="1" outlineLevel="1" x14ac:dyDescent="0.2">
      <c r="D39" s="660" t="str">
        <f>Plac_Start_Facs_BA!C13</f>
        <v>Luapula</v>
      </c>
      <c r="J39" s="8">
        <f>J20*Plac_Start_Facs_BA!$H13</f>
        <v>11</v>
      </c>
      <c r="K39" s="8">
        <f>K20*Plac_Start_Facs_BA!$H13</f>
        <v>11</v>
      </c>
      <c r="L39" s="8">
        <f>L20*Plac_Start_Facs_BA!$H13</f>
        <v>11</v>
      </c>
      <c r="M39" s="8">
        <f>M20*Plac_Start_Facs_BA!$H13</f>
        <v>11</v>
      </c>
      <c r="N39" s="8">
        <f>N20*Plac_Start_Facs_BA!$H13</f>
        <v>11</v>
      </c>
      <c r="O39" s="8">
        <f>O20*Plac_Start_Facs_BA!$H13</f>
        <v>11</v>
      </c>
    </row>
    <row r="40" spans="3:15" s="327" customFormat="1" hidden="1" outlineLevel="1" x14ac:dyDescent="0.2">
      <c r="D40" s="660" t="str">
        <f>Plac_Start_Facs_BA!C14</f>
        <v>Lusaka</v>
      </c>
      <c r="J40" s="8">
        <f>J21*Plac_Start_Facs_BA!$H14</f>
        <v>8</v>
      </c>
      <c r="K40" s="8">
        <f>K21*Plac_Start_Facs_BA!$H14</f>
        <v>8</v>
      </c>
      <c r="L40" s="8">
        <f>L21*Plac_Start_Facs_BA!$H14</f>
        <v>8</v>
      </c>
      <c r="M40" s="8">
        <f>M21*Plac_Start_Facs_BA!$H14</f>
        <v>8</v>
      </c>
      <c r="N40" s="8">
        <f>N21*Plac_Start_Facs_BA!$H14</f>
        <v>8</v>
      </c>
      <c r="O40" s="8">
        <f>O21*Plac_Start_Facs_BA!$H14</f>
        <v>8</v>
      </c>
    </row>
    <row r="41" spans="3:15" s="327" customFormat="1" hidden="1" outlineLevel="1" x14ac:dyDescent="0.2">
      <c r="D41" s="660" t="str">
        <f>Plac_Start_Facs_BA!C15</f>
        <v>Muchinga</v>
      </c>
      <c r="J41" s="8">
        <f>J22*Plac_Start_Facs_BA!$H15</f>
        <v>7</v>
      </c>
      <c r="K41" s="8">
        <f>K22*Plac_Start_Facs_BA!$H15</f>
        <v>7</v>
      </c>
      <c r="L41" s="8">
        <f>L22*Plac_Start_Facs_BA!$H15</f>
        <v>7</v>
      </c>
      <c r="M41" s="8">
        <f>M22*Plac_Start_Facs_BA!$H15</f>
        <v>7</v>
      </c>
      <c r="N41" s="8">
        <f>N22*Plac_Start_Facs_BA!$H15</f>
        <v>7</v>
      </c>
      <c r="O41" s="8">
        <f>O22*Plac_Start_Facs_BA!$H15</f>
        <v>7</v>
      </c>
    </row>
    <row r="42" spans="3:15" s="327" customFormat="1" hidden="1" outlineLevel="1" x14ac:dyDescent="0.2">
      <c r="D42" s="660" t="str">
        <f>Plac_Start_Facs_BA!C16</f>
        <v>Northern</v>
      </c>
      <c r="J42" s="8">
        <f>J23*Plac_Start_Facs_BA!$H16</f>
        <v>9</v>
      </c>
      <c r="K42" s="8">
        <f>K23*Plac_Start_Facs_BA!$H16</f>
        <v>9</v>
      </c>
      <c r="L42" s="8">
        <f>L23*Plac_Start_Facs_BA!$H16</f>
        <v>9</v>
      </c>
      <c r="M42" s="8">
        <f>M23*Plac_Start_Facs_BA!$H16</f>
        <v>9</v>
      </c>
      <c r="N42" s="8">
        <f>N23*Plac_Start_Facs_BA!$H16</f>
        <v>9</v>
      </c>
      <c r="O42" s="8">
        <f>O23*Plac_Start_Facs_BA!$H16</f>
        <v>9</v>
      </c>
    </row>
    <row r="43" spans="3:15" s="327" customFormat="1" hidden="1" outlineLevel="1" x14ac:dyDescent="0.2">
      <c r="D43" s="660" t="str">
        <f>Plac_Start_Facs_BA!C17</f>
        <v>North-Western</v>
      </c>
      <c r="J43" s="8">
        <f>J24*Plac_Start_Facs_BA!$H17</f>
        <v>9</v>
      </c>
      <c r="K43" s="8">
        <f>K24*Plac_Start_Facs_BA!$H17</f>
        <v>9</v>
      </c>
      <c r="L43" s="8">
        <f>L24*Plac_Start_Facs_BA!$H17</f>
        <v>9</v>
      </c>
      <c r="M43" s="8">
        <f>M24*Plac_Start_Facs_BA!$H17</f>
        <v>9</v>
      </c>
      <c r="N43" s="8">
        <f>N24*Plac_Start_Facs_BA!$H17</f>
        <v>9</v>
      </c>
      <c r="O43" s="8">
        <f>O24*Plac_Start_Facs_BA!$H17</f>
        <v>9</v>
      </c>
    </row>
    <row r="44" spans="3:15" s="327" customFormat="1" hidden="1" outlineLevel="1" x14ac:dyDescent="0.2">
      <c r="D44" s="660" t="str">
        <f>Plac_Start_Facs_BA!C18</f>
        <v>Southern</v>
      </c>
      <c r="J44" s="8">
        <f>J25*Plac_Start_Facs_BA!$H18</f>
        <v>13</v>
      </c>
      <c r="K44" s="8">
        <f>K25*Plac_Start_Facs_BA!$H18</f>
        <v>13</v>
      </c>
      <c r="L44" s="8">
        <f>L25*Plac_Start_Facs_BA!$H18</f>
        <v>13</v>
      </c>
      <c r="M44" s="8">
        <f>M25*Plac_Start_Facs_BA!$H18</f>
        <v>13</v>
      </c>
      <c r="N44" s="8">
        <f>N25*Plac_Start_Facs_BA!$H18</f>
        <v>13</v>
      </c>
      <c r="O44" s="8">
        <f>O25*Plac_Start_Facs_BA!$H18</f>
        <v>13</v>
      </c>
    </row>
    <row r="45" spans="3:15" s="327" customFormat="1" hidden="1" outlineLevel="1" x14ac:dyDescent="0.2">
      <c r="D45" s="660" t="str">
        <f>Plac_Start_Facs_BA!C19</f>
        <v>Western</v>
      </c>
      <c r="J45" s="9">
        <f>J26*Plac_Start_Facs_BA!$H19</f>
        <v>16</v>
      </c>
      <c r="K45" s="9">
        <f>K26*Plac_Start_Facs_BA!$H19</f>
        <v>16</v>
      </c>
      <c r="L45" s="9">
        <f>L26*Plac_Start_Facs_BA!$H19</f>
        <v>16</v>
      </c>
      <c r="M45" s="9">
        <f>M26*Plac_Start_Facs_BA!$H19</f>
        <v>16</v>
      </c>
      <c r="N45" s="9">
        <f>N26*Plac_Start_Facs_BA!$H19</f>
        <v>16</v>
      </c>
      <c r="O45" s="9">
        <f>O26*Plac_Start_Facs_BA!$H19</f>
        <v>16</v>
      </c>
    </row>
    <row r="46" spans="3:15" s="327" customFormat="1" ht="15" collapsed="1" x14ac:dyDescent="0.2">
      <c r="D46" s="679" t="str">
        <f>"Total "&amp;C33</f>
        <v>Total Active Districts</v>
      </c>
      <c r="J46" s="5">
        <f t="shared" ref="J46:O46" si="8">SUM(J36:J45)</f>
        <v>103</v>
      </c>
      <c r="K46" s="5">
        <f t="shared" si="8"/>
        <v>103</v>
      </c>
      <c r="L46" s="5">
        <f t="shared" si="8"/>
        <v>103</v>
      </c>
      <c r="M46" s="5">
        <f t="shared" si="8"/>
        <v>103</v>
      </c>
      <c r="N46" s="5">
        <f t="shared" si="8"/>
        <v>103</v>
      </c>
      <c r="O46" s="5">
        <f t="shared" si="8"/>
        <v>103</v>
      </c>
    </row>
    <row r="47" spans="3:15" s="327" customFormat="1" x14ac:dyDescent="0.2"/>
    <row r="48" spans="3:15" s="327" customFormat="1" x14ac:dyDescent="0.2">
      <c r="D48" s="659" t="str">
        <f>"Startup "&amp;Plac_Start_Facs_BA!H26&amp;"s"</f>
        <v>Startup Districts</v>
      </c>
      <c r="J48" s="5">
        <f t="shared" ref="J48:O48" si="9">J46-I46</f>
        <v>103</v>
      </c>
      <c r="K48" s="5">
        <f t="shared" si="9"/>
        <v>0</v>
      </c>
      <c r="L48" s="5">
        <f t="shared" si="9"/>
        <v>0</v>
      </c>
      <c r="M48" s="5">
        <f t="shared" si="9"/>
        <v>0</v>
      </c>
      <c r="N48" s="5">
        <f t="shared" si="9"/>
        <v>0</v>
      </c>
      <c r="O48" s="5">
        <f t="shared" si="9"/>
        <v>0</v>
      </c>
    </row>
    <row r="49" spans="3:15" s="327" customFormat="1" x14ac:dyDescent="0.2">
      <c r="D49" s="659" t="str">
        <f>"Continuing "&amp;C33</f>
        <v>Continuing Active Districts</v>
      </c>
      <c r="J49" s="5">
        <f t="shared" ref="J49:O49" si="10">J46-J48</f>
        <v>0</v>
      </c>
      <c r="K49" s="5">
        <f t="shared" si="10"/>
        <v>103</v>
      </c>
      <c r="L49" s="5">
        <f t="shared" si="10"/>
        <v>103</v>
      </c>
      <c r="M49" s="5">
        <f t="shared" si="10"/>
        <v>103</v>
      </c>
      <c r="N49" s="5">
        <f t="shared" si="10"/>
        <v>103</v>
      </c>
      <c r="O49" s="5">
        <f t="shared" si="10"/>
        <v>103</v>
      </c>
    </row>
    <row r="50" spans="3:15" s="327" customFormat="1" ht="15.75" x14ac:dyDescent="0.2">
      <c r="C50" s="26" t="str">
        <f>"Combined Active "&amp;Plac_Start_Facs_BA!H25&amp;"s and "&amp;Plac_Start_Facs_BA!H26&amp;"s"</f>
        <v>Combined Active Provinces and Districts</v>
      </c>
    </row>
    <row r="51" spans="3:15" s="327" customFormat="1" x14ac:dyDescent="0.2"/>
    <row r="52" spans="3:15" s="327" customFormat="1" x14ac:dyDescent="0.2">
      <c r="D52" s="660" t="str">
        <f>Plac_Start_Facs_BA!H25</f>
        <v>Province</v>
      </c>
    </row>
    <row r="53" spans="3:15" s="327" customFormat="1" x14ac:dyDescent="0.2">
      <c r="D53" s="715" t="str">
        <f t="shared" ref="D53:D62" si="11">D36</f>
        <v>Central</v>
      </c>
      <c r="E53" s="715"/>
      <c r="F53" s="715"/>
      <c r="G53" s="715"/>
      <c r="J53" s="5">
        <f t="shared" ref="J53:O62" si="12">J17+J36</f>
        <v>12</v>
      </c>
      <c r="K53" s="5">
        <f t="shared" si="12"/>
        <v>12</v>
      </c>
      <c r="L53" s="5">
        <f t="shared" si="12"/>
        <v>12</v>
      </c>
      <c r="M53" s="5">
        <f t="shared" si="12"/>
        <v>12</v>
      </c>
      <c r="N53" s="5">
        <f t="shared" si="12"/>
        <v>12</v>
      </c>
      <c r="O53" s="5">
        <f t="shared" si="12"/>
        <v>12</v>
      </c>
    </row>
    <row r="54" spans="3:15" s="327" customFormat="1" x14ac:dyDescent="0.2">
      <c r="D54" s="715" t="str">
        <f t="shared" si="11"/>
        <v>Copperbelt</v>
      </c>
      <c r="E54" s="715"/>
      <c r="F54" s="715"/>
      <c r="G54" s="715"/>
      <c r="J54" s="5">
        <f t="shared" si="12"/>
        <v>11</v>
      </c>
      <c r="K54" s="5">
        <f t="shared" si="12"/>
        <v>11</v>
      </c>
      <c r="L54" s="5">
        <f t="shared" si="12"/>
        <v>11</v>
      </c>
      <c r="M54" s="5">
        <f t="shared" si="12"/>
        <v>11</v>
      </c>
      <c r="N54" s="5">
        <f t="shared" si="12"/>
        <v>11</v>
      </c>
      <c r="O54" s="5">
        <f t="shared" si="12"/>
        <v>11</v>
      </c>
    </row>
    <row r="55" spans="3:15" s="327" customFormat="1" x14ac:dyDescent="0.2">
      <c r="D55" s="715" t="str">
        <f t="shared" si="11"/>
        <v>Eastern</v>
      </c>
      <c r="E55" s="715"/>
      <c r="F55" s="715"/>
      <c r="G55" s="715"/>
      <c r="J55" s="5">
        <f t="shared" si="12"/>
        <v>10</v>
      </c>
      <c r="K55" s="5">
        <f t="shared" si="12"/>
        <v>10</v>
      </c>
      <c r="L55" s="5">
        <f t="shared" si="12"/>
        <v>10</v>
      </c>
      <c r="M55" s="5">
        <f t="shared" si="12"/>
        <v>10</v>
      </c>
      <c r="N55" s="5">
        <f t="shared" si="12"/>
        <v>10</v>
      </c>
      <c r="O55" s="5">
        <f t="shared" si="12"/>
        <v>10</v>
      </c>
    </row>
    <row r="56" spans="3:15" s="327" customFormat="1" x14ac:dyDescent="0.2">
      <c r="D56" s="715" t="str">
        <f t="shared" si="11"/>
        <v>Luapula</v>
      </c>
      <c r="E56" s="715"/>
      <c r="F56" s="715"/>
      <c r="G56" s="715"/>
      <c r="J56" s="5">
        <f t="shared" si="12"/>
        <v>12</v>
      </c>
      <c r="K56" s="5">
        <f t="shared" si="12"/>
        <v>12</v>
      </c>
      <c r="L56" s="5">
        <f t="shared" si="12"/>
        <v>12</v>
      </c>
      <c r="M56" s="5">
        <f t="shared" si="12"/>
        <v>12</v>
      </c>
      <c r="N56" s="5">
        <f t="shared" si="12"/>
        <v>12</v>
      </c>
      <c r="O56" s="5">
        <f t="shared" si="12"/>
        <v>12</v>
      </c>
    </row>
    <row r="57" spans="3:15" s="327" customFormat="1" x14ac:dyDescent="0.2">
      <c r="D57" s="715" t="str">
        <f t="shared" si="11"/>
        <v>Lusaka</v>
      </c>
      <c r="E57" s="715"/>
      <c r="F57" s="715"/>
      <c r="G57" s="715"/>
      <c r="J57" s="5">
        <f t="shared" si="12"/>
        <v>9</v>
      </c>
      <c r="K57" s="5">
        <f t="shared" si="12"/>
        <v>9</v>
      </c>
      <c r="L57" s="5">
        <f t="shared" si="12"/>
        <v>9</v>
      </c>
      <c r="M57" s="5">
        <f t="shared" si="12"/>
        <v>9</v>
      </c>
      <c r="N57" s="5">
        <f t="shared" si="12"/>
        <v>9</v>
      </c>
      <c r="O57" s="5">
        <f t="shared" si="12"/>
        <v>9</v>
      </c>
    </row>
    <row r="58" spans="3:15" s="327" customFormat="1" x14ac:dyDescent="0.2">
      <c r="D58" s="715" t="str">
        <f t="shared" si="11"/>
        <v>Muchinga</v>
      </c>
      <c r="E58" s="715"/>
      <c r="F58" s="715"/>
      <c r="G58" s="715"/>
      <c r="J58" s="5">
        <f t="shared" si="12"/>
        <v>8</v>
      </c>
      <c r="K58" s="5">
        <f t="shared" si="12"/>
        <v>8</v>
      </c>
      <c r="L58" s="5">
        <f t="shared" si="12"/>
        <v>8</v>
      </c>
      <c r="M58" s="5">
        <f t="shared" si="12"/>
        <v>8</v>
      </c>
      <c r="N58" s="5">
        <f t="shared" si="12"/>
        <v>8</v>
      </c>
      <c r="O58" s="5">
        <f t="shared" si="12"/>
        <v>8</v>
      </c>
    </row>
    <row r="59" spans="3:15" s="327" customFormat="1" x14ac:dyDescent="0.2">
      <c r="D59" s="715" t="str">
        <f t="shared" si="11"/>
        <v>Northern</v>
      </c>
      <c r="E59" s="715"/>
      <c r="F59" s="715"/>
      <c r="G59" s="715"/>
      <c r="J59" s="5">
        <f t="shared" si="12"/>
        <v>10</v>
      </c>
      <c r="K59" s="5">
        <f t="shared" si="12"/>
        <v>10</v>
      </c>
      <c r="L59" s="5">
        <f t="shared" si="12"/>
        <v>10</v>
      </c>
      <c r="M59" s="5">
        <f t="shared" si="12"/>
        <v>10</v>
      </c>
      <c r="N59" s="5">
        <f t="shared" si="12"/>
        <v>10</v>
      </c>
      <c r="O59" s="5">
        <f t="shared" si="12"/>
        <v>10</v>
      </c>
    </row>
    <row r="60" spans="3:15" s="327" customFormat="1" x14ac:dyDescent="0.2">
      <c r="D60" s="715" t="str">
        <f t="shared" si="11"/>
        <v>North-Western</v>
      </c>
      <c r="E60" s="715"/>
      <c r="F60" s="715"/>
      <c r="G60" s="715"/>
      <c r="J60" s="5">
        <f t="shared" si="12"/>
        <v>10</v>
      </c>
      <c r="K60" s="5">
        <f t="shared" si="12"/>
        <v>10</v>
      </c>
      <c r="L60" s="5">
        <f t="shared" si="12"/>
        <v>10</v>
      </c>
      <c r="M60" s="5">
        <f t="shared" si="12"/>
        <v>10</v>
      </c>
      <c r="N60" s="5">
        <f t="shared" si="12"/>
        <v>10</v>
      </c>
      <c r="O60" s="5">
        <f t="shared" si="12"/>
        <v>10</v>
      </c>
    </row>
    <row r="61" spans="3:15" s="327" customFormat="1" x14ac:dyDescent="0.2">
      <c r="D61" s="715" t="str">
        <f t="shared" si="11"/>
        <v>Southern</v>
      </c>
      <c r="E61" s="715"/>
      <c r="F61" s="715"/>
      <c r="G61" s="715"/>
      <c r="J61" s="5">
        <f t="shared" si="12"/>
        <v>14</v>
      </c>
      <c r="K61" s="5">
        <f t="shared" si="12"/>
        <v>14</v>
      </c>
      <c r="L61" s="5">
        <f t="shared" si="12"/>
        <v>14</v>
      </c>
      <c r="M61" s="5">
        <f t="shared" si="12"/>
        <v>14</v>
      </c>
      <c r="N61" s="5">
        <f t="shared" si="12"/>
        <v>14</v>
      </c>
      <c r="O61" s="5">
        <f t="shared" si="12"/>
        <v>14</v>
      </c>
    </row>
    <row r="62" spans="3:15" s="327" customFormat="1" x14ac:dyDescent="0.2">
      <c r="D62" s="715" t="str">
        <f t="shared" si="11"/>
        <v>Western</v>
      </c>
      <c r="E62" s="715"/>
      <c r="F62" s="715"/>
      <c r="G62" s="715"/>
      <c r="J62" s="5">
        <f t="shared" si="12"/>
        <v>17</v>
      </c>
      <c r="K62" s="5">
        <f t="shared" si="12"/>
        <v>17</v>
      </c>
      <c r="L62" s="5">
        <f t="shared" si="12"/>
        <v>17</v>
      </c>
      <c r="M62" s="5">
        <f t="shared" si="12"/>
        <v>17</v>
      </c>
      <c r="N62" s="5">
        <f t="shared" si="12"/>
        <v>17</v>
      </c>
      <c r="O62" s="5">
        <f t="shared" si="12"/>
        <v>17</v>
      </c>
    </row>
    <row r="63" spans="3:15" s="327" customFormat="1" ht="15" x14ac:dyDescent="0.2">
      <c r="D63" s="927" t="str">
        <f>"Total "&amp;C50</f>
        <v>Total Combined Active Provinces and Districts</v>
      </c>
      <c r="E63" s="927"/>
      <c r="F63" s="927"/>
      <c r="G63" s="927"/>
      <c r="J63" s="5">
        <f t="shared" ref="J63:O63" si="13">SUM(J53:J62)</f>
        <v>113</v>
      </c>
      <c r="K63" s="5">
        <f t="shared" si="13"/>
        <v>113</v>
      </c>
      <c r="L63" s="5">
        <f t="shared" si="13"/>
        <v>113</v>
      </c>
      <c r="M63" s="5">
        <f t="shared" si="13"/>
        <v>113</v>
      </c>
      <c r="N63" s="5">
        <f t="shared" si="13"/>
        <v>113</v>
      </c>
      <c r="O63" s="5">
        <f t="shared" si="13"/>
        <v>113</v>
      </c>
    </row>
    <row r="64" spans="3:15" s="327" customFormat="1" x14ac:dyDescent="0.2"/>
    <row r="65" spans="3:15" s="327" customFormat="1" x14ac:dyDescent="0.2">
      <c r="D65" s="718" t="str">
        <f>"New "&amp;C50</f>
        <v>New Combined Active Provinces and Districts</v>
      </c>
      <c r="E65" s="718"/>
      <c r="F65" s="718"/>
      <c r="G65" s="718"/>
      <c r="J65" s="5">
        <f t="shared" ref="J65:O65" si="14">J29+J48</f>
        <v>113</v>
      </c>
      <c r="K65" s="5">
        <f t="shared" si="14"/>
        <v>0</v>
      </c>
      <c r="L65" s="5">
        <f t="shared" si="14"/>
        <v>0</v>
      </c>
      <c r="M65" s="5">
        <f t="shared" si="14"/>
        <v>0</v>
      </c>
      <c r="N65" s="5">
        <f t="shared" si="14"/>
        <v>0</v>
      </c>
      <c r="O65" s="5">
        <f t="shared" si="14"/>
        <v>0</v>
      </c>
    </row>
    <row r="66" spans="3:15" s="327" customFormat="1" x14ac:dyDescent="0.2">
      <c r="D66" s="659" t="str">
        <f>"Continuing "&amp;C50</f>
        <v>Continuing Combined Active Provinces and Districts</v>
      </c>
      <c r="J66" s="5">
        <f t="shared" ref="J66:O66" si="15">J63-J65</f>
        <v>0</v>
      </c>
      <c r="K66" s="5">
        <f t="shared" si="15"/>
        <v>113</v>
      </c>
      <c r="L66" s="5">
        <f t="shared" si="15"/>
        <v>113</v>
      </c>
      <c r="M66" s="5">
        <f t="shared" si="15"/>
        <v>113</v>
      </c>
      <c r="N66" s="5">
        <f t="shared" si="15"/>
        <v>113</v>
      </c>
      <c r="O66" s="5">
        <f t="shared" si="15"/>
        <v>113</v>
      </c>
    </row>
    <row r="67" spans="3:15" s="327" customFormat="1" ht="15.75" x14ac:dyDescent="0.2">
      <c r="C67" s="26" t="str">
        <f>"Year In Plan by "&amp;D69</f>
        <v>Year In Plan by Province</v>
      </c>
    </row>
    <row r="68" spans="3:15" s="327" customFormat="1" hidden="1" outlineLevel="1" x14ac:dyDescent="0.2"/>
    <row r="69" spans="3:15" s="327" customFormat="1" ht="15" hidden="1" outlineLevel="1" x14ac:dyDescent="0.2">
      <c r="D69" s="646" t="str">
        <f>D16</f>
        <v>Province</v>
      </c>
    </row>
    <row r="70" spans="3:15" s="327" customFormat="1" hidden="1" outlineLevel="1" x14ac:dyDescent="0.2">
      <c r="D70" s="660" t="str">
        <f t="shared" ref="D70:D79" si="16">D17</f>
        <v>Central</v>
      </c>
      <c r="J70" s="5">
        <f>SUM($J17:J17)</f>
        <v>1</v>
      </c>
      <c r="K70" s="5">
        <f>SUM($J17:K17)</f>
        <v>2</v>
      </c>
      <c r="L70" s="5">
        <f>SUM($J17:L17)</f>
        <v>3</v>
      </c>
      <c r="M70" s="5">
        <f>SUM($J17:M17)</f>
        <v>4</v>
      </c>
      <c r="N70" s="5">
        <f>SUM($J17:N17)</f>
        <v>5</v>
      </c>
      <c r="O70" s="5">
        <f>SUM($J17:O17)</f>
        <v>6</v>
      </c>
    </row>
    <row r="71" spans="3:15" s="327" customFormat="1" hidden="1" outlineLevel="1" x14ac:dyDescent="0.2">
      <c r="D71" s="660" t="str">
        <f t="shared" si="16"/>
        <v>Copperbelt</v>
      </c>
      <c r="J71" s="5">
        <f>SUM($J18:J18)</f>
        <v>1</v>
      </c>
      <c r="K71" s="5">
        <f>SUM($J18:K18)</f>
        <v>2</v>
      </c>
      <c r="L71" s="5">
        <f>SUM($J18:L18)</f>
        <v>3</v>
      </c>
      <c r="M71" s="5">
        <f>SUM($J18:M18)</f>
        <v>4</v>
      </c>
      <c r="N71" s="5">
        <f>SUM($J18:N18)</f>
        <v>5</v>
      </c>
      <c r="O71" s="5">
        <f>SUM($J18:O18)</f>
        <v>6</v>
      </c>
    </row>
    <row r="72" spans="3:15" s="327" customFormat="1" hidden="1" outlineLevel="1" x14ac:dyDescent="0.2">
      <c r="D72" s="660" t="str">
        <f t="shared" si="16"/>
        <v>Eastern</v>
      </c>
      <c r="J72" s="5">
        <f>SUM($J19:J19)</f>
        <v>1</v>
      </c>
      <c r="K72" s="5">
        <f>SUM($J19:K19)</f>
        <v>2</v>
      </c>
      <c r="L72" s="5">
        <f>SUM($J19:L19)</f>
        <v>3</v>
      </c>
      <c r="M72" s="5">
        <f>SUM($J19:M19)</f>
        <v>4</v>
      </c>
      <c r="N72" s="5">
        <f>SUM($J19:N19)</f>
        <v>5</v>
      </c>
      <c r="O72" s="5">
        <f>SUM($J19:O19)</f>
        <v>6</v>
      </c>
    </row>
    <row r="73" spans="3:15" s="327" customFormat="1" hidden="1" outlineLevel="1" x14ac:dyDescent="0.2">
      <c r="D73" s="660" t="str">
        <f t="shared" si="16"/>
        <v>Luapula</v>
      </c>
      <c r="J73" s="5">
        <f>SUM($J20:J20)</f>
        <v>1</v>
      </c>
      <c r="K73" s="5">
        <f>SUM($J20:K20)</f>
        <v>2</v>
      </c>
      <c r="L73" s="5">
        <f>SUM($J20:L20)</f>
        <v>3</v>
      </c>
      <c r="M73" s="5">
        <f>SUM($J20:M20)</f>
        <v>4</v>
      </c>
      <c r="N73" s="5">
        <f>SUM($J20:N20)</f>
        <v>5</v>
      </c>
      <c r="O73" s="5">
        <f>SUM($J20:O20)</f>
        <v>6</v>
      </c>
    </row>
    <row r="74" spans="3:15" s="327" customFormat="1" hidden="1" outlineLevel="1" x14ac:dyDescent="0.2">
      <c r="D74" s="660" t="str">
        <f t="shared" si="16"/>
        <v>Lusaka</v>
      </c>
      <c r="J74" s="5">
        <f>SUM($J21:J21)</f>
        <v>1</v>
      </c>
      <c r="K74" s="5">
        <f>SUM($J21:K21)</f>
        <v>2</v>
      </c>
      <c r="L74" s="5">
        <f>SUM($J21:L21)</f>
        <v>3</v>
      </c>
      <c r="M74" s="5">
        <f>SUM($J21:M21)</f>
        <v>4</v>
      </c>
      <c r="N74" s="5">
        <f>SUM($J21:N21)</f>
        <v>5</v>
      </c>
      <c r="O74" s="5">
        <f>SUM($J21:O21)</f>
        <v>6</v>
      </c>
    </row>
    <row r="75" spans="3:15" s="327" customFormat="1" hidden="1" outlineLevel="1" x14ac:dyDescent="0.2">
      <c r="D75" s="660" t="str">
        <f t="shared" si="16"/>
        <v>Muchinga</v>
      </c>
      <c r="J75" s="5">
        <f>SUM($J22:J22)</f>
        <v>1</v>
      </c>
      <c r="K75" s="5">
        <f>SUM($J22:K22)</f>
        <v>2</v>
      </c>
      <c r="L75" s="5">
        <f>SUM($J22:L22)</f>
        <v>3</v>
      </c>
      <c r="M75" s="5">
        <f>SUM($J22:M22)</f>
        <v>4</v>
      </c>
      <c r="N75" s="5">
        <f>SUM($J22:N22)</f>
        <v>5</v>
      </c>
      <c r="O75" s="5">
        <f>SUM($J22:O22)</f>
        <v>6</v>
      </c>
    </row>
    <row r="76" spans="3:15" s="327" customFormat="1" hidden="1" outlineLevel="1" x14ac:dyDescent="0.2">
      <c r="D76" s="660" t="str">
        <f t="shared" si="16"/>
        <v>Northern</v>
      </c>
      <c r="J76" s="5">
        <f>SUM($J23:J23)</f>
        <v>1</v>
      </c>
      <c r="K76" s="5">
        <f>SUM($J23:K23)</f>
        <v>2</v>
      </c>
      <c r="L76" s="5">
        <f>SUM($J23:L23)</f>
        <v>3</v>
      </c>
      <c r="M76" s="5">
        <f>SUM($J23:M23)</f>
        <v>4</v>
      </c>
      <c r="N76" s="5">
        <f>SUM($J23:N23)</f>
        <v>5</v>
      </c>
      <c r="O76" s="5">
        <f>SUM($J23:O23)</f>
        <v>6</v>
      </c>
    </row>
    <row r="77" spans="3:15" s="327" customFormat="1" hidden="1" outlineLevel="1" x14ac:dyDescent="0.2">
      <c r="D77" s="660" t="str">
        <f t="shared" si="16"/>
        <v>North-Western</v>
      </c>
      <c r="J77" s="5">
        <f>SUM($J24:J24)</f>
        <v>1</v>
      </c>
      <c r="K77" s="5">
        <f>SUM($J24:K24)</f>
        <v>2</v>
      </c>
      <c r="L77" s="5">
        <f>SUM($J24:L24)</f>
        <v>3</v>
      </c>
      <c r="M77" s="5">
        <f>SUM($J24:M24)</f>
        <v>4</v>
      </c>
      <c r="N77" s="5">
        <f>SUM($J24:N24)</f>
        <v>5</v>
      </c>
      <c r="O77" s="5">
        <f>SUM($J24:O24)</f>
        <v>6</v>
      </c>
    </row>
    <row r="78" spans="3:15" s="327" customFormat="1" hidden="1" outlineLevel="1" x14ac:dyDescent="0.2">
      <c r="D78" s="660" t="str">
        <f t="shared" si="16"/>
        <v>Southern</v>
      </c>
      <c r="J78" s="5">
        <f>SUM($J25:J25)</f>
        <v>1</v>
      </c>
      <c r="K78" s="5">
        <f>SUM($J25:K25)</f>
        <v>2</v>
      </c>
      <c r="L78" s="5">
        <f>SUM($J25:L25)</f>
        <v>3</v>
      </c>
      <c r="M78" s="5">
        <f>SUM($J25:M25)</f>
        <v>4</v>
      </c>
      <c r="N78" s="5">
        <f>SUM($J25:N25)</f>
        <v>5</v>
      </c>
      <c r="O78" s="5">
        <f>SUM($J25:O25)</f>
        <v>6</v>
      </c>
    </row>
    <row r="79" spans="3:15" s="327" customFormat="1" hidden="1" outlineLevel="1" x14ac:dyDescent="0.2">
      <c r="D79" s="660" t="str">
        <f t="shared" si="16"/>
        <v>Western</v>
      </c>
      <c r="J79" s="5">
        <f>SUM($J26:J26)</f>
        <v>1</v>
      </c>
      <c r="K79" s="5">
        <f>SUM($J26:K26)</f>
        <v>2</v>
      </c>
      <c r="L79" s="5">
        <f>SUM($J26:L26)</f>
        <v>3</v>
      </c>
      <c r="M79" s="5">
        <f>SUM($J26:M26)</f>
        <v>4</v>
      </c>
      <c r="N79" s="5">
        <f>SUM($J26:N26)</f>
        <v>5</v>
      </c>
      <c r="O79" s="5">
        <f>SUM($J26:O26)</f>
        <v>6</v>
      </c>
    </row>
    <row r="80" spans="3:15" s="327" customFormat="1" collapsed="1" x14ac:dyDescent="0.2"/>
    <row r="81" spans="2:15" s="327" customFormat="1" x14ac:dyDescent="0.2">
      <c r="C81" s="716" t="str">
        <f>"Go to "&amp;HL_Reg_Pop_Reg_Ass</f>
        <v>Go to Provinces, Districts, and Program Start Years - Assumptions</v>
      </c>
      <c r="D81" s="716"/>
      <c r="E81" s="716"/>
      <c r="F81" s="716"/>
      <c r="G81" s="716"/>
      <c r="H81" s="716"/>
      <c r="I81" s="716"/>
    </row>
    <row r="82" spans="2:15" s="327" customFormat="1" x14ac:dyDescent="0.2">
      <c r="C82" s="716" t="str">
        <f>"Go to "&amp;HL_Reg_Pop_Pop_Out</f>
        <v>Go to Population - Outputs</v>
      </c>
      <c r="D82" s="716"/>
      <c r="E82" s="716"/>
      <c r="F82" s="716"/>
      <c r="G82" s="716"/>
      <c r="H82" s="716"/>
      <c r="I82" s="716"/>
    </row>
    <row r="83" spans="2:15" s="327" customFormat="1" collapsed="1" x14ac:dyDescent="0.2"/>
    <row r="84" spans="2:15" s="327" customFormat="1" x14ac:dyDescent="0.2"/>
    <row r="85" spans="2:15" s="327" customFormat="1" ht="18.75" x14ac:dyDescent="0.2">
      <c r="B85" s="426" t="s">
        <v>99</v>
      </c>
    </row>
    <row r="86" spans="2:15" s="327" customFormat="1" x14ac:dyDescent="0.2"/>
    <row r="87" spans="2:15" s="327" customFormat="1" ht="15.75" x14ac:dyDescent="0.2">
      <c r="C87" s="330" t="s">
        <v>1218</v>
      </c>
    </row>
    <row r="88" spans="2:15" s="327" customFormat="1" x14ac:dyDescent="0.2"/>
    <row r="89" spans="2:15" s="327" customFormat="1" ht="15" x14ac:dyDescent="0.2">
      <c r="D89" s="646" t="str">
        <f>Reg_Pop_Ann_TA!D100</f>
        <v>HIV+</v>
      </c>
    </row>
    <row r="90" spans="2:15" s="327" customFormat="1" hidden="1" outlineLevel="1" x14ac:dyDescent="0.2">
      <c r="D90" s="660" t="str">
        <f>Reg_Pop_Ann_TA!D131</f>
        <v>Central</v>
      </c>
      <c r="J90" s="8">
        <f>Reg_Pop_Ann_TA!J131+Reg_Pop_Ann_TA!J152</f>
        <v>43889</v>
      </c>
      <c r="K90" s="8">
        <f>Reg_Pop_Ann_TA!K131+Reg_Pop_Ann_TA!K152</f>
        <v>45160</v>
      </c>
      <c r="L90" s="8">
        <f>Reg_Pop_Ann_TA!L131+Reg_Pop_Ann_TA!L152</f>
        <v>46457</v>
      </c>
      <c r="M90" s="8">
        <f>Reg_Pop_Ann_TA!M131+Reg_Pop_Ann_TA!M152</f>
        <v>47796</v>
      </c>
      <c r="N90" s="8">
        <f>Reg_Pop_Ann_TA!N131+Reg_Pop_Ann_TA!N152</f>
        <v>49192</v>
      </c>
      <c r="O90" s="8">
        <f>Reg_Pop_Ann_TA!O131+Reg_Pop_Ann_TA!O152</f>
        <v>50666</v>
      </c>
    </row>
    <row r="91" spans="2:15" s="327" customFormat="1" hidden="1" outlineLevel="1" x14ac:dyDescent="0.2">
      <c r="D91" s="660" t="str">
        <f>Reg_Pop_Ann_TA!D132</f>
        <v>Copperbelt</v>
      </c>
      <c r="J91" s="8">
        <f>Reg_Pop_Ann_TA!J132+Reg_Pop_Ann_TA!J153</f>
        <v>98620</v>
      </c>
      <c r="K91" s="8">
        <f>Reg_Pop_Ann_TA!K132+Reg_Pop_Ann_TA!K153</f>
        <v>101569</v>
      </c>
      <c r="L91" s="8">
        <f>Reg_Pop_Ann_TA!L132+Reg_Pop_Ann_TA!L153</f>
        <v>104709</v>
      </c>
      <c r="M91" s="8">
        <f>Reg_Pop_Ann_TA!M132+Reg_Pop_Ann_TA!M153</f>
        <v>107982</v>
      </c>
      <c r="N91" s="8">
        <f>Reg_Pop_Ann_TA!N132+Reg_Pop_Ann_TA!N153</f>
        <v>111317</v>
      </c>
      <c r="O91" s="8">
        <f>Reg_Pop_Ann_TA!O132+Reg_Pop_Ann_TA!O153</f>
        <v>114667</v>
      </c>
    </row>
    <row r="92" spans="2:15" s="327" customFormat="1" hidden="1" outlineLevel="1" x14ac:dyDescent="0.2">
      <c r="D92" s="660" t="str">
        <f>Reg_Pop_Ann_TA!D133</f>
        <v>Eastern</v>
      </c>
      <c r="J92" s="8">
        <f>Reg_Pop_Ann_TA!J133+Reg_Pop_Ann_TA!J154</f>
        <v>39179</v>
      </c>
      <c r="K92" s="8">
        <f>Reg_Pop_Ann_TA!K133+Reg_Pop_Ann_TA!K154</f>
        <v>40347</v>
      </c>
      <c r="L92" s="8">
        <f>Reg_Pop_Ann_TA!L133+Reg_Pop_Ann_TA!L154</f>
        <v>41513</v>
      </c>
      <c r="M92" s="8">
        <f>Reg_Pop_Ann_TA!M133+Reg_Pop_Ann_TA!M154</f>
        <v>42697</v>
      </c>
      <c r="N92" s="8">
        <f>Reg_Pop_Ann_TA!N133+Reg_Pop_Ann_TA!N154</f>
        <v>43921</v>
      </c>
      <c r="O92" s="8">
        <f>Reg_Pop_Ann_TA!O133+Reg_Pop_Ann_TA!O154</f>
        <v>45203</v>
      </c>
    </row>
    <row r="93" spans="2:15" s="327" customFormat="1" hidden="1" outlineLevel="1" x14ac:dyDescent="0.2">
      <c r="D93" s="660" t="str">
        <f>Reg_Pop_Ann_TA!D134</f>
        <v>Luapula</v>
      </c>
      <c r="J93" s="8">
        <f>Reg_Pop_Ann_TA!J134+Reg_Pop_Ann_TA!J155</f>
        <v>26930</v>
      </c>
      <c r="K93" s="8">
        <f>Reg_Pop_Ann_TA!K134+Reg_Pop_Ann_TA!K155</f>
        <v>27586</v>
      </c>
      <c r="L93" s="8">
        <f>Reg_Pop_Ann_TA!L134+Reg_Pop_Ann_TA!L155</f>
        <v>28260</v>
      </c>
      <c r="M93" s="8">
        <f>Reg_Pop_Ann_TA!M134+Reg_Pop_Ann_TA!M155</f>
        <v>28819</v>
      </c>
      <c r="N93" s="8">
        <f>Reg_Pop_Ann_TA!N134+Reg_Pop_Ann_TA!N155</f>
        <v>29635</v>
      </c>
      <c r="O93" s="8">
        <f>Reg_Pop_Ann_TA!O134+Reg_Pop_Ann_TA!O155</f>
        <v>30405</v>
      </c>
    </row>
    <row r="94" spans="2:15" s="327" customFormat="1" hidden="1" outlineLevel="1" x14ac:dyDescent="0.2">
      <c r="D94" s="660" t="str">
        <f>Reg_Pop_Ann_TA!D135</f>
        <v>Lusaka</v>
      </c>
      <c r="J94" s="8">
        <f>Reg_Pop_Ann_TA!J135+Reg_Pop_Ann_TA!J156</f>
        <v>124454</v>
      </c>
      <c r="K94" s="8">
        <f>Reg_Pop_Ann_TA!K135+Reg_Pop_Ann_TA!K156</f>
        <v>130430</v>
      </c>
      <c r="L94" s="8">
        <f>Reg_Pop_Ann_TA!L135+Reg_Pop_Ann_TA!L156</f>
        <v>136443</v>
      </c>
      <c r="M94" s="8">
        <f>Reg_Pop_Ann_TA!M135+Reg_Pop_Ann_TA!M156</f>
        <v>142520</v>
      </c>
      <c r="N94" s="8">
        <f>Reg_Pop_Ann_TA!N135+Reg_Pop_Ann_TA!N156</f>
        <v>148693</v>
      </c>
      <c r="O94" s="8">
        <f>Reg_Pop_Ann_TA!O135+Reg_Pop_Ann_TA!O156</f>
        <v>154998</v>
      </c>
    </row>
    <row r="95" spans="2:15" s="327" customFormat="1" hidden="1" outlineLevel="1" x14ac:dyDescent="0.2">
      <c r="D95" s="660" t="str">
        <f>Reg_Pop_Ann_TA!D136</f>
        <v>Muchinga</v>
      </c>
      <c r="J95" s="8">
        <f>Reg_Pop_Ann_TA!J136+Reg_Pop_Ann_TA!J157</f>
        <v>12201</v>
      </c>
      <c r="K95" s="8">
        <f>Reg_Pop_Ann_TA!K136+Reg_Pop_Ann_TA!K157</f>
        <v>12815</v>
      </c>
      <c r="L95" s="8">
        <f>Reg_Pop_Ann_TA!L136+Reg_Pop_Ann_TA!L157</f>
        <v>13440</v>
      </c>
      <c r="M95" s="8">
        <f>Reg_Pop_Ann_TA!M136+Reg_Pop_Ann_TA!M157</f>
        <v>14078</v>
      </c>
      <c r="N95" s="8">
        <f>Reg_Pop_Ann_TA!N136+Reg_Pop_Ann_TA!N157</f>
        <v>14734</v>
      </c>
      <c r="O95" s="8">
        <f>Reg_Pop_Ann_TA!O136+Reg_Pop_Ann_TA!O157</f>
        <v>15409</v>
      </c>
    </row>
    <row r="96" spans="2:15" s="327" customFormat="1" hidden="1" outlineLevel="1" x14ac:dyDescent="0.2">
      <c r="D96" s="660" t="str">
        <f>Reg_Pop_Ann_TA!D137</f>
        <v>Northern</v>
      </c>
      <c r="J96" s="8">
        <f>Reg_Pop_Ann_TA!J137+Reg_Pop_Ann_TA!J158</f>
        <v>26079</v>
      </c>
      <c r="K96" s="8">
        <f>Reg_Pop_Ann_TA!K137+Reg_Pop_Ann_TA!K158</f>
        <v>26976</v>
      </c>
      <c r="L96" s="8">
        <f>Reg_Pop_Ann_TA!L137+Reg_Pop_Ann_TA!L158</f>
        <v>27895</v>
      </c>
      <c r="M96" s="8">
        <f>Reg_Pop_Ann_TA!M137+Reg_Pop_Ann_TA!M158</f>
        <v>28837</v>
      </c>
      <c r="N96" s="8">
        <f>Reg_Pop_Ann_TA!N137+Reg_Pop_Ann_TA!N158</f>
        <v>29814</v>
      </c>
      <c r="O96" s="8">
        <f>Reg_Pop_Ann_TA!O137+Reg_Pop_Ann_TA!O158</f>
        <v>30833</v>
      </c>
    </row>
    <row r="97" spans="4:15" s="327" customFormat="1" hidden="1" outlineLevel="1" x14ac:dyDescent="0.2">
      <c r="D97" s="660" t="str">
        <f>Reg_Pop_Ann_TA!D138</f>
        <v>North-Western</v>
      </c>
      <c r="J97" s="8">
        <f>Reg_Pop_Ann_TA!J138+Reg_Pop_Ann_TA!J159</f>
        <v>12414</v>
      </c>
      <c r="K97" s="8">
        <f>Reg_Pop_Ann_TA!K138+Reg_Pop_Ann_TA!K159</f>
        <v>12726</v>
      </c>
      <c r="L97" s="8">
        <f>Reg_Pop_Ann_TA!L138+Reg_Pop_Ann_TA!L159</f>
        <v>13048</v>
      </c>
      <c r="M97" s="8">
        <f>Reg_Pop_Ann_TA!M138+Reg_Pop_Ann_TA!M159</f>
        <v>13386</v>
      </c>
      <c r="N97" s="8">
        <f>Reg_Pop_Ann_TA!N138+Reg_Pop_Ann_TA!N159</f>
        <v>13746</v>
      </c>
      <c r="O97" s="8">
        <f>Reg_Pop_Ann_TA!O138+Reg_Pop_Ann_TA!O159</f>
        <v>14134</v>
      </c>
    </row>
    <row r="98" spans="4:15" s="327" customFormat="1" hidden="1" outlineLevel="1" x14ac:dyDescent="0.2">
      <c r="D98" s="660" t="str">
        <f>Reg_Pop_Ann_TA!D139</f>
        <v>Southern</v>
      </c>
      <c r="J98" s="8">
        <f>Reg_Pop_Ann_TA!J139+Reg_Pop_Ann_TA!J160</f>
        <v>54220</v>
      </c>
      <c r="K98" s="8">
        <f>Reg_Pop_Ann_TA!K139+Reg_Pop_Ann_TA!K160</f>
        <v>55855</v>
      </c>
      <c r="L98" s="8">
        <f>Reg_Pop_Ann_TA!L139+Reg_Pop_Ann_TA!L160</f>
        <v>57520</v>
      </c>
      <c r="M98" s="8">
        <f>Reg_Pop_Ann_TA!M139+Reg_Pop_Ann_TA!M160</f>
        <v>59231</v>
      </c>
      <c r="N98" s="8">
        <f>Reg_Pop_Ann_TA!N139+Reg_Pop_Ann_TA!N160</f>
        <v>61008</v>
      </c>
      <c r="O98" s="8">
        <f>Reg_Pop_Ann_TA!O139+Reg_Pop_Ann_TA!O160</f>
        <v>62873</v>
      </c>
    </row>
    <row r="99" spans="4:15" s="327" customFormat="1" hidden="1" outlineLevel="1" x14ac:dyDescent="0.2">
      <c r="D99" s="660" t="str">
        <f>Reg_Pop_Ann_TA!D140</f>
        <v>Western</v>
      </c>
      <c r="J99" s="15">
        <f>Reg_Pop_Ann_TA!J140+Reg_Pop_Ann_TA!J161</f>
        <v>34649</v>
      </c>
      <c r="K99" s="15">
        <f>Reg_Pop_Ann_TA!K140+Reg_Pop_Ann_TA!K161</f>
        <v>35155</v>
      </c>
      <c r="L99" s="15">
        <f>Reg_Pop_Ann_TA!L140+Reg_Pop_Ann_TA!L161</f>
        <v>35697</v>
      </c>
      <c r="M99" s="15">
        <f>Reg_Pop_Ann_TA!M140+Reg_Pop_Ann_TA!M161</f>
        <v>36282</v>
      </c>
      <c r="N99" s="15">
        <f>Reg_Pop_Ann_TA!N140+Reg_Pop_Ann_TA!N161</f>
        <v>36919</v>
      </c>
      <c r="O99" s="15">
        <f>Reg_Pop_Ann_TA!O140+Reg_Pop_Ann_TA!O161</f>
        <v>35610</v>
      </c>
    </row>
    <row r="100" spans="4:15" s="327" customFormat="1" ht="15" collapsed="1" x14ac:dyDescent="0.2">
      <c r="D100" s="658" t="s">
        <v>121</v>
      </c>
      <c r="J100" s="25">
        <f t="shared" ref="J100:O100" si="17">SUM(J90:J99)</f>
        <v>472635</v>
      </c>
      <c r="K100" s="25">
        <f t="shared" si="17"/>
        <v>488619</v>
      </c>
      <c r="L100" s="25">
        <f t="shared" si="17"/>
        <v>504982</v>
      </c>
      <c r="M100" s="25">
        <f t="shared" si="17"/>
        <v>521628</v>
      </c>
      <c r="N100" s="25">
        <f t="shared" si="17"/>
        <v>538979</v>
      </c>
      <c r="O100" s="25">
        <f t="shared" si="17"/>
        <v>554798</v>
      </c>
    </row>
    <row r="101" spans="4:15" s="327" customFormat="1" x14ac:dyDescent="0.2"/>
    <row r="102" spans="4:15" s="327" customFormat="1" ht="15" x14ac:dyDescent="0.2">
      <c r="D102" s="646" t="str">
        <f>Reg_Pop_Ann_TA!D101</f>
        <v>HIV-</v>
      </c>
    </row>
    <row r="103" spans="4:15" s="327" customFormat="1" hidden="1" outlineLevel="1" x14ac:dyDescent="0.2">
      <c r="D103" s="660" t="str">
        <f>Reg_Pop_Ann_TA!D131</f>
        <v>Central</v>
      </c>
      <c r="J103" s="8">
        <f>Reg_Pop_Ann_TA!J173+Reg_Pop_Ann_TA!J193</f>
        <v>182098</v>
      </c>
      <c r="K103" s="8">
        <f>Reg_Pop_Ann_TA!K173+Reg_Pop_Ann_TA!K193</f>
        <v>187924</v>
      </c>
      <c r="L103" s="8">
        <f>Reg_Pop_Ann_TA!L173+Reg_Pop_Ann_TA!L193</f>
        <v>194125</v>
      </c>
      <c r="M103" s="8">
        <f>Reg_Pop_Ann_TA!M173+Reg_Pop_Ann_TA!M193</f>
        <v>200676</v>
      </c>
      <c r="N103" s="8">
        <f>Reg_Pop_Ann_TA!N173+Reg_Pop_Ann_TA!N193</f>
        <v>207534</v>
      </c>
      <c r="O103" s="8">
        <f>Reg_Pop_Ann_TA!O173+Reg_Pop_Ann_TA!O193</f>
        <v>214660</v>
      </c>
    </row>
    <row r="104" spans="4:15" s="327" customFormat="1" hidden="1" outlineLevel="1" x14ac:dyDescent="0.2">
      <c r="D104" s="660" t="str">
        <f>Reg_Pop_Ann_TA!D132</f>
        <v>Copperbelt</v>
      </c>
      <c r="J104" s="8">
        <f>Reg_Pop_Ann_TA!J174+Reg_Pop_Ann_TA!J194</f>
        <v>287728</v>
      </c>
      <c r="K104" s="8">
        <f>Reg_Pop_Ann_TA!K174+Reg_Pop_Ann_TA!K194</f>
        <v>297177</v>
      </c>
      <c r="L104" s="8">
        <f>Reg_Pop_Ann_TA!L174+Reg_Pop_Ann_TA!L194</f>
        <v>307569</v>
      </c>
      <c r="M104" s="8">
        <f>Reg_Pop_Ann_TA!M174+Reg_Pop_Ann_TA!M194</f>
        <v>318550</v>
      </c>
      <c r="N104" s="8">
        <f>Reg_Pop_Ann_TA!N174+Reg_Pop_Ann_TA!N194</f>
        <v>329635</v>
      </c>
      <c r="O104" s="8">
        <f>Reg_Pop_Ann_TA!O174+Reg_Pop_Ann_TA!O194</f>
        <v>340499</v>
      </c>
    </row>
    <row r="105" spans="4:15" s="327" customFormat="1" hidden="1" outlineLevel="1" x14ac:dyDescent="0.2">
      <c r="D105" s="660" t="str">
        <f>Reg_Pop_Ann_TA!D133</f>
        <v>Eastern</v>
      </c>
      <c r="J105" s="8">
        <f>Reg_Pop_Ann_TA!J175+Reg_Pop_Ann_TA!J195</f>
        <v>236427</v>
      </c>
      <c r="K105" s="8">
        <f>Reg_Pop_Ann_TA!K175+Reg_Pop_Ann_TA!K195</f>
        <v>244393</v>
      </c>
      <c r="L105" s="8">
        <f>Reg_Pop_Ann_TA!L175+Reg_Pop_Ann_TA!L195</f>
        <v>252488</v>
      </c>
      <c r="M105" s="8">
        <f>Reg_Pop_Ann_TA!M175+Reg_Pop_Ann_TA!M195</f>
        <v>260808</v>
      </c>
      <c r="N105" s="8">
        <f>Reg_Pop_Ann_TA!N175+Reg_Pop_Ann_TA!N195</f>
        <v>269457</v>
      </c>
      <c r="O105" s="8">
        <f>Reg_Pop_Ann_TA!O175+Reg_Pop_Ann_TA!O195</f>
        <v>278494</v>
      </c>
    </row>
    <row r="106" spans="4:15" s="327" customFormat="1" hidden="1" outlineLevel="1" x14ac:dyDescent="0.2">
      <c r="D106" s="660" t="str">
        <f>Reg_Pop_Ann_TA!D134</f>
        <v>Luapula</v>
      </c>
      <c r="J106" s="8">
        <f>Reg_Pop_Ann_TA!J176+Reg_Pop_Ann_TA!J196</f>
        <v>145181</v>
      </c>
      <c r="K106" s="8">
        <f>Reg_Pop_Ann_TA!K176+Reg_Pop_Ann_TA!K196</f>
        <v>149070</v>
      </c>
      <c r="L106" s="8">
        <f>Reg_Pop_Ann_TA!L176+Reg_Pop_Ann_TA!L196</f>
        <v>153089</v>
      </c>
      <c r="M106" s="8">
        <f>Reg_Pop_Ann_TA!M176+Reg_Pop_Ann_TA!M196</f>
        <v>157285</v>
      </c>
      <c r="N106" s="8">
        <f>Reg_Pop_Ann_TA!N176+Reg_Pop_Ann_TA!N196</f>
        <v>161712</v>
      </c>
      <c r="O106" s="8">
        <f>Reg_Pop_Ann_TA!O176+Reg_Pop_Ann_TA!O196</f>
        <v>166403</v>
      </c>
    </row>
    <row r="107" spans="4:15" s="327" customFormat="1" hidden="1" outlineLevel="1" x14ac:dyDescent="0.2">
      <c r="D107" s="660" t="str">
        <f>Reg_Pop_Ann_TA!D135</f>
        <v>Lusaka</v>
      </c>
      <c r="J107" s="8">
        <f>Reg_Pop_Ann_TA!J177+Reg_Pop_Ann_TA!J197</f>
        <v>391403</v>
      </c>
      <c r="K107" s="8">
        <f>Reg_Pop_Ann_TA!K177+Reg_Pop_Ann_TA!K197</f>
        <v>412997</v>
      </c>
      <c r="L107" s="8">
        <f>Reg_Pop_Ann_TA!L177+Reg_Pop_Ann_TA!L197</f>
        <v>434949</v>
      </c>
      <c r="M107" s="8">
        <f>Reg_Pop_Ann_TA!M177+Reg_Pop_Ann_TA!M197</f>
        <v>457274</v>
      </c>
      <c r="N107" s="8">
        <f>Reg_Pop_Ann_TA!N177+Reg_Pop_Ann_TA!N197</f>
        <v>479970</v>
      </c>
      <c r="O107" s="8">
        <f>Reg_Pop_Ann_TA!O177+Reg_Pop_Ann_TA!O197</f>
        <v>503050</v>
      </c>
    </row>
    <row r="108" spans="4:15" s="327" customFormat="1" hidden="1" outlineLevel="1" x14ac:dyDescent="0.2">
      <c r="D108" s="660" t="str">
        <f>Reg_Pop_Ann_TA!D136</f>
        <v>Muchinga</v>
      </c>
      <c r="J108" s="8">
        <f>Reg_Pop_Ann_TA!J178+Reg_Pop_Ann_TA!J198</f>
        <v>120817</v>
      </c>
      <c r="K108" s="8">
        <f>Reg_Pop_Ann_TA!K178+Reg_Pop_Ann_TA!K198</f>
        <v>127225</v>
      </c>
      <c r="L108" s="8">
        <f>Reg_Pop_Ann_TA!L178+Reg_Pop_Ann_TA!L198</f>
        <v>133834</v>
      </c>
      <c r="M108" s="8">
        <f>Reg_Pop_Ann_TA!M178+Reg_Pop_Ann_TA!M198</f>
        <v>140650</v>
      </c>
      <c r="N108" s="8">
        <f>Reg_Pop_Ann_TA!N178+Reg_Pop_Ann_TA!N198</f>
        <v>147699</v>
      </c>
      <c r="O108" s="8">
        <f>Reg_Pop_Ann_TA!O178+Reg_Pop_Ann_TA!O198</f>
        <v>155001</v>
      </c>
    </row>
    <row r="109" spans="4:15" s="327" customFormat="1" hidden="1" outlineLevel="1" x14ac:dyDescent="0.2">
      <c r="D109" s="660" t="str">
        <f>Reg_Pop_Ann_TA!D137</f>
        <v>Northern</v>
      </c>
      <c r="J109" s="8">
        <f>Reg_Pop_Ann_TA!J179+Reg_Pop_Ann_TA!J199</f>
        <v>165673</v>
      </c>
      <c r="K109" s="8">
        <f>Reg_Pop_Ann_TA!K179+Reg_Pop_Ann_TA!K199</f>
        <v>171773</v>
      </c>
      <c r="L109" s="8">
        <f>Reg_Pop_Ann_TA!L179+Reg_Pop_Ann_TA!L199</f>
        <v>178033</v>
      </c>
      <c r="M109" s="8">
        <f>Reg_Pop_Ann_TA!M179+Reg_Pop_Ann_TA!M199</f>
        <v>184459</v>
      </c>
      <c r="N109" s="8">
        <f>Reg_Pop_Ann_TA!N179+Reg_Pop_Ann_TA!N199</f>
        <v>191076</v>
      </c>
      <c r="O109" s="8">
        <f>Reg_Pop_Ann_TA!O179+Reg_Pop_Ann_TA!O199</f>
        <v>197896</v>
      </c>
    </row>
    <row r="110" spans="4:15" s="327" customFormat="1" hidden="1" outlineLevel="1" x14ac:dyDescent="0.2">
      <c r="D110" s="660" t="str">
        <f>Reg_Pop_Ann_TA!D138</f>
        <v>North-Western</v>
      </c>
      <c r="J110" s="8">
        <f>Reg_Pop_Ann_TA!J180+Reg_Pop_Ann_TA!J200</f>
        <v>104700</v>
      </c>
      <c r="K110" s="8">
        <f>Reg_Pop_Ann_TA!K180+Reg_Pop_Ann_TA!K200</f>
        <v>107646</v>
      </c>
      <c r="L110" s="8">
        <f>Reg_Pop_Ann_TA!L180+Reg_Pop_Ann_TA!L200</f>
        <v>110815</v>
      </c>
      <c r="M110" s="8">
        <f>Reg_Pop_Ann_TA!M180+Reg_Pop_Ann_TA!M200</f>
        <v>114201</v>
      </c>
      <c r="N110" s="8">
        <f>Reg_Pop_Ann_TA!N180+Reg_Pop_Ann_TA!N200</f>
        <v>117795</v>
      </c>
      <c r="O110" s="8">
        <f>Reg_Pop_Ann_TA!O180+Reg_Pop_Ann_TA!O200</f>
        <v>121571</v>
      </c>
    </row>
    <row r="111" spans="4:15" s="327" customFormat="1" hidden="1" outlineLevel="1" x14ac:dyDescent="0.2">
      <c r="D111" s="660" t="str">
        <f>Reg_Pop_Ann_TA!D139</f>
        <v>Southern</v>
      </c>
      <c r="J111" s="8">
        <f>Reg_Pop_Ann_TA!J181+Reg_Pop_Ann_TA!J201</f>
        <v>229993</v>
      </c>
      <c r="K111" s="8">
        <f>Reg_Pop_Ann_TA!K181+Reg_Pop_Ann_TA!K201</f>
        <v>238032</v>
      </c>
      <c r="L111" s="8">
        <f>Reg_Pop_Ann_TA!L181+Reg_Pop_Ann_TA!L201</f>
        <v>246400</v>
      </c>
      <c r="M111" s="8">
        <f>Reg_Pop_Ann_TA!M181+Reg_Pop_Ann_TA!M201</f>
        <v>255067</v>
      </c>
      <c r="N111" s="8">
        <f>Reg_Pop_Ann_TA!N181+Reg_Pop_Ann_TA!N201</f>
        <v>263993</v>
      </c>
      <c r="O111" s="8">
        <f>Reg_Pop_Ann_TA!O181+Reg_Pop_Ann_TA!O201</f>
        <v>273133</v>
      </c>
    </row>
    <row r="112" spans="4:15" s="327" customFormat="1" hidden="1" outlineLevel="1" x14ac:dyDescent="0.2">
      <c r="D112" s="660" t="str">
        <f>Reg_Pop_Ann_TA!D140</f>
        <v>Western</v>
      </c>
      <c r="J112" s="15">
        <f>Reg_Pop_Ann_TA!J182+Reg_Pop_Ann_TA!J202</f>
        <v>121462</v>
      </c>
      <c r="K112" s="15">
        <f>Reg_Pop_Ann_TA!K182+Reg_Pop_Ann_TA!K202</f>
        <v>123041</v>
      </c>
      <c r="L112" s="15">
        <f>Reg_Pop_Ann_TA!L182+Reg_Pop_Ann_TA!L202</f>
        <v>124660</v>
      </c>
      <c r="M112" s="15">
        <f>Reg_Pop_Ann_TA!M182+Reg_Pop_Ann_TA!M202</f>
        <v>126351</v>
      </c>
      <c r="N112" s="15">
        <f>Reg_Pop_Ann_TA!N182+Reg_Pop_Ann_TA!N202</f>
        <v>128156</v>
      </c>
      <c r="O112" s="15">
        <f>Reg_Pop_Ann_TA!O182+Reg_Pop_Ann_TA!O202</f>
        <v>130107</v>
      </c>
    </row>
    <row r="113" spans="4:15" s="327" customFormat="1" ht="15" collapsed="1" x14ac:dyDescent="0.2">
      <c r="D113" s="658" t="s">
        <v>121</v>
      </c>
      <c r="J113" s="25">
        <f t="shared" ref="J113:O113" si="18">SUM(J103:J112)</f>
        <v>1985482</v>
      </c>
      <c r="K113" s="25">
        <f t="shared" si="18"/>
        <v>2059278</v>
      </c>
      <c r="L113" s="25">
        <f t="shared" si="18"/>
        <v>2135962</v>
      </c>
      <c r="M113" s="25">
        <f t="shared" si="18"/>
        <v>2215321</v>
      </c>
      <c r="N113" s="25">
        <f t="shared" si="18"/>
        <v>2297027</v>
      </c>
      <c r="O113" s="25">
        <f t="shared" si="18"/>
        <v>2380814</v>
      </c>
    </row>
    <row r="114" spans="4:15" s="327" customFormat="1" x14ac:dyDescent="0.2"/>
    <row r="115" spans="4:15" s="327" customFormat="1" ht="15" x14ac:dyDescent="0.2">
      <c r="D115" s="658" t="s">
        <v>1219</v>
      </c>
      <c r="H115" s="680" t="s">
        <v>766</v>
      </c>
    </row>
    <row r="116" spans="4:15" s="327" customFormat="1" hidden="1" outlineLevel="1" x14ac:dyDescent="0.2">
      <c r="D116" s="660" t="str">
        <f>Reg_Pop_Ann_TA!D131</f>
        <v>Central</v>
      </c>
      <c r="H116" s="5">
        <f t="shared" ref="H116:H125" si="19">AVERAGE(J116:O116)</f>
        <v>245029.5</v>
      </c>
      <c r="I116" s="5"/>
      <c r="J116" s="8">
        <f t="shared" ref="J116:O125" si="20">J90+J103</f>
        <v>225987</v>
      </c>
      <c r="K116" s="8">
        <f t="shared" si="20"/>
        <v>233084</v>
      </c>
      <c r="L116" s="8">
        <f t="shared" si="20"/>
        <v>240582</v>
      </c>
      <c r="M116" s="8">
        <f t="shared" si="20"/>
        <v>248472</v>
      </c>
      <c r="N116" s="8">
        <f t="shared" si="20"/>
        <v>256726</v>
      </c>
      <c r="O116" s="8">
        <f t="shared" si="20"/>
        <v>265326</v>
      </c>
    </row>
    <row r="117" spans="4:15" s="327" customFormat="1" hidden="1" outlineLevel="1" x14ac:dyDescent="0.2">
      <c r="D117" s="660" t="str">
        <f>Reg_Pop_Ann_TA!D132</f>
        <v>Copperbelt</v>
      </c>
      <c r="H117" s="5">
        <f t="shared" si="19"/>
        <v>420003.66666666669</v>
      </c>
      <c r="I117" s="5"/>
      <c r="J117" s="8">
        <f t="shared" si="20"/>
        <v>386348</v>
      </c>
      <c r="K117" s="8">
        <f t="shared" si="20"/>
        <v>398746</v>
      </c>
      <c r="L117" s="8">
        <f t="shared" si="20"/>
        <v>412278</v>
      </c>
      <c r="M117" s="8">
        <f t="shared" si="20"/>
        <v>426532</v>
      </c>
      <c r="N117" s="8">
        <f t="shared" si="20"/>
        <v>440952</v>
      </c>
      <c r="O117" s="8">
        <f t="shared" si="20"/>
        <v>455166</v>
      </c>
    </row>
    <row r="118" spans="4:15" s="327" customFormat="1" hidden="1" outlineLevel="1" x14ac:dyDescent="0.2">
      <c r="D118" s="660" t="str">
        <f>Reg_Pop_Ann_TA!D133</f>
        <v>Eastern</v>
      </c>
      <c r="H118" s="5">
        <f t="shared" si="19"/>
        <v>299154.5</v>
      </c>
      <c r="I118" s="5"/>
      <c r="J118" s="8">
        <f t="shared" si="20"/>
        <v>275606</v>
      </c>
      <c r="K118" s="8">
        <f t="shared" si="20"/>
        <v>284740</v>
      </c>
      <c r="L118" s="8">
        <f t="shared" si="20"/>
        <v>294001</v>
      </c>
      <c r="M118" s="8">
        <f t="shared" si="20"/>
        <v>303505</v>
      </c>
      <c r="N118" s="8">
        <f t="shared" si="20"/>
        <v>313378</v>
      </c>
      <c r="O118" s="8">
        <f t="shared" si="20"/>
        <v>323697</v>
      </c>
    </row>
    <row r="119" spans="4:15" s="327" customFormat="1" hidden="1" outlineLevel="1" x14ac:dyDescent="0.2">
      <c r="D119" s="660" t="str">
        <f>Reg_Pop_Ann_TA!D134</f>
        <v>Luapula</v>
      </c>
      <c r="H119" s="5">
        <f t="shared" si="19"/>
        <v>184062.5</v>
      </c>
      <c r="I119" s="5"/>
      <c r="J119" s="8">
        <f t="shared" si="20"/>
        <v>172111</v>
      </c>
      <c r="K119" s="8">
        <f t="shared" si="20"/>
        <v>176656</v>
      </c>
      <c r="L119" s="8">
        <f t="shared" si="20"/>
        <v>181349</v>
      </c>
      <c r="M119" s="8">
        <f t="shared" si="20"/>
        <v>186104</v>
      </c>
      <c r="N119" s="8">
        <f t="shared" si="20"/>
        <v>191347</v>
      </c>
      <c r="O119" s="8">
        <f t="shared" si="20"/>
        <v>196808</v>
      </c>
    </row>
    <row r="120" spans="4:15" s="327" customFormat="1" hidden="1" outlineLevel="1" x14ac:dyDescent="0.2">
      <c r="D120" s="660" t="str">
        <f>Reg_Pop_Ann_TA!D135</f>
        <v>Lusaka</v>
      </c>
      <c r="H120" s="5">
        <f t="shared" si="19"/>
        <v>586196.83333333337</v>
      </c>
      <c r="I120" s="5"/>
      <c r="J120" s="8">
        <f t="shared" si="20"/>
        <v>515857</v>
      </c>
      <c r="K120" s="8">
        <f t="shared" si="20"/>
        <v>543427</v>
      </c>
      <c r="L120" s="8">
        <f t="shared" si="20"/>
        <v>571392</v>
      </c>
      <c r="M120" s="8">
        <f t="shared" si="20"/>
        <v>599794</v>
      </c>
      <c r="N120" s="8">
        <f t="shared" si="20"/>
        <v>628663</v>
      </c>
      <c r="O120" s="8">
        <f t="shared" si="20"/>
        <v>658048</v>
      </c>
    </row>
    <row r="121" spans="4:15" s="327" customFormat="1" hidden="1" outlineLevel="1" x14ac:dyDescent="0.2">
      <c r="D121" s="660" t="str">
        <f>Reg_Pop_Ann_TA!D136</f>
        <v>Muchinga</v>
      </c>
      <c r="H121" s="5">
        <f t="shared" si="19"/>
        <v>151317.16666666666</v>
      </c>
      <c r="I121" s="5"/>
      <c r="J121" s="8">
        <f t="shared" si="20"/>
        <v>133018</v>
      </c>
      <c r="K121" s="8">
        <f t="shared" si="20"/>
        <v>140040</v>
      </c>
      <c r="L121" s="8">
        <f t="shared" si="20"/>
        <v>147274</v>
      </c>
      <c r="M121" s="8">
        <f t="shared" si="20"/>
        <v>154728</v>
      </c>
      <c r="N121" s="8">
        <f t="shared" si="20"/>
        <v>162433</v>
      </c>
      <c r="O121" s="8">
        <f t="shared" si="20"/>
        <v>170410</v>
      </c>
    </row>
    <row r="122" spans="4:15" s="327" customFormat="1" hidden="1" outlineLevel="1" x14ac:dyDescent="0.2">
      <c r="D122" s="660" t="str">
        <f>Reg_Pop_Ann_TA!D137</f>
        <v>Northern</v>
      </c>
      <c r="H122" s="5">
        <f t="shared" si="19"/>
        <v>209890.66666666666</v>
      </c>
      <c r="I122" s="5"/>
      <c r="J122" s="8">
        <f t="shared" si="20"/>
        <v>191752</v>
      </c>
      <c r="K122" s="8">
        <f t="shared" si="20"/>
        <v>198749</v>
      </c>
      <c r="L122" s="8">
        <f t="shared" si="20"/>
        <v>205928</v>
      </c>
      <c r="M122" s="8">
        <f t="shared" si="20"/>
        <v>213296</v>
      </c>
      <c r="N122" s="8">
        <f t="shared" si="20"/>
        <v>220890</v>
      </c>
      <c r="O122" s="8">
        <f t="shared" si="20"/>
        <v>228729</v>
      </c>
    </row>
    <row r="123" spans="4:15" s="327" customFormat="1" hidden="1" outlineLevel="1" x14ac:dyDescent="0.2">
      <c r="D123" s="660" t="str">
        <f>Reg_Pop_Ann_TA!D138</f>
        <v>North-Western</v>
      </c>
      <c r="H123" s="5">
        <f t="shared" si="19"/>
        <v>126030.33333333333</v>
      </c>
      <c r="I123" s="5"/>
      <c r="J123" s="8">
        <f t="shared" si="20"/>
        <v>117114</v>
      </c>
      <c r="K123" s="8">
        <f t="shared" si="20"/>
        <v>120372</v>
      </c>
      <c r="L123" s="8">
        <f t="shared" si="20"/>
        <v>123863</v>
      </c>
      <c r="M123" s="8">
        <f t="shared" si="20"/>
        <v>127587</v>
      </c>
      <c r="N123" s="8">
        <f t="shared" si="20"/>
        <v>131541</v>
      </c>
      <c r="O123" s="8">
        <f t="shared" si="20"/>
        <v>135705</v>
      </c>
    </row>
    <row r="124" spans="4:15" s="327" customFormat="1" hidden="1" outlineLevel="1" x14ac:dyDescent="0.2">
      <c r="D124" s="660" t="str">
        <f>Reg_Pop_Ann_TA!D139</f>
        <v>Southern</v>
      </c>
      <c r="H124" s="5">
        <f t="shared" si="19"/>
        <v>309554.16666666669</v>
      </c>
      <c r="I124" s="5"/>
      <c r="J124" s="8">
        <f t="shared" si="20"/>
        <v>284213</v>
      </c>
      <c r="K124" s="8">
        <f t="shared" si="20"/>
        <v>293887</v>
      </c>
      <c r="L124" s="8">
        <f t="shared" si="20"/>
        <v>303920</v>
      </c>
      <c r="M124" s="8">
        <f t="shared" si="20"/>
        <v>314298</v>
      </c>
      <c r="N124" s="8">
        <f t="shared" si="20"/>
        <v>325001</v>
      </c>
      <c r="O124" s="8">
        <f t="shared" si="20"/>
        <v>336006</v>
      </c>
    </row>
    <row r="125" spans="4:15" s="327" customFormat="1" hidden="1" outlineLevel="1" x14ac:dyDescent="0.2">
      <c r="D125" s="660" t="str">
        <f>Reg_Pop_Ann_TA!D140</f>
        <v>Western</v>
      </c>
      <c r="H125" s="5">
        <f t="shared" si="19"/>
        <v>161348.16666666666</v>
      </c>
      <c r="I125" s="5"/>
      <c r="J125" s="15">
        <f t="shared" si="20"/>
        <v>156111</v>
      </c>
      <c r="K125" s="15">
        <f t="shared" si="20"/>
        <v>158196</v>
      </c>
      <c r="L125" s="15">
        <f t="shared" si="20"/>
        <v>160357</v>
      </c>
      <c r="M125" s="15">
        <f t="shared" si="20"/>
        <v>162633</v>
      </c>
      <c r="N125" s="15">
        <f t="shared" si="20"/>
        <v>165075</v>
      </c>
      <c r="O125" s="15">
        <f t="shared" si="20"/>
        <v>165717</v>
      </c>
    </row>
    <row r="126" spans="4:15" s="327" customFormat="1" ht="15" collapsed="1" x14ac:dyDescent="0.2">
      <c r="D126" s="658" t="s">
        <v>121</v>
      </c>
      <c r="H126" s="25">
        <f>SUM(H116:H125)</f>
        <v>2692587.5</v>
      </c>
      <c r="I126" s="25"/>
      <c r="J126" s="25">
        <f t="shared" ref="J126:O126" si="21">SUM(J116:J125)</f>
        <v>2458117</v>
      </c>
      <c r="K126" s="25">
        <f t="shared" si="21"/>
        <v>2547897</v>
      </c>
      <c r="L126" s="25">
        <f t="shared" si="21"/>
        <v>2640944</v>
      </c>
      <c r="M126" s="25">
        <f t="shared" si="21"/>
        <v>2736949</v>
      </c>
      <c r="N126" s="25">
        <f t="shared" si="21"/>
        <v>2836006</v>
      </c>
      <c r="O126" s="25">
        <f t="shared" si="21"/>
        <v>2935612</v>
      </c>
    </row>
    <row r="127" spans="4:15" s="327" customFormat="1" x14ac:dyDescent="0.2"/>
    <row r="128" spans="4:15" s="327" customFormat="1" x14ac:dyDescent="0.2"/>
    <row r="129" spans="3:15" s="327" customFormat="1" ht="15" x14ac:dyDescent="0.2">
      <c r="D129" s="679" t="str">
        <f>Reg_Pop_Ann_TA!D101&amp;" as a Proportion of Total Population"</f>
        <v>HIV- as a Proportion of Total Population</v>
      </c>
    </row>
    <row r="130" spans="3:15" s="327" customFormat="1" hidden="1" outlineLevel="1" x14ac:dyDescent="0.2">
      <c r="D130" s="660" t="str">
        <f>Reg_Pop_Ann_TA!D131</f>
        <v>Central</v>
      </c>
      <c r="J130" s="13">
        <f t="shared" ref="J130:O139" si="22">IFERROR(J103/J116,0)</f>
        <v>0.80578971356759455</v>
      </c>
      <c r="K130" s="13">
        <f t="shared" si="22"/>
        <v>0.80625010725746937</v>
      </c>
      <c r="L130" s="13">
        <f t="shared" si="22"/>
        <v>0.80689744037376032</v>
      </c>
      <c r="M130" s="13">
        <f t="shared" si="22"/>
        <v>0.80764029749830968</v>
      </c>
      <c r="N130" s="13">
        <f t="shared" si="22"/>
        <v>0.80838715206095213</v>
      </c>
      <c r="O130" s="13">
        <f t="shared" si="22"/>
        <v>0.8090424609725394</v>
      </c>
    </row>
    <row r="131" spans="3:15" s="327" customFormat="1" hidden="1" outlineLevel="1" x14ac:dyDescent="0.2">
      <c r="D131" s="660" t="str">
        <f>Reg_Pop_Ann_TA!D132</f>
        <v>Copperbelt</v>
      </c>
      <c r="J131" s="13">
        <f t="shared" si="22"/>
        <v>0.7447379046869661</v>
      </c>
      <c r="K131" s="13">
        <f t="shared" si="22"/>
        <v>0.74527894950670348</v>
      </c>
      <c r="L131" s="13">
        <f t="shared" si="22"/>
        <v>0.74602331436554947</v>
      </c>
      <c r="M131" s="13">
        <f t="shared" si="22"/>
        <v>0.74683728301745234</v>
      </c>
      <c r="N131" s="13">
        <f t="shared" si="22"/>
        <v>0.74755302164407922</v>
      </c>
      <c r="O131" s="13">
        <f t="shared" si="22"/>
        <v>0.74807652592680474</v>
      </c>
    </row>
    <row r="132" spans="3:15" s="327" customFormat="1" hidden="1" outlineLevel="1" x14ac:dyDescent="0.2">
      <c r="D132" s="660" t="str">
        <f>Reg_Pop_Ann_TA!D133</f>
        <v>Eastern</v>
      </c>
      <c r="J132" s="13">
        <f t="shared" si="22"/>
        <v>0.8578441688497348</v>
      </c>
      <c r="K132" s="13">
        <f t="shared" si="22"/>
        <v>0.85830231088010112</v>
      </c>
      <c r="L132" s="13">
        <f t="shared" si="22"/>
        <v>0.85879980000068024</v>
      </c>
      <c r="M132" s="13">
        <f t="shared" si="22"/>
        <v>0.8593202747895422</v>
      </c>
      <c r="N132" s="13">
        <f t="shared" si="22"/>
        <v>0.85984657506270379</v>
      </c>
      <c r="O132" s="13">
        <f t="shared" si="22"/>
        <v>0.86035397300561944</v>
      </c>
    </row>
    <row r="133" spans="3:15" s="327" customFormat="1" hidden="1" outlineLevel="1" x14ac:dyDescent="0.2">
      <c r="D133" s="660" t="str">
        <f>Reg_Pop_Ann_TA!D134</f>
        <v>Luapula</v>
      </c>
      <c r="J133" s="13">
        <f t="shared" si="22"/>
        <v>0.84353120951014171</v>
      </c>
      <c r="K133" s="13">
        <f t="shared" si="22"/>
        <v>0.843843401865773</v>
      </c>
      <c r="L133" s="13">
        <f t="shared" si="22"/>
        <v>0.84416787520195868</v>
      </c>
      <c r="M133" s="13">
        <f t="shared" si="22"/>
        <v>0.84514572497098395</v>
      </c>
      <c r="N133" s="13">
        <f t="shared" si="22"/>
        <v>0.84512430296790653</v>
      </c>
      <c r="O133" s="13">
        <f t="shared" si="22"/>
        <v>0.8455093288890696</v>
      </c>
    </row>
    <row r="134" spans="3:15" s="327" customFormat="1" hidden="1" outlineLevel="1" x14ac:dyDescent="0.2">
      <c r="D134" s="660" t="str">
        <f>Reg_Pop_Ann_TA!D135</f>
        <v>Lusaka</v>
      </c>
      <c r="J134" s="13">
        <f t="shared" si="22"/>
        <v>0.75874321759712482</v>
      </c>
      <c r="K134" s="13">
        <f t="shared" si="22"/>
        <v>0.75998616189478996</v>
      </c>
      <c r="L134" s="13">
        <f t="shared" si="22"/>
        <v>0.761209467405914</v>
      </c>
      <c r="M134" s="13">
        <f t="shared" si="22"/>
        <v>0.76238508554603746</v>
      </c>
      <c r="N134" s="13">
        <f t="shared" si="22"/>
        <v>0.76347741158617577</v>
      </c>
      <c r="O134" s="13">
        <f t="shared" si="22"/>
        <v>0.76445791188484735</v>
      </c>
    </row>
    <row r="135" spans="3:15" s="327" customFormat="1" hidden="1" outlineLevel="1" x14ac:dyDescent="0.2">
      <c r="D135" s="660" t="str">
        <f>Reg_Pop_Ann_TA!D136</f>
        <v>Muchinga</v>
      </c>
      <c r="J135" s="13">
        <f t="shared" si="22"/>
        <v>0.90827557172713469</v>
      </c>
      <c r="K135" s="13">
        <f t="shared" si="22"/>
        <v>0.90849043130534135</v>
      </c>
      <c r="L135" s="13">
        <f t="shared" si="22"/>
        <v>0.90874152939419039</v>
      </c>
      <c r="M135" s="13">
        <f t="shared" si="22"/>
        <v>0.90901452872136912</v>
      </c>
      <c r="N135" s="13">
        <f t="shared" si="22"/>
        <v>0.90929183109343548</v>
      </c>
      <c r="O135" s="13">
        <f t="shared" si="22"/>
        <v>0.90957690276392233</v>
      </c>
    </row>
    <row r="136" spans="3:15" s="327" customFormat="1" hidden="1" outlineLevel="1" x14ac:dyDescent="0.2">
      <c r="D136" s="660" t="str">
        <f>Reg_Pop_Ann_TA!D137</f>
        <v>Northern</v>
      </c>
      <c r="J136" s="13">
        <f t="shared" si="22"/>
        <v>0.86399620342942973</v>
      </c>
      <c r="K136" s="13">
        <f t="shared" si="22"/>
        <v>0.86427101520007643</v>
      </c>
      <c r="L136" s="13">
        <f t="shared" si="22"/>
        <v>0.8645400334097354</v>
      </c>
      <c r="M136" s="13">
        <f t="shared" si="22"/>
        <v>0.86480290300802642</v>
      </c>
      <c r="N136" s="13">
        <f t="shared" si="22"/>
        <v>0.86502784191226401</v>
      </c>
      <c r="O136" s="13">
        <f t="shared" si="22"/>
        <v>0.8651985537470106</v>
      </c>
    </row>
    <row r="137" spans="3:15" s="327" customFormat="1" hidden="1" outlineLevel="1" x14ac:dyDescent="0.2">
      <c r="D137" s="660" t="str">
        <f>Reg_Pop_Ann_TA!D138</f>
        <v>North-Western</v>
      </c>
      <c r="J137" s="13">
        <f t="shared" si="22"/>
        <v>0.89400071724985908</v>
      </c>
      <c r="K137" s="13">
        <f t="shared" si="22"/>
        <v>0.89427773900907193</v>
      </c>
      <c r="L137" s="13">
        <f t="shared" si="22"/>
        <v>0.89465780741625833</v>
      </c>
      <c r="M137" s="13">
        <f t="shared" si="22"/>
        <v>0.89508335488725344</v>
      </c>
      <c r="N137" s="13">
        <f t="shared" si="22"/>
        <v>0.89550026227564028</v>
      </c>
      <c r="O137" s="13">
        <f t="shared" si="22"/>
        <v>0.89584761062599017</v>
      </c>
    </row>
    <row r="138" spans="3:15" s="327" customFormat="1" hidden="1" outlineLevel="1" x14ac:dyDescent="0.2">
      <c r="D138" s="660" t="str">
        <f>Reg_Pop_Ann_TA!D139</f>
        <v>Southern</v>
      </c>
      <c r="J138" s="13">
        <f t="shared" si="22"/>
        <v>0.80922758635248915</v>
      </c>
      <c r="K138" s="13">
        <f t="shared" si="22"/>
        <v>0.80994395805190433</v>
      </c>
      <c r="L138" s="13">
        <f t="shared" si="22"/>
        <v>0.81073966833377209</v>
      </c>
      <c r="M138" s="13">
        <f t="shared" si="22"/>
        <v>0.8115450941463197</v>
      </c>
      <c r="N138" s="13">
        <f t="shared" si="22"/>
        <v>0.81228365451183226</v>
      </c>
      <c r="O138" s="13">
        <f t="shared" si="22"/>
        <v>0.81288131759551918</v>
      </c>
    </row>
    <row r="139" spans="3:15" s="327" customFormat="1" hidden="1" outlineLevel="1" x14ac:dyDescent="0.2">
      <c r="D139" s="660" t="str">
        <f>Reg_Pop_Ann_TA!D140</f>
        <v>Western</v>
      </c>
      <c r="J139" s="13">
        <f t="shared" si="22"/>
        <v>0.77804895234800875</v>
      </c>
      <c r="K139" s="13">
        <f t="shared" si="22"/>
        <v>0.77777567068699582</v>
      </c>
      <c r="L139" s="13">
        <f t="shared" si="22"/>
        <v>0.7773904475638731</v>
      </c>
      <c r="M139" s="13">
        <f t="shared" si="22"/>
        <v>0.77690874545756394</v>
      </c>
      <c r="N139" s="13">
        <f t="shared" si="22"/>
        <v>0.7763501438739967</v>
      </c>
      <c r="O139" s="13">
        <f t="shared" si="22"/>
        <v>0.78511558862397945</v>
      </c>
    </row>
    <row r="140" spans="3:15" s="327" customFormat="1" ht="15" collapsed="1" x14ac:dyDescent="0.2">
      <c r="D140" s="646" t="str">
        <f>Plac_Start_Facs_BA!C20</f>
        <v>Total</v>
      </c>
      <c r="J140" s="234">
        <f t="shared" ref="J140:O140" si="23">J113/J126</f>
        <v>0.80772477469542747</v>
      </c>
      <c r="K140" s="234">
        <f t="shared" si="23"/>
        <v>0.8082265491893903</v>
      </c>
      <c r="L140" s="234">
        <f t="shared" si="23"/>
        <v>0.80878731241556046</v>
      </c>
      <c r="M140" s="234">
        <f t="shared" si="23"/>
        <v>0.80941259775026864</v>
      </c>
      <c r="N140" s="234">
        <f t="shared" si="23"/>
        <v>0.80995138938352029</v>
      </c>
      <c r="O140" s="234">
        <f t="shared" si="23"/>
        <v>0.8110111281736142</v>
      </c>
    </row>
    <row r="141" spans="3:15" s="327" customFormat="1" x14ac:dyDescent="0.2"/>
    <row r="142" spans="3:15" s="327" customFormat="1" x14ac:dyDescent="0.2"/>
    <row r="143" spans="3:15" s="327" customFormat="1" ht="15.75" x14ac:dyDescent="0.2">
      <c r="C143" s="330" t="s">
        <v>1221</v>
      </c>
    </row>
    <row r="144" spans="3:15" s="327" customFormat="1" x14ac:dyDescent="0.2"/>
    <row r="145" spans="4:15" s="327" customFormat="1" ht="15" x14ac:dyDescent="0.2">
      <c r="D145" s="658" t="s">
        <v>1220</v>
      </c>
    </row>
    <row r="146" spans="4:15" s="327" customFormat="1" hidden="1" outlineLevel="1" x14ac:dyDescent="0.2">
      <c r="D146" s="660" t="str">
        <f>Reg_Pop_Ann_TA!D131</f>
        <v>Central</v>
      </c>
      <c r="J146" s="8">
        <f>MAX(0,J116-SUM($I173:I173))</f>
        <v>225987</v>
      </c>
      <c r="K146" s="8">
        <f ca="1">MAX(0,K116-SUM($I173:J173))</f>
        <v>227296</v>
      </c>
      <c r="L146" s="8">
        <f ca="1">MAX(0,L116-SUM($I173:K173))</f>
        <v>229006</v>
      </c>
      <c r="M146" s="8">
        <f ca="1">MAX(0,M116-SUM($I173:L173))</f>
        <v>231108</v>
      </c>
      <c r="N146" s="8">
        <f ca="1">MAX(0,N116-SUM($I173:M173))</f>
        <v>233574</v>
      </c>
      <c r="O146" s="8">
        <f ca="1">MAX(0,O116-SUM($I173:N173))</f>
        <v>236386</v>
      </c>
    </row>
    <row r="147" spans="4:15" s="327" customFormat="1" hidden="1" outlineLevel="1" x14ac:dyDescent="0.2">
      <c r="D147" s="660" t="str">
        <f>Reg_Pop_Ann_TA!D132</f>
        <v>Copperbelt</v>
      </c>
      <c r="J147" s="8">
        <f>MAX(0,J117-SUM($I174:I174))</f>
        <v>386348</v>
      </c>
      <c r="K147" s="8">
        <f ca="1">MAX(0,K117-SUM($I174:J174))</f>
        <v>390618</v>
      </c>
      <c r="L147" s="8">
        <f ca="1">MAX(0,L117-SUM($I174:K174))</f>
        <v>396022</v>
      </c>
      <c r="M147" s="8">
        <f ca="1">MAX(0,M117-SUM($I174:L174))</f>
        <v>402148</v>
      </c>
      <c r="N147" s="8">
        <f ca="1">MAX(0,N117-SUM($I174:M174))</f>
        <v>408440</v>
      </c>
      <c r="O147" s="8">
        <f ca="1">MAX(0,O117-SUM($I174:N174))</f>
        <v>414526</v>
      </c>
    </row>
    <row r="148" spans="4:15" s="327" customFormat="1" hidden="1" outlineLevel="1" x14ac:dyDescent="0.2">
      <c r="D148" s="660" t="str">
        <f>Reg_Pop_Ann_TA!D133</f>
        <v>Eastern</v>
      </c>
      <c r="J148" s="8">
        <f>MAX(0,J118-SUM($I175:I175))</f>
        <v>275606</v>
      </c>
      <c r="K148" s="8">
        <f ca="1">MAX(0,K118-SUM($I175:J175))</f>
        <v>274272</v>
      </c>
      <c r="L148" s="8">
        <f ca="1">MAX(0,L118-SUM($I175:K175))</f>
        <v>273065</v>
      </c>
      <c r="M148" s="8">
        <f ca="1">MAX(0,M118-SUM($I175:L175))</f>
        <v>272101</v>
      </c>
      <c r="N148" s="8">
        <f ca="1">MAX(0,N118-SUM($I175:M175))</f>
        <v>271506</v>
      </c>
      <c r="O148" s="8">
        <f ca="1">MAX(0,O118-SUM($I175:N175))</f>
        <v>271357</v>
      </c>
    </row>
    <row r="149" spans="4:15" s="327" customFormat="1" hidden="1" outlineLevel="1" x14ac:dyDescent="0.2">
      <c r="D149" s="660" t="str">
        <f>Reg_Pop_Ann_TA!D134</f>
        <v>Luapula</v>
      </c>
      <c r="J149" s="8">
        <f>MAX(0,J119-SUM($I176:I176))</f>
        <v>172111</v>
      </c>
      <c r="K149" s="8">
        <f ca="1">MAX(0,K119-SUM($I176:J176))</f>
        <v>168528</v>
      </c>
      <c r="L149" s="8">
        <f ca="1">MAX(0,L119-SUM($I176:K176))</f>
        <v>165093</v>
      </c>
      <c r="M149" s="8">
        <f ca="1">MAX(0,M119-SUM($I176:L176))</f>
        <v>161720</v>
      </c>
      <c r="N149" s="8">
        <f ca="1">MAX(0,N119-SUM($I176:M176))</f>
        <v>158835</v>
      </c>
      <c r="O149" s="8">
        <f ca="1">MAX(0,O119-SUM($I176:N176))</f>
        <v>156168</v>
      </c>
    </row>
    <row r="150" spans="4:15" s="327" customFormat="1" hidden="1" outlineLevel="1" x14ac:dyDescent="0.2">
      <c r="D150" s="660" t="str">
        <f>Reg_Pop_Ann_TA!D135</f>
        <v>Lusaka</v>
      </c>
      <c r="J150" s="8">
        <f>MAX(0,J120-SUM($I177:I177))</f>
        <v>515857</v>
      </c>
      <c r="K150" s="8">
        <f ca="1">MAX(0,K120-SUM($I177:J177))</f>
        <v>514239</v>
      </c>
      <c r="L150" s="8">
        <f ca="1">MAX(0,L120-SUM($I177:K177))</f>
        <v>513016</v>
      </c>
      <c r="M150" s="8">
        <f ca="1">MAX(0,M120-SUM($I177:L177))</f>
        <v>512230</v>
      </c>
      <c r="N150" s="8">
        <f ca="1">MAX(0,N120-SUM($I177:M177))</f>
        <v>511911</v>
      </c>
      <c r="O150" s="8">
        <f ca="1">MAX(0,O120-SUM($I177:N177))</f>
        <v>512108</v>
      </c>
    </row>
    <row r="151" spans="4:15" s="327" customFormat="1" hidden="1" outlineLevel="1" x14ac:dyDescent="0.2">
      <c r="D151" s="660" t="str">
        <f>Reg_Pop_Ann_TA!D136</f>
        <v>Muchinga</v>
      </c>
      <c r="J151" s="8">
        <f>MAX(0,J121-SUM($I178:I178))</f>
        <v>133018</v>
      </c>
      <c r="K151" s="8">
        <f ca="1">MAX(0,K121-SUM($I178:J178))</f>
        <v>139486</v>
      </c>
      <c r="L151" s="8">
        <f ca="1">MAX(0,L121-SUM($I178:K178))</f>
        <v>146166</v>
      </c>
      <c r="M151" s="8">
        <f ca="1">MAX(0,M121-SUM($I178:L178))</f>
        <v>153066</v>
      </c>
      <c r="N151" s="8">
        <f ca="1">MAX(0,N121-SUM($I178:M178))</f>
        <v>160217</v>
      </c>
      <c r="O151" s="8">
        <f ca="1">MAX(0,O121-SUM($I178:N178))</f>
        <v>167640</v>
      </c>
    </row>
    <row r="152" spans="4:15" s="327" customFormat="1" hidden="1" outlineLevel="1" x14ac:dyDescent="0.2">
      <c r="D152" s="660" t="str">
        <f>Reg_Pop_Ann_TA!D137</f>
        <v>Northern</v>
      </c>
      <c r="J152" s="8">
        <f>MAX(0,J122-SUM($I179:I179))</f>
        <v>191752</v>
      </c>
      <c r="K152" s="8">
        <f ca="1">MAX(0,K122-SUM($I179:J179))</f>
        <v>195855</v>
      </c>
      <c r="L152" s="8">
        <f ca="1">MAX(0,L122-SUM($I179:K179))</f>
        <v>200140</v>
      </c>
      <c r="M152" s="8">
        <f ca="1">MAX(0,M122-SUM($I179:L179))</f>
        <v>204614</v>
      </c>
      <c r="N152" s="8">
        <f ca="1">MAX(0,N122-SUM($I179:M179))</f>
        <v>209314</v>
      </c>
      <c r="O152" s="8">
        <f ca="1">MAX(0,O122-SUM($I179:N179))</f>
        <v>214259</v>
      </c>
    </row>
    <row r="153" spans="4:15" s="327" customFormat="1" hidden="1" outlineLevel="1" x14ac:dyDescent="0.2">
      <c r="D153" s="660" t="str">
        <f>Reg_Pop_Ann_TA!D138</f>
        <v>North-Western</v>
      </c>
      <c r="J153" s="8">
        <f>MAX(0,J123-SUM($I180:I180))</f>
        <v>117114</v>
      </c>
      <c r="K153" s="8">
        <f ca="1">MAX(0,K123-SUM($I180:J180))</f>
        <v>116924</v>
      </c>
      <c r="L153" s="8">
        <f ca="1">MAX(0,L123-SUM($I180:K180))</f>
        <v>116967</v>
      </c>
      <c r="M153" s="8">
        <f ca="1">MAX(0,M123-SUM($I180:L180))</f>
        <v>117243</v>
      </c>
      <c r="N153" s="8">
        <f ca="1">MAX(0,N123-SUM($I180:M180))</f>
        <v>117749</v>
      </c>
      <c r="O153" s="8">
        <f ca="1">MAX(0,O123-SUM($I180:N180))</f>
        <v>118465</v>
      </c>
    </row>
    <row r="154" spans="4:15" s="327" customFormat="1" hidden="1" outlineLevel="1" x14ac:dyDescent="0.2">
      <c r="D154" s="660" t="str">
        <f>Reg_Pop_Ann_TA!D139</f>
        <v>Southern</v>
      </c>
      <c r="J154" s="8">
        <f>MAX(0,J124-SUM($I181:I181))</f>
        <v>284213</v>
      </c>
      <c r="K154" s="8">
        <f ca="1">MAX(0,K124-SUM($I181:J181))</f>
        <v>285759</v>
      </c>
      <c r="L154" s="8">
        <f ca="1">MAX(0,L124-SUM($I181:K181))</f>
        <v>287664</v>
      </c>
      <c r="M154" s="8">
        <f ca="1">MAX(0,M124-SUM($I181:L181))</f>
        <v>289914</v>
      </c>
      <c r="N154" s="8">
        <f ca="1">MAX(0,N124-SUM($I181:M181))</f>
        <v>292489</v>
      </c>
      <c r="O154" s="8">
        <f ca="1">MAX(0,O124-SUM($I181:N181))</f>
        <v>295366</v>
      </c>
    </row>
    <row r="155" spans="4:15" s="327" customFormat="1" hidden="1" outlineLevel="1" x14ac:dyDescent="0.2">
      <c r="D155" s="660" t="str">
        <f>Reg_Pop_Ann_TA!D140</f>
        <v>Western</v>
      </c>
      <c r="J155" s="15">
        <f>MAX(0,J125-SUM($I182:I182))</f>
        <v>156111</v>
      </c>
      <c r="K155" s="15">
        <f ca="1">MAX(0,K125-SUM($I182:J182))</f>
        <v>150068</v>
      </c>
      <c r="L155" s="15">
        <f ca="1">MAX(0,L125-SUM($I182:K182))</f>
        <v>144101</v>
      </c>
      <c r="M155" s="15">
        <f ca="1">MAX(0,M125-SUM($I182:L182))</f>
        <v>138249</v>
      </c>
      <c r="N155" s="15">
        <f ca="1">MAX(0,N125-SUM($I182:M182))</f>
        <v>132563</v>
      </c>
      <c r="O155" s="15">
        <f ca="1">MAX(0,O125-SUM($I182:N182))</f>
        <v>125077</v>
      </c>
    </row>
    <row r="156" spans="4:15" s="327" customFormat="1" ht="15" collapsed="1" x14ac:dyDescent="0.2">
      <c r="D156" s="658" t="s">
        <v>121</v>
      </c>
      <c r="J156" s="25">
        <f t="shared" ref="J156:O156" si="24">SUM(J146:J155)</f>
        <v>2458117</v>
      </c>
      <c r="K156" s="25">
        <f t="shared" ca="1" si="24"/>
        <v>2463045</v>
      </c>
      <c r="L156" s="25">
        <f t="shared" ca="1" si="24"/>
        <v>2471240</v>
      </c>
      <c r="M156" s="25">
        <f t="shared" ca="1" si="24"/>
        <v>2482393</v>
      </c>
      <c r="N156" s="25">
        <f t="shared" ca="1" si="24"/>
        <v>2496598</v>
      </c>
      <c r="O156" s="25">
        <f t="shared" ca="1" si="24"/>
        <v>2511352</v>
      </c>
    </row>
    <row r="157" spans="4:15" s="327" customFormat="1" ht="13.5" thickBot="1" x14ac:dyDescent="0.25"/>
    <row r="158" spans="4:15" s="327" customFormat="1" ht="15.75" thickBot="1" x14ac:dyDescent="0.25">
      <c r="D158" s="658" t="s">
        <v>1224</v>
      </c>
      <c r="H158" s="435" t="s">
        <v>1222</v>
      </c>
      <c r="J158" s="433">
        <f t="shared" ref="J158:O158" si="25">RA_Reg_Pop_Demand_Prop_Active_Areas</f>
        <v>0.2</v>
      </c>
      <c r="K158" s="432">
        <f t="shared" si="25"/>
        <v>0.2</v>
      </c>
      <c r="L158" s="432">
        <f t="shared" si="25"/>
        <v>0.2</v>
      </c>
      <c r="M158" s="432">
        <f t="shared" si="25"/>
        <v>0.2</v>
      </c>
      <c r="N158" s="432">
        <f t="shared" si="25"/>
        <v>0.2</v>
      </c>
      <c r="O158" s="436">
        <f t="shared" si="25"/>
        <v>0.2</v>
      </c>
    </row>
    <row r="159" spans="4:15" s="327" customFormat="1" ht="13.5" thickBot="1" x14ac:dyDescent="0.25">
      <c r="H159" s="434" t="s">
        <v>1223</v>
      </c>
      <c r="J159" s="433">
        <f t="shared" ref="J159:O159" si="26">RA_Reg_Pop_Demand_Inactive_Proportions</f>
        <v>0.2</v>
      </c>
      <c r="K159" s="432">
        <f t="shared" si="26"/>
        <v>0.17899999999999999</v>
      </c>
      <c r="L159" s="432">
        <f t="shared" si="26"/>
        <v>0.2</v>
      </c>
      <c r="M159" s="432">
        <f t="shared" si="26"/>
        <v>0.2</v>
      </c>
      <c r="N159" s="432">
        <f t="shared" si="26"/>
        <v>0.2</v>
      </c>
      <c r="O159" s="436">
        <f t="shared" si="26"/>
        <v>0.2</v>
      </c>
    </row>
    <row r="160" spans="4:15" s="327" customFormat="1" hidden="1" outlineLevel="1" x14ac:dyDescent="0.2">
      <c r="D160" s="660" t="str">
        <f>Reg_Pop_Ann_TA!D131</f>
        <v>Central</v>
      </c>
      <c r="I160" s="5"/>
      <c r="J160" s="8">
        <f>IF(J17&gt;0,ROUND(J146*Reg_Pop_Ann_TA!J$14,0),ROUND(J146*Reg_Pop_Ann_TA!J$15,0))</f>
        <v>45197</v>
      </c>
      <c r="K160" s="8">
        <f ca="1">IF(K17&gt;0,ROUND(K146*Reg_Pop_Ann_TA!K$14,0),ROUND(K146*Reg_Pop_Ann_TA!K$15,0))</f>
        <v>45459</v>
      </c>
      <c r="L160" s="490">
        <f ca="1">IF(L17&gt;0,ROUND(L146*Reg_Pop_Ann_TA!L$14,0),ROUND(L146*Reg_Pop_Ann_TA!L$15,0))</f>
        <v>45801</v>
      </c>
      <c r="M160" s="490">
        <f ca="1">IF(M17&gt;0,ROUND(M146*Reg_Pop_Ann_TA!M$14,0),ROUND(M146*Reg_Pop_Ann_TA!M$15,0))</f>
        <v>46222</v>
      </c>
      <c r="N160" s="490">
        <f ca="1">IF(N17&gt;0,ROUND(N146*Reg_Pop_Ann_TA!N$14,0),ROUND(N146*Reg_Pop_Ann_TA!N$15,0))</f>
        <v>46715</v>
      </c>
      <c r="O160" s="490">
        <f ca="1">IF(O17&gt;0,ROUND(O146*Reg_Pop_Ann_TA!O$14,0),ROUND(O146*Reg_Pop_Ann_TA!O$15,0))</f>
        <v>47277</v>
      </c>
    </row>
    <row r="161" spans="4:15" s="327" customFormat="1" hidden="1" outlineLevel="1" x14ac:dyDescent="0.2">
      <c r="D161" s="660" t="str">
        <f>Reg_Pop_Ann_TA!D132</f>
        <v>Copperbelt</v>
      </c>
      <c r="I161" s="5"/>
      <c r="J161" s="8">
        <f>IF(J18&gt;0,ROUND(J147*Reg_Pop_Ann_TA!J$14,0),ROUND(J147*Reg_Pop_Ann_TA!J$15,0))</f>
        <v>77270</v>
      </c>
      <c r="K161" s="8">
        <f ca="1">IF(K18&gt;0,ROUND(K147*Reg_Pop_Ann_TA!K$14,0),ROUND(K147*Reg_Pop_Ann_TA!K$15,0))</f>
        <v>78124</v>
      </c>
      <c r="L161" s="490">
        <f ca="1">IF(L18&gt;0,ROUND(L147*Reg_Pop_Ann_TA!L$14,0),ROUND(L147*Reg_Pop_Ann_TA!L$15,0))</f>
        <v>79204</v>
      </c>
      <c r="M161" s="490">
        <f ca="1">IF(M18&gt;0,ROUND(M147*Reg_Pop_Ann_TA!M$14,0),ROUND(M147*Reg_Pop_Ann_TA!M$15,0))</f>
        <v>80430</v>
      </c>
      <c r="N161" s="490">
        <f ca="1">IF(N18&gt;0,ROUND(N147*Reg_Pop_Ann_TA!N$14,0),ROUND(N147*Reg_Pop_Ann_TA!N$15,0))</f>
        <v>81688</v>
      </c>
      <c r="O161" s="490">
        <f ca="1">IF(O18&gt;0,ROUND(O147*Reg_Pop_Ann_TA!O$14,0),ROUND(O147*Reg_Pop_Ann_TA!O$15,0))</f>
        <v>82905</v>
      </c>
    </row>
    <row r="162" spans="4:15" s="327" customFormat="1" hidden="1" outlineLevel="1" x14ac:dyDescent="0.2">
      <c r="D162" s="660" t="str">
        <f>Reg_Pop_Ann_TA!D133</f>
        <v>Eastern</v>
      </c>
      <c r="I162" s="5"/>
      <c r="J162" s="8">
        <f>IF(J19&gt;0,ROUND(J148*Reg_Pop_Ann_TA!J$14,0),ROUND(J148*Reg_Pop_Ann_TA!J$15,0))</f>
        <v>55121</v>
      </c>
      <c r="K162" s="8">
        <f ca="1">IF(K19&gt;0,ROUND(K148*Reg_Pop_Ann_TA!K$14,0),ROUND(K148*Reg_Pop_Ann_TA!K$15,0))</f>
        <v>54854</v>
      </c>
      <c r="L162" s="490">
        <f ca="1">IF(L19&gt;0,ROUND(L148*Reg_Pop_Ann_TA!L$14,0),ROUND(L148*Reg_Pop_Ann_TA!L$15,0))</f>
        <v>54613</v>
      </c>
      <c r="M162" s="490">
        <f ca="1">IF(M19&gt;0,ROUND(M148*Reg_Pop_Ann_TA!M$14,0),ROUND(M148*Reg_Pop_Ann_TA!M$15,0))</f>
        <v>54420</v>
      </c>
      <c r="N162" s="490">
        <f ca="1">IF(N19&gt;0,ROUND(N148*Reg_Pop_Ann_TA!N$14,0),ROUND(N148*Reg_Pop_Ann_TA!N$15,0))</f>
        <v>54301</v>
      </c>
      <c r="O162" s="490">
        <f ca="1">IF(O19&gt;0,ROUND(O148*Reg_Pop_Ann_TA!O$14,0),ROUND(O148*Reg_Pop_Ann_TA!O$15,0))</f>
        <v>54271</v>
      </c>
    </row>
    <row r="163" spans="4:15" s="327" customFormat="1" hidden="1" outlineLevel="1" x14ac:dyDescent="0.2">
      <c r="D163" s="660" t="str">
        <f>Reg_Pop_Ann_TA!D134</f>
        <v>Luapula</v>
      </c>
      <c r="I163" s="5"/>
      <c r="J163" s="8">
        <f>IF(J20&gt;0,ROUND(J149*Reg_Pop_Ann_TA!J$14,0),ROUND(J149*Reg_Pop_Ann_TA!J$15,0))</f>
        <v>34422</v>
      </c>
      <c r="K163" s="8">
        <f ca="1">IF(K20&gt;0,ROUND(K149*Reg_Pop_Ann_TA!K$14,0),ROUND(K149*Reg_Pop_Ann_TA!K$15,0))</f>
        <v>33706</v>
      </c>
      <c r="L163" s="490">
        <f ca="1">IF(L20&gt;0,ROUND(L149*Reg_Pop_Ann_TA!L$14,0),ROUND(L149*Reg_Pop_Ann_TA!L$15,0))</f>
        <v>33019</v>
      </c>
      <c r="M163" s="490">
        <f ca="1">IF(M20&gt;0,ROUND(M149*Reg_Pop_Ann_TA!M$14,0),ROUND(M149*Reg_Pop_Ann_TA!M$15,0))</f>
        <v>32344</v>
      </c>
      <c r="N163" s="490">
        <f ca="1">IF(N20&gt;0,ROUND(N149*Reg_Pop_Ann_TA!N$14,0),ROUND(N149*Reg_Pop_Ann_TA!N$15,0))</f>
        <v>31767</v>
      </c>
      <c r="O163" s="490">
        <f ca="1">IF(O20&gt;0,ROUND(O149*Reg_Pop_Ann_TA!O$14,0),ROUND(O149*Reg_Pop_Ann_TA!O$15,0))</f>
        <v>31234</v>
      </c>
    </row>
    <row r="164" spans="4:15" s="327" customFormat="1" hidden="1" outlineLevel="1" x14ac:dyDescent="0.2">
      <c r="D164" s="660" t="str">
        <f>Reg_Pop_Ann_TA!D135</f>
        <v>Lusaka</v>
      </c>
      <c r="I164" s="5"/>
      <c r="J164" s="8">
        <f>IF(J21&gt;0,ROUND(J150*Reg_Pop_Ann_TA!J$14,0),ROUND(J150*Reg_Pop_Ann_TA!J$15,0))</f>
        <v>103171</v>
      </c>
      <c r="K164" s="8">
        <f ca="1">IF(K21&gt;0,ROUND(K150*Reg_Pop_Ann_TA!K$14,0),ROUND(K150*Reg_Pop_Ann_TA!K$15,0))</f>
        <v>102848</v>
      </c>
      <c r="L164" s="490">
        <f ca="1">IF(L21&gt;0,ROUND(L150*Reg_Pop_Ann_TA!L$14,0),ROUND(L150*Reg_Pop_Ann_TA!L$15,0))</f>
        <v>102603</v>
      </c>
      <c r="M164" s="490">
        <f ca="1">IF(M21&gt;0,ROUND(M150*Reg_Pop_Ann_TA!M$14,0),ROUND(M150*Reg_Pop_Ann_TA!M$15,0))</f>
        <v>102446</v>
      </c>
      <c r="N164" s="490">
        <f ca="1">IF(N21&gt;0,ROUND(N150*Reg_Pop_Ann_TA!N$14,0),ROUND(N150*Reg_Pop_Ann_TA!N$15,0))</f>
        <v>102382</v>
      </c>
      <c r="O164" s="490">
        <f ca="1">IF(O21&gt;0,ROUND(O150*Reg_Pop_Ann_TA!O$14,0),ROUND(O150*Reg_Pop_Ann_TA!O$15,0))</f>
        <v>102422</v>
      </c>
    </row>
    <row r="165" spans="4:15" s="327" customFormat="1" hidden="1" outlineLevel="1" x14ac:dyDescent="0.2">
      <c r="D165" s="660" t="str">
        <f>Reg_Pop_Ann_TA!D136</f>
        <v>Muchinga</v>
      </c>
      <c r="I165" s="5"/>
      <c r="J165" s="8">
        <f>IF(J22&gt;0,ROUND(J151*Reg_Pop_Ann_TA!J$14,0),ROUND(J151*Reg_Pop_Ann_TA!J$15,0))</f>
        <v>26604</v>
      </c>
      <c r="K165" s="8">
        <f ca="1">IF(K22&gt;0,ROUND(K151*Reg_Pop_Ann_TA!K$14,0),ROUND(K151*Reg_Pop_Ann_TA!K$15,0))</f>
        <v>27897</v>
      </c>
      <c r="L165" s="490">
        <f ca="1">IF(L22&gt;0,ROUND(L151*Reg_Pop_Ann_TA!L$14,0),ROUND(L151*Reg_Pop_Ann_TA!L$15,0))</f>
        <v>29233</v>
      </c>
      <c r="M165" s="490">
        <f ca="1">IF(M22&gt;0,ROUND(M151*Reg_Pop_Ann_TA!M$14,0),ROUND(M151*Reg_Pop_Ann_TA!M$15,0))</f>
        <v>30613</v>
      </c>
      <c r="N165" s="490">
        <f ca="1">IF(N22&gt;0,ROUND(N151*Reg_Pop_Ann_TA!N$14,0),ROUND(N151*Reg_Pop_Ann_TA!N$15,0))</f>
        <v>32043</v>
      </c>
      <c r="O165" s="490">
        <f ca="1">IF(O22&gt;0,ROUND(O151*Reg_Pop_Ann_TA!O$14,0),ROUND(O151*Reg_Pop_Ann_TA!O$15,0))</f>
        <v>33528</v>
      </c>
    </row>
    <row r="166" spans="4:15" s="327" customFormat="1" hidden="1" outlineLevel="1" x14ac:dyDescent="0.2">
      <c r="D166" s="660" t="str">
        <f>Reg_Pop_Ann_TA!D137</f>
        <v>Northern</v>
      </c>
      <c r="I166" s="5"/>
      <c r="J166" s="8">
        <f>IF(J23&gt;0,ROUND(J152*Reg_Pop_Ann_TA!J$14,0),ROUND(J152*Reg_Pop_Ann_TA!J$15,0))</f>
        <v>38350</v>
      </c>
      <c r="K166" s="8">
        <f ca="1">IF(K23&gt;0,ROUND(K152*Reg_Pop_Ann_TA!K$14,0),ROUND(K152*Reg_Pop_Ann_TA!K$15,0))</f>
        <v>39171</v>
      </c>
      <c r="L166" s="490">
        <f ca="1">IF(L23&gt;0,ROUND(L152*Reg_Pop_Ann_TA!L$14,0),ROUND(L152*Reg_Pop_Ann_TA!L$15,0))</f>
        <v>40028</v>
      </c>
      <c r="M166" s="490">
        <f ca="1">IF(M23&gt;0,ROUND(M152*Reg_Pop_Ann_TA!M$14,0),ROUND(M152*Reg_Pop_Ann_TA!M$15,0))</f>
        <v>40923</v>
      </c>
      <c r="N166" s="490">
        <f ca="1">IF(N23&gt;0,ROUND(N152*Reg_Pop_Ann_TA!N$14,0),ROUND(N152*Reg_Pop_Ann_TA!N$15,0))</f>
        <v>41863</v>
      </c>
      <c r="O166" s="490">
        <f ca="1">IF(O23&gt;0,ROUND(O152*Reg_Pop_Ann_TA!O$14,0),ROUND(O152*Reg_Pop_Ann_TA!O$15,0))</f>
        <v>42852</v>
      </c>
    </row>
    <row r="167" spans="4:15" s="327" customFormat="1" hidden="1" outlineLevel="1" x14ac:dyDescent="0.2">
      <c r="D167" s="660" t="str">
        <f>Reg_Pop_Ann_TA!D138</f>
        <v>North-Western</v>
      </c>
      <c r="I167" s="5"/>
      <c r="J167" s="8">
        <f>IF(J24&gt;0,ROUND(J153*Reg_Pop_Ann_TA!J$14,0),ROUND(J153*Reg_Pop_Ann_TA!J$15,0))</f>
        <v>23423</v>
      </c>
      <c r="K167" s="8">
        <f ca="1">IF(K24&gt;0,ROUND(K153*Reg_Pop_Ann_TA!K$14,0),ROUND(K153*Reg_Pop_Ann_TA!K$15,0))</f>
        <v>23385</v>
      </c>
      <c r="L167" s="490">
        <f ca="1">IF(L24&gt;0,ROUND(L153*Reg_Pop_Ann_TA!L$14,0),ROUND(L153*Reg_Pop_Ann_TA!L$15,0))</f>
        <v>23393</v>
      </c>
      <c r="M167" s="490">
        <f ca="1">IF(M24&gt;0,ROUND(M153*Reg_Pop_Ann_TA!M$14,0),ROUND(M153*Reg_Pop_Ann_TA!M$15,0))</f>
        <v>23449</v>
      </c>
      <c r="N167" s="490">
        <f ca="1">IF(N24&gt;0,ROUND(N153*Reg_Pop_Ann_TA!N$14,0),ROUND(N153*Reg_Pop_Ann_TA!N$15,0))</f>
        <v>23550</v>
      </c>
      <c r="O167" s="490">
        <f ca="1">IF(O24&gt;0,ROUND(O153*Reg_Pop_Ann_TA!O$14,0),ROUND(O153*Reg_Pop_Ann_TA!O$15,0))</f>
        <v>23693</v>
      </c>
    </row>
    <row r="168" spans="4:15" s="327" customFormat="1" hidden="1" outlineLevel="1" x14ac:dyDescent="0.2">
      <c r="D168" s="660" t="str">
        <f>Reg_Pop_Ann_TA!D139</f>
        <v>Southern</v>
      </c>
      <c r="I168" s="5"/>
      <c r="J168" s="8">
        <f>IF(J25&gt;0,ROUND(J154*Reg_Pop_Ann_TA!J$14,0),ROUND(J154*Reg_Pop_Ann_TA!J$15,0))</f>
        <v>56843</v>
      </c>
      <c r="K168" s="8">
        <f ca="1">IF(K25&gt;0,ROUND(K154*Reg_Pop_Ann_TA!K$14,0),ROUND(K154*Reg_Pop_Ann_TA!K$15,0))</f>
        <v>57152</v>
      </c>
      <c r="L168" s="490">
        <f ca="1">IF(L25&gt;0,ROUND(L154*Reg_Pop_Ann_TA!L$14,0),ROUND(L154*Reg_Pop_Ann_TA!L$15,0))</f>
        <v>57533</v>
      </c>
      <c r="M168" s="490">
        <f ca="1">IF(M25&gt;0,ROUND(M154*Reg_Pop_Ann_TA!M$14,0),ROUND(M154*Reg_Pop_Ann_TA!M$15,0))</f>
        <v>57983</v>
      </c>
      <c r="N168" s="490">
        <f ca="1">IF(N25&gt;0,ROUND(N154*Reg_Pop_Ann_TA!N$14,0),ROUND(N154*Reg_Pop_Ann_TA!N$15,0))</f>
        <v>58498</v>
      </c>
      <c r="O168" s="490">
        <f ca="1">IF(O25&gt;0,ROUND(O154*Reg_Pop_Ann_TA!O$14,0),ROUND(O154*Reg_Pop_Ann_TA!O$15,0))</f>
        <v>59073</v>
      </c>
    </row>
    <row r="169" spans="4:15" s="327" customFormat="1" hidden="1" outlineLevel="1" x14ac:dyDescent="0.2">
      <c r="D169" s="660" t="str">
        <f>Reg_Pop_Ann_TA!D140</f>
        <v>Western</v>
      </c>
      <c r="I169" s="5"/>
      <c r="J169" s="15">
        <f>IF(J26&gt;0,ROUND(J155*Reg_Pop_Ann_TA!J$14,0),ROUND(J155*Reg_Pop_Ann_TA!J$15,0))</f>
        <v>31222</v>
      </c>
      <c r="K169" s="15">
        <f ca="1">IF(K26&gt;0,ROUND(K155*Reg_Pop_Ann_TA!K$14,0),ROUND(K155*Reg_Pop_Ann_TA!K$15,0))</f>
        <v>30014</v>
      </c>
      <c r="L169" s="491">
        <f ca="1">IF(L26&gt;0,ROUND(L155*Reg_Pop_Ann_TA!L$14,0),ROUND(L155*Reg_Pop_Ann_TA!L$15,0))</f>
        <v>28820</v>
      </c>
      <c r="M169" s="491">
        <f ca="1">IF(M26&gt;0,ROUND(M155*Reg_Pop_Ann_TA!M$14,0),ROUND(M155*Reg_Pop_Ann_TA!M$15,0))</f>
        <v>27650</v>
      </c>
      <c r="N169" s="491">
        <f ca="1">IF(N26&gt;0,ROUND(N155*Reg_Pop_Ann_TA!N$14,0),ROUND(N155*Reg_Pop_Ann_TA!N$15,0))</f>
        <v>26513</v>
      </c>
      <c r="O169" s="491">
        <f ca="1">IF(O26&gt;0,ROUND(O155*Reg_Pop_Ann_TA!O$14,0),ROUND(O155*Reg_Pop_Ann_TA!O$15,0))</f>
        <v>25015</v>
      </c>
    </row>
    <row r="170" spans="4:15" s="327" customFormat="1" ht="15" collapsed="1" x14ac:dyDescent="0.2">
      <c r="D170" s="658" t="s">
        <v>121</v>
      </c>
      <c r="I170" s="25"/>
      <c r="J170" s="25">
        <f t="shared" ref="J170:O170" si="27">SUM(J160:J169)</f>
        <v>491623</v>
      </c>
      <c r="K170" s="25">
        <f t="shared" ca="1" si="27"/>
        <v>492610</v>
      </c>
      <c r="L170" s="25">
        <f t="shared" ca="1" si="27"/>
        <v>494247</v>
      </c>
      <c r="M170" s="25">
        <f t="shared" ca="1" si="27"/>
        <v>496480</v>
      </c>
      <c r="N170" s="25">
        <f t="shared" ca="1" si="27"/>
        <v>499320</v>
      </c>
      <c r="O170" s="25">
        <f t="shared" ca="1" si="27"/>
        <v>502270</v>
      </c>
    </row>
    <row r="171" spans="4:15" s="327" customFormat="1" x14ac:dyDescent="0.2"/>
    <row r="172" spans="4:15" s="327" customFormat="1" ht="15" x14ac:dyDescent="0.2">
      <c r="D172" s="658" t="s">
        <v>1225</v>
      </c>
    </row>
    <row r="173" spans="4:15" s="327" customFormat="1" hidden="1" outlineLevel="1" x14ac:dyDescent="0.2">
      <c r="D173" s="660" t="str">
        <f>Reg_Pop_Ann_TA!D131</f>
        <v>Central</v>
      </c>
      <c r="J173" s="8">
        <f t="shared" ref="J173:O182" ca="1" si="28">MIN(J160,J361)</f>
        <v>5788</v>
      </c>
      <c r="K173" s="8">
        <f t="shared" ca="1" si="28"/>
        <v>5788</v>
      </c>
      <c r="L173" s="8">
        <f t="shared" ca="1" si="28"/>
        <v>5788</v>
      </c>
      <c r="M173" s="8">
        <f t="shared" ca="1" si="28"/>
        <v>5788</v>
      </c>
      <c r="N173" s="8">
        <f t="shared" ca="1" si="28"/>
        <v>5788</v>
      </c>
      <c r="O173" s="8">
        <f t="shared" ca="1" si="28"/>
        <v>5788</v>
      </c>
    </row>
    <row r="174" spans="4:15" s="327" customFormat="1" hidden="1" outlineLevel="1" x14ac:dyDescent="0.2">
      <c r="D174" s="660" t="str">
        <f>Reg_Pop_Ann_TA!D132</f>
        <v>Copperbelt</v>
      </c>
      <c r="J174" s="8">
        <f t="shared" ca="1" si="28"/>
        <v>8128</v>
      </c>
      <c r="K174" s="8">
        <f t="shared" ca="1" si="28"/>
        <v>8128</v>
      </c>
      <c r="L174" s="8">
        <f t="shared" ca="1" si="28"/>
        <v>8128</v>
      </c>
      <c r="M174" s="8">
        <f t="shared" ca="1" si="28"/>
        <v>8128</v>
      </c>
      <c r="N174" s="8">
        <f t="shared" ca="1" si="28"/>
        <v>8128</v>
      </c>
      <c r="O174" s="8">
        <f t="shared" ca="1" si="28"/>
        <v>8128</v>
      </c>
    </row>
    <row r="175" spans="4:15" s="327" customFormat="1" hidden="1" outlineLevel="1" x14ac:dyDescent="0.2">
      <c r="D175" s="660" t="str">
        <f>Reg_Pop_Ann_TA!D133</f>
        <v>Eastern</v>
      </c>
      <c r="J175" s="8">
        <f t="shared" ca="1" si="28"/>
        <v>10468</v>
      </c>
      <c r="K175" s="8">
        <f t="shared" ca="1" si="28"/>
        <v>10468</v>
      </c>
      <c r="L175" s="8">
        <f t="shared" ca="1" si="28"/>
        <v>10468</v>
      </c>
      <c r="M175" s="8">
        <f t="shared" ca="1" si="28"/>
        <v>10468</v>
      </c>
      <c r="N175" s="8">
        <f t="shared" ca="1" si="28"/>
        <v>10468</v>
      </c>
      <c r="O175" s="8">
        <f t="shared" ca="1" si="28"/>
        <v>10468</v>
      </c>
    </row>
    <row r="176" spans="4:15" s="327" customFormat="1" hidden="1" outlineLevel="1" x14ac:dyDescent="0.2">
      <c r="D176" s="660" t="str">
        <f>Reg_Pop_Ann_TA!D134</f>
        <v>Luapula</v>
      </c>
      <c r="J176" s="8">
        <f t="shared" ca="1" si="28"/>
        <v>8128</v>
      </c>
      <c r="K176" s="8">
        <f t="shared" ca="1" si="28"/>
        <v>8128</v>
      </c>
      <c r="L176" s="8">
        <f t="shared" ca="1" si="28"/>
        <v>8128</v>
      </c>
      <c r="M176" s="8">
        <f t="shared" ca="1" si="28"/>
        <v>8128</v>
      </c>
      <c r="N176" s="8">
        <f t="shared" ca="1" si="28"/>
        <v>8128</v>
      </c>
      <c r="O176" s="8">
        <f t="shared" ca="1" si="28"/>
        <v>8128</v>
      </c>
    </row>
    <row r="177" spans="3:15" s="327" customFormat="1" hidden="1" outlineLevel="1" x14ac:dyDescent="0.2">
      <c r="D177" s="660" t="str">
        <f>Reg_Pop_Ann_TA!D135</f>
        <v>Lusaka</v>
      </c>
      <c r="J177" s="8">
        <f t="shared" ca="1" si="28"/>
        <v>29188</v>
      </c>
      <c r="K177" s="8">
        <f t="shared" ca="1" si="28"/>
        <v>29188</v>
      </c>
      <c r="L177" s="8">
        <f t="shared" ca="1" si="28"/>
        <v>29188</v>
      </c>
      <c r="M177" s="8">
        <f t="shared" ca="1" si="28"/>
        <v>29188</v>
      </c>
      <c r="N177" s="8">
        <f t="shared" ca="1" si="28"/>
        <v>29188</v>
      </c>
      <c r="O177" s="8">
        <f t="shared" ca="1" si="28"/>
        <v>29188</v>
      </c>
    </row>
    <row r="178" spans="3:15" s="327" customFormat="1" hidden="1" outlineLevel="1" x14ac:dyDescent="0.2">
      <c r="D178" s="660" t="str">
        <f>Reg_Pop_Ann_TA!D136</f>
        <v>Muchinga</v>
      </c>
      <c r="J178" s="8">
        <f t="shared" ca="1" si="28"/>
        <v>554</v>
      </c>
      <c r="K178" s="8">
        <f t="shared" ca="1" si="28"/>
        <v>554</v>
      </c>
      <c r="L178" s="8">
        <f t="shared" ca="1" si="28"/>
        <v>554</v>
      </c>
      <c r="M178" s="8">
        <f t="shared" ca="1" si="28"/>
        <v>554</v>
      </c>
      <c r="N178" s="8">
        <f t="shared" ca="1" si="28"/>
        <v>554</v>
      </c>
      <c r="O178" s="8">
        <f t="shared" ca="1" si="28"/>
        <v>554</v>
      </c>
    </row>
    <row r="179" spans="3:15" s="327" customFormat="1" hidden="1" outlineLevel="1" x14ac:dyDescent="0.2">
      <c r="D179" s="660" t="str">
        <f>Reg_Pop_Ann_TA!D137</f>
        <v>Northern</v>
      </c>
      <c r="J179" s="8">
        <f t="shared" ca="1" si="28"/>
        <v>2894</v>
      </c>
      <c r="K179" s="8">
        <f t="shared" ca="1" si="28"/>
        <v>2894</v>
      </c>
      <c r="L179" s="8">
        <f t="shared" ca="1" si="28"/>
        <v>2894</v>
      </c>
      <c r="M179" s="8">
        <f t="shared" ca="1" si="28"/>
        <v>2894</v>
      </c>
      <c r="N179" s="8">
        <f t="shared" ca="1" si="28"/>
        <v>2894</v>
      </c>
      <c r="O179" s="8">
        <f t="shared" ca="1" si="28"/>
        <v>2894</v>
      </c>
    </row>
    <row r="180" spans="3:15" s="327" customFormat="1" hidden="1" outlineLevel="1" x14ac:dyDescent="0.2">
      <c r="D180" s="660" t="str">
        <f>Reg_Pop_Ann_TA!D138</f>
        <v>North-Western</v>
      </c>
      <c r="J180" s="8">
        <f t="shared" ca="1" si="28"/>
        <v>3448</v>
      </c>
      <c r="K180" s="8">
        <f t="shared" ca="1" si="28"/>
        <v>3448</v>
      </c>
      <c r="L180" s="8">
        <f t="shared" ca="1" si="28"/>
        <v>3448</v>
      </c>
      <c r="M180" s="8">
        <f t="shared" ca="1" si="28"/>
        <v>3448</v>
      </c>
      <c r="N180" s="8">
        <f t="shared" ca="1" si="28"/>
        <v>3448</v>
      </c>
      <c r="O180" s="8">
        <f t="shared" ca="1" si="28"/>
        <v>3448</v>
      </c>
    </row>
    <row r="181" spans="3:15" s="327" customFormat="1" hidden="1" outlineLevel="1" x14ac:dyDescent="0.2">
      <c r="D181" s="660" t="str">
        <f>Reg_Pop_Ann_TA!D139</f>
        <v>Southern</v>
      </c>
      <c r="J181" s="8">
        <f t="shared" ca="1" si="28"/>
        <v>8128</v>
      </c>
      <c r="K181" s="8">
        <f t="shared" ca="1" si="28"/>
        <v>8128</v>
      </c>
      <c r="L181" s="8">
        <f t="shared" ca="1" si="28"/>
        <v>8128</v>
      </c>
      <c r="M181" s="8">
        <f t="shared" ca="1" si="28"/>
        <v>8128</v>
      </c>
      <c r="N181" s="8">
        <f t="shared" ca="1" si="28"/>
        <v>8128</v>
      </c>
      <c r="O181" s="8">
        <f t="shared" ca="1" si="28"/>
        <v>8128</v>
      </c>
    </row>
    <row r="182" spans="3:15" s="327" customFormat="1" hidden="1" outlineLevel="1" x14ac:dyDescent="0.2">
      <c r="D182" s="660" t="str">
        <f>Reg_Pop_Ann_TA!D140</f>
        <v>Western</v>
      </c>
      <c r="J182" s="15">
        <f t="shared" ca="1" si="28"/>
        <v>8128</v>
      </c>
      <c r="K182" s="15">
        <f t="shared" ca="1" si="28"/>
        <v>8128</v>
      </c>
      <c r="L182" s="15">
        <f t="shared" ca="1" si="28"/>
        <v>8128</v>
      </c>
      <c r="M182" s="15">
        <f t="shared" ca="1" si="28"/>
        <v>8128</v>
      </c>
      <c r="N182" s="15">
        <f t="shared" ca="1" si="28"/>
        <v>8128</v>
      </c>
      <c r="O182" s="15">
        <f t="shared" ca="1" si="28"/>
        <v>8128</v>
      </c>
    </row>
    <row r="183" spans="3:15" s="327" customFormat="1" ht="15" collapsed="1" x14ac:dyDescent="0.2">
      <c r="D183" s="658" t="s">
        <v>121</v>
      </c>
      <c r="J183" s="25">
        <f t="shared" ref="J183:O183" ca="1" si="29">SUM(J173:J182)</f>
        <v>84852</v>
      </c>
      <c r="K183" s="25">
        <f t="shared" ca="1" si="29"/>
        <v>84852</v>
      </c>
      <c r="L183" s="25">
        <f t="shared" ca="1" si="29"/>
        <v>84852</v>
      </c>
      <c r="M183" s="25">
        <f t="shared" ca="1" si="29"/>
        <v>84852</v>
      </c>
      <c r="N183" s="25">
        <f t="shared" ca="1" si="29"/>
        <v>84852</v>
      </c>
      <c r="O183" s="25">
        <f t="shared" ca="1" si="29"/>
        <v>84852</v>
      </c>
    </row>
    <row r="184" spans="3:15" s="327" customFormat="1" x14ac:dyDescent="0.2"/>
    <row r="185" spans="3:15" s="327" customFormat="1" x14ac:dyDescent="0.2"/>
    <row r="186" spans="3:15" s="327" customFormat="1" x14ac:dyDescent="0.2"/>
    <row r="187" spans="3:15" s="327" customFormat="1" ht="15.75" x14ac:dyDescent="0.2">
      <c r="C187" s="330" t="s">
        <v>387</v>
      </c>
    </row>
    <row r="188" spans="3:15" s="327" customFormat="1" x14ac:dyDescent="0.2"/>
    <row r="189" spans="3:15" s="327" customFormat="1" ht="15" x14ac:dyDescent="0.2">
      <c r="D189" s="679" t="str">
        <f>"Eligible for Re-Screening - Last Result Normal - "&amp;Reg_Pop_Ann_TA!D100</f>
        <v>Eligible for Re-Screening - Last Result Normal - HIV+</v>
      </c>
    </row>
    <row r="190" spans="3:15" s="327" customFormat="1" hidden="1" outlineLevel="1" x14ac:dyDescent="0.2">
      <c r="D190" s="660" t="str">
        <f>Reg_Pop_Ann_TA!D131</f>
        <v>Central</v>
      </c>
      <c r="J190" s="8">
        <f ca="1">ROUND(IF(J$8&gt;Reg_Pop_Ann_TA!$H$100,OFFSET(J361,0,-Reg_Pop_Ann_TA!$H$100)*Reg_Pop_Ann_TA!$H$56*(1-OFFSET(J130,0,-Reg_Pop_Ann_TA!$H$100)),0),0)</f>
        <v>0</v>
      </c>
      <c r="K190" s="8">
        <f ca="1">ROUND(IF(K$8&gt;Reg_Pop_Ann_TA!$H$100,OFFSET(K361,0,-Reg_Pop_Ann_TA!$H$100)*Reg_Pop_Ann_TA!$H$56*(1-OFFSET(K130,0,-Reg_Pop_Ann_TA!$H$100)),0),0)</f>
        <v>0</v>
      </c>
      <c r="L190" s="8">
        <f ca="1">ROUND(IF(L$8&gt;Reg_Pop_Ann_TA!$H$100,OFFSET(L361,0,-Reg_Pop_Ann_TA!$H$100)*Reg_Pop_Ann_TA!$H$56*(1-OFFSET(L130,0,-Reg_Pop_Ann_TA!$H$100)),0),0)</f>
        <v>0</v>
      </c>
      <c r="M190" s="8">
        <f ca="1">ROUND(IF(M$8&gt;Reg_Pop_Ann_TA!$H$100,OFFSET(M361,0,-Reg_Pop_Ann_TA!$H$100)*Reg_Pop_Ann_TA!$H$56*(1-OFFSET(M130,0,-Reg_Pop_Ann_TA!$H$100)),0),0)</f>
        <v>923</v>
      </c>
      <c r="N190" s="8">
        <f ca="1">ROUND(IF(N$8&gt;Reg_Pop_Ann_TA!$H$100,OFFSET(N361,0,-Reg_Pop_Ann_TA!$H$100)*Reg_Pop_Ann_TA!$H$56*(1-OFFSET(N130,0,-Reg_Pop_Ann_TA!$H$100)),0),0)</f>
        <v>921</v>
      </c>
      <c r="O190" s="8">
        <f ca="1">ROUND(IF(O$8&gt;Reg_Pop_Ann_TA!$H$100,OFFSET(O361,0,-Reg_Pop_Ann_TA!$H$100)*Reg_Pop_Ann_TA!$H$56*(1-OFFSET(O130,0,-Reg_Pop_Ann_TA!$H$100)),0),0)</f>
        <v>918</v>
      </c>
    </row>
    <row r="191" spans="3:15" s="327" customFormat="1" hidden="1" outlineLevel="1" x14ac:dyDescent="0.2">
      <c r="D191" s="660" t="str">
        <f>Reg_Pop_Ann_TA!D132</f>
        <v>Copperbelt</v>
      </c>
      <c r="J191" s="8">
        <f ca="1">ROUND(IF(J$8&gt;Reg_Pop_Ann_TA!$H$100,OFFSET(J362,0,-Reg_Pop_Ann_TA!$H$100)*Reg_Pop_Ann_TA!$H$56*(1-OFFSET(J131,0,-Reg_Pop_Ann_TA!$H$100)),0),0)</f>
        <v>0</v>
      </c>
      <c r="K191" s="8">
        <f ca="1">ROUND(IF(K$8&gt;Reg_Pop_Ann_TA!$H$100,OFFSET(K362,0,-Reg_Pop_Ann_TA!$H$100)*Reg_Pop_Ann_TA!$H$56*(1-OFFSET(K131,0,-Reg_Pop_Ann_TA!$H$100)),0),0)</f>
        <v>0</v>
      </c>
      <c r="L191" s="8">
        <f ca="1">ROUND(IF(L$8&gt;Reg_Pop_Ann_TA!$H$100,OFFSET(L362,0,-Reg_Pop_Ann_TA!$H$100)*Reg_Pop_Ann_TA!$H$56*(1-OFFSET(L131,0,-Reg_Pop_Ann_TA!$H$100)),0),0)</f>
        <v>0</v>
      </c>
      <c r="M191" s="8">
        <f ca="1">ROUND(IF(M$8&gt;Reg_Pop_Ann_TA!$H$100,OFFSET(M362,0,-Reg_Pop_Ann_TA!$H$100)*Reg_Pop_Ann_TA!$H$56*(1-OFFSET(M131,0,-Reg_Pop_Ann_TA!$H$100)),0),0)</f>
        <v>1703</v>
      </c>
      <c r="N191" s="8">
        <f ca="1">ROUND(IF(N$8&gt;Reg_Pop_Ann_TA!$H$100,OFFSET(N362,0,-Reg_Pop_Ann_TA!$H$100)*Reg_Pop_Ann_TA!$H$56*(1-OFFSET(N131,0,-Reg_Pop_Ann_TA!$H$100)),0),0)</f>
        <v>1700</v>
      </c>
      <c r="O191" s="8">
        <f ca="1">ROUND(IF(O$8&gt;Reg_Pop_Ann_TA!$H$100,OFFSET(O362,0,-Reg_Pop_Ann_TA!$H$100)*Reg_Pop_Ann_TA!$H$56*(1-OFFSET(O131,0,-Reg_Pop_Ann_TA!$H$100)),0),0)</f>
        <v>1695</v>
      </c>
    </row>
    <row r="192" spans="3:15" s="327" customFormat="1" hidden="1" outlineLevel="1" x14ac:dyDescent="0.2">
      <c r="D192" s="660" t="str">
        <f>Reg_Pop_Ann_TA!D133</f>
        <v>Eastern</v>
      </c>
      <c r="J192" s="8">
        <f ca="1">ROUND(IF(J$8&gt;Reg_Pop_Ann_TA!$H$100,OFFSET(J363,0,-Reg_Pop_Ann_TA!$H$100)*Reg_Pop_Ann_TA!$H$56*(1-OFFSET(J132,0,-Reg_Pop_Ann_TA!$H$100)),0),0)</f>
        <v>0</v>
      </c>
      <c r="K192" s="8">
        <f ca="1">ROUND(IF(K$8&gt;Reg_Pop_Ann_TA!$H$100,OFFSET(K363,0,-Reg_Pop_Ann_TA!$H$100)*Reg_Pop_Ann_TA!$H$56*(1-OFFSET(K132,0,-Reg_Pop_Ann_TA!$H$100)),0),0)</f>
        <v>0</v>
      </c>
      <c r="L192" s="8">
        <f ca="1">ROUND(IF(L$8&gt;Reg_Pop_Ann_TA!$H$100,OFFSET(L363,0,-Reg_Pop_Ann_TA!$H$100)*Reg_Pop_Ann_TA!$H$56*(1-OFFSET(L132,0,-Reg_Pop_Ann_TA!$H$100)),0),0)</f>
        <v>0</v>
      </c>
      <c r="M192" s="8">
        <f ca="1">ROUND(IF(M$8&gt;Reg_Pop_Ann_TA!$H$100,OFFSET(M363,0,-Reg_Pop_Ann_TA!$H$100)*Reg_Pop_Ann_TA!$H$56*(1-OFFSET(M132,0,-Reg_Pop_Ann_TA!$H$100)),0),0)</f>
        <v>1222</v>
      </c>
      <c r="N192" s="8">
        <f ca="1">ROUND(IF(N$8&gt;Reg_Pop_Ann_TA!$H$100,OFFSET(N363,0,-Reg_Pop_Ann_TA!$H$100)*Reg_Pop_Ann_TA!$H$56*(1-OFFSET(N132,0,-Reg_Pop_Ann_TA!$H$100)),0),0)</f>
        <v>1218</v>
      </c>
      <c r="O192" s="8">
        <f ca="1">ROUND(IF(O$8&gt;Reg_Pop_Ann_TA!$H$100,OFFSET(O363,0,-Reg_Pop_Ann_TA!$H$100)*Reg_Pop_Ann_TA!$H$56*(1-OFFSET(O132,0,-Reg_Pop_Ann_TA!$H$100)),0),0)</f>
        <v>1214</v>
      </c>
    </row>
    <row r="193" spans="4:15" s="327" customFormat="1" hidden="1" outlineLevel="1" x14ac:dyDescent="0.2">
      <c r="D193" s="660" t="str">
        <f>Reg_Pop_Ann_TA!D134</f>
        <v>Luapula</v>
      </c>
      <c r="J193" s="8">
        <f ca="1">ROUND(IF(J$8&gt;Reg_Pop_Ann_TA!$H$100,OFFSET(J364,0,-Reg_Pop_Ann_TA!$H$100)*Reg_Pop_Ann_TA!$H$56*(1-OFFSET(J133,0,-Reg_Pop_Ann_TA!$H$100)),0),0)</f>
        <v>0</v>
      </c>
      <c r="K193" s="8">
        <f ca="1">ROUND(IF(K$8&gt;Reg_Pop_Ann_TA!$H$100,OFFSET(K364,0,-Reg_Pop_Ann_TA!$H$100)*Reg_Pop_Ann_TA!$H$56*(1-OFFSET(K133,0,-Reg_Pop_Ann_TA!$H$100)),0),0)</f>
        <v>0</v>
      </c>
      <c r="L193" s="8">
        <f ca="1">ROUND(IF(L$8&gt;Reg_Pop_Ann_TA!$H$100,OFFSET(L364,0,-Reg_Pop_Ann_TA!$H$100)*Reg_Pop_Ann_TA!$H$56*(1-OFFSET(L133,0,-Reg_Pop_Ann_TA!$H$100)),0),0)</f>
        <v>0</v>
      </c>
      <c r="M193" s="8">
        <f ca="1">ROUND(IF(M$8&gt;Reg_Pop_Ann_TA!$H$100,OFFSET(M364,0,-Reg_Pop_Ann_TA!$H$100)*Reg_Pop_Ann_TA!$H$56*(1-OFFSET(M133,0,-Reg_Pop_Ann_TA!$H$100)),0),0)</f>
        <v>1044</v>
      </c>
      <c r="N193" s="8">
        <f ca="1">ROUND(IF(N$8&gt;Reg_Pop_Ann_TA!$H$100,OFFSET(N364,0,-Reg_Pop_Ann_TA!$H$100)*Reg_Pop_Ann_TA!$H$56*(1-OFFSET(N133,0,-Reg_Pop_Ann_TA!$H$100)),0),0)</f>
        <v>1042</v>
      </c>
      <c r="O193" s="8">
        <f ca="1">ROUND(IF(O$8&gt;Reg_Pop_Ann_TA!$H$100,OFFSET(O364,0,-Reg_Pop_Ann_TA!$H$100)*Reg_Pop_Ann_TA!$H$56*(1-OFFSET(O133,0,-Reg_Pop_Ann_TA!$H$100)),0),0)</f>
        <v>1040</v>
      </c>
    </row>
    <row r="194" spans="4:15" s="327" customFormat="1" hidden="1" outlineLevel="1" x14ac:dyDescent="0.2">
      <c r="D194" s="660" t="str">
        <f>Reg_Pop_Ann_TA!D135</f>
        <v>Lusaka</v>
      </c>
      <c r="J194" s="8">
        <f ca="1">ROUND(IF(J$8&gt;Reg_Pop_Ann_TA!$H$100,OFFSET(J365,0,-Reg_Pop_Ann_TA!$H$100)*Reg_Pop_Ann_TA!$H$56*(1-OFFSET(J134,0,-Reg_Pop_Ann_TA!$H$100)),0),0)</f>
        <v>0</v>
      </c>
      <c r="K194" s="8">
        <f ca="1">ROUND(IF(K$8&gt;Reg_Pop_Ann_TA!$H$100,OFFSET(K365,0,-Reg_Pop_Ann_TA!$H$100)*Reg_Pop_Ann_TA!$H$56*(1-OFFSET(K134,0,-Reg_Pop_Ann_TA!$H$100)),0),0)</f>
        <v>0</v>
      </c>
      <c r="L194" s="8">
        <f ca="1">ROUND(IF(L$8&gt;Reg_Pop_Ann_TA!$H$100,OFFSET(L365,0,-Reg_Pop_Ann_TA!$H$100)*Reg_Pop_Ann_TA!$H$56*(1-OFFSET(L134,0,-Reg_Pop_Ann_TA!$H$100)),0),0)</f>
        <v>0</v>
      </c>
      <c r="M194" s="8">
        <f ca="1">ROUND(IF(M$8&gt;Reg_Pop_Ann_TA!$H$100,OFFSET(M365,0,-Reg_Pop_Ann_TA!$H$100)*Reg_Pop_Ann_TA!$H$56*(1-OFFSET(M134,0,-Reg_Pop_Ann_TA!$H$100)),0),0)</f>
        <v>5781</v>
      </c>
      <c r="N194" s="8">
        <f ca="1">ROUND(IF(N$8&gt;Reg_Pop_Ann_TA!$H$100,OFFSET(N365,0,-Reg_Pop_Ann_TA!$H$100)*Reg_Pop_Ann_TA!$H$56*(1-OFFSET(N134,0,-Reg_Pop_Ann_TA!$H$100)),0),0)</f>
        <v>5752</v>
      </c>
      <c r="O194" s="8">
        <f ca="1">ROUND(IF(O$8&gt;Reg_Pop_Ann_TA!$H$100,OFFSET(O365,0,-Reg_Pop_Ann_TA!$H$100)*Reg_Pop_Ann_TA!$H$56*(1-OFFSET(O134,0,-Reg_Pop_Ann_TA!$H$100)),0),0)</f>
        <v>5722</v>
      </c>
    </row>
    <row r="195" spans="4:15" s="327" customFormat="1" hidden="1" outlineLevel="1" x14ac:dyDescent="0.2">
      <c r="D195" s="660" t="str">
        <f>Reg_Pop_Ann_TA!D136</f>
        <v>Muchinga</v>
      </c>
      <c r="J195" s="8">
        <f ca="1">ROUND(IF(J$8&gt;Reg_Pop_Ann_TA!$H$100,OFFSET(J366,0,-Reg_Pop_Ann_TA!$H$100)*Reg_Pop_Ann_TA!$H$56*(1-OFFSET(J135,0,-Reg_Pop_Ann_TA!$H$100)),0),0)</f>
        <v>0</v>
      </c>
      <c r="K195" s="8">
        <f ca="1">ROUND(IF(K$8&gt;Reg_Pop_Ann_TA!$H$100,OFFSET(K366,0,-Reg_Pop_Ann_TA!$H$100)*Reg_Pop_Ann_TA!$H$56*(1-OFFSET(K135,0,-Reg_Pop_Ann_TA!$H$100)),0),0)</f>
        <v>0</v>
      </c>
      <c r="L195" s="8">
        <f ca="1">ROUND(IF(L$8&gt;Reg_Pop_Ann_TA!$H$100,OFFSET(L366,0,-Reg_Pop_Ann_TA!$H$100)*Reg_Pop_Ann_TA!$H$56*(1-OFFSET(L135,0,-Reg_Pop_Ann_TA!$H$100)),0),0)</f>
        <v>0</v>
      </c>
      <c r="M195" s="8">
        <f ca="1">ROUND(IF(M$8&gt;Reg_Pop_Ann_TA!$H$100,OFFSET(M366,0,-Reg_Pop_Ann_TA!$H$100)*Reg_Pop_Ann_TA!$H$56*(1-OFFSET(M135,0,-Reg_Pop_Ann_TA!$H$100)),0),0)</f>
        <v>42</v>
      </c>
      <c r="N195" s="8">
        <f ca="1">ROUND(IF(N$8&gt;Reg_Pop_Ann_TA!$H$100,OFFSET(N366,0,-Reg_Pop_Ann_TA!$H$100)*Reg_Pop_Ann_TA!$H$56*(1-OFFSET(N135,0,-Reg_Pop_Ann_TA!$H$100)),0),0)</f>
        <v>42</v>
      </c>
      <c r="O195" s="8">
        <f ca="1">ROUND(IF(O$8&gt;Reg_Pop_Ann_TA!$H$100,OFFSET(O366,0,-Reg_Pop_Ann_TA!$H$100)*Reg_Pop_Ann_TA!$H$56*(1-OFFSET(O135,0,-Reg_Pop_Ann_TA!$H$100)),0),0)</f>
        <v>42</v>
      </c>
    </row>
    <row r="196" spans="4:15" s="327" customFormat="1" hidden="1" outlineLevel="1" x14ac:dyDescent="0.2">
      <c r="D196" s="660" t="str">
        <f>Reg_Pop_Ann_TA!D137</f>
        <v>Northern</v>
      </c>
      <c r="J196" s="8">
        <f ca="1">ROUND(IF(J$8&gt;Reg_Pop_Ann_TA!$H$100,OFFSET(J367,0,-Reg_Pop_Ann_TA!$H$100)*Reg_Pop_Ann_TA!$H$56*(1-OFFSET(J136,0,-Reg_Pop_Ann_TA!$H$100)),0),0)</f>
        <v>0</v>
      </c>
      <c r="K196" s="8">
        <f ca="1">ROUND(IF(K$8&gt;Reg_Pop_Ann_TA!$H$100,OFFSET(K367,0,-Reg_Pop_Ann_TA!$H$100)*Reg_Pop_Ann_TA!$H$56*(1-OFFSET(K136,0,-Reg_Pop_Ann_TA!$H$100)),0),0)</f>
        <v>0</v>
      </c>
      <c r="L196" s="8">
        <f ca="1">ROUND(IF(L$8&gt;Reg_Pop_Ann_TA!$H$100,OFFSET(L367,0,-Reg_Pop_Ann_TA!$H$100)*Reg_Pop_Ann_TA!$H$56*(1-OFFSET(L136,0,-Reg_Pop_Ann_TA!$H$100)),0),0)</f>
        <v>0</v>
      </c>
      <c r="M196" s="8">
        <f ca="1">ROUND(IF(M$8&gt;Reg_Pop_Ann_TA!$H$100,OFFSET(M367,0,-Reg_Pop_Ann_TA!$H$100)*Reg_Pop_Ann_TA!$H$56*(1-OFFSET(M136,0,-Reg_Pop_Ann_TA!$H$100)),0),0)</f>
        <v>323</v>
      </c>
      <c r="N196" s="8">
        <f ca="1">ROUND(IF(N$8&gt;Reg_Pop_Ann_TA!$H$100,OFFSET(N367,0,-Reg_Pop_Ann_TA!$H$100)*Reg_Pop_Ann_TA!$H$56*(1-OFFSET(N136,0,-Reg_Pop_Ann_TA!$H$100)),0),0)</f>
        <v>322</v>
      </c>
      <c r="O196" s="8">
        <f ca="1">ROUND(IF(O$8&gt;Reg_Pop_Ann_TA!$H$100,OFFSET(O367,0,-Reg_Pop_Ann_TA!$H$100)*Reg_Pop_Ann_TA!$H$56*(1-OFFSET(O136,0,-Reg_Pop_Ann_TA!$H$100)),0),0)</f>
        <v>322</v>
      </c>
    </row>
    <row r="197" spans="4:15" s="327" customFormat="1" hidden="1" outlineLevel="1" x14ac:dyDescent="0.2">
      <c r="D197" s="660" t="str">
        <f>Reg_Pop_Ann_TA!D138</f>
        <v>North-Western</v>
      </c>
      <c r="J197" s="8">
        <f ca="1">ROUND(IF(J$8&gt;Reg_Pop_Ann_TA!$H$100,OFFSET(J368,0,-Reg_Pop_Ann_TA!$H$100)*Reg_Pop_Ann_TA!$H$56*(1-OFFSET(J137,0,-Reg_Pop_Ann_TA!$H$100)),0),0)</f>
        <v>0</v>
      </c>
      <c r="K197" s="8">
        <f ca="1">ROUND(IF(K$8&gt;Reg_Pop_Ann_TA!$H$100,OFFSET(K368,0,-Reg_Pop_Ann_TA!$H$100)*Reg_Pop_Ann_TA!$H$56*(1-OFFSET(K137,0,-Reg_Pop_Ann_TA!$H$100)),0),0)</f>
        <v>0</v>
      </c>
      <c r="L197" s="8">
        <f ca="1">ROUND(IF(L$8&gt;Reg_Pop_Ann_TA!$H$100,OFFSET(L368,0,-Reg_Pop_Ann_TA!$H$100)*Reg_Pop_Ann_TA!$H$56*(1-OFFSET(L137,0,-Reg_Pop_Ann_TA!$H$100)),0),0)</f>
        <v>0</v>
      </c>
      <c r="M197" s="8">
        <f ca="1">ROUND(IF(M$8&gt;Reg_Pop_Ann_TA!$H$100,OFFSET(M368,0,-Reg_Pop_Ann_TA!$H$100)*Reg_Pop_Ann_TA!$H$56*(1-OFFSET(M137,0,-Reg_Pop_Ann_TA!$H$100)),0),0)</f>
        <v>300</v>
      </c>
      <c r="N197" s="8">
        <f ca="1">ROUND(IF(N$8&gt;Reg_Pop_Ann_TA!$H$100,OFFSET(N368,0,-Reg_Pop_Ann_TA!$H$100)*Reg_Pop_Ann_TA!$H$56*(1-OFFSET(N137,0,-Reg_Pop_Ann_TA!$H$100)),0),0)</f>
        <v>299</v>
      </c>
      <c r="O197" s="8">
        <f ca="1">ROUND(IF(O$8&gt;Reg_Pop_Ann_TA!$H$100,OFFSET(O368,0,-Reg_Pop_Ann_TA!$H$100)*Reg_Pop_Ann_TA!$H$56*(1-OFFSET(O137,0,-Reg_Pop_Ann_TA!$H$100)),0),0)</f>
        <v>298</v>
      </c>
    </row>
    <row r="198" spans="4:15" s="327" customFormat="1" hidden="1" outlineLevel="1" x14ac:dyDescent="0.2">
      <c r="D198" s="660" t="str">
        <f>Reg_Pop_Ann_TA!D139</f>
        <v>Southern</v>
      </c>
      <c r="J198" s="8">
        <f ca="1">ROUND(IF(J$8&gt;Reg_Pop_Ann_TA!$H$100,OFFSET(J369,0,-Reg_Pop_Ann_TA!$H$100)*Reg_Pop_Ann_TA!$H$56*(1-OFFSET(J138,0,-Reg_Pop_Ann_TA!$H$100)),0),0)</f>
        <v>0</v>
      </c>
      <c r="K198" s="8">
        <f ca="1">ROUND(IF(K$8&gt;Reg_Pop_Ann_TA!$H$100,OFFSET(K369,0,-Reg_Pop_Ann_TA!$H$100)*Reg_Pop_Ann_TA!$H$56*(1-OFFSET(K138,0,-Reg_Pop_Ann_TA!$H$100)),0),0)</f>
        <v>0</v>
      </c>
      <c r="L198" s="8">
        <f ca="1">ROUND(IF(L$8&gt;Reg_Pop_Ann_TA!$H$100,OFFSET(L369,0,-Reg_Pop_Ann_TA!$H$100)*Reg_Pop_Ann_TA!$H$56*(1-OFFSET(L138,0,-Reg_Pop_Ann_TA!$H$100)),0),0)</f>
        <v>0</v>
      </c>
      <c r="M198" s="8">
        <f ca="1">ROUND(IF(M$8&gt;Reg_Pop_Ann_TA!$H$100,OFFSET(M369,0,-Reg_Pop_Ann_TA!$H$100)*Reg_Pop_Ann_TA!$H$56*(1-OFFSET(M138,0,-Reg_Pop_Ann_TA!$H$100)),0),0)</f>
        <v>1273</v>
      </c>
      <c r="N198" s="8">
        <f ca="1">ROUND(IF(N$8&gt;Reg_Pop_Ann_TA!$H$100,OFFSET(N369,0,-Reg_Pop_Ann_TA!$H$100)*Reg_Pop_Ann_TA!$H$56*(1-OFFSET(N138,0,-Reg_Pop_Ann_TA!$H$100)),0),0)</f>
        <v>1268</v>
      </c>
      <c r="O198" s="8">
        <f ca="1">ROUND(IF(O$8&gt;Reg_Pop_Ann_TA!$H$100,OFFSET(O369,0,-Reg_Pop_Ann_TA!$H$100)*Reg_Pop_Ann_TA!$H$56*(1-OFFSET(O138,0,-Reg_Pop_Ann_TA!$H$100)),0),0)</f>
        <v>1263</v>
      </c>
    </row>
    <row r="199" spans="4:15" s="327" customFormat="1" hidden="1" outlineLevel="1" x14ac:dyDescent="0.2">
      <c r="D199" s="660" t="str">
        <f>Reg_Pop_Ann_TA!D140</f>
        <v>Western</v>
      </c>
      <c r="J199" s="15">
        <f ca="1">ROUND(IF(J$8&gt;Reg_Pop_Ann_TA!$H$100,OFFSET(J370,0,-Reg_Pop_Ann_TA!$H$100)*Reg_Pop_Ann_TA!$H$56*(1-OFFSET(J139,0,-Reg_Pop_Ann_TA!$H$100)),0),0)</f>
        <v>0</v>
      </c>
      <c r="K199" s="15">
        <f ca="1">ROUND(IF(K$8&gt;Reg_Pop_Ann_TA!$H$100,OFFSET(K370,0,-Reg_Pop_Ann_TA!$H$100)*Reg_Pop_Ann_TA!$H$56*(1-OFFSET(K139,0,-Reg_Pop_Ann_TA!$H$100)),0),0)</f>
        <v>0</v>
      </c>
      <c r="L199" s="15">
        <f ca="1">ROUND(IF(L$8&gt;Reg_Pop_Ann_TA!$H$100,OFFSET(L370,0,-Reg_Pop_Ann_TA!$H$100)*Reg_Pop_Ann_TA!$H$56*(1-OFFSET(L139,0,-Reg_Pop_Ann_TA!$H$100)),0),0)</f>
        <v>0</v>
      </c>
      <c r="M199" s="15">
        <f ca="1">ROUND(IF(M$8&gt;Reg_Pop_Ann_TA!$H$100,OFFSET(M370,0,-Reg_Pop_Ann_TA!$H$100)*Reg_Pop_Ann_TA!$H$56*(1-OFFSET(M139,0,-Reg_Pop_Ann_TA!$H$100)),0),0)</f>
        <v>1481</v>
      </c>
      <c r="N199" s="15">
        <f ca="1">ROUND(IF(N$8&gt;Reg_Pop_Ann_TA!$H$100,OFFSET(N370,0,-Reg_Pop_Ann_TA!$H$100)*Reg_Pop_Ann_TA!$H$56*(1-OFFSET(N139,0,-Reg_Pop_Ann_TA!$H$100)),0),0)</f>
        <v>1483</v>
      </c>
      <c r="O199" s="15">
        <f ca="1">ROUND(IF(O$8&gt;Reg_Pop_Ann_TA!$H$100,OFFSET(O370,0,-Reg_Pop_Ann_TA!$H$100)*Reg_Pop_Ann_TA!$H$56*(1-OFFSET(O139,0,-Reg_Pop_Ann_TA!$H$100)),0),0)</f>
        <v>1485</v>
      </c>
    </row>
    <row r="200" spans="4:15" s="327" customFormat="1" ht="15" collapsed="1" x14ac:dyDescent="0.2">
      <c r="D200" s="679" t="str">
        <f>"Total "&amp;D189</f>
        <v>Total Eligible for Re-Screening - Last Result Normal - HIV+</v>
      </c>
      <c r="J200" s="25">
        <f t="shared" ref="J200:O200" ca="1" si="30">SUM(J190:J199)</f>
        <v>0</v>
      </c>
      <c r="K200" s="25">
        <f t="shared" ca="1" si="30"/>
        <v>0</v>
      </c>
      <c r="L200" s="25">
        <f t="shared" ca="1" si="30"/>
        <v>0</v>
      </c>
      <c r="M200" s="25">
        <f t="shared" ca="1" si="30"/>
        <v>14092</v>
      </c>
      <c r="N200" s="25">
        <f t="shared" ca="1" si="30"/>
        <v>14047</v>
      </c>
      <c r="O200" s="25">
        <f t="shared" ca="1" si="30"/>
        <v>13999</v>
      </c>
    </row>
    <row r="201" spans="4:15" s="327" customFormat="1" x14ac:dyDescent="0.2"/>
    <row r="202" spans="4:15" s="327" customFormat="1" ht="15" x14ac:dyDescent="0.2">
      <c r="D202" s="679" t="str">
        <f>"Eligible for Re-Screening - Last Result Normal - "&amp;Reg_Pop_Ann_TA!D101</f>
        <v>Eligible for Re-Screening - Last Result Normal - HIV-</v>
      </c>
    </row>
    <row r="203" spans="4:15" s="327" customFormat="1" hidden="1" outlineLevel="1" x14ac:dyDescent="0.2">
      <c r="D203" s="660" t="str">
        <f>Plac_Start_Facs_BA!C10</f>
        <v>Central</v>
      </c>
      <c r="J203" s="8">
        <f ca="1">ROUND(IF(J$8&gt;Reg_Pop_Ann_TA!$H$101,OFFSET(J361,0,-Reg_Pop_Ann_TA!$H$101)*Reg_Pop_Ann_TA!$H$56*OFFSET(J130,0,-Reg_Pop_Ann_TA!$H$101),0),0)</f>
        <v>0</v>
      </c>
      <c r="K203" s="8">
        <f ca="1">ROUND(IF(K$8&gt;Reg_Pop_Ann_TA!$H$101,OFFSET(K361,0,-Reg_Pop_Ann_TA!$H$101)*Reg_Pop_Ann_TA!$H$56*OFFSET(K130,0,-Reg_Pop_Ann_TA!$H$101),0),0)</f>
        <v>0</v>
      </c>
      <c r="L203" s="8">
        <f ca="1">ROUND(IF(L$8&gt;Reg_Pop_Ann_TA!$H$101,OFFSET(L361,0,-Reg_Pop_Ann_TA!$H$101)*Reg_Pop_Ann_TA!$H$56*OFFSET(L130,0,-Reg_Pop_Ann_TA!$H$101),0),0)</f>
        <v>0</v>
      </c>
      <c r="M203" s="8">
        <f ca="1">ROUND(IF(M$8&gt;Reg_Pop_Ann_TA!$H$101,OFFSET(M361,0,-Reg_Pop_Ann_TA!$H$101)*Reg_Pop_Ann_TA!$H$56*OFFSET(M130,0,-Reg_Pop_Ann_TA!$H$101),0),0)</f>
        <v>3829</v>
      </c>
      <c r="N203" s="8">
        <f ca="1">ROUND(IF(N$8&gt;Reg_Pop_Ann_TA!$H$101,OFFSET(N361,0,-Reg_Pop_Ann_TA!$H$101)*Reg_Pop_Ann_TA!$H$56*OFFSET(N130,0,-Reg_Pop_Ann_TA!$H$101),0),0)</f>
        <v>3831</v>
      </c>
      <c r="O203" s="8">
        <f ca="1">ROUND(IF(O$8&gt;Reg_Pop_Ann_TA!$H$101,OFFSET(O361,0,-Reg_Pop_Ann_TA!$H$101)*Reg_Pop_Ann_TA!$H$56*OFFSET(O130,0,-Reg_Pop_Ann_TA!$H$101),0),0)</f>
        <v>3834</v>
      </c>
    </row>
    <row r="204" spans="4:15" s="327" customFormat="1" hidden="1" outlineLevel="1" x14ac:dyDescent="0.2">
      <c r="D204" s="660" t="str">
        <f>Plac_Start_Facs_BA!C11</f>
        <v>Copperbelt</v>
      </c>
      <c r="J204" s="8">
        <f ca="1">ROUND(IF(J$8&gt;Reg_Pop_Ann_TA!$H$101,OFFSET(J362,0,-Reg_Pop_Ann_TA!$H$101)*Reg_Pop_Ann_TA!$H$56*OFFSET(J131,0,-Reg_Pop_Ann_TA!$H$101),0),0)</f>
        <v>0</v>
      </c>
      <c r="K204" s="8">
        <f ca="1">ROUND(IF(K$8&gt;Reg_Pop_Ann_TA!$H$101,OFFSET(K362,0,-Reg_Pop_Ann_TA!$H$101)*Reg_Pop_Ann_TA!$H$56*OFFSET(K131,0,-Reg_Pop_Ann_TA!$H$101),0),0)</f>
        <v>0</v>
      </c>
      <c r="L204" s="8">
        <f ca="1">ROUND(IF(L$8&gt;Reg_Pop_Ann_TA!$H$101,OFFSET(L362,0,-Reg_Pop_Ann_TA!$H$101)*Reg_Pop_Ann_TA!$H$56*OFFSET(L131,0,-Reg_Pop_Ann_TA!$H$101),0),0)</f>
        <v>0</v>
      </c>
      <c r="M204" s="8">
        <f ca="1">ROUND(IF(M$8&gt;Reg_Pop_Ann_TA!$H$101,OFFSET(M362,0,-Reg_Pop_Ann_TA!$H$101)*Reg_Pop_Ann_TA!$H$56*OFFSET(M131,0,-Reg_Pop_Ann_TA!$H$101),0),0)</f>
        <v>4970</v>
      </c>
      <c r="N204" s="8">
        <f ca="1">ROUND(IF(N$8&gt;Reg_Pop_Ann_TA!$H$101,OFFSET(N362,0,-Reg_Pop_Ann_TA!$H$101)*Reg_Pop_Ann_TA!$H$56*OFFSET(N131,0,-Reg_Pop_Ann_TA!$H$101),0),0)</f>
        <v>4973</v>
      </c>
      <c r="O204" s="8">
        <f ca="1">ROUND(IF(O$8&gt;Reg_Pop_Ann_TA!$H$101,OFFSET(O362,0,-Reg_Pop_Ann_TA!$H$101)*Reg_Pop_Ann_TA!$H$56*OFFSET(O131,0,-Reg_Pop_Ann_TA!$H$101),0),0)</f>
        <v>4978</v>
      </c>
    </row>
    <row r="205" spans="4:15" s="327" customFormat="1" hidden="1" outlineLevel="1" x14ac:dyDescent="0.2">
      <c r="D205" s="660" t="str">
        <f>Plac_Start_Facs_BA!C12</f>
        <v>Eastern</v>
      </c>
      <c r="J205" s="8">
        <f ca="1">ROUND(IF(J$8&gt;Reg_Pop_Ann_TA!$H$101,OFFSET(J363,0,-Reg_Pop_Ann_TA!$H$101)*Reg_Pop_Ann_TA!$H$56*OFFSET(J132,0,-Reg_Pop_Ann_TA!$H$101),0),0)</f>
        <v>0</v>
      </c>
      <c r="K205" s="8">
        <f ca="1">ROUND(IF(K$8&gt;Reg_Pop_Ann_TA!$H$101,OFFSET(K363,0,-Reg_Pop_Ann_TA!$H$101)*Reg_Pop_Ann_TA!$H$56*OFFSET(K132,0,-Reg_Pop_Ann_TA!$H$101),0),0)</f>
        <v>0</v>
      </c>
      <c r="L205" s="8">
        <f ca="1">ROUND(IF(L$8&gt;Reg_Pop_Ann_TA!$H$101,OFFSET(L363,0,-Reg_Pop_Ann_TA!$H$101)*Reg_Pop_Ann_TA!$H$56*OFFSET(L132,0,-Reg_Pop_Ann_TA!$H$101),0),0)</f>
        <v>0</v>
      </c>
      <c r="M205" s="8">
        <f ca="1">ROUND(IF(M$8&gt;Reg_Pop_Ann_TA!$H$101,OFFSET(M363,0,-Reg_Pop_Ann_TA!$H$101)*Reg_Pop_Ann_TA!$H$56*OFFSET(M132,0,-Reg_Pop_Ann_TA!$H$101),0),0)</f>
        <v>7373</v>
      </c>
      <c r="N205" s="8">
        <f ca="1">ROUND(IF(N$8&gt;Reg_Pop_Ann_TA!$H$101,OFFSET(N363,0,-Reg_Pop_Ann_TA!$H$101)*Reg_Pop_Ann_TA!$H$56*OFFSET(N132,0,-Reg_Pop_Ann_TA!$H$101),0),0)</f>
        <v>7376</v>
      </c>
      <c r="O205" s="8">
        <f ca="1">ROUND(IF(O$8&gt;Reg_Pop_Ann_TA!$H$101,OFFSET(O363,0,-Reg_Pop_Ann_TA!$H$101)*Reg_Pop_Ann_TA!$H$56*OFFSET(O132,0,-Reg_Pop_Ann_TA!$H$101),0),0)</f>
        <v>7381</v>
      </c>
    </row>
    <row r="206" spans="4:15" s="327" customFormat="1" hidden="1" outlineLevel="1" x14ac:dyDescent="0.2">
      <c r="D206" s="660" t="str">
        <f>Plac_Start_Facs_BA!C13</f>
        <v>Luapula</v>
      </c>
      <c r="J206" s="8">
        <f ca="1">ROUND(IF(J$8&gt;Reg_Pop_Ann_TA!$H$101,OFFSET(J364,0,-Reg_Pop_Ann_TA!$H$101)*Reg_Pop_Ann_TA!$H$56*OFFSET(J133,0,-Reg_Pop_Ann_TA!$H$101),0),0)</f>
        <v>0</v>
      </c>
      <c r="K206" s="8">
        <f ca="1">ROUND(IF(K$8&gt;Reg_Pop_Ann_TA!$H$101,OFFSET(K364,0,-Reg_Pop_Ann_TA!$H$101)*Reg_Pop_Ann_TA!$H$56*OFFSET(K133,0,-Reg_Pop_Ann_TA!$H$101),0),0)</f>
        <v>0</v>
      </c>
      <c r="L206" s="8">
        <f ca="1">ROUND(IF(L$8&gt;Reg_Pop_Ann_TA!$H$101,OFFSET(L364,0,-Reg_Pop_Ann_TA!$H$101)*Reg_Pop_Ann_TA!$H$56*OFFSET(L133,0,-Reg_Pop_Ann_TA!$H$101),0),0)</f>
        <v>0</v>
      </c>
      <c r="M206" s="8">
        <f ca="1">ROUND(IF(M$8&gt;Reg_Pop_Ann_TA!$H$101,OFFSET(M364,0,-Reg_Pop_Ann_TA!$H$101)*Reg_Pop_Ann_TA!$H$56*OFFSET(M133,0,-Reg_Pop_Ann_TA!$H$101),0),0)</f>
        <v>5629</v>
      </c>
      <c r="N206" s="8">
        <f ca="1">ROUND(IF(N$8&gt;Reg_Pop_Ann_TA!$H$101,OFFSET(N364,0,-Reg_Pop_Ann_TA!$H$101)*Reg_Pop_Ann_TA!$H$56*OFFSET(N133,0,-Reg_Pop_Ann_TA!$H$101),0),0)</f>
        <v>5631</v>
      </c>
      <c r="O206" s="8">
        <f ca="1">ROUND(IF(O$8&gt;Reg_Pop_Ann_TA!$H$101,OFFSET(O364,0,-Reg_Pop_Ann_TA!$H$101)*Reg_Pop_Ann_TA!$H$56*OFFSET(O133,0,-Reg_Pop_Ann_TA!$H$101),0),0)</f>
        <v>5633</v>
      </c>
    </row>
    <row r="207" spans="4:15" s="327" customFormat="1" hidden="1" outlineLevel="1" x14ac:dyDescent="0.2">
      <c r="D207" s="660" t="str">
        <f>Plac_Start_Facs_BA!C14</f>
        <v>Lusaka</v>
      </c>
      <c r="J207" s="8">
        <f ca="1">ROUND(IF(J$8&gt;Reg_Pop_Ann_TA!$H$101,OFFSET(J365,0,-Reg_Pop_Ann_TA!$H$101)*Reg_Pop_Ann_TA!$H$56*OFFSET(J134,0,-Reg_Pop_Ann_TA!$H$101),0),0)</f>
        <v>0</v>
      </c>
      <c r="K207" s="8">
        <f ca="1">ROUND(IF(K$8&gt;Reg_Pop_Ann_TA!$H$101,OFFSET(K365,0,-Reg_Pop_Ann_TA!$H$101)*Reg_Pop_Ann_TA!$H$56*OFFSET(K134,0,-Reg_Pop_Ann_TA!$H$101),0),0)</f>
        <v>0</v>
      </c>
      <c r="L207" s="8">
        <f ca="1">ROUND(IF(L$8&gt;Reg_Pop_Ann_TA!$H$101,OFFSET(L365,0,-Reg_Pop_Ann_TA!$H$101)*Reg_Pop_Ann_TA!$H$56*OFFSET(L134,0,-Reg_Pop_Ann_TA!$H$101),0),0)</f>
        <v>0</v>
      </c>
      <c r="M207" s="8">
        <f ca="1">ROUND(IF(M$8&gt;Reg_Pop_Ann_TA!$H$101,OFFSET(M365,0,-Reg_Pop_Ann_TA!$H$101)*Reg_Pop_Ann_TA!$H$56*OFFSET(M134,0,-Reg_Pop_Ann_TA!$H$101),0),0)</f>
        <v>18182</v>
      </c>
      <c r="N207" s="8">
        <f ca="1">ROUND(IF(N$8&gt;Reg_Pop_Ann_TA!$H$101,OFFSET(N365,0,-Reg_Pop_Ann_TA!$H$101)*Reg_Pop_Ann_TA!$H$56*OFFSET(N134,0,-Reg_Pop_Ann_TA!$H$101),0),0)</f>
        <v>18212</v>
      </c>
      <c r="O207" s="8">
        <f ca="1">ROUND(IF(O$8&gt;Reg_Pop_Ann_TA!$H$101,OFFSET(O365,0,-Reg_Pop_Ann_TA!$H$101)*Reg_Pop_Ann_TA!$H$56*OFFSET(O134,0,-Reg_Pop_Ann_TA!$H$101),0),0)</f>
        <v>18241</v>
      </c>
    </row>
    <row r="208" spans="4:15" s="327" customFormat="1" hidden="1" outlineLevel="1" x14ac:dyDescent="0.2">
      <c r="D208" s="660" t="str">
        <f>Plac_Start_Facs_BA!C15</f>
        <v>Muchinga</v>
      </c>
      <c r="J208" s="8">
        <f ca="1">ROUND(IF(J$8&gt;Reg_Pop_Ann_TA!$H$101,OFFSET(J366,0,-Reg_Pop_Ann_TA!$H$101)*Reg_Pop_Ann_TA!$H$56*OFFSET(J135,0,-Reg_Pop_Ann_TA!$H$101),0),0)</f>
        <v>0</v>
      </c>
      <c r="K208" s="8">
        <f ca="1">ROUND(IF(K$8&gt;Reg_Pop_Ann_TA!$H$101,OFFSET(K366,0,-Reg_Pop_Ann_TA!$H$101)*Reg_Pop_Ann_TA!$H$56*OFFSET(K135,0,-Reg_Pop_Ann_TA!$H$101),0),0)</f>
        <v>0</v>
      </c>
      <c r="L208" s="8">
        <f ca="1">ROUND(IF(L$8&gt;Reg_Pop_Ann_TA!$H$101,OFFSET(L366,0,-Reg_Pop_Ann_TA!$H$101)*Reg_Pop_Ann_TA!$H$56*OFFSET(L135,0,-Reg_Pop_Ann_TA!$H$101),0),0)</f>
        <v>0</v>
      </c>
      <c r="M208" s="8">
        <f ca="1">ROUND(IF(M$8&gt;Reg_Pop_Ann_TA!$H$101,OFFSET(M366,0,-Reg_Pop_Ann_TA!$H$101)*Reg_Pop_Ann_TA!$H$56*OFFSET(M135,0,-Reg_Pop_Ann_TA!$H$101),0),0)</f>
        <v>413</v>
      </c>
      <c r="N208" s="8">
        <f ca="1">ROUND(IF(N$8&gt;Reg_Pop_Ann_TA!$H$101,OFFSET(N366,0,-Reg_Pop_Ann_TA!$H$101)*Reg_Pop_Ann_TA!$H$56*OFFSET(N135,0,-Reg_Pop_Ann_TA!$H$101),0),0)</f>
        <v>413</v>
      </c>
      <c r="O208" s="8">
        <f ca="1">ROUND(IF(O$8&gt;Reg_Pop_Ann_TA!$H$101,OFFSET(O366,0,-Reg_Pop_Ann_TA!$H$101)*Reg_Pop_Ann_TA!$H$56*OFFSET(O135,0,-Reg_Pop_Ann_TA!$H$101),0),0)</f>
        <v>413</v>
      </c>
    </row>
    <row r="209" spans="4:15" s="327" customFormat="1" hidden="1" outlineLevel="1" x14ac:dyDescent="0.2">
      <c r="D209" s="660" t="str">
        <f>Plac_Start_Facs_BA!C16</f>
        <v>Northern</v>
      </c>
      <c r="J209" s="8">
        <f ca="1">ROUND(IF(J$8&gt;Reg_Pop_Ann_TA!$H$101,OFFSET(J367,0,-Reg_Pop_Ann_TA!$H$101)*Reg_Pop_Ann_TA!$H$56*OFFSET(J136,0,-Reg_Pop_Ann_TA!$H$101),0),0)</f>
        <v>0</v>
      </c>
      <c r="K209" s="8">
        <f ca="1">ROUND(IF(K$8&gt;Reg_Pop_Ann_TA!$H$101,OFFSET(K367,0,-Reg_Pop_Ann_TA!$H$101)*Reg_Pop_Ann_TA!$H$56*OFFSET(K136,0,-Reg_Pop_Ann_TA!$H$101),0),0)</f>
        <v>0</v>
      </c>
      <c r="L209" s="8">
        <f ca="1">ROUND(IF(L$8&gt;Reg_Pop_Ann_TA!$H$101,OFFSET(L367,0,-Reg_Pop_Ann_TA!$H$101)*Reg_Pop_Ann_TA!$H$56*OFFSET(L136,0,-Reg_Pop_Ann_TA!$H$101),0),0)</f>
        <v>0</v>
      </c>
      <c r="M209" s="8">
        <f ca="1">ROUND(IF(M$8&gt;Reg_Pop_Ann_TA!$H$101,OFFSET(M367,0,-Reg_Pop_Ann_TA!$H$101)*Reg_Pop_Ann_TA!$H$56*OFFSET(M136,0,-Reg_Pop_Ann_TA!$H$101),0),0)</f>
        <v>2053</v>
      </c>
      <c r="N209" s="8">
        <f ca="1">ROUND(IF(N$8&gt;Reg_Pop_Ann_TA!$H$101,OFFSET(N367,0,-Reg_Pop_Ann_TA!$H$101)*Reg_Pop_Ann_TA!$H$56*OFFSET(N136,0,-Reg_Pop_Ann_TA!$H$101),0),0)</f>
        <v>2053</v>
      </c>
      <c r="O209" s="8">
        <f ca="1">ROUND(IF(O$8&gt;Reg_Pop_Ann_TA!$H$101,OFFSET(O367,0,-Reg_Pop_Ann_TA!$H$101)*Reg_Pop_Ann_TA!$H$56*OFFSET(O136,0,-Reg_Pop_Ann_TA!$H$101),0),0)</f>
        <v>2054</v>
      </c>
    </row>
    <row r="210" spans="4:15" s="327" customFormat="1" hidden="1" outlineLevel="1" x14ac:dyDescent="0.2">
      <c r="D210" s="660" t="str">
        <f>Plac_Start_Facs_BA!C17</f>
        <v>North-Western</v>
      </c>
      <c r="J210" s="8">
        <f ca="1">ROUND(IF(J$8&gt;Reg_Pop_Ann_TA!$H$101,OFFSET(J368,0,-Reg_Pop_Ann_TA!$H$101)*Reg_Pop_Ann_TA!$H$56*OFFSET(J137,0,-Reg_Pop_Ann_TA!$H$101),0),0)</f>
        <v>0</v>
      </c>
      <c r="K210" s="8">
        <f ca="1">ROUND(IF(K$8&gt;Reg_Pop_Ann_TA!$H$101,OFFSET(K368,0,-Reg_Pop_Ann_TA!$H$101)*Reg_Pop_Ann_TA!$H$56*OFFSET(K137,0,-Reg_Pop_Ann_TA!$H$101),0),0)</f>
        <v>0</v>
      </c>
      <c r="L210" s="8">
        <f ca="1">ROUND(IF(L$8&gt;Reg_Pop_Ann_TA!$H$101,OFFSET(L368,0,-Reg_Pop_Ann_TA!$H$101)*Reg_Pop_Ann_TA!$H$56*OFFSET(L137,0,-Reg_Pop_Ann_TA!$H$101),0),0)</f>
        <v>0</v>
      </c>
      <c r="M210" s="8">
        <f ca="1">ROUND(IF(M$8&gt;Reg_Pop_Ann_TA!$H$101,OFFSET(M368,0,-Reg_Pop_Ann_TA!$H$101)*Reg_Pop_Ann_TA!$H$56*OFFSET(M137,0,-Reg_Pop_Ann_TA!$H$101),0),0)</f>
        <v>2531</v>
      </c>
      <c r="N210" s="8">
        <f ca="1">ROUND(IF(N$8&gt;Reg_Pop_Ann_TA!$H$101,OFFSET(N368,0,-Reg_Pop_Ann_TA!$H$101)*Reg_Pop_Ann_TA!$H$56*OFFSET(N137,0,-Reg_Pop_Ann_TA!$H$101),0),0)</f>
        <v>2532</v>
      </c>
      <c r="O210" s="8">
        <f ca="1">ROUND(IF(O$8&gt;Reg_Pop_Ann_TA!$H$101,OFFSET(O368,0,-Reg_Pop_Ann_TA!$H$101)*Reg_Pop_Ann_TA!$H$56*OFFSET(O137,0,-Reg_Pop_Ann_TA!$H$101),0),0)</f>
        <v>2533</v>
      </c>
    </row>
    <row r="211" spans="4:15" s="327" customFormat="1" hidden="1" outlineLevel="1" x14ac:dyDescent="0.2">
      <c r="D211" s="660" t="str">
        <f>Plac_Start_Facs_BA!C18</f>
        <v>Southern</v>
      </c>
      <c r="J211" s="8">
        <f ca="1">ROUND(IF(J$8&gt;Reg_Pop_Ann_TA!$H$101,OFFSET(J369,0,-Reg_Pop_Ann_TA!$H$101)*Reg_Pop_Ann_TA!$H$56*OFFSET(J138,0,-Reg_Pop_Ann_TA!$H$101),0),0)</f>
        <v>0</v>
      </c>
      <c r="K211" s="8">
        <f ca="1">ROUND(IF(K$8&gt;Reg_Pop_Ann_TA!$H$101,OFFSET(K369,0,-Reg_Pop_Ann_TA!$H$101)*Reg_Pop_Ann_TA!$H$56*OFFSET(K138,0,-Reg_Pop_Ann_TA!$H$101),0),0)</f>
        <v>0</v>
      </c>
      <c r="L211" s="8">
        <f ca="1">ROUND(IF(L$8&gt;Reg_Pop_Ann_TA!$H$101,OFFSET(L369,0,-Reg_Pop_Ann_TA!$H$101)*Reg_Pop_Ann_TA!$H$56*OFFSET(L138,0,-Reg_Pop_Ann_TA!$H$101),0),0)</f>
        <v>0</v>
      </c>
      <c r="M211" s="8">
        <f ca="1">ROUND(IF(M$8&gt;Reg_Pop_Ann_TA!$H$101,OFFSET(M369,0,-Reg_Pop_Ann_TA!$H$101)*Reg_Pop_Ann_TA!$H$56*OFFSET(M138,0,-Reg_Pop_Ann_TA!$H$101),0),0)</f>
        <v>5400</v>
      </c>
      <c r="N211" s="8">
        <f ca="1">ROUND(IF(N$8&gt;Reg_Pop_Ann_TA!$H$101,OFFSET(N369,0,-Reg_Pop_Ann_TA!$H$101)*Reg_Pop_Ann_TA!$H$56*OFFSET(N138,0,-Reg_Pop_Ann_TA!$H$101),0),0)</f>
        <v>5405</v>
      </c>
      <c r="O211" s="8">
        <f ca="1">ROUND(IF(O$8&gt;Reg_Pop_Ann_TA!$H$101,OFFSET(O369,0,-Reg_Pop_Ann_TA!$H$101)*Reg_Pop_Ann_TA!$H$56*OFFSET(O138,0,-Reg_Pop_Ann_TA!$H$101),0),0)</f>
        <v>5410</v>
      </c>
    </row>
    <row r="212" spans="4:15" s="327" customFormat="1" hidden="1" outlineLevel="1" x14ac:dyDescent="0.2">
      <c r="D212" s="660" t="str">
        <f>Plac_Start_Facs_BA!C19</f>
        <v>Western</v>
      </c>
      <c r="J212" s="15">
        <f ca="1">ROUND(IF(J$8&gt;Reg_Pop_Ann_TA!$H$101,OFFSET(J370,0,-Reg_Pop_Ann_TA!$H$101)*Reg_Pop_Ann_TA!$H$56*OFFSET(J139,0,-Reg_Pop_Ann_TA!$H$101),0),0)</f>
        <v>0</v>
      </c>
      <c r="K212" s="15">
        <f ca="1">ROUND(IF(K$8&gt;Reg_Pop_Ann_TA!$H$101,OFFSET(K370,0,-Reg_Pop_Ann_TA!$H$101)*Reg_Pop_Ann_TA!$H$56*OFFSET(K139,0,-Reg_Pop_Ann_TA!$H$101),0),0)</f>
        <v>0</v>
      </c>
      <c r="L212" s="15">
        <f ca="1">ROUND(IF(L$8&gt;Reg_Pop_Ann_TA!$H$101,OFFSET(L370,0,-Reg_Pop_Ann_TA!$H$101)*Reg_Pop_Ann_TA!$H$56*OFFSET(L139,0,-Reg_Pop_Ann_TA!$H$101),0),0)</f>
        <v>0</v>
      </c>
      <c r="M212" s="15">
        <f ca="1">ROUND(IF(M$8&gt;Reg_Pop_Ann_TA!$H$101,OFFSET(M370,0,-Reg_Pop_Ann_TA!$H$101)*Reg_Pop_Ann_TA!$H$56*OFFSET(M139,0,-Reg_Pop_Ann_TA!$H$101),0),0)</f>
        <v>5192</v>
      </c>
      <c r="N212" s="15">
        <f ca="1">ROUND(IF(N$8&gt;Reg_Pop_Ann_TA!$H$101,OFFSET(N370,0,-Reg_Pop_Ann_TA!$H$101)*Reg_Pop_Ann_TA!$H$56*OFFSET(N139,0,-Reg_Pop_Ann_TA!$H$101),0),0)</f>
        <v>5190</v>
      </c>
      <c r="O212" s="15">
        <f ca="1">ROUND(IF(O$8&gt;Reg_Pop_Ann_TA!$H$101,OFFSET(O370,0,-Reg_Pop_Ann_TA!$H$101)*Reg_Pop_Ann_TA!$H$56*OFFSET(O139,0,-Reg_Pop_Ann_TA!$H$101),0),0)</f>
        <v>5188</v>
      </c>
    </row>
    <row r="213" spans="4:15" s="327" customFormat="1" ht="15" collapsed="1" x14ac:dyDescent="0.2">
      <c r="D213" s="679" t="str">
        <f>"Total "&amp;D202</f>
        <v>Total Eligible for Re-Screening - Last Result Normal - HIV-</v>
      </c>
      <c r="J213" s="25">
        <f t="shared" ref="J213:O213" ca="1" si="31">SUM(J203:J212)</f>
        <v>0</v>
      </c>
      <c r="K213" s="25">
        <f t="shared" ca="1" si="31"/>
        <v>0</v>
      </c>
      <c r="L213" s="25">
        <f t="shared" ca="1" si="31"/>
        <v>0</v>
      </c>
      <c r="M213" s="25">
        <f t="shared" ca="1" si="31"/>
        <v>55572</v>
      </c>
      <c r="N213" s="25">
        <f t="shared" ca="1" si="31"/>
        <v>55616</v>
      </c>
      <c r="O213" s="25">
        <f t="shared" ca="1" si="31"/>
        <v>55665</v>
      </c>
    </row>
    <row r="214" spans="4:15" s="327" customFormat="1" x14ac:dyDescent="0.2"/>
    <row r="215" spans="4:15" s="327" customFormat="1" ht="15" x14ac:dyDescent="0.2">
      <c r="D215" s="658" t="s">
        <v>748</v>
      </c>
    </row>
    <row r="216" spans="4:15" s="327" customFormat="1" ht="30" hidden="1" outlineLevel="1" x14ac:dyDescent="0.2">
      <c r="D216" s="929" t="s">
        <v>594</v>
      </c>
      <c r="E216" s="929"/>
      <c r="F216" s="929"/>
      <c r="G216" s="929"/>
      <c r="H216" s="681" t="s">
        <v>385</v>
      </c>
      <c r="I216" s="681" t="s">
        <v>595</v>
      </c>
    </row>
    <row r="217" spans="4:15" s="327" customFormat="1" hidden="1" outlineLevel="1" x14ac:dyDescent="0.2">
      <c r="D217" s="660" t="str">
        <f>Diag_Ann_TO!D268</f>
        <v>Central</v>
      </c>
      <c r="H217" s="660" t="str">
        <f>Diag_Ann_TO!H268</f>
        <v>BIOP-H</v>
      </c>
      <c r="I217" s="5">
        <f>IFERROR(INDEX(Reg_Pop_Ann_TA!$H$110:$H$116,MATCH(H217,Reg_Pop_Ann_TA!$D$110:$D$116,0)),0)</f>
        <v>1</v>
      </c>
      <c r="J217" s="5">
        <f ca="1">IF(AND($I217,$I217&lt;J$8),OFFSET(Diag_Ann_TO!J268,0,-$I217),0)</f>
        <v>0</v>
      </c>
      <c r="K217" s="5">
        <f ca="1">IF(AND($I217,$I217&lt;K$8),OFFSET(Diag_Ann_TO!K268,0,-$I217),0)</f>
        <v>29</v>
      </c>
      <c r="L217" s="5">
        <f ca="1">IF(AND($I217,$I217&lt;L$8),OFFSET(Diag_Ann_TO!L268,0,-$I217),0)</f>
        <v>29</v>
      </c>
      <c r="M217" s="5">
        <f ca="1">IF(AND($I217,$I217&lt;M$8),OFFSET(Diag_Ann_TO!M268,0,-$I217),0)</f>
        <v>29</v>
      </c>
      <c r="N217" s="5">
        <f ca="1">IF(AND($I217,$I217&lt;N$8),OFFSET(Diag_Ann_TO!N268,0,-$I217),0)</f>
        <v>29</v>
      </c>
      <c r="O217" s="5">
        <f ca="1">IF(AND($I217,$I217&lt;O$8),OFFSET(Diag_Ann_TO!O268,0,-$I217),0)</f>
        <v>29</v>
      </c>
    </row>
    <row r="218" spans="4:15" s="327" customFormat="1" hidden="1" outlineLevel="1" x14ac:dyDescent="0.2">
      <c r="D218" s="660" t="str">
        <f>Diag_Ann_TO!D269</f>
        <v>Copperbelt</v>
      </c>
      <c r="H218" s="660" t="str">
        <f>Diag_Ann_TO!H269</f>
        <v>BIOP-H</v>
      </c>
      <c r="I218" s="5">
        <f>IFERROR(INDEX(Reg_Pop_Ann_TA!$H$110:$H$116,MATCH(H218,Reg_Pop_Ann_TA!$D$110:$D$116,0)),0)</f>
        <v>1</v>
      </c>
      <c r="J218" s="5">
        <f ca="1">IF(AND($I218,$I218&lt;J$8),OFFSET(Diag_Ann_TO!J269,0,-$I218),0)</f>
        <v>0</v>
      </c>
      <c r="K218" s="5">
        <f ca="1">IF(AND($I218,$I218&lt;K$8),OFFSET(Diag_Ann_TO!K269,0,-$I218),0)</f>
        <v>41</v>
      </c>
      <c r="L218" s="5">
        <f ca="1">IF(AND($I218,$I218&lt;L$8),OFFSET(Diag_Ann_TO!L269,0,-$I218),0)</f>
        <v>41</v>
      </c>
      <c r="M218" s="5">
        <f ca="1">IF(AND($I218,$I218&lt;M$8),OFFSET(Diag_Ann_TO!M269,0,-$I218),0)</f>
        <v>41</v>
      </c>
      <c r="N218" s="5">
        <f ca="1">IF(AND($I218,$I218&lt;N$8),OFFSET(Diag_Ann_TO!N269,0,-$I218),0)</f>
        <v>41</v>
      </c>
      <c r="O218" s="5">
        <f ca="1">IF(AND($I218,$I218&lt;O$8),OFFSET(Diag_Ann_TO!O269,0,-$I218),0)</f>
        <v>41</v>
      </c>
    </row>
    <row r="219" spans="4:15" s="327" customFormat="1" hidden="1" outlineLevel="1" x14ac:dyDescent="0.2">
      <c r="D219" s="660" t="str">
        <f>Diag_Ann_TO!D270</f>
        <v>Eastern</v>
      </c>
      <c r="H219" s="660" t="str">
        <f>Diag_Ann_TO!H270</f>
        <v>BIOP-H</v>
      </c>
      <c r="I219" s="5">
        <f>IFERROR(INDEX(Reg_Pop_Ann_TA!$H$110:$H$116,MATCH(H219,Reg_Pop_Ann_TA!$D$110:$D$116,0)),0)</f>
        <v>1</v>
      </c>
      <c r="J219" s="5">
        <f ca="1">IF(AND($I219,$I219&lt;J$8),OFFSET(Diag_Ann_TO!J270,0,-$I219),0)</f>
        <v>0</v>
      </c>
      <c r="K219" s="5">
        <f ca="1">IF(AND($I219,$I219&lt;K$8),OFFSET(Diag_Ann_TO!K270,0,-$I219),0)</f>
        <v>52</v>
      </c>
      <c r="L219" s="5">
        <f ca="1">IF(AND($I219,$I219&lt;L$8),OFFSET(Diag_Ann_TO!L270,0,-$I219),0)</f>
        <v>52</v>
      </c>
      <c r="M219" s="5">
        <f ca="1">IF(AND($I219,$I219&lt;M$8),OFFSET(Diag_Ann_TO!M270,0,-$I219),0)</f>
        <v>52</v>
      </c>
      <c r="N219" s="5">
        <f ca="1">IF(AND($I219,$I219&lt;N$8),OFFSET(Diag_Ann_TO!N270,0,-$I219),0)</f>
        <v>52</v>
      </c>
      <c r="O219" s="5">
        <f ca="1">IF(AND($I219,$I219&lt;O$8),OFFSET(Diag_Ann_TO!O270,0,-$I219),0)</f>
        <v>52</v>
      </c>
    </row>
    <row r="220" spans="4:15" s="327" customFormat="1" hidden="1" outlineLevel="1" x14ac:dyDescent="0.2">
      <c r="D220" s="660" t="str">
        <f>Diag_Ann_TO!D271</f>
        <v>Luapula</v>
      </c>
      <c r="H220" s="660" t="str">
        <f>Diag_Ann_TO!H271</f>
        <v>BIOP-H</v>
      </c>
      <c r="I220" s="5">
        <f>IFERROR(INDEX(Reg_Pop_Ann_TA!$H$110:$H$116,MATCH(H220,Reg_Pop_Ann_TA!$D$110:$D$116,0)),0)</f>
        <v>1</v>
      </c>
      <c r="J220" s="5">
        <f ca="1">IF(AND($I220,$I220&lt;J$8),OFFSET(Diag_Ann_TO!J271,0,-$I220),0)</f>
        <v>0</v>
      </c>
      <c r="K220" s="5">
        <f ca="1">IF(AND($I220,$I220&lt;K$8),OFFSET(Diag_Ann_TO!K271,0,-$I220),0)</f>
        <v>41</v>
      </c>
      <c r="L220" s="5">
        <f ca="1">IF(AND($I220,$I220&lt;L$8),OFFSET(Diag_Ann_TO!L271,0,-$I220),0)</f>
        <v>41</v>
      </c>
      <c r="M220" s="5">
        <f ca="1">IF(AND($I220,$I220&lt;M$8),OFFSET(Diag_Ann_TO!M271,0,-$I220),0)</f>
        <v>41</v>
      </c>
      <c r="N220" s="5">
        <f ca="1">IF(AND($I220,$I220&lt;N$8),OFFSET(Diag_Ann_TO!N271,0,-$I220),0)</f>
        <v>41</v>
      </c>
      <c r="O220" s="5">
        <f ca="1">IF(AND($I220,$I220&lt;O$8),OFFSET(Diag_Ann_TO!O271,0,-$I220),0)</f>
        <v>41</v>
      </c>
    </row>
    <row r="221" spans="4:15" s="327" customFormat="1" hidden="1" outlineLevel="1" x14ac:dyDescent="0.2">
      <c r="D221" s="660" t="str">
        <f>Diag_Ann_TO!D272</f>
        <v>Lusaka</v>
      </c>
      <c r="H221" s="660" t="str">
        <f>Diag_Ann_TO!H272</f>
        <v>BIOP-H</v>
      </c>
      <c r="I221" s="5">
        <f>IFERROR(INDEX(Reg_Pop_Ann_TA!$H$110:$H$116,MATCH(H221,Reg_Pop_Ann_TA!$D$110:$D$116,0)),0)</f>
        <v>1</v>
      </c>
      <c r="J221" s="5">
        <f ca="1">IF(AND($I221,$I221&lt;J$8),OFFSET(Diag_Ann_TO!J272,0,-$I221),0)</f>
        <v>0</v>
      </c>
      <c r="K221" s="5">
        <f ca="1">IF(AND($I221,$I221&lt;K$8),OFFSET(Diag_Ann_TO!K272,0,-$I221),0)</f>
        <v>146</v>
      </c>
      <c r="L221" s="5">
        <f ca="1">IF(AND($I221,$I221&lt;L$8),OFFSET(Diag_Ann_TO!L272,0,-$I221),0)</f>
        <v>146</v>
      </c>
      <c r="M221" s="5">
        <f ca="1">IF(AND($I221,$I221&lt;M$8),OFFSET(Diag_Ann_TO!M272,0,-$I221),0)</f>
        <v>146</v>
      </c>
      <c r="N221" s="5">
        <f ca="1">IF(AND($I221,$I221&lt;N$8),OFFSET(Diag_Ann_TO!N272,0,-$I221),0)</f>
        <v>146</v>
      </c>
      <c r="O221" s="5">
        <f ca="1">IF(AND($I221,$I221&lt;O$8),OFFSET(Diag_Ann_TO!O272,0,-$I221),0)</f>
        <v>146</v>
      </c>
    </row>
    <row r="222" spans="4:15" s="327" customFormat="1" hidden="1" outlineLevel="1" x14ac:dyDescent="0.2">
      <c r="D222" s="660" t="str">
        <f>Diag_Ann_TO!D273</f>
        <v>Muchinga</v>
      </c>
      <c r="H222" s="660" t="str">
        <f>Diag_Ann_TO!H273</f>
        <v>BIOP-H</v>
      </c>
      <c r="I222" s="5">
        <f>IFERROR(INDEX(Reg_Pop_Ann_TA!$H$110:$H$116,MATCH(H222,Reg_Pop_Ann_TA!$D$110:$D$116,0)),0)</f>
        <v>1</v>
      </c>
      <c r="J222" s="5">
        <f ca="1">IF(AND($I222,$I222&lt;J$8),OFFSET(Diag_Ann_TO!J273,0,-$I222),0)</f>
        <v>0</v>
      </c>
      <c r="K222" s="5">
        <f ca="1">IF(AND($I222,$I222&lt;K$8),OFFSET(Diag_Ann_TO!K273,0,-$I222),0)</f>
        <v>3</v>
      </c>
      <c r="L222" s="5">
        <f ca="1">IF(AND($I222,$I222&lt;L$8),OFFSET(Diag_Ann_TO!L273,0,-$I222),0)</f>
        <v>3</v>
      </c>
      <c r="M222" s="5">
        <f ca="1">IF(AND($I222,$I222&lt;M$8),OFFSET(Diag_Ann_TO!M273,0,-$I222),0)</f>
        <v>3</v>
      </c>
      <c r="N222" s="5">
        <f ca="1">IF(AND($I222,$I222&lt;N$8),OFFSET(Diag_Ann_TO!N273,0,-$I222),0)</f>
        <v>3</v>
      </c>
      <c r="O222" s="5">
        <f ca="1">IF(AND($I222,$I222&lt;O$8),OFFSET(Diag_Ann_TO!O273,0,-$I222),0)</f>
        <v>3</v>
      </c>
    </row>
    <row r="223" spans="4:15" s="327" customFormat="1" hidden="1" outlineLevel="1" x14ac:dyDescent="0.2">
      <c r="D223" s="660" t="str">
        <f>Diag_Ann_TO!D274</f>
        <v>Northern</v>
      </c>
      <c r="H223" s="660" t="str">
        <f>Diag_Ann_TO!H274</f>
        <v>BIOP-H</v>
      </c>
      <c r="I223" s="5">
        <f>IFERROR(INDEX(Reg_Pop_Ann_TA!$H$110:$H$116,MATCH(H223,Reg_Pop_Ann_TA!$D$110:$D$116,0)),0)</f>
        <v>1</v>
      </c>
      <c r="J223" s="5">
        <f ca="1">IF(AND($I223,$I223&lt;J$8),OFFSET(Diag_Ann_TO!J274,0,-$I223),0)</f>
        <v>0</v>
      </c>
      <c r="K223" s="5">
        <f ca="1">IF(AND($I223,$I223&lt;K$8),OFFSET(Diag_Ann_TO!K274,0,-$I223),0)</f>
        <v>14</v>
      </c>
      <c r="L223" s="5">
        <f ca="1">IF(AND($I223,$I223&lt;L$8),OFFSET(Diag_Ann_TO!L274,0,-$I223),0)</f>
        <v>14</v>
      </c>
      <c r="M223" s="5">
        <f ca="1">IF(AND($I223,$I223&lt;M$8),OFFSET(Diag_Ann_TO!M274,0,-$I223),0)</f>
        <v>14</v>
      </c>
      <c r="N223" s="5">
        <f ca="1">IF(AND($I223,$I223&lt;N$8),OFFSET(Diag_Ann_TO!N274,0,-$I223),0)</f>
        <v>14</v>
      </c>
      <c r="O223" s="5">
        <f ca="1">IF(AND($I223,$I223&lt;O$8),OFFSET(Diag_Ann_TO!O274,0,-$I223),0)</f>
        <v>14</v>
      </c>
    </row>
    <row r="224" spans="4:15" s="327" customFormat="1" hidden="1" outlineLevel="1" x14ac:dyDescent="0.2">
      <c r="D224" s="660" t="str">
        <f>Diag_Ann_TO!D275</f>
        <v>North-Western</v>
      </c>
      <c r="H224" s="660" t="str">
        <f>Diag_Ann_TO!H275</f>
        <v>BIOP-H</v>
      </c>
      <c r="I224" s="5">
        <f>IFERROR(INDEX(Reg_Pop_Ann_TA!$H$110:$H$116,MATCH(H224,Reg_Pop_Ann_TA!$D$110:$D$116,0)),0)</f>
        <v>1</v>
      </c>
      <c r="J224" s="5">
        <f ca="1">IF(AND($I224,$I224&lt;J$8),OFFSET(Diag_Ann_TO!J275,0,-$I224),0)</f>
        <v>0</v>
      </c>
      <c r="K224" s="5">
        <f ca="1">IF(AND($I224,$I224&lt;K$8),OFFSET(Diag_Ann_TO!K275,0,-$I224),0)</f>
        <v>17</v>
      </c>
      <c r="L224" s="5">
        <f ca="1">IF(AND($I224,$I224&lt;L$8),OFFSET(Diag_Ann_TO!L275,0,-$I224),0)</f>
        <v>17</v>
      </c>
      <c r="M224" s="5">
        <f ca="1">IF(AND($I224,$I224&lt;M$8),OFFSET(Diag_Ann_TO!M275,0,-$I224),0)</f>
        <v>17</v>
      </c>
      <c r="N224" s="5">
        <f ca="1">IF(AND($I224,$I224&lt;N$8),OFFSET(Diag_Ann_TO!N275,0,-$I224),0)</f>
        <v>17</v>
      </c>
      <c r="O224" s="5">
        <f ca="1">IF(AND($I224,$I224&lt;O$8),OFFSET(Diag_Ann_TO!O275,0,-$I224),0)</f>
        <v>17</v>
      </c>
    </row>
    <row r="225" spans="4:15" s="327" customFormat="1" hidden="1" outlineLevel="1" x14ac:dyDescent="0.2">
      <c r="D225" s="660" t="str">
        <f>Diag_Ann_TO!D276</f>
        <v>Southern</v>
      </c>
      <c r="H225" s="660" t="str">
        <f>Diag_Ann_TO!H276</f>
        <v>BIOP-H</v>
      </c>
      <c r="I225" s="5">
        <f>IFERROR(INDEX(Reg_Pop_Ann_TA!$H$110:$H$116,MATCH(H225,Reg_Pop_Ann_TA!$D$110:$D$116,0)),0)</f>
        <v>1</v>
      </c>
      <c r="J225" s="5">
        <f ca="1">IF(AND($I225,$I225&lt;J$8),OFFSET(Diag_Ann_TO!J276,0,-$I225),0)</f>
        <v>0</v>
      </c>
      <c r="K225" s="5">
        <f ca="1">IF(AND($I225,$I225&lt;K$8),OFFSET(Diag_Ann_TO!K276,0,-$I225),0)</f>
        <v>41</v>
      </c>
      <c r="L225" s="5">
        <f ca="1">IF(AND($I225,$I225&lt;L$8),OFFSET(Diag_Ann_TO!L276,0,-$I225),0)</f>
        <v>41</v>
      </c>
      <c r="M225" s="5">
        <f ca="1">IF(AND($I225,$I225&lt;M$8),OFFSET(Diag_Ann_TO!M276,0,-$I225),0)</f>
        <v>41</v>
      </c>
      <c r="N225" s="5">
        <f ca="1">IF(AND($I225,$I225&lt;N$8),OFFSET(Diag_Ann_TO!N276,0,-$I225),0)</f>
        <v>41</v>
      </c>
      <c r="O225" s="5">
        <f ca="1">IF(AND($I225,$I225&lt;O$8),OFFSET(Diag_Ann_TO!O276,0,-$I225),0)</f>
        <v>41</v>
      </c>
    </row>
    <row r="226" spans="4:15" s="327" customFormat="1" hidden="1" outlineLevel="1" x14ac:dyDescent="0.2">
      <c r="D226" s="660" t="str">
        <f>Diag_Ann_TO!D277</f>
        <v>Western</v>
      </c>
      <c r="H226" s="660" t="str">
        <f>Diag_Ann_TO!H277</f>
        <v>BIOP-H</v>
      </c>
      <c r="I226" s="5">
        <f>IFERROR(INDEX(Reg_Pop_Ann_TA!$H$110:$H$116,MATCH(H226,Reg_Pop_Ann_TA!$D$110:$D$116,0)),0)</f>
        <v>1</v>
      </c>
      <c r="J226" s="5">
        <f ca="1">IF(AND($I226,$I226&lt;J$8),OFFSET(Diag_Ann_TO!J277,0,-$I226),0)</f>
        <v>0</v>
      </c>
      <c r="K226" s="5">
        <f ca="1">IF(AND($I226,$I226&lt;K$8),OFFSET(Diag_Ann_TO!K277,0,-$I226),0)</f>
        <v>41</v>
      </c>
      <c r="L226" s="5">
        <f ca="1">IF(AND($I226,$I226&lt;L$8),OFFSET(Diag_Ann_TO!L277,0,-$I226),0)</f>
        <v>41</v>
      </c>
      <c r="M226" s="5">
        <f ca="1">IF(AND($I226,$I226&lt;M$8),OFFSET(Diag_Ann_TO!M277,0,-$I226),0)</f>
        <v>41</v>
      </c>
      <c r="N226" s="5">
        <f ca="1">IF(AND($I226,$I226&lt;N$8),OFFSET(Diag_Ann_TO!N277,0,-$I226),0)</f>
        <v>41</v>
      </c>
      <c r="O226" s="5">
        <f ca="1">IF(AND($I226,$I226&lt;O$8),OFFSET(Diag_Ann_TO!O277,0,-$I226),0)</f>
        <v>41</v>
      </c>
    </row>
    <row r="227" spans="4:15" s="327" customFormat="1" hidden="1" outlineLevel="1" x14ac:dyDescent="0.2">
      <c r="D227" s="660" t="str">
        <f>Intv_Ann_TO!D274</f>
        <v>Central</v>
      </c>
      <c r="H227" s="660" t="str">
        <f>Intv_Ann_TO!H274</f>
        <v>Cryo -SV</v>
      </c>
      <c r="I227" s="5">
        <f>IFERROR(INDEX(Reg_Pop_Ann_TA!$H$110:$H$116,MATCH(H227,Reg_Pop_Ann_TA!$D$110:$D$116,0)),0)</f>
        <v>1</v>
      </c>
      <c r="J227" s="5">
        <f ca="1">IF(AND($I227,$I227&lt;J$8),OFFSET(Intv_Ann_TO!J274,0,-$I227),0)</f>
        <v>0</v>
      </c>
      <c r="K227" s="5">
        <f ca="1">IF(AND($I227,$I227&lt;K$8),OFFSET(Intv_Ann_TO!K274,0,-$I227),0)</f>
        <v>583</v>
      </c>
      <c r="L227" s="5">
        <f ca="1">IF(AND($I227,$I227&lt;L$8),OFFSET(Intv_Ann_TO!L274,0,-$I227),0)</f>
        <v>583</v>
      </c>
      <c r="M227" s="5">
        <f ca="1">IF(AND($I227,$I227&lt;M$8),OFFSET(Intv_Ann_TO!M274,0,-$I227),0)</f>
        <v>583</v>
      </c>
      <c r="N227" s="5">
        <f ca="1">IF(AND($I227,$I227&lt;N$8),OFFSET(Intv_Ann_TO!N274,0,-$I227),0)</f>
        <v>583</v>
      </c>
      <c r="O227" s="5">
        <f ca="1">IF(AND($I227,$I227&lt;O$8),OFFSET(Intv_Ann_TO!O274,0,-$I227),0)</f>
        <v>583</v>
      </c>
    </row>
    <row r="228" spans="4:15" s="327" customFormat="1" hidden="1" outlineLevel="1" x14ac:dyDescent="0.2">
      <c r="D228" s="660" t="str">
        <f>Intv_Ann_TO!D275</f>
        <v>Copperbelt</v>
      </c>
      <c r="H228" s="660" t="str">
        <f>Intv_Ann_TO!H275</f>
        <v>Cryo -SV</v>
      </c>
      <c r="I228" s="5">
        <f>IFERROR(INDEX(Reg_Pop_Ann_TA!$H$110:$H$116,MATCH(H228,Reg_Pop_Ann_TA!$D$110:$D$116,0)),0)</f>
        <v>1</v>
      </c>
      <c r="J228" s="5">
        <f ca="1">IF(AND($I228,$I228&lt;J$8),OFFSET(Intv_Ann_TO!J275,0,-$I228),0)</f>
        <v>0</v>
      </c>
      <c r="K228" s="5">
        <f ca="1">IF(AND($I228,$I228&lt;K$8),OFFSET(Intv_Ann_TO!K275,0,-$I228),0)</f>
        <v>818</v>
      </c>
      <c r="L228" s="5">
        <f ca="1">IF(AND($I228,$I228&lt;L$8),OFFSET(Intv_Ann_TO!L275,0,-$I228),0)</f>
        <v>818</v>
      </c>
      <c r="M228" s="5">
        <f ca="1">IF(AND($I228,$I228&lt;M$8),OFFSET(Intv_Ann_TO!M275,0,-$I228),0)</f>
        <v>818</v>
      </c>
      <c r="N228" s="5">
        <f ca="1">IF(AND($I228,$I228&lt;N$8),OFFSET(Intv_Ann_TO!N275,0,-$I228),0)</f>
        <v>818</v>
      </c>
      <c r="O228" s="5">
        <f ca="1">IF(AND($I228,$I228&lt;O$8),OFFSET(Intv_Ann_TO!O275,0,-$I228),0)</f>
        <v>818</v>
      </c>
    </row>
    <row r="229" spans="4:15" s="327" customFormat="1" hidden="1" outlineLevel="1" x14ac:dyDescent="0.2">
      <c r="D229" s="660" t="str">
        <f>Intv_Ann_TO!D276</f>
        <v>Eastern</v>
      </c>
      <c r="H229" s="660" t="str">
        <f>Intv_Ann_TO!H276</f>
        <v>Cryo -SV</v>
      </c>
      <c r="I229" s="5">
        <f>IFERROR(INDEX(Reg_Pop_Ann_TA!$H$110:$H$116,MATCH(H229,Reg_Pop_Ann_TA!$D$110:$D$116,0)),0)</f>
        <v>1</v>
      </c>
      <c r="J229" s="5">
        <f ca="1">IF(AND($I229,$I229&lt;J$8),OFFSET(Intv_Ann_TO!J276,0,-$I229),0)</f>
        <v>0</v>
      </c>
      <c r="K229" s="5">
        <f ca="1">IF(AND($I229,$I229&lt;K$8),OFFSET(Intv_Ann_TO!K276,0,-$I229),0)</f>
        <v>1054</v>
      </c>
      <c r="L229" s="5">
        <f ca="1">IF(AND($I229,$I229&lt;L$8),OFFSET(Intv_Ann_TO!L276,0,-$I229),0)</f>
        <v>1054</v>
      </c>
      <c r="M229" s="5">
        <f ca="1">IF(AND($I229,$I229&lt;M$8),OFFSET(Intv_Ann_TO!M276,0,-$I229),0)</f>
        <v>1054</v>
      </c>
      <c r="N229" s="5">
        <f ca="1">IF(AND($I229,$I229&lt;N$8),OFFSET(Intv_Ann_TO!N276,0,-$I229),0)</f>
        <v>1054</v>
      </c>
      <c r="O229" s="5">
        <f ca="1">IF(AND($I229,$I229&lt;O$8),OFFSET(Intv_Ann_TO!O276,0,-$I229),0)</f>
        <v>1054</v>
      </c>
    </row>
    <row r="230" spans="4:15" s="327" customFormat="1" hidden="1" outlineLevel="1" x14ac:dyDescent="0.2">
      <c r="D230" s="660" t="str">
        <f>Intv_Ann_TO!D277</f>
        <v>Luapula</v>
      </c>
      <c r="H230" s="660" t="str">
        <f>Intv_Ann_TO!H277</f>
        <v>Cryo -SV</v>
      </c>
      <c r="I230" s="5">
        <f>IFERROR(INDEX(Reg_Pop_Ann_TA!$H$110:$H$116,MATCH(H230,Reg_Pop_Ann_TA!$D$110:$D$116,0)),0)</f>
        <v>1</v>
      </c>
      <c r="J230" s="5">
        <f ca="1">IF(AND($I230,$I230&lt;J$8),OFFSET(Intv_Ann_TO!J277,0,-$I230),0)</f>
        <v>0</v>
      </c>
      <c r="K230" s="5">
        <f ca="1">IF(AND($I230,$I230&lt;K$8),OFFSET(Intv_Ann_TO!K277,0,-$I230),0)</f>
        <v>818</v>
      </c>
      <c r="L230" s="5">
        <f ca="1">IF(AND($I230,$I230&lt;L$8),OFFSET(Intv_Ann_TO!L277,0,-$I230),0)</f>
        <v>818</v>
      </c>
      <c r="M230" s="5">
        <f ca="1">IF(AND($I230,$I230&lt;M$8),OFFSET(Intv_Ann_TO!M277,0,-$I230),0)</f>
        <v>818</v>
      </c>
      <c r="N230" s="5">
        <f ca="1">IF(AND($I230,$I230&lt;N$8),OFFSET(Intv_Ann_TO!N277,0,-$I230),0)</f>
        <v>818</v>
      </c>
      <c r="O230" s="5">
        <f ca="1">IF(AND($I230,$I230&lt;O$8),OFFSET(Intv_Ann_TO!O277,0,-$I230),0)</f>
        <v>818</v>
      </c>
    </row>
    <row r="231" spans="4:15" s="327" customFormat="1" hidden="1" outlineLevel="1" x14ac:dyDescent="0.2">
      <c r="D231" s="660" t="str">
        <f>Intv_Ann_TO!D278</f>
        <v>Lusaka</v>
      </c>
      <c r="H231" s="660" t="str">
        <f>Intv_Ann_TO!H278</f>
        <v>Cryo -SV</v>
      </c>
      <c r="I231" s="5">
        <f>IFERROR(INDEX(Reg_Pop_Ann_TA!$H$110:$H$116,MATCH(H231,Reg_Pop_Ann_TA!$D$110:$D$116,0)),0)</f>
        <v>1</v>
      </c>
      <c r="J231" s="5">
        <f ca="1">IF(AND($I231,$I231&lt;J$8),OFFSET(Intv_Ann_TO!J278,0,-$I231),0)</f>
        <v>0</v>
      </c>
      <c r="K231" s="5">
        <f ca="1">IF(AND($I231,$I231&lt;K$8),OFFSET(Intv_Ann_TO!K278,0,-$I231),0)</f>
        <v>2939</v>
      </c>
      <c r="L231" s="5">
        <f ca="1">IF(AND($I231,$I231&lt;L$8),OFFSET(Intv_Ann_TO!L278,0,-$I231),0)</f>
        <v>2939</v>
      </c>
      <c r="M231" s="5">
        <f ca="1">IF(AND($I231,$I231&lt;M$8),OFFSET(Intv_Ann_TO!M278,0,-$I231),0)</f>
        <v>2939</v>
      </c>
      <c r="N231" s="5">
        <f ca="1">IF(AND($I231,$I231&lt;N$8),OFFSET(Intv_Ann_TO!N278,0,-$I231),0)</f>
        <v>2939</v>
      </c>
      <c r="O231" s="5">
        <f ca="1">IF(AND($I231,$I231&lt;O$8),OFFSET(Intv_Ann_TO!O278,0,-$I231),0)</f>
        <v>2939</v>
      </c>
    </row>
    <row r="232" spans="4:15" s="327" customFormat="1" hidden="1" outlineLevel="1" x14ac:dyDescent="0.2">
      <c r="D232" s="660" t="str">
        <f>Intv_Ann_TO!D279</f>
        <v>Muchinga</v>
      </c>
      <c r="H232" s="660" t="str">
        <f>Intv_Ann_TO!H279</f>
        <v>Cryo -SV</v>
      </c>
      <c r="I232" s="5">
        <f>IFERROR(INDEX(Reg_Pop_Ann_TA!$H$110:$H$116,MATCH(H232,Reg_Pop_Ann_TA!$D$110:$D$116,0)),0)</f>
        <v>1</v>
      </c>
      <c r="J232" s="5">
        <f ca="1">IF(AND($I232,$I232&lt;J$8),OFFSET(Intv_Ann_TO!J279,0,-$I232),0)</f>
        <v>0</v>
      </c>
      <c r="K232" s="5">
        <f ca="1">IF(AND($I232,$I232&lt;K$8),OFFSET(Intv_Ann_TO!K279,0,-$I232),0)</f>
        <v>56</v>
      </c>
      <c r="L232" s="5">
        <f ca="1">IF(AND($I232,$I232&lt;L$8),OFFSET(Intv_Ann_TO!L279,0,-$I232),0)</f>
        <v>56</v>
      </c>
      <c r="M232" s="5">
        <f ca="1">IF(AND($I232,$I232&lt;M$8),OFFSET(Intv_Ann_TO!M279,0,-$I232),0)</f>
        <v>56</v>
      </c>
      <c r="N232" s="5">
        <f ca="1">IF(AND($I232,$I232&lt;N$8),OFFSET(Intv_Ann_TO!N279,0,-$I232),0)</f>
        <v>56</v>
      </c>
      <c r="O232" s="5">
        <f ca="1">IF(AND($I232,$I232&lt;O$8),OFFSET(Intv_Ann_TO!O279,0,-$I232),0)</f>
        <v>56</v>
      </c>
    </row>
    <row r="233" spans="4:15" s="327" customFormat="1" hidden="1" outlineLevel="1" x14ac:dyDescent="0.2">
      <c r="D233" s="660" t="str">
        <f>Intv_Ann_TO!D280</f>
        <v>Northern</v>
      </c>
      <c r="H233" s="660" t="str">
        <f>Intv_Ann_TO!H280</f>
        <v>Cryo -SV</v>
      </c>
      <c r="I233" s="5">
        <f>IFERROR(INDEX(Reg_Pop_Ann_TA!$H$110:$H$116,MATCH(H233,Reg_Pop_Ann_TA!$D$110:$D$116,0)),0)</f>
        <v>1</v>
      </c>
      <c r="J233" s="5">
        <f ca="1">IF(AND($I233,$I233&lt;J$8),OFFSET(Intv_Ann_TO!J280,0,-$I233),0)</f>
        <v>0</v>
      </c>
      <c r="K233" s="5">
        <f ca="1">IF(AND($I233,$I233&lt;K$8),OFFSET(Intv_Ann_TO!K280,0,-$I233),0)</f>
        <v>291</v>
      </c>
      <c r="L233" s="5">
        <f ca="1">IF(AND($I233,$I233&lt;L$8),OFFSET(Intv_Ann_TO!L280,0,-$I233),0)</f>
        <v>291</v>
      </c>
      <c r="M233" s="5">
        <f ca="1">IF(AND($I233,$I233&lt;M$8),OFFSET(Intv_Ann_TO!M280,0,-$I233),0)</f>
        <v>291</v>
      </c>
      <c r="N233" s="5">
        <f ca="1">IF(AND($I233,$I233&lt;N$8),OFFSET(Intv_Ann_TO!N280,0,-$I233),0)</f>
        <v>291</v>
      </c>
      <c r="O233" s="5">
        <f ca="1">IF(AND($I233,$I233&lt;O$8),OFFSET(Intv_Ann_TO!O280,0,-$I233),0)</f>
        <v>291</v>
      </c>
    </row>
    <row r="234" spans="4:15" s="327" customFormat="1" hidden="1" outlineLevel="1" x14ac:dyDescent="0.2">
      <c r="D234" s="660" t="str">
        <f>Intv_Ann_TO!D281</f>
        <v>North-Western</v>
      </c>
      <c r="H234" s="660" t="str">
        <f>Intv_Ann_TO!H281</f>
        <v>Cryo -SV</v>
      </c>
      <c r="I234" s="5">
        <f>IFERROR(INDEX(Reg_Pop_Ann_TA!$H$110:$H$116,MATCH(H234,Reg_Pop_Ann_TA!$D$110:$D$116,0)),0)</f>
        <v>1</v>
      </c>
      <c r="J234" s="5">
        <f ca="1">IF(AND($I234,$I234&lt;J$8),OFFSET(Intv_Ann_TO!J281,0,-$I234),0)</f>
        <v>0</v>
      </c>
      <c r="K234" s="5">
        <f ca="1">IF(AND($I234,$I234&lt;K$8),OFFSET(Intv_Ann_TO!K281,0,-$I234),0)</f>
        <v>347</v>
      </c>
      <c r="L234" s="5">
        <f ca="1">IF(AND($I234,$I234&lt;L$8),OFFSET(Intv_Ann_TO!L281,0,-$I234),0)</f>
        <v>347</v>
      </c>
      <c r="M234" s="5">
        <f ca="1">IF(AND($I234,$I234&lt;M$8),OFFSET(Intv_Ann_TO!M281,0,-$I234),0)</f>
        <v>347</v>
      </c>
      <c r="N234" s="5">
        <f ca="1">IF(AND($I234,$I234&lt;N$8),OFFSET(Intv_Ann_TO!N281,0,-$I234),0)</f>
        <v>347</v>
      </c>
      <c r="O234" s="5">
        <f ca="1">IF(AND($I234,$I234&lt;O$8),OFFSET(Intv_Ann_TO!O281,0,-$I234),0)</f>
        <v>347</v>
      </c>
    </row>
    <row r="235" spans="4:15" s="327" customFormat="1" hidden="1" outlineLevel="1" x14ac:dyDescent="0.2">
      <c r="D235" s="660" t="str">
        <f>Intv_Ann_TO!D282</f>
        <v>Southern</v>
      </c>
      <c r="H235" s="660" t="str">
        <f>Intv_Ann_TO!H282</f>
        <v>Cryo -SV</v>
      </c>
      <c r="I235" s="5">
        <f>IFERROR(INDEX(Reg_Pop_Ann_TA!$H$110:$H$116,MATCH(H235,Reg_Pop_Ann_TA!$D$110:$D$116,0)),0)</f>
        <v>1</v>
      </c>
      <c r="J235" s="5">
        <f ca="1">IF(AND($I235,$I235&lt;J$8),OFFSET(Intv_Ann_TO!J282,0,-$I235),0)</f>
        <v>0</v>
      </c>
      <c r="K235" s="5">
        <f ca="1">IF(AND($I235,$I235&lt;K$8),OFFSET(Intv_Ann_TO!K282,0,-$I235),0)</f>
        <v>818</v>
      </c>
      <c r="L235" s="5">
        <f ca="1">IF(AND($I235,$I235&lt;L$8),OFFSET(Intv_Ann_TO!L282,0,-$I235),0)</f>
        <v>818</v>
      </c>
      <c r="M235" s="5">
        <f ca="1">IF(AND($I235,$I235&lt;M$8),OFFSET(Intv_Ann_TO!M282,0,-$I235),0)</f>
        <v>818</v>
      </c>
      <c r="N235" s="5">
        <f ca="1">IF(AND($I235,$I235&lt;N$8),OFFSET(Intv_Ann_TO!N282,0,-$I235),0)</f>
        <v>818</v>
      </c>
      <c r="O235" s="5">
        <f ca="1">IF(AND($I235,$I235&lt;O$8),OFFSET(Intv_Ann_TO!O282,0,-$I235),0)</f>
        <v>818</v>
      </c>
    </row>
    <row r="236" spans="4:15" s="327" customFormat="1" hidden="1" outlineLevel="1" x14ac:dyDescent="0.2">
      <c r="D236" s="660" t="str">
        <f>Intv_Ann_TO!D283</f>
        <v>Western</v>
      </c>
      <c r="H236" s="660" t="str">
        <f>Intv_Ann_TO!H283</f>
        <v>Cryo -SV</v>
      </c>
      <c r="I236" s="5">
        <f>IFERROR(INDEX(Reg_Pop_Ann_TA!$H$110:$H$116,MATCH(H236,Reg_Pop_Ann_TA!$D$110:$D$116,0)),0)</f>
        <v>1</v>
      </c>
      <c r="J236" s="5">
        <f ca="1">IF(AND($I236,$I236&lt;J$8),OFFSET(Intv_Ann_TO!J283,0,-$I236),0)</f>
        <v>0</v>
      </c>
      <c r="K236" s="5">
        <f ca="1">IF(AND($I236,$I236&lt;K$8),OFFSET(Intv_Ann_TO!K283,0,-$I236),0)</f>
        <v>818</v>
      </c>
      <c r="L236" s="5">
        <f ca="1">IF(AND($I236,$I236&lt;L$8),OFFSET(Intv_Ann_TO!L283,0,-$I236),0)</f>
        <v>818</v>
      </c>
      <c r="M236" s="5">
        <f ca="1">IF(AND($I236,$I236&lt;M$8),OFFSET(Intv_Ann_TO!M283,0,-$I236),0)</f>
        <v>818</v>
      </c>
      <c r="N236" s="5">
        <f ca="1">IF(AND($I236,$I236&lt;N$8),OFFSET(Intv_Ann_TO!N283,0,-$I236),0)</f>
        <v>818</v>
      </c>
      <c r="O236" s="5">
        <f ca="1">IF(AND($I236,$I236&lt;O$8),OFFSET(Intv_Ann_TO!O283,0,-$I236),0)</f>
        <v>818</v>
      </c>
    </row>
    <row r="237" spans="4:15" s="327" customFormat="1" hidden="1" outlineLevel="1" x14ac:dyDescent="0.2">
      <c r="D237" s="660" t="str">
        <f>Intv_Ann_TO!D681</f>
        <v>Central</v>
      </c>
      <c r="H237" s="660" t="str">
        <f>Intv_Ann_TO!H681</f>
        <v>LEEP with BIOP-H</v>
      </c>
      <c r="I237" s="5">
        <f>IFERROR(INDEX(Reg_Pop_Ann_TA!$H$110:$H$116,MATCH(H237,Reg_Pop_Ann_TA!$D$110:$D$116,0)),0)</f>
        <v>1</v>
      </c>
      <c r="J237" s="5">
        <f ca="1">IF(AND($I237,$I237&lt;J$8),OFFSET(Intv_Ann_TO!J681,0,-$I237),0)</f>
        <v>0</v>
      </c>
      <c r="K237" s="5">
        <f ca="1">IF(AND($I237,$I237&lt;K$8),OFFSET(Intv_Ann_TO!K681,0,-$I237),0)</f>
        <v>182</v>
      </c>
      <c r="L237" s="5">
        <f ca="1">IF(AND($I237,$I237&lt;L$8),OFFSET(Intv_Ann_TO!L681,0,-$I237),0)</f>
        <v>182</v>
      </c>
      <c r="M237" s="5">
        <f ca="1">IF(AND($I237,$I237&lt;M$8),OFFSET(Intv_Ann_TO!M681,0,-$I237),0)</f>
        <v>182</v>
      </c>
      <c r="N237" s="5">
        <f ca="1">IF(AND($I237,$I237&lt;N$8),OFFSET(Intv_Ann_TO!N681,0,-$I237),0)</f>
        <v>182</v>
      </c>
      <c r="O237" s="5">
        <f ca="1">IF(AND($I237,$I237&lt;O$8),OFFSET(Intv_Ann_TO!O681,0,-$I237),0)</f>
        <v>182</v>
      </c>
    </row>
    <row r="238" spans="4:15" s="327" customFormat="1" hidden="1" outlineLevel="1" x14ac:dyDescent="0.2">
      <c r="D238" s="660" t="str">
        <f>Intv_Ann_TO!D682</f>
        <v>Copperbelt</v>
      </c>
      <c r="H238" s="660" t="str">
        <f>Intv_Ann_TO!H682</f>
        <v>LEEP with BIOP-H</v>
      </c>
      <c r="I238" s="5">
        <f>IFERROR(INDEX(Reg_Pop_Ann_TA!$H$110:$H$116,MATCH(H238,Reg_Pop_Ann_TA!$D$110:$D$116,0)),0)</f>
        <v>1</v>
      </c>
      <c r="J238" s="5">
        <f ca="1">IF(AND($I238,$I238&lt;J$8),OFFSET(Intv_Ann_TO!J682,0,-$I238),0)</f>
        <v>0</v>
      </c>
      <c r="K238" s="5">
        <f ca="1">IF(AND($I238,$I238&lt;K$8),OFFSET(Intv_Ann_TO!K682,0,-$I238),0)</f>
        <v>256</v>
      </c>
      <c r="L238" s="5">
        <f ca="1">IF(AND($I238,$I238&lt;L$8),OFFSET(Intv_Ann_TO!L682,0,-$I238),0)</f>
        <v>256</v>
      </c>
      <c r="M238" s="5">
        <f ca="1">IF(AND($I238,$I238&lt;M$8),OFFSET(Intv_Ann_TO!M682,0,-$I238),0)</f>
        <v>256</v>
      </c>
      <c r="N238" s="5">
        <f ca="1">IF(AND($I238,$I238&lt;N$8),OFFSET(Intv_Ann_TO!N682,0,-$I238),0)</f>
        <v>256</v>
      </c>
      <c r="O238" s="5">
        <f ca="1">IF(AND($I238,$I238&lt;O$8),OFFSET(Intv_Ann_TO!O682,0,-$I238),0)</f>
        <v>256</v>
      </c>
    </row>
    <row r="239" spans="4:15" s="327" customFormat="1" hidden="1" outlineLevel="1" x14ac:dyDescent="0.2">
      <c r="D239" s="660" t="str">
        <f>Intv_Ann_TO!D683</f>
        <v>Eastern</v>
      </c>
      <c r="H239" s="660" t="str">
        <f>Intv_Ann_TO!H683</f>
        <v>LEEP with BIOP-H</v>
      </c>
      <c r="I239" s="5">
        <f>IFERROR(INDEX(Reg_Pop_Ann_TA!$H$110:$H$116,MATCH(H239,Reg_Pop_Ann_TA!$D$110:$D$116,0)),0)</f>
        <v>1</v>
      </c>
      <c r="J239" s="5">
        <f ca="1">IF(AND($I239,$I239&lt;J$8),OFFSET(Intv_Ann_TO!J683,0,-$I239),0)</f>
        <v>0</v>
      </c>
      <c r="K239" s="5">
        <f ca="1">IF(AND($I239,$I239&lt;K$8),OFFSET(Intv_Ann_TO!K683,0,-$I239),0)</f>
        <v>330</v>
      </c>
      <c r="L239" s="5">
        <f ca="1">IF(AND($I239,$I239&lt;L$8),OFFSET(Intv_Ann_TO!L683,0,-$I239),0)</f>
        <v>330</v>
      </c>
      <c r="M239" s="5">
        <f ca="1">IF(AND($I239,$I239&lt;M$8),OFFSET(Intv_Ann_TO!M683,0,-$I239),0)</f>
        <v>330</v>
      </c>
      <c r="N239" s="5">
        <f ca="1">IF(AND($I239,$I239&lt;N$8),OFFSET(Intv_Ann_TO!N683,0,-$I239),0)</f>
        <v>330</v>
      </c>
      <c r="O239" s="5">
        <f ca="1">IF(AND($I239,$I239&lt;O$8),OFFSET(Intv_Ann_TO!O683,0,-$I239),0)</f>
        <v>330</v>
      </c>
    </row>
    <row r="240" spans="4:15" s="327" customFormat="1" hidden="1" outlineLevel="1" x14ac:dyDescent="0.2">
      <c r="D240" s="660" t="str">
        <f>Intv_Ann_TO!D684</f>
        <v>Luapula</v>
      </c>
      <c r="H240" s="660" t="str">
        <f>Intv_Ann_TO!H684</f>
        <v>LEEP with BIOP-H</v>
      </c>
      <c r="I240" s="5">
        <f>IFERROR(INDEX(Reg_Pop_Ann_TA!$H$110:$H$116,MATCH(H240,Reg_Pop_Ann_TA!$D$110:$D$116,0)),0)</f>
        <v>1</v>
      </c>
      <c r="J240" s="5">
        <f ca="1">IF(AND($I240,$I240&lt;J$8),OFFSET(Intv_Ann_TO!J684,0,-$I240),0)</f>
        <v>0</v>
      </c>
      <c r="K240" s="5">
        <f ca="1">IF(AND($I240,$I240&lt;K$8),OFFSET(Intv_Ann_TO!K684,0,-$I240),0)</f>
        <v>256</v>
      </c>
      <c r="L240" s="5">
        <f ca="1">IF(AND($I240,$I240&lt;L$8),OFFSET(Intv_Ann_TO!L684,0,-$I240),0)</f>
        <v>256</v>
      </c>
      <c r="M240" s="5">
        <f ca="1">IF(AND($I240,$I240&lt;M$8),OFFSET(Intv_Ann_TO!M684,0,-$I240),0)</f>
        <v>256</v>
      </c>
      <c r="N240" s="5">
        <f ca="1">IF(AND($I240,$I240&lt;N$8),OFFSET(Intv_Ann_TO!N684,0,-$I240),0)</f>
        <v>256</v>
      </c>
      <c r="O240" s="5">
        <f ca="1">IF(AND($I240,$I240&lt;O$8),OFFSET(Intv_Ann_TO!O684,0,-$I240),0)</f>
        <v>256</v>
      </c>
    </row>
    <row r="241" spans="4:15" s="327" customFormat="1" hidden="1" outlineLevel="1" x14ac:dyDescent="0.2">
      <c r="D241" s="660" t="str">
        <f>Intv_Ann_TO!D685</f>
        <v>Lusaka</v>
      </c>
      <c r="H241" s="660" t="str">
        <f>Intv_Ann_TO!H685</f>
        <v>LEEP with BIOP-H</v>
      </c>
      <c r="I241" s="5">
        <f>IFERROR(INDEX(Reg_Pop_Ann_TA!$H$110:$H$116,MATCH(H241,Reg_Pop_Ann_TA!$D$110:$D$116,0)),0)</f>
        <v>1</v>
      </c>
      <c r="J241" s="5">
        <f ca="1">IF(AND($I241,$I241&lt;J$8),OFFSET(Intv_Ann_TO!J685,0,-$I241),0)</f>
        <v>0</v>
      </c>
      <c r="K241" s="5">
        <f ca="1">IF(AND($I241,$I241&lt;K$8),OFFSET(Intv_Ann_TO!K685,0,-$I241),0)</f>
        <v>919</v>
      </c>
      <c r="L241" s="5">
        <f ca="1">IF(AND($I241,$I241&lt;L$8),OFFSET(Intv_Ann_TO!L685,0,-$I241),0)</f>
        <v>919</v>
      </c>
      <c r="M241" s="5">
        <f ca="1">IF(AND($I241,$I241&lt;M$8),OFFSET(Intv_Ann_TO!M685,0,-$I241),0)</f>
        <v>919</v>
      </c>
      <c r="N241" s="5">
        <f ca="1">IF(AND($I241,$I241&lt;N$8),OFFSET(Intv_Ann_TO!N685,0,-$I241),0)</f>
        <v>919</v>
      </c>
      <c r="O241" s="5">
        <f ca="1">IF(AND($I241,$I241&lt;O$8),OFFSET(Intv_Ann_TO!O685,0,-$I241),0)</f>
        <v>919</v>
      </c>
    </row>
    <row r="242" spans="4:15" s="327" customFormat="1" hidden="1" outlineLevel="1" x14ac:dyDescent="0.2">
      <c r="D242" s="660" t="str">
        <f>Intv_Ann_TO!D686</f>
        <v>Muchinga</v>
      </c>
      <c r="H242" s="660" t="str">
        <f>Intv_Ann_TO!H686</f>
        <v>LEEP with BIOP-H</v>
      </c>
      <c r="I242" s="5">
        <f>IFERROR(INDEX(Reg_Pop_Ann_TA!$H$110:$H$116,MATCH(H242,Reg_Pop_Ann_TA!$D$110:$D$116,0)),0)</f>
        <v>1</v>
      </c>
      <c r="J242" s="5">
        <f ca="1">IF(AND($I242,$I242&lt;J$8),OFFSET(Intv_Ann_TO!J686,0,-$I242),0)</f>
        <v>0</v>
      </c>
      <c r="K242" s="5">
        <f ca="1">IF(AND($I242,$I242&lt;K$8),OFFSET(Intv_Ann_TO!K686,0,-$I242),0)</f>
        <v>17</v>
      </c>
      <c r="L242" s="5">
        <f ca="1">IF(AND($I242,$I242&lt;L$8),OFFSET(Intv_Ann_TO!L686,0,-$I242),0)</f>
        <v>17</v>
      </c>
      <c r="M242" s="5">
        <f ca="1">IF(AND($I242,$I242&lt;M$8),OFFSET(Intv_Ann_TO!M686,0,-$I242),0)</f>
        <v>17</v>
      </c>
      <c r="N242" s="5">
        <f ca="1">IF(AND($I242,$I242&lt;N$8),OFFSET(Intv_Ann_TO!N686,0,-$I242),0)</f>
        <v>17</v>
      </c>
      <c r="O242" s="5">
        <f ca="1">IF(AND($I242,$I242&lt;O$8),OFFSET(Intv_Ann_TO!O686,0,-$I242),0)</f>
        <v>17</v>
      </c>
    </row>
    <row r="243" spans="4:15" s="327" customFormat="1" hidden="1" outlineLevel="1" x14ac:dyDescent="0.2">
      <c r="D243" s="660" t="str">
        <f>Intv_Ann_TO!D687</f>
        <v>Northern</v>
      </c>
      <c r="H243" s="660" t="str">
        <f>Intv_Ann_TO!H687</f>
        <v>LEEP with BIOP-H</v>
      </c>
      <c r="I243" s="5">
        <f>IFERROR(INDEX(Reg_Pop_Ann_TA!$H$110:$H$116,MATCH(H243,Reg_Pop_Ann_TA!$D$110:$D$116,0)),0)</f>
        <v>1</v>
      </c>
      <c r="J243" s="5">
        <f ca="1">IF(AND($I243,$I243&lt;J$8),OFFSET(Intv_Ann_TO!J687,0,-$I243),0)</f>
        <v>0</v>
      </c>
      <c r="K243" s="5">
        <f ca="1">IF(AND($I243,$I243&lt;K$8),OFFSET(Intv_Ann_TO!K687,0,-$I243),0)</f>
        <v>91</v>
      </c>
      <c r="L243" s="5">
        <f ca="1">IF(AND($I243,$I243&lt;L$8),OFFSET(Intv_Ann_TO!L687,0,-$I243),0)</f>
        <v>91</v>
      </c>
      <c r="M243" s="5">
        <f ca="1">IF(AND($I243,$I243&lt;M$8),OFFSET(Intv_Ann_TO!M687,0,-$I243),0)</f>
        <v>91</v>
      </c>
      <c r="N243" s="5">
        <f ca="1">IF(AND($I243,$I243&lt;N$8),OFFSET(Intv_Ann_TO!N687,0,-$I243),0)</f>
        <v>91</v>
      </c>
      <c r="O243" s="5">
        <f ca="1">IF(AND($I243,$I243&lt;O$8),OFFSET(Intv_Ann_TO!O687,0,-$I243),0)</f>
        <v>91</v>
      </c>
    </row>
    <row r="244" spans="4:15" s="327" customFormat="1" hidden="1" outlineLevel="1" x14ac:dyDescent="0.2">
      <c r="D244" s="660" t="str">
        <f>Intv_Ann_TO!D688</f>
        <v>North-Western</v>
      </c>
      <c r="H244" s="660" t="str">
        <f>Intv_Ann_TO!H688</f>
        <v>LEEP with BIOP-H</v>
      </c>
      <c r="I244" s="5">
        <f>IFERROR(INDEX(Reg_Pop_Ann_TA!$H$110:$H$116,MATCH(H244,Reg_Pop_Ann_TA!$D$110:$D$116,0)),0)</f>
        <v>1</v>
      </c>
      <c r="J244" s="5">
        <f ca="1">IF(AND($I244,$I244&lt;J$8),OFFSET(Intv_Ann_TO!J688,0,-$I244),0)</f>
        <v>0</v>
      </c>
      <c r="K244" s="5">
        <f ca="1">IF(AND($I244,$I244&lt;K$8),OFFSET(Intv_Ann_TO!K688,0,-$I244),0)</f>
        <v>109</v>
      </c>
      <c r="L244" s="5">
        <f ca="1">IF(AND($I244,$I244&lt;L$8),OFFSET(Intv_Ann_TO!L688,0,-$I244),0)</f>
        <v>109</v>
      </c>
      <c r="M244" s="5">
        <f ca="1">IF(AND($I244,$I244&lt;M$8),OFFSET(Intv_Ann_TO!M688,0,-$I244),0)</f>
        <v>109</v>
      </c>
      <c r="N244" s="5">
        <f ca="1">IF(AND($I244,$I244&lt;N$8),OFFSET(Intv_Ann_TO!N688,0,-$I244),0)</f>
        <v>109</v>
      </c>
      <c r="O244" s="5">
        <f ca="1">IF(AND($I244,$I244&lt;O$8),OFFSET(Intv_Ann_TO!O688,0,-$I244),0)</f>
        <v>109</v>
      </c>
    </row>
    <row r="245" spans="4:15" s="327" customFormat="1" hidden="1" outlineLevel="1" x14ac:dyDescent="0.2">
      <c r="D245" s="660" t="str">
        <f>Intv_Ann_TO!D689</f>
        <v>Southern</v>
      </c>
      <c r="H245" s="660" t="str">
        <f>Intv_Ann_TO!H689</f>
        <v>LEEP with BIOP-H</v>
      </c>
      <c r="I245" s="5">
        <f>IFERROR(INDEX(Reg_Pop_Ann_TA!$H$110:$H$116,MATCH(H245,Reg_Pop_Ann_TA!$D$110:$D$116,0)),0)</f>
        <v>1</v>
      </c>
      <c r="J245" s="5">
        <f ca="1">IF(AND($I245,$I245&lt;J$8),OFFSET(Intv_Ann_TO!J689,0,-$I245),0)</f>
        <v>0</v>
      </c>
      <c r="K245" s="5">
        <f ca="1">IF(AND($I245,$I245&lt;K$8),OFFSET(Intv_Ann_TO!K689,0,-$I245),0)</f>
        <v>256</v>
      </c>
      <c r="L245" s="5">
        <f ca="1">IF(AND($I245,$I245&lt;L$8),OFFSET(Intv_Ann_TO!L689,0,-$I245),0)</f>
        <v>256</v>
      </c>
      <c r="M245" s="5">
        <f ca="1">IF(AND($I245,$I245&lt;M$8),OFFSET(Intv_Ann_TO!M689,0,-$I245),0)</f>
        <v>256</v>
      </c>
      <c r="N245" s="5">
        <f ca="1">IF(AND($I245,$I245&lt;N$8),OFFSET(Intv_Ann_TO!N689,0,-$I245),0)</f>
        <v>256</v>
      </c>
      <c r="O245" s="5">
        <f ca="1">IF(AND($I245,$I245&lt;O$8),OFFSET(Intv_Ann_TO!O689,0,-$I245),0)</f>
        <v>256</v>
      </c>
    </row>
    <row r="246" spans="4:15" s="327" customFormat="1" hidden="1" outlineLevel="1" x14ac:dyDescent="0.2">
      <c r="D246" s="660" t="str">
        <f>Intv_Ann_TO!D690</f>
        <v>Western</v>
      </c>
      <c r="H246" s="660" t="str">
        <f>Intv_Ann_TO!H690</f>
        <v>LEEP with BIOP-H</v>
      </c>
      <c r="I246" s="5">
        <f>IFERROR(INDEX(Reg_Pop_Ann_TA!$H$110:$H$116,MATCH(H246,Reg_Pop_Ann_TA!$D$110:$D$116,0)),0)</f>
        <v>1</v>
      </c>
      <c r="J246" s="5">
        <f ca="1">IF(AND($I246,$I246&lt;J$8),OFFSET(Intv_Ann_TO!J690,0,-$I246),0)</f>
        <v>0</v>
      </c>
      <c r="K246" s="5">
        <f ca="1">IF(AND($I246,$I246&lt;K$8),OFFSET(Intv_Ann_TO!K690,0,-$I246),0)</f>
        <v>256</v>
      </c>
      <c r="L246" s="5">
        <f ca="1">IF(AND($I246,$I246&lt;L$8),OFFSET(Intv_Ann_TO!L690,0,-$I246),0)</f>
        <v>256</v>
      </c>
      <c r="M246" s="5">
        <f ca="1">IF(AND($I246,$I246&lt;M$8),OFFSET(Intv_Ann_TO!M690,0,-$I246),0)</f>
        <v>256</v>
      </c>
      <c r="N246" s="5">
        <f ca="1">IF(AND($I246,$I246&lt;N$8),OFFSET(Intv_Ann_TO!N690,0,-$I246),0)</f>
        <v>256</v>
      </c>
      <c r="O246" s="5">
        <f ca="1">IF(AND($I246,$I246&lt;O$8),OFFSET(Intv_Ann_TO!O690,0,-$I246),0)</f>
        <v>256</v>
      </c>
    </row>
    <row r="247" spans="4:15" s="327" customFormat="1" hidden="1" outlineLevel="1" x14ac:dyDescent="0.2">
      <c r="D247" s="660" t="str">
        <f>Intv_Ann_TO!D1088</f>
        <v>Central</v>
      </c>
      <c r="H247" s="660" t="str">
        <f>Intv_Ann_TO!H1088</f>
        <v>SURG</v>
      </c>
      <c r="I247" s="5">
        <f>IFERROR(INDEX(Reg_Pop_Ann_TA!$H$110:$H$116,MATCH(H247,Reg_Pop_Ann_TA!$D$110:$D$116,0)),0)</f>
        <v>0</v>
      </c>
      <c r="J247" s="5">
        <f ca="1">IF(AND($I247,$I247&lt;J$8),OFFSET(Intv_Ann_TO!J1088,0,-$I247),0)</f>
        <v>0</v>
      </c>
      <c r="K247" s="5">
        <f ca="1">IF(AND($I247,$I247&lt;K$8),OFFSET(Intv_Ann_TO!K1088,0,-$I247),0)</f>
        <v>0</v>
      </c>
      <c r="L247" s="5">
        <f ca="1">IF(AND($I247,$I247&lt;L$8),OFFSET(Intv_Ann_TO!L1088,0,-$I247),0)</f>
        <v>0</v>
      </c>
      <c r="M247" s="5">
        <f ca="1">IF(AND($I247,$I247&lt;M$8),OFFSET(Intv_Ann_TO!M1088,0,-$I247),0)</f>
        <v>0</v>
      </c>
      <c r="N247" s="5">
        <f ca="1">IF(AND($I247,$I247&lt;N$8),OFFSET(Intv_Ann_TO!N1088,0,-$I247),0)</f>
        <v>0</v>
      </c>
      <c r="O247" s="5">
        <f ca="1">IF(AND($I247,$I247&lt;O$8),OFFSET(Intv_Ann_TO!O1088,0,-$I247),0)</f>
        <v>0</v>
      </c>
    </row>
    <row r="248" spans="4:15" s="327" customFormat="1" hidden="1" outlineLevel="1" x14ac:dyDescent="0.2">
      <c r="D248" s="660" t="str">
        <f>Intv_Ann_TO!D1089</f>
        <v>Copperbelt</v>
      </c>
      <c r="H248" s="660" t="str">
        <f>Intv_Ann_TO!H1089</f>
        <v>SURG</v>
      </c>
      <c r="I248" s="5">
        <f>IFERROR(INDEX(Reg_Pop_Ann_TA!$H$110:$H$116,MATCH(H248,Reg_Pop_Ann_TA!$D$110:$D$116,0)),0)</f>
        <v>0</v>
      </c>
      <c r="J248" s="5">
        <f ca="1">IF(AND($I248,$I248&lt;J$8),OFFSET(Intv_Ann_TO!J1089,0,-$I248),0)</f>
        <v>0</v>
      </c>
      <c r="K248" s="5">
        <f ca="1">IF(AND($I248,$I248&lt;K$8),OFFSET(Intv_Ann_TO!K1089,0,-$I248),0)</f>
        <v>0</v>
      </c>
      <c r="L248" s="5">
        <f ca="1">IF(AND($I248,$I248&lt;L$8),OFFSET(Intv_Ann_TO!L1089,0,-$I248),0)</f>
        <v>0</v>
      </c>
      <c r="M248" s="5">
        <f ca="1">IF(AND($I248,$I248&lt;M$8),OFFSET(Intv_Ann_TO!M1089,0,-$I248),0)</f>
        <v>0</v>
      </c>
      <c r="N248" s="5">
        <f ca="1">IF(AND($I248,$I248&lt;N$8),OFFSET(Intv_Ann_TO!N1089,0,-$I248),0)</f>
        <v>0</v>
      </c>
      <c r="O248" s="5">
        <f ca="1">IF(AND($I248,$I248&lt;O$8),OFFSET(Intv_Ann_TO!O1089,0,-$I248),0)</f>
        <v>0</v>
      </c>
    </row>
    <row r="249" spans="4:15" s="327" customFormat="1" hidden="1" outlineLevel="1" x14ac:dyDescent="0.2">
      <c r="D249" s="660" t="str">
        <f>Intv_Ann_TO!D1090</f>
        <v>Eastern</v>
      </c>
      <c r="H249" s="660" t="str">
        <f>Intv_Ann_TO!H1090</f>
        <v>SURG</v>
      </c>
      <c r="I249" s="5">
        <f>IFERROR(INDEX(Reg_Pop_Ann_TA!$H$110:$H$116,MATCH(H249,Reg_Pop_Ann_TA!$D$110:$D$116,0)),0)</f>
        <v>0</v>
      </c>
      <c r="J249" s="5">
        <f ca="1">IF(AND($I249,$I249&lt;J$8),OFFSET(Intv_Ann_TO!J1090,0,-$I249),0)</f>
        <v>0</v>
      </c>
      <c r="K249" s="5">
        <f ca="1">IF(AND($I249,$I249&lt;K$8),OFFSET(Intv_Ann_TO!K1090,0,-$I249),0)</f>
        <v>0</v>
      </c>
      <c r="L249" s="5">
        <f ca="1">IF(AND($I249,$I249&lt;L$8),OFFSET(Intv_Ann_TO!L1090,0,-$I249),0)</f>
        <v>0</v>
      </c>
      <c r="M249" s="5">
        <f ca="1">IF(AND($I249,$I249&lt;M$8),OFFSET(Intv_Ann_TO!M1090,0,-$I249),0)</f>
        <v>0</v>
      </c>
      <c r="N249" s="5">
        <f ca="1">IF(AND($I249,$I249&lt;N$8),OFFSET(Intv_Ann_TO!N1090,0,-$I249),0)</f>
        <v>0</v>
      </c>
      <c r="O249" s="5">
        <f ca="1">IF(AND($I249,$I249&lt;O$8),OFFSET(Intv_Ann_TO!O1090,0,-$I249),0)</f>
        <v>0</v>
      </c>
    </row>
    <row r="250" spans="4:15" s="327" customFormat="1" hidden="1" outlineLevel="1" x14ac:dyDescent="0.2">
      <c r="D250" s="660" t="str">
        <f>Intv_Ann_TO!D1091</f>
        <v>Luapula</v>
      </c>
      <c r="H250" s="660" t="str">
        <f>Intv_Ann_TO!H1091</f>
        <v>SURG</v>
      </c>
      <c r="I250" s="5">
        <f>IFERROR(INDEX(Reg_Pop_Ann_TA!$H$110:$H$116,MATCH(H250,Reg_Pop_Ann_TA!$D$110:$D$116,0)),0)</f>
        <v>0</v>
      </c>
      <c r="J250" s="5">
        <f ca="1">IF(AND($I250,$I250&lt;J$8),OFFSET(Intv_Ann_TO!J1091,0,-$I250),0)</f>
        <v>0</v>
      </c>
      <c r="K250" s="5">
        <f ca="1">IF(AND($I250,$I250&lt;K$8),OFFSET(Intv_Ann_TO!K1091,0,-$I250),0)</f>
        <v>0</v>
      </c>
      <c r="L250" s="5">
        <f ca="1">IF(AND($I250,$I250&lt;L$8),OFFSET(Intv_Ann_TO!L1091,0,-$I250),0)</f>
        <v>0</v>
      </c>
      <c r="M250" s="5">
        <f ca="1">IF(AND($I250,$I250&lt;M$8),OFFSET(Intv_Ann_TO!M1091,0,-$I250),0)</f>
        <v>0</v>
      </c>
      <c r="N250" s="5">
        <f ca="1">IF(AND($I250,$I250&lt;N$8),OFFSET(Intv_Ann_TO!N1091,0,-$I250),0)</f>
        <v>0</v>
      </c>
      <c r="O250" s="5">
        <f ca="1">IF(AND($I250,$I250&lt;O$8),OFFSET(Intv_Ann_TO!O1091,0,-$I250),0)</f>
        <v>0</v>
      </c>
    </row>
    <row r="251" spans="4:15" s="327" customFormat="1" hidden="1" outlineLevel="1" x14ac:dyDescent="0.2">
      <c r="D251" s="660" t="str">
        <f>Intv_Ann_TO!D1092</f>
        <v>Lusaka</v>
      </c>
      <c r="H251" s="660" t="str">
        <f>Intv_Ann_TO!H1092</f>
        <v>SURG</v>
      </c>
      <c r="I251" s="5">
        <f>IFERROR(INDEX(Reg_Pop_Ann_TA!$H$110:$H$116,MATCH(H251,Reg_Pop_Ann_TA!$D$110:$D$116,0)),0)</f>
        <v>0</v>
      </c>
      <c r="J251" s="5">
        <f ca="1">IF(AND($I251,$I251&lt;J$8),OFFSET(Intv_Ann_TO!J1092,0,-$I251),0)</f>
        <v>0</v>
      </c>
      <c r="K251" s="5">
        <f ca="1">IF(AND($I251,$I251&lt;K$8),OFFSET(Intv_Ann_TO!K1092,0,-$I251),0)</f>
        <v>0</v>
      </c>
      <c r="L251" s="5">
        <f ca="1">IF(AND($I251,$I251&lt;L$8),OFFSET(Intv_Ann_TO!L1092,0,-$I251),0)</f>
        <v>0</v>
      </c>
      <c r="M251" s="5">
        <f ca="1">IF(AND($I251,$I251&lt;M$8),OFFSET(Intv_Ann_TO!M1092,0,-$I251),0)</f>
        <v>0</v>
      </c>
      <c r="N251" s="5">
        <f ca="1">IF(AND($I251,$I251&lt;N$8),OFFSET(Intv_Ann_TO!N1092,0,-$I251),0)</f>
        <v>0</v>
      </c>
      <c r="O251" s="5">
        <f ca="1">IF(AND($I251,$I251&lt;O$8),OFFSET(Intv_Ann_TO!O1092,0,-$I251),0)</f>
        <v>0</v>
      </c>
    </row>
    <row r="252" spans="4:15" s="327" customFormat="1" hidden="1" outlineLevel="1" x14ac:dyDescent="0.2">
      <c r="D252" s="660" t="str">
        <f>Intv_Ann_TO!D1093</f>
        <v>Muchinga</v>
      </c>
      <c r="H252" s="660" t="str">
        <f>Intv_Ann_TO!H1093</f>
        <v>SURG</v>
      </c>
      <c r="I252" s="5">
        <f>IFERROR(INDEX(Reg_Pop_Ann_TA!$H$110:$H$116,MATCH(H252,Reg_Pop_Ann_TA!$D$110:$D$116,0)),0)</f>
        <v>0</v>
      </c>
      <c r="J252" s="5">
        <f ca="1">IF(AND($I252,$I252&lt;J$8),OFFSET(Intv_Ann_TO!J1093,0,-$I252),0)</f>
        <v>0</v>
      </c>
      <c r="K252" s="5">
        <f ca="1">IF(AND($I252,$I252&lt;K$8),OFFSET(Intv_Ann_TO!K1093,0,-$I252),0)</f>
        <v>0</v>
      </c>
      <c r="L252" s="5">
        <f ca="1">IF(AND($I252,$I252&lt;L$8),OFFSET(Intv_Ann_TO!L1093,0,-$I252),0)</f>
        <v>0</v>
      </c>
      <c r="M252" s="5">
        <f ca="1">IF(AND($I252,$I252&lt;M$8),OFFSET(Intv_Ann_TO!M1093,0,-$I252),0)</f>
        <v>0</v>
      </c>
      <c r="N252" s="5">
        <f ca="1">IF(AND($I252,$I252&lt;N$8),OFFSET(Intv_Ann_TO!N1093,0,-$I252),0)</f>
        <v>0</v>
      </c>
      <c r="O252" s="5">
        <f ca="1">IF(AND($I252,$I252&lt;O$8),OFFSET(Intv_Ann_TO!O1093,0,-$I252),0)</f>
        <v>0</v>
      </c>
    </row>
    <row r="253" spans="4:15" s="327" customFormat="1" hidden="1" outlineLevel="1" x14ac:dyDescent="0.2">
      <c r="D253" s="660" t="str">
        <f>Intv_Ann_TO!D1094</f>
        <v>Northern</v>
      </c>
      <c r="H253" s="660" t="str">
        <f>Intv_Ann_TO!H1094</f>
        <v>SURG</v>
      </c>
      <c r="I253" s="5">
        <f>IFERROR(INDEX(Reg_Pop_Ann_TA!$H$110:$H$116,MATCH(H253,Reg_Pop_Ann_TA!$D$110:$D$116,0)),0)</f>
        <v>0</v>
      </c>
      <c r="J253" s="5">
        <f ca="1">IF(AND($I253,$I253&lt;J$8),OFFSET(Intv_Ann_TO!J1094,0,-$I253),0)</f>
        <v>0</v>
      </c>
      <c r="K253" s="5">
        <f ca="1">IF(AND($I253,$I253&lt;K$8),OFFSET(Intv_Ann_TO!K1094,0,-$I253),0)</f>
        <v>0</v>
      </c>
      <c r="L253" s="5">
        <f ca="1">IF(AND($I253,$I253&lt;L$8),OFFSET(Intv_Ann_TO!L1094,0,-$I253),0)</f>
        <v>0</v>
      </c>
      <c r="M253" s="5">
        <f ca="1">IF(AND($I253,$I253&lt;M$8),OFFSET(Intv_Ann_TO!M1094,0,-$I253),0)</f>
        <v>0</v>
      </c>
      <c r="N253" s="5">
        <f ca="1">IF(AND($I253,$I253&lt;N$8),OFFSET(Intv_Ann_TO!N1094,0,-$I253),0)</f>
        <v>0</v>
      </c>
      <c r="O253" s="5">
        <f ca="1">IF(AND($I253,$I253&lt;O$8),OFFSET(Intv_Ann_TO!O1094,0,-$I253),0)</f>
        <v>0</v>
      </c>
    </row>
    <row r="254" spans="4:15" s="327" customFormat="1" hidden="1" outlineLevel="1" x14ac:dyDescent="0.2">
      <c r="D254" s="660" t="str">
        <f>Intv_Ann_TO!D1095</f>
        <v>North-Western</v>
      </c>
      <c r="H254" s="660" t="str">
        <f>Intv_Ann_TO!H1095</f>
        <v>SURG</v>
      </c>
      <c r="I254" s="5">
        <f>IFERROR(INDEX(Reg_Pop_Ann_TA!$H$110:$H$116,MATCH(H254,Reg_Pop_Ann_TA!$D$110:$D$116,0)),0)</f>
        <v>0</v>
      </c>
      <c r="J254" s="5">
        <f ca="1">IF(AND($I254,$I254&lt;J$8),OFFSET(Intv_Ann_TO!J1095,0,-$I254),0)</f>
        <v>0</v>
      </c>
      <c r="K254" s="5">
        <f ca="1">IF(AND($I254,$I254&lt;K$8),OFFSET(Intv_Ann_TO!K1095,0,-$I254),0)</f>
        <v>0</v>
      </c>
      <c r="L254" s="5">
        <f ca="1">IF(AND($I254,$I254&lt;L$8),OFFSET(Intv_Ann_TO!L1095,0,-$I254),0)</f>
        <v>0</v>
      </c>
      <c r="M254" s="5">
        <f ca="1">IF(AND($I254,$I254&lt;M$8),OFFSET(Intv_Ann_TO!M1095,0,-$I254),0)</f>
        <v>0</v>
      </c>
      <c r="N254" s="5">
        <f ca="1">IF(AND($I254,$I254&lt;N$8),OFFSET(Intv_Ann_TO!N1095,0,-$I254),0)</f>
        <v>0</v>
      </c>
      <c r="O254" s="5">
        <f ca="1">IF(AND($I254,$I254&lt;O$8),OFFSET(Intv_Ann_TO!O1095,0,-$I254),0)</f>
        <v>0</v>
      </c>
    </row>
    <row r="255" spans="4:15" s="327" customFormat="1" hidden="1" outlineLevel="1" x14ac:dyDescent="0.2">
      <c r="D255" s="660" t="str">
        <f>Intv_Ann_TO!D1096</f>
        <v>Southern</v>
      </c>
      <c r="H255" s="660" t="str">
        <f>Intv_Ann_TO!H1096</f>
        <v>SURG</v>
      </c>
      <c r="I255" s="5">
        <f>IFERROR(INDEX(Reg_Pop_Ann_TA!$H$110:$H$116,MATCH(H255,Reg_Pop_Ann_TA!$D$110:$D$116,0)),0)</f>
        <v>0</v>
      </c>
      <c r="J255" s="5">
        <f ca="1">IF(AND($I255,$I255&lt;J$8),OFFSET(Intv_Ann_TO!J1096,0,-$I255),0)</f>
        <v>0</v>
      </c>
      <c r="K255" s="5">
        <f ca="1">IF(AND($I255,$I255&lt;K$8),OFFSET(Intv_Ann_TO!K1096,0,-$I255),0)</f>
        <v>0</v>
      </c>
      <c r="L255" s="5">
        <f ca="1">IF(AND($I255,$I255&lt;L$8),OFFSET(Intv_Ann_TO!L1096,0,-$I255),0)</f>
        <v>0</v>
      </c>
      <c r="M255" s="5">
        <f ca="1">IF(AND($I255,$I255&lt;M$8),OFFSET(Intv_Ann_TO!M1096,0,-$I255),0)</f>
        <v>0</v>
      </c>
      <c r="N255" s="5">
        <f ca="1">IF(AND($I255,$I255&lt;N$8),OFFSET(Intv_Ann_TO!N1096,0,-$I255),0)</f>
        <v>0</v>
      </c>
      <c r="O255" s="5">
        <f ca="1">IF(AND($I255,$I255&lt;O$8),OFFSET(Intv_Ann_TO!O1096,0,-$I255),0)</f>
        <v>0</v>
      </c>
    </row>
    <row r="256" spans="4:15" s="327" customFormat="1" hidden="1" outlineLevel="1" x14ac:dyDescent="0.2">
      <c r="D256" s="660" t="str">
        <f>Intv_Ann_TO!D1097</f>
        <v>Western</v>
      </c>
      <c r="H256" s="660" t="str">
        <f>Intv_Ann_TO!H1097</f>
        <v>SURG</v>
      </c>
      <c r="I256" s="5">
        <f>IFERROR(INDEX(Reg_Pop_Ann_TA!$H$110:$H$116,MATCH(H256,Reg_Pop_Ann_TA!$D$110:$D$116,0)),0)</f>
        <v>0</v>
      </c>
      <c r="J256" s="5">
        <f ca="1">IF(AND($I256,$I256&lt;J$8),OFFSET(Intv_Ann_TO!J1097,0,-$I256),0)</f>
        <v>0</v>
      </c>
      <c r="K256" s="5">
        <f ca="1">IF(AND($I256,$I256&lt;K$8),OFFSET(Intv_Ann_TO!K1097,0,-$I256),0)</f>
        <v>0</v>
      </c>
      <c r="L256" s="5">
        <f ca="1">IF(AND($I256,$I256&lt;L$8),OFFSET(Intv_Ann_TO!L1097,0,-$I256),0)</f>
        <v>0</v>
      </c>
      <c r="M256" s="5">
        <f ca="1">IF(AND($I256,$I256&lt;M$8),OFFSET(Intv_Ann_TO!M1097,0,-$I256),0)</f>
        <v>0</v>
      </c>
      <c r="N256" s="5">
        <f ca="1">IF(AND($I256,$I256&lt;N$8),OFFSET(Intv_Ann_TO!N1097,0,-$I256),0)</f>
        <v>0</v>
      </c>
      <c r="O256" s="5">
        <f ca="1">IF(AND($I256,$I256&lt;O$8),OFFSET(Intv_Ann_TO!O1097,0,-$I256),0)</f>
        <v>0</v>
      </c>
    </row>
    <row r="257" spans="4:15" s="327" customFormat="1" hidden="1" outlineLevel="1" x14ac:dyDescent="0.2">
      <c r="D257" s="660" t="str">
        <f>Intv_Ann_TO!D1495</f>
        <v>Central</v>
      </c>
      <c r="H257" s="660" t="str">
        <f>Intv_Ann_TO!H1495</f>
        <v>Chemo</v>
      </c>
      <c r="I257" s="5">
        <f>IFERROR(INDEX(Reg_Pop_Ann_TA!$H$110:$H$116,MATCH(H257,Reg_Pop_Ann_TA!$D$110:$D$116,0)),0)</f>
        <v>0</v>
      </c>
      <c r="J257" s="5">
        <f ca="1">IF(AND($I257,$I257&lt;J$8),OFFSET(Intv_Ann_TO!J1495,0,-$I257),0)</f>
        <v>0</v>
      </c>
      <c r="K257" s="5">
        <f ca="1">IF(AND($I257,$I257&lt;K$8),OFFSET(Intv_Ann_TO!K1495,0,-$I257),0)</f>
        <v>0</v>
      </c>
      <c r="L257" s="5">
        <f ca="1">IF(AND($I257,$I257&lt;L$8),OFFSET(Intv_Ann_TO!L1495,0,-$I257),0)</f>
        <v>0</v>
      </c>
      <c r="M257" s="5">
        <f ca="1">IF(AND($I257,$I257&lt;M$8),OFFSET(Intv_Ann_TO!M1495,0,-$I257),0)</f>
        <v>0</v>
      </c>
      <c r="N257" s="5">
        <f ca="1">IF(AND($I257,$I257&lt;N$8),OFFSET(Intv_Ann_TO!N1495,0,-$I257),0)</f>
        <v>0</v>
      </c>
      <c r="O257" s="5">
        <f ca="1">IF(AND($I257,$I257&lt;O$8),OFFSET(Intv_Ann_TO!O1495,0,-$I257),0)</f>
        <v>0</v>
      </c>
    </row>
    <row r="258" spans="4:15" s="327" customFormat="1" hidden="1" outlineLevel="1" x14ac:dyDescent="0.2">
      <c r="D258" s="660" t="str">
        <f>Intv_Ann_TO!D1496</f>
        <v>Copperbelt</v>
      </c>
      <c r="H258" s="660" t="str">
        <f>Intv_Ann_TO!H1496</f>
        <v>Chemo</v>
      </c>
      <c r="I258" s="5">
        <f>IFERROR(INDEX(Reg_Pop_Ann_TA!$H$110:$H$116,MATCH(H258,Reg_Pop_Ann_TA!$D$110:$D$116,0)),0)</f>
        <v>0</v>
      </c>
      <c r="J258" s="5">
        <f ca="1">IF(AND($I258,$I258&lt;J$8),OFFSET(Intv_Ann_TO!J1496,0,-$I258),0)</f>
        <v>0</v>
      </c>
      <c r="K258" s="5">
        <f ca="1">IF(AND($I258,$I258&lt;K$8),OFFSET(Intv_Ann_TO!K1496,0,-$I258),0)</f>
        <v>0</v>
      </c>
      <c r="L258" s="5">
        <f ca="1">IF(AND($I258,$I258&lt;L$8),OFFSET(Intv_Ann_TO!L1496,0,-$I258),0)</f>
        <v>0</v>
      </c>
      <c r="M258" s="5">
        <f ca="1">IF(AND($I258,$I258&lt;M$8),OFFSET(Intv_Ann_TO!M1496,0,-$I258),0)</f>
        <v>0</v>
      </c>
      <c r="N258" s="5">
        <f ca="1">IF(AND($I258,$I258&lt;N$8),OFFSET(Intv_Ann_TO!N1496,0,-$I258),0)</f>
        <v>0</v>
      </c>
      <c r="O258" s="5">
        <f ca="1">IF(AND($I258,$I258&lt;O$8),OFFSET(Intv_Ann_TO!O1496,0,-$I258),0)</f>
        <v>0</v>
      </c>
    </row>
    <row r="259" spans="4:15" s="327" customFormat="1" hidden="1" outlineLevel="1" x14ac:dyDescent="0.2">
      <c r="D259" s="660" t="str">
        <f>Intv_Ann_TO!D1497</f>
        <v>Eastern</v>
      </c>
      <c r="H259" s="660" t="str">
        <f>Intv_Ann_TO!H1497</f>
        <v>Chemo</v>
      </c>
      <c r="I259" s="5">
        <f>IFERROR(INDEX(Reg_Pop_Ann_TA!$H$110:$H$116,MATCH(H259,Reg_Pop_Ann_TA!$D$110:$D$116,0)),0)</f>
        <v>0</v>
      </c>
      <c r="J259" s="5">
        <f ca="1">IF(AND($I259,$I259&lt;J$8),OFFSET(Intv_Ann_TO!J1497,0,-$I259),0)</f>
        <v>0</v>
      </c>
      <c r="K259" s="5">
        <f ca="1">IF(AND($I259,$I259&lt;K$8),OFFSET(Intv_Ann_TO!K1497,0,-$I259),0)</f>
        <v>0</v>
      </c>
      <c r="L259" s="5">
        <f ca="1">IF(AND($I259,$I259&lt;L$8),OFFSET(Intv_Ann_TO!L1497,0,-$I259),0)</f>
        <v>0</v>
      </c>
      <c r="M259" s="5">
        <f ca="1">IF(AND($I259,$I259&lt;M$8),OFFSET(Intv_Ann_TO!M1497,0,-$I259),0)</f>
        <v>0</v>
      </c>
      <c r="N259" s="5">
        <f ca="1">IF(AND($I259,$I259&lt;N$8),OFFSET(Intv_Ann_TO!N1497,0,-$I259),0)</f>
        <v>0</v>
      </c>
      <c r="O259" s="5">
        <f ca="1">IF(AND($I259,$I259&lt;O$8),OFFSET(Intv_Ann_TO!O1497,0,-$I259),0)</f>
        <v>0</v>
      </c>
    </row>
    <row r="260" spans="4:15" s="327" customFormat="1" hidden="1" outlineLevel="1" x14ac:dyDescent="0.2">
      <c r="D260" s="660" t="str">
        <f>Intv_Ann_TO!D1498</f>
        <v>Luapula</v>
      </c>
      <c r="H260" s="660" t="str">
        <f>Intv_Ann_TO!H1498</f>
        <v>Chemo</v>
      </c>
      <c r="I260" s="5">
        <f>IFERROR(INDEX(Reg_Pop_Ann_TA!$H$110:$H$116,MATCH(H260,Reg_Pop_Ann_TA!$D$110:$D$116,0)),0)</f>
        <v>0</v>
      </c>
      <c r="J260" s="5">
        <f ca="1">IF(AND($I260,$I260&lt;J$8),OFFSET(Intv_Ann_TO!J1498,0,-$I260),0)</f>
        <v>0</v>
      </c>
      <c r="K260" s="5">
        <f ca="1">IF(AND($I260,$I260&lt;K$8),OFFSET(Intv_Ann_TO!K1498,0,-$I260),0)</f>
        <v>0</v>
      </c>
      <c r="L260" s="5">
        <f ca="1">IF(AND($I260,$I260&lt;L$8),OFFSET(Intv_Ann_TO!L1498,0,-$I260),0)</f>
        <v>0</v>
      </c>
      <c r="M260" s="5">
        <f ca="1">IF(AND($I260,$I260&lt;M$8),OFFSET(Intv_Ann_TO!M1498,0,-$I260),0)</f>
        <v>0</v>
      </c>
      <c r="N260" s="5">
        <f ca="1">IF(AND($I260,$I260&lt;N$8),OFFSET(Intv_Ann_TO!N1498,0,-$I260),0)</f>
        <v>0</v>
      </c>
      <c r="O260" s="5">
        <f ca="1">IF(AND($I260,$I260&lt;O$8),OFFSET(Intv_Ann_TO!O1498,0,-$I260),0)</f>
        <v>0</v>
      </c>
    </row>
    <row r="261" spans="4:15" s="327" customFormat="1" hidden="1" outlineLevel="1" x14ac:dyDescent="0.2">
      <c r="D261" s="660" t="str">
        <f>Intv_Ann_TO!D1499</f>
        <v>Lusaka</v>
      </c>
      <c r="H261" s="660" t="str">
        <f>Intv_Ann_TO!H1499</f>
        <v>Chemo</v>
      </c>
      <c r="I261" s="5">
        <f>IFERROR(INDEX(Reg_Pop_Ann_TA!$H$110:$H$116,MATCH(H261,Reg_Pop_Ann_TA!$D$110:$D$116,0)),0)</f>
        <v>0</v>
      </c>
      <c r="J261" s="5">
        <f ca="1">IF(AND($I261,$I261&lt;J$8),OFFSET(Intv_Ann_TO!J1499,0,-$I261),0)</f>
        <v>0</v>
      </c>
      <c r="K261" s="5">
        <f ca="1">IF(AND($I261,$I261&lt;K$8),OFFSET(Intv_Ann_TO!K1499,0,-$I261),0)</f>
        <v>0</v>
      </c>
      <c r="L261" s="5">
        <f ca="1">IF(AND($I261,$I261&lt;L$8),OFFSET(Intv_Ann_TO!L1499,0,-$I261),0)</f>
        <v>0</v>
      </c>
      <c r="M261" s="5">
        <f ca="1">IF(AND($I261,$I261&lt;M$8),OFFSET(Intv_Ann_TO!M1499,0,-$I261),0)</f>
        <v>0</v>
      </c>
      <c r="N261" s="5">
        <f ca="1">IF(AND($I261,$I261&lt;N$8),OFFSET(Intv_Ann_TO!N1499,0,-$I261),0)</f>
        <v>0</v>
      </c>
      <c r="O261" s="5">
        <f ca="1">IF(AND($I261,$I261&lt;O$8),OFFSET(Intv_Ann_TO!O1499,0,-$I261),0)</f>
        <v>0</v>
      </c>
    </row>
    <row r="262" spans="4:15" s="327" customFormat="1" hidden="1" outlineLevel="1" x14ac:dyDescent="0.2">
      <c r="D262" s="660" t="str">
        <f>Intv_Ann_TO!D1500</f>
        <v>Muchinga</v>
      </c>
      <c r="H262" s="660" t="str">
        <f>Intv_Ann_TO!H1500</f>
        <v>Chemo</v>
      </c>
      <c r="I262" s="5">
        <f>IFERROR(INDEX(Reg_Pop_Ann_TA!$H$110:$H$116,MATCH(H262,Reg_Pop_Ann_TA!$D$110:$D$116,0)),0)</f>
        <v>0</v>
      </c>
      <c r="J262" s="5">
        <f ca="1">IF(AND($I262,$I262&lt;J$8),OFFSET(Intv_Ann_TO!J1500,0,-$I262),0)</f>
        <v>0</v>
      </c>
      <c r="K262" s="5">
        <f ca="1">IF(AND($I262,$I262&lt;K$8),OFFSET(Intv_Ann_TO!K1500,0,-$I262),0)</f>
        <v>0</v>
      </c>
      <c r="L262" s="5">
        <f ca="1">IF(AND($I262,$I262&lt;L$8),OFFSET(Intv_Ann_TO!L1500,0,-$I262),0)</f>
        <v>0</v>
      </c>
      <c r="M262" s="5">
        <f ca="1">IF(AND($I262,$I262&lt;M$8),OFFSET(Intv_Ann_TO!M1500,0,-$I262),0)</f>
        <v>0</v>
      </c>
      <c r="N262" s="5">
        <f ca="1">IF(AND($I262,$I262&lt;N$8),OFFSET(Intv_Ann_TO!N1500,0,-$I262),0)</f>
        <v>0</v>
      </c>
      <c r="O262" s="5">
        <f ca="1">IF(AND($I262,$I262&lt;O$8),OFFSET(Intv_Ann_TO!O1500,0,-$I262),0)</f>
        <v>0</v>
      </c>
    </row>
    <row r="263" spans="4:15" s="327" customFormat="1" hidden="1" outlineLevel="1" x14ac:dyDescent="0.2">
      <c r="D263" s="660" t="str">
        <f>Intv_Ann_TO!D1501</f>
        <v>Northern</v>
      </c>
      <c r="H263" s="660" t="str">
        <f>Intv_Ann_TO!H1501</f>
        <v>Chemo</v>
      </c>
      <c r="I263" s="5">
        <f>IFERROR(INDEX(Reg_Pop_Ann_TA!$H$110:$H$116,MATCH(H263,Reg_Pop_Ann_TA!$D$110:$D$116,0)),0)</f>
        <v>0</v>
      </c>
      <c r="J263" s="5">
        <f ca="1">IF(AND($I263,$I263&lt;J$8),OFFSET(Intv_Ann_TO!J1501,0,-$I263),0)</f>
        <v>0</v>
      </c>
      <c r="K263" s="5">
        <f ca="1">IF(AND($I263,$I263&lt;K$8),OFFSET(Intv_Ann_TO!K1501,0,-$I263),0)</f>
        <v>0</v>
      </c>
      <c r="L263" s="5">
        <f ca="1">IF(AND($I263,$I263&lt;L$8),OFFSET(Intv_Ann_TO!L1501,0,-$I263),0)</f>
        <v>0</v>
      </c>
      <c r="M263" s="5">
        <f ca="1">IF(AND($I263,$I263&lt;M$8),OFFSET(Intv_Ann_TO!M1501,0,-$I263),0)</f>
        <v>0</v>
      </c>
      <c r="N263" s="5">
        <f ca="1">IF(AND($I263,$I263&lt;N$8),OFFSET(Intv_Ann_TO!N1501,0,-$I263),0)</f>
        <v>0</v>
      </c>
      <c r="O263" s="5">
        <f ca="1">IF(AND($I263,$I263&lt;O$8),OFFSET(Intv_Ann_TO!O1501,0,-$I263),0)</f>
        <v>0</v>
      </c>
    </row>
    <row r="264" spans="4:15" s="327" customFormat="1" hidden="1" outlineLevel="1" x14ac:dyDescent="0.2">
      <c r="D264" s="660" t="str">
        <f>Intv_Ann_TO!D1502</f>
        <v>North-Western</v>
      </c>
      <c r="H264" s="660" t="str">
        <f>Intv_Ann_TO!H1502</f>
        <v>Chemo</v>
      </c>
      <c r="I264" s="5">
        <f>IFERROR(INDEX(Reg_Pop_Ann_TA!$H$110:$H$116,MATCH(H264,Reg_Pop_Ann_TA!$D$110:$D$116,0)),0)</f>
        <v>0</v>
      </c>
      <c r="J264" s="5">
        <f ca="1">IF(AND($I264,$I264&lt;J$8),OFFSET(Intv_Ann_TO!J1502,0,-$I264),0)</f>
        <v>0</v>
      </c>
      <c r="K264" s="5">
        <f ca="1">IF(AND($I264,$I264&lt;K$8),OFFSET(Intv_Ann_TO!K1502,0,-$I264),0)</f>
        <v>0</v>
      </c>
      <c r="L264" s="5">
        <f ca="1">IF(AND($I264,$I264&lt;L$8),OFFSET(Intv_Ann_TO!L1502,0,-$I264),0)</f>
        <v>0</v>
      </c>
      <c r="M264" s="5">
        <f ca="1">IF(AND($I264,$I264&lt;M$8),OFFSET(Intv_Ann_TO!M1502,0,-$I264),0)</f>
        <v>0</v>
      </c>
      <c r="N264" s="5">
        <f ca="1">IF(AND($I264,$I264&lt;N$8),OFFSET(Intv_Ann_TO!N1502,0,-$I264),0)</f>
        <v>0</v>
      </c>
      <c r="O264" s="5">
        <f ca="1">IF(AND($I264,$I264&lt;O$8),OFFSET(Intv_Ann_TO!O1502,0,-$I264),0)</f>
        <v>0</v>
      </c>
    </row>
    <row r="265" spans="4:15" s="327" customFormat="1" hidden="1" outlineLevel="1" x14ac:dyDescent="0.2">
      <c r="D265" s="660" t="str">
        <f>Intv_Ann_TO!D1503</f>
        <v>Southern</v>
      </c>
      <c r="H265" s="660" t="str">
        <f>Intv_Ann_TO!H1503</f>
        <v>Chemo</v>
      </c>
      <c r="I265" s="5">
        <f>IFERROR(INDEX(Reg_Pop_Ann_TA!$H$110:$H$116,MATCH(H265,Reg_Pop_Ann_TA!$D$110:$D$116,0)),0)</f>
        <v>0</v>
      </c>
      <c r="J265" s="5">
        <f ca="1">IF(AND($I265,$I265&lt;J$8),OFFSET(Intv_Ann_TO!J1503,0,-$I265),0)</f>
        <v>0</v>
      </c>
      <c r="K265" s="5">
        <f ca="1">IF(AND($I265,$I265&lt;K$8),OFFSET(Intv_Ann_TO!K1503,0,-$I265),0)</f>
        <v>0</v>
      </c>
      <c r="L265" s="5">
        <f ca="1">IF(AND($I265,$I265&lt;L$8),OFFSET(Intv_Ann_TO!L1503,0,-$I265),0)</f>
        <v>0</v>
      </c>
      <c r="M265" s="5">
        <f ca="1">IF(AND($I265,$I265&lt;M$8),OFFSET(Intv_Ann_TO!M1503,0,-$I265),0)</f>
        <v>0</v>
      </c>
      <c r="N265" s="5">
        <f ca="1">IF(AND($I265,$I265&lt;N$8),OFFSET(Intv_Ann_TO!N1503,0,-$I265),0)</f>
        <v>0</v>
      </c>
      <c r="O265" s="5">
        <f ca="1">IF(AND($I265,$I265&lt;O$8),OFFSET(Intv_Ann_TO!O1503,0,-$I265),0)</f>
        <v>0</v>
      </c>
    </row>
    <row r="266" spans="4:15" s="327" customFormat="1" hidden="1" outlineLevel="1" x14ac:dyDescent="0.2">
      <c r="D266" s="660" t="str">
        <f>Intv_Ann_TO!D1504</f>
        <v>Western</v>
      </c>
      <c r="H266" s="660" t="str">
        <f>Intv_Ann_TO!H1504</f>
        <v>Chemo</v>
      </c>
      <c r="I266" s="5">
        <f>IFERROR(INDEX(Reg_Pop_Ann_TA!$H$110:$H$116,MATCH(H266,Reg_Pop_Ann_TA!$D$110:$D$116,0)),0)</f>
        <v>0</v>
      </c>
      <c r="J266" s="5">
        <f ca="1">IF(AND($I266,$I266&lt;J$8),OFFSET(Intv_Ann_TO!J1504,0,-$I266),0)</f>
        <v>0</v>
      </c>
      <c r="K266" s="5">
        <f ca="1">IF(AND($I266,$I266&lt;K$8),OFFSET(Intv_Ann_TO!K1504,0,-$I266),0)</f>
        <v>0</v>
      </c>
      <c r="L266" s="5">
        <f ca="1">IF(AND($I266,$I266&lt;L$8),OFFSET(Intv_Ann_TO!L1504,0,-$I266),0)</f>
        <v>0</v>
      </c>
      <c r="M266" s="5">
        <f ca="1">IF(AND($I266,$I266&lt;M$8),OFFSET(Intv_Ann_TO!M1504,0,-$I266),0)</f>
        <v>0</v>
      </c>
      <c r="N266" s="5">
        <f ca="1">IF(AND($I266,$I266&lt;N$8),OFFSET(Intv_Ann_TO!N1504,0,-$I266),0)</f>
        <v>0</v>
      </c>
      <c r="O266" s="5">
        <f ca="1">IF(AND($I266,$I266&lt;O$8),OFFSET(Intv_Ann_TO!O1504,0,-$I266),0)</f>
        <v>0</v>
      </c>
    </row>
    <row r="267" spans="4:15" s="327" customFormat="1" hidden="1" outlineLevel="1" x14ac:dyDescent="0.2">
      <c r="D267" s="660" t="str">
        <f>Intv_Ann_TO!D1902</f>
        <v>Central</v>
      </c>
      <c r="H267" s="660" t="str">
        <f>Intv_Ann_TO!H1902</f>
        <v>RADIO</v>
      </c>
      <c r="I267" s="5">
        <f>IFERROR(INDEX(Reg_Pop_Ann_TA!$H$110:$H$116,MATCH(H267,Reg_Pop_Ann_TA!$D$110:$D$116,0)),0)</f>
        <v>0</v>
      </c>
      <c r="J267" s="5">
        <f ca="1">IF(AND($I267,$I267&lt;J$8),OFFSET(Intv_Ann_TO!J1902,0,-$I267),0)</f>
        <v>0</v>
      </c>
      <c r="K267" s="5">
        <f ca="1">IF(AND($I267,$I267&lt;K$8),OFFSET(Intv_Ann_TO!K1902,0,-$I267),0)</f>
        <v>0</v>
      </c>
      <c r="L267" s="5">
        <f ca="1">IF(AND($I267,$I267&lt;L$8),OFFSET(Intv_Ann_TO!L1902,0,-$I267),0)</f>
        <v>0</v>
      </c>
      <c r="M267" s="5">
        <f ca="1">IF(AND($I267,$I267&lt;M$8),OFFSET(Intv_Ann_TO!M1902,0,-$I267),0)</f>
        <v>0</v>
      </c>
      <c r="N267" s="5">
        <f ca="1">IF(AND($I267,$I267&lt;N$8),OFFSET(Intv_Ann_TO!N1902,0,-$I267),0)</f>
        <v>0</v>
      </c>
      <c r="O267" s="5">
        <f ca="1">IF(AND($I267,$I267&lt;O$8),OFFSET(Intv_Ann_TO!O1902,0,-$I267),0)</f>
        <v>0</v>
      </c>
    </row>
    <row r="268" spans="4:15" s="327" customFormat="1" hidden="1" outlineLevel="1" x14ac:dyDescent="0.2">
      <c r="D268" s="660" t="str">
        <f>Intv_Ann_TO!D1903</f>
        <v>Copperbelt</v>
      </c>
      <c r="H268" s="660" t="str">
        <f>Intv_Ann_TO!H1903</f>
        <v>RADIO</v>
      </c>
      <c r="I268" s="5">
        <f>IFERROR(INDEX(Reg_Pop_Ann_TA!$H$110:$H$116,MATCH(H268,Reg_Pop_Ann_TA!$D$110:$D$116,0)),0)</f>
        <v>0</v>
      </c>
      <c r="J268" s="5">
        <f ca="1">IF(AND($I268,$I268&lt;J$8),OFFSET(Intv_Ann_TO!J1903,0,-$I268),0)</f>
        <v>0</v>
      </c>
      <c r="K268" s="5">
        <f ca="1">IF(AND($I268,$I268&lt;K$8),OFFSET(Intv_Ann_TO!K1903,0,-$I268),0)</f>
        <v>0</v>
      </c>
      <c r="L268" s="5">
        <f ca="1">IF(AND($I268,$I268&lt;L$8),OFFSET(Intv_Ann_TO!L1903,0,-$I268),0)</f>
        <v>0</v>
      </c>
      <c r="M268" s="5">
        <f ca="1">IF(AND($I268,$I268&lt;M$8),OFFSET(Intv_Ann_TO!M1903,0,-$I268),0)</f>
        <v>0</v>
      </c>
      <c r="N268" s="5">
        <f ca="1">IF(AND($I268,$I268&lt;N$8),OFFSET(Intv_Ann_TO!N1903,0,-$I268),0)</f>
        <v>0</v>
      </c>
      <c r="O268" s="5">
        <f ca="1">IF(AND($I268,$I268&lt;O$8),OFFSET(Intv_Ann_TO!O1903,0,-$I268),0)</f>
        <v>0</v>
      </c>
    </row>
    <row r="269" spans="4:15" s="327" customFormat="1" hidden="1" outlineLevel="1" x14ac:dyDescent="0.2">
      <c r="D269" s="660" t="str">
        <f>Intv_Ann_TO!D1904</f>
        <v>Eastern</v>
      </c>
      <c r="H269" s="660" t="str">
        <f>Intv_Ann_TO!H1904</f>
        <v>RADIO</v>
      </c>
      <c r="I269" s="5">
        <f>IFERROR(INDEX(Reg_Pop_Ann_TA!$H$110:$H$116,MATCH(H269,Reg_Pop_Ann_TA!$D$110:$D$116,0)),0)</f>
        <v>0</v>
      </c>
      <c r="J269" s="5">
        <f ca="1">IF(AND($I269,$I269&lt;J$8),OFFSET(Intv_Ann_TO!J1904,0,-$I269),0)</f>
        <v>0</v>
      </c>
      <c r="K269" s="5">
        <f ca="1">IF(AND($I269,$I269&lt;K$8),OFFSET(Intv_Ann_TO!K1904,0,-$I269),0)</f>
        <v>0</v>
      </c>
      <c r="L269" s="5">
        <f ca="1">IF(AND($I269,$I269&lt;L$8),OFFSET(Intv_Ann_TO!L1904,0,-$I269),0)</f>
        <v>0</v>
      </c>
      <c r="M269" s="5">
        <f ca="1">IF(AND($I269,$I269&lt;M$8),OFFSET(Intv_Ann_TO!M1904,0,-$I269),0)</f>
        <v>0</v>
      </c>
      <c r="N269" s="5">
        <f ca="1">IF(AND($I269,$I269&lt;N$8),OFFSET(Intv_Ann_TO!N1904,0,-$I269),0)</f>
        <v>0</v>
      </c>
      <c r="O269" s="5">
        <f ca="1">IF(AND($I269,$I269&lt;O$8),OFFSET(Intv_Ann_TO!O1904,0,-$I269),0)</f>
        <v>0</v>
      </c>
    </row>
    <row r="270" spans="4:15" s="327" customFormat="1" hidden="1" outlineLevel="1" x14ac:dyDescent="0.2">
      <c r="D270" s="660" t="str">
        <f>Intv_Ann_TO!D1905</f>
        <v>Luapula</v>
      </c>
      <c r="H270" s="660" t="str">
        <f>Intv_Ann_TO!H1905</f>
        <v>RADIO</v>
      </c>
      <c r="I270" s="5">
        <f>IFERROR(INDEX(Reg_Pop_Ann_TA!$H$110:$H$116,MATCH(H270,Reg_Pop_Ann_TA!$D$110:$D$116,0)),0)</f>
        <v>0</v>
      </c>
      <c r="J270" s="5">
        <f ca="1">IF(AND($I270,$I270&lt;J$8),OFFSET(Intv_Ann_TO!J1905,0,-$I270),0)</f>
        <v>0</v>
      </c>
      <c r="K270" s="5">
        <f ca="1">IF(AND($I270,$I270&lt;K$8),OFFSET(Intv_Ann_TO!K1905,0,-$I270),0)</f>
        <v>0</v>
      </c>
      <c r="L270" s="5">
        <f ca="1">IF(AND($I270,$I270&lt;L$8),OFFSET(Intv_Ann_TO!L1905,0,-$I270),0)</f>
        <v>0</v>
      </c>
      <c r="M270" s="5">
        <f ca="1">IF(AND($I270,$I270&lt;M$8),OFFSET(Intv_Ann_TO!M1905,0,-$I270),0)</f>
        <v>0</v>
      </c>
      <c r="N270" s="5">
        <f ca="1">IF(AND($I270,$I270&lt;N$8),OFFSET(Intv_Ann_TO!N1905,0,-$I270),0)</f>
        <v>0</v>
      </c>
      <c r="O270" s="5">
        <f ca="1">IF(AND($I270,$I270&lt;O$8),OFFSET(Intv_Ann_TO!O1905,0,-$I270),0)</f>
        <v>0</v>
      </c>
    </row>
    <row r="271" spans="4:15" s="327" customFormat="1" hidden="1" outlineLevel="1" x14ac:dyDescent="0.2">
      <c r="D271" s="660" t="str">
        <f>Intv_Ann_TO!D1906</f>
        <v>Lusaka</v>
      </c>
      <c r="H271" s="660" t="str">
        <f>Intv_Ann_TO!H1906</f>
        <v>RADIO</v>
      </c>
      <c r="I271" s="5">
        <f>IFERROR(INDEX(Reg_Pop_Ann_TA!$H$110:$H$116,MATCH(H271,Reg_Pop_Ann_TA!$D$110:$D$116,0)),0)</f>
        <v>0</v>
      </c>
      <c r="J271" s="5">
        <f ca="1">IF(AND($I271,$I271&lt;J$8),OFFSET(Intv_Ann_TO!J1906,0,-$I271),0)</f>
        <v>0</v>
      </c>
      <c r="K271" s="5">
        <f ca="1">IF(AND($I271,$I271&lt;K$8),OFFSET(Intv_Ann_TO!K1906,0,-$I271),0)</f>
        <v>0</v>
      </c>
      <c r="L271" s="5">
        <f ca="1">IF(AND($I271,$I271&lt;L$8),OFFSET(Intv_Ann_TO!L1906,0,-$I271),0)</f>
        <v>0</v>
      </c>
      <c r="M271" s="5">
        <f ca="1">IF(AND($I271,$I271&lt;M$8),OFFSET(Intv_Ann_TO!M1906,0,-$I271),0)</f>
        <v>0</v>
      </c>
      <c r="N271" s="5">
        <f ca="1">IF(AND($I271,$I271&lt;N$8),OFFSET(Intv_Ann_TO!N1906,0,-$I271),0)</f>
        <v>0</v>
      </c>
      <c r="O271" s="5">
        <f ca="1">IF(AND($I271,$I271&lt;O$8),OFFSET(Intv_Ann_TO!O1906,0,-$I271),0)</f>
        <v>0</v>
      </c>
    </row>
    <row r="272" spans="4:15" s="327" customFormat="1" hidden="1" outlineLevel="1" x14ac:dyDescent="0.2">
      <c r="D272" s="660" t="str">
        <f>Intv_Ann_TO!D1907</f>
        <v>Muchinga</v>
      </c>
      <c r="H272" s="660" t="str">
        <f>Intv_Ann_TO!H1907</f>
        <v>RADIO</v>
      </c>
      <c r="I272" s="5">
        <f>IFERROR(INDEX(Reg_Pop_Ann_TA!$H$110:$H$116,MATCH(H272,Reg_Pop_Ann_TA!$D$110:$D$116,0)),0)</f>
        <v>0</v>
      </c>
      <c r="J272" s="5">
        <f ca="1">IF(AND($I272,$I272&lt;J$8),OFFSET(Intv_Ann_TO!J1907,0,-$I272),0)</f>
        <v>0</v>
      </c>
      <c r="K272" s="5">
        <f ca="1">IF(AND($I272,$I272&lt;K$8),OFFSET(Intv_Ann_TO!K1907,0,-$I272),0)</f>
        <v>0</v>
      </c>
      <c r="L272" s="5">
        <f ca="1">IF(AND($I272,$I272&lt;L$8),OFFSET(Intv_Ann_TO!L1907,0,-$I272),0)</f>
        <v>0</v>
      </c>
      <c r="M272" s="5">
        <f ca="1">IF(AND($I272,$I272&lt;M$8),OFFSET(Intv_Ann_TO!M1907,0,-$I272),0)</f>
        <v>0</v>
      </c>
      <c r="N272" s="5">
        <f ca="1">IF(AND($I272,$I272&lt;N$8),OFFSET(Intv_Ann_TO!N1907,0,-$I272),0)</f>
        <v>0</v>
      </c>
      <c r="O272" s="5">
        <f ca="1">IF(AND($I272,$I272&lt;O$8),OFFSET(Intv_Ann_TO!O1907,0,-$I272),0)</f>
        <v>0</v>
      </c>
    </row>
    <row r="273" spans="4:15" s="327" customFormat="1" hidden="1" outlineLevel="1" x14ac:dyDescent="0.2">
      <c r="D273" s="660" t="str">
        <f>Intv_Ann_TO!D1908</f>
        <v>Northern</v>
      </c>
      <c r="H273" s="660" t="str">
        <f>Intv_Ann_TO!H1908</f>
        <v>RADIO</v>
      </c>
      <c r="I273" s="5">
        <f>IFERROR(INDEX(Reg_Pop_Ann_TA!$H$110:$H$116,MATCH(H273,Reg_Pop_Ann_TA!$D$110:$D$116,0)),0)</f>
        <v>0</v>
      </c>
      <c r="J273" s="5">
        <f ca="1">IF(AND($I273,$I273&lt;J$8),OFFSET(Intv_Ann_TO!J1908,0,-$I273),0)</f>
        <v>0</v>
      </c>
      <c r="K273" s="5">
        <f ca="1">IF(AND($I273,$I273&lt;K$8),OFFSET(Intv_Ann_TO!K1908,0,-$I273),0)</f>
        <v>0</v>
      </c>
      <c r="L273" s="5">
        <f ca="1">IF(AND($I273,$I273&lt;L$8),OFFSET(Intv_Ann_TO!L1908,0,-$I273),0)</f>
        <v>0</v>
      </c>
      <c r="M273" s="5">
        <f ca="1">IF(AND($I273,$I273&lt;M$8),OFFSET(Intv_Ann_TO!M1908,0,-$I273),0)</f>
        <v>0</v>
      </c>
      <c r="N273" s="5">
        <f ca="1">IF(AND($I273,$I273&lt;N$8),OFFSET(Intv_Ann_TO!N1908,0,-$I273),0)</f>
        <v>0</v>
      </c>
      <c r="O273" s="5">
        <f ca="1">IF(AND($I273,$I273&lt;O$8),OFFSET(Intv_Ann_TO!O1908,0,-$I273),0)</f>
        <v>0</v>
      </c>
    </row>
    <row r="274" spans="4:15" s="327" customFormat="1" hidden="1" outlineLevel="1" x14ac:dyDescent="0.2">
      <c r="D274" s="660" t="str">
        <f>Intv_Ann_TO!D1909</f>
        <v>North-Western</v>
      </c>
      <c r="H274" s="660" t="str">
        <f>Intv_Ann_TO!H1909</f>
        <v>RADIO</v>
      </c>
      <c r="I274" s="5">
        <f>IFERROR(INDEX(Reg_Pop_Ann_TA!$H$110:$H$116,MATCH(H274,Reg_Pop_Ann_TA!$D$110:$D$116,0)),0)</f>
        <v>0</v>
      </c>
      <c r="J274" s="5">
        <f ca="1">IF(AND($I274,$I274&lt;J$8),OFFSET(Intv_Ann_TO!J1909,0,-$I274),0)</f>
        <v>0</v>
      </c>
      <c r="K274" s="5">
        <f ca="1">IF(AND($I274,$I274&lt;K$8),OFFSET(Intv_Ann_TO!K1909,0,-$I274),0)</f>
        <v>0</v>
      </c>
      <c r="L274" s="5">
        <f ca="1">IF(AND($I274,$I274&lt;L$8),OFFSET(Intv_Ann_TO!L1909,0,-$I274),0)</f>
        <v>0</v>
      </c>
      <c r="M274" s="5">
        <f ca="1">IF(AND($I274,$I274&lt;M$8),OFFSET(Intv_Ann_TO!M1909,0,-$I274),0)</f>
        <v>0</v>
      </c>
      <c r="N274" s="5">
        <f ca="1">IF(AND($I274,$I274&lt;N$8),OFFSET(Intv_Ann_TO!N1909,0,-$I274),0)</f>
        <v>0</v>
      </c>
      <c r="O274" s="5">
        <f ca="1">IF(AND($I274,$I274&lt;O$8),OFFSET(Intv_Ann_TO!O1909,0,-$I274),0)</f>
        <v>0</v>
      </c>
    </row>
    <row r="275" spans="4:15" s="327" customFormat="1" hidden="1" outlineLevel="1" x14ac:dyDescent="0.2">
      <c r="D275" s="660" t="str">
        <f>Intv_Ann_TO!D1910</f>
        <v>Southern</v>
      </c>
      <c r="H275" s="660" t="str">
        <f>Intv_Ann_TO!H1910</f>
        <v>RADIO</v>
      </c>
      <c r="I275" s="5">
        <f>IFERROR(INDEX(Reg_Pop_Ann_TA!$H$110:$H$116,MATCH(H275,Reg_Pop_Ann_TA!$D$110:$D$116,0)),0)</f>
        <v>0</v>
      </c>
      <c r="J275" s="5">
        <f ca="1">IF(AND($I275,$I275&lt;J$8),OFFSET(Intv_Ann_TO!J1910,0,-$I275),0)</f>
        <v>0</v>
      </c>
      <c r="K275" s="5">
        <f ca="1">IF(AND($I275,$I275&lt;K$8),OFFSET(Intv_Ann_TO!K1910,0,-$I275),0)</f>
        <v>0</v>
      </c>
      <c r="L275" s="5">
        <f ca="1">IF(AND($I275,$I275&lt;L$8),OFFSET(Intv_Ann_TO!L1910,0,-$I275),0)</f>
        <v>0</v>
      </c>
      <c r="M275" s="5">
        <f ca="1">IF(AND($I275,$I275&lt;M$8),OFFSET(Intv_Ann_TO!M1910,0,-$I275),0)</f>
        <v>0</v>
      </c>
      <c r="N275" s="5">
        <f ca="1">IF(AND($I275,$I275&lt;N$8),OFFSET(Intv_Ann_TO!N1910,0,-$I275),0)</f>
        <v>0</v>
      </c>
      <c r="O275" s="5">
        <f ca="1">IF(AND($I275,$I275&lt;O$8),OFFSET(Intv_Ann_TO!O1910,0,-$I275),0)</f>
        <v>0</v>
      </c>
    </row>
    <row r="276" spans="4:15" s="327" customFormat="1" hidden="1" outlineLevel="1" x14ac:dyDescent="0.2">
      <c r="D276" s="660" t="str">
        <f>Intv_Ann_TO!D1911</f>
        <v>Western</v>
      </c>
      <c r="H276" s="660" t="str">
        <f>Intv_Ann_TO!H1911</f>
        <v>RADIO</v>
      </c>
      <c r="I276" s="5">
        <f>IFERROR(INDEX(Reg_Pop_Ann_TA!$H$110:$H$116,MATCH(H276,Reg_Pop_Ann_TA!$D$110:$D$116,0)),0)</f>
        <v>0</v>
      </c>
      <c r="J276" s="5">
        <f ca="1">IF(AND($I276,$I276&lt;J$8),OFFSET(Intv_Ann_TO!J1911,0,-$I276),0)</f>
        <v>0</v>
      </c>
      <c r="K276" s="5">
        <f ca="1">IF(AND($I276,$I276&lt;K$8),OFFSET(Intv_Ann_TO!K1911,0,-$I276),0)</f>
        <v>0</v>
      </c>
      <c r="L276" s="5">
        <f ca="1">IF(AND($I276,$I276&lt;L$8),OFFSET(Intv_Ann_TO!L1911,0,-$I276),0)</f>
        <v>0</v>
      </c>
      <c r="M276" s="5">
        <f ca="1">IF(AND($I276,$I276&lt;M$8),OFFSET(Intv_Ann_TO!M1911,0,-$I276),0)</f>
        <v>0</v>
      </c>
      <c r="N276" s="5">
        <f ca="1">IF(AND($I276,$I276&lt;N$8),OFFSET(Intv_Ann_TO!N1911,0,-$I276),0)</f>
        <v>0</v>
      </c>
      <c r="O276" s="5">
        <f ca="1">IF(AND($I276,$I276&lt;O$8),OFFSET(Intv_Ann_TO!O1911,0,-$I276),0)</f>
        <v>0</v>
      </c>
    </row>
    <row r="277" spans="4:15" s="327" customFormat="1" hidden="1" outlineLevel="1" x14ac:dyDescent="0.2">
      <c r="D277" s="660" t="str">
        <f>Intv_Ann_TO!D2309</f>
        <v>Central</v>
      </c>
      <c r="H277" s="660" t="str">
        <f>Intv_Ann_TO!H2309</f>
        <v>PALL</v>
      </c>
      <c r="I277" s="5">
        <f>IFERROR(INDEX(Reg_Pop_Ann_TA!$H$110:$H$116,MATCH(H277,Reg_Pop_Ann_TA!$D$110:$D$116,0)),0)</f>
        <v>0</v>
      </c>
      <c r="J277" s="5">
        <f ca="1">IF(AND($I277,$I277&lt;J$8),OFFSET(Intv_Ann_TO!J2309,0,-$I277),0)</f>
        <v>0</v>
      </c>
      <c r="K277" s="5">
        <f ca="1">IF(AND($I277,$I277&lt;K$8),OFFSET(Intv_Ann_TO!K2309,0,-$I277),0)</f>
        <v>0</v>
      </c>
      <c r="L277" s="5">
        <f ca="1">IF(AND($I277,$I277&lt;L$8),OFFSET(Intv_Ann_TO!L2309,0,-$I277),0)</f>
        <v>0</v>
      </c>
      <c r="M277" s="5">
        <f ca="1">IF(AND($I277,$I277&lt;M$8),OFFSET(Intv_Ann_TO!M2309,0,-$I277),0)</f>
        <v>0</v>
      </c>
      <c r="N277" s="5">
        <f ca="1">IF(AND($I277,$I277&lt;N$8),OFFSET(Intv_Ann_TO!N2309,0,-$I277),0)</f>
        <v>0</v>
      </c>
      <c r="O277" s="5">
        <f ca="1">IF(AND($I277,$I277&lt;O$8),OFFSET(Intv_Ann_TO!O2309,0,-$I277),0)</f>
        <v>0</v>
      </c>
    </row>
    <row r="278" spans="4:15" s="327" customFormat="1" hidden="1" outlineLevel="1" x14ac:dyDescent="0.2">
      <c r="D278" s="660" t="str">
        <f>Intv_Ann_TO!D2310</f>
        <v>Copperbelt</v>
      </c>
      <c r="H278" s="660" t="str">
        <f>Intv_Ann_TO!H2310</f>
        <v>PALL</v>
      </c>
      <c r="I278" s="5">
        <f>IFERROR(INDEX(Reg_Pop_Ann_TA!$H$110:$H$116,MATCH(H278,Reg_Pop_Ann_TA!$D$110:$D$116,0)),0)</f>
        <v>0</v>
      </c>
      <c r="J278" s="5">
        <f ca="1">IF(AND($I278,$I278&lt;J$8),OFFSET(Intv_Ann_TO!J2310,0,-$I278),0)</f>
        <v>0</v>
      </c>
      <c r="K278" s="5">
        <f ca="1">IF(AND($I278,$I278&lt;K$8),OFFSET(Intv_Ann_TO!K2310,0,-$I278),0)</f>
        <v>0</v>
      </c>
      <c r="L278" s="5">
        <f ca="1">IF(AND($I278,$I278&lt;L$8),OFFSET(Intv_Ann_TO!L2310,0,-$I278),0)</f>
        <v>0</v>
      </c>
      <c r="M278" s="5">
        <f ca="1">IF(AND($I278,$I278&lt;M$8),OFFSET(Intv_Ann_TO!M2310,0,-$I278),0)</f>
        <v>0</v>
      </c>
      <c r="N278" s="5">
        <f ca="1">IF(AND($I278,$I278&lt;N$8),OFFSET(Intv_Ann_TO!N2310,0,-$I278),0)</f>
        <v>0</v>
      </c>
      <c r="O278" s="5">
        <f ca="1">IF(AND($I278,$I278&lt;O$8),OFFSET(Intv_Ann_TO!O2310,0,-$I278),0)</f>
        <v>0</v>
      </c>
    </row>
    <row r="279" spans="4:15" s="327" customFormat="1" hidden="1" outlineLevel="1" x14ac:dyDescent="0.2">
      <c r="D279" s="660" t="str">
        <f>Intv_Ann_TO!D2311</f>
        <v>Eastern</v>
      </c>
      <c r="H279" s="660" t="str">
        <f>Intv_Ann_TO!H2311</f>
        <v>PALL</v>
      </c>
      <c r="I279" s="5">
        <f>IFERROR(INDEX(Reg_Pop_Ann_TA!$H$110:$H$116,MATCH(H279,Reg_Pop_Ann_TA!$D$110:$D$116,0)),0)</f>
        <v>0</v>
      </c>
      <c r="J279" s="5">
        <f ca="1">IF(AND($I279,$I279&lt;J$8),OFFSET(Intv_Ann_TO!J2311,0,-$I279),0)</f>
        <v>0</v>
      </c>
      <c r="K279" s="5">
        <f ca="1">IF(AND($I279,$I279&lt;K$8),OFFSET(Intv_Ann_TO!K2311,0,-$I279),0)</f>
        <v>0</v>
      </c>
      <c r="L279" s="5">
        <f ca="1">IF(AND($I279,$I279&lt;L$8),OFFSET(Intv_Ann_TO!L2311,0,-$I279),0)</f>
        <v>0</v>
      </c>
      <c r="M279" s="5">
        <f ca="1">IF(AND($I279,$I279&lt;M$8),OFFSET(Intv_Ann_TO!M2311,0,-$I279),0)</f>
        <v>0</v>
      </c>
      <c r="N279" s="5">
        <f ca="1">IF(AND($I279,$I279&lt;N$8),OFFSET(Intv_Ann_TO!N2311,0,-$I279),0)</f>
        <v>0</v>
      </c>
      <c r="O279" s="5">
        <f ca="1">IF(AND($I279,$I279&lt;O$8),OFFSET(Intv_Ann_TO!O2311,0,-$I279),0)</f>
        <v>0</v>
      </c>
    </row>
    <row r="280" spans="4:15" s="327" customFormat="1" hidden="1" outlineLevel="1" x14ac:dyDescent="0.2">
      <c r="D280" s="660" t="str">
        <f>Intv_Ann_TO!D2312</f>
        <v>Luapula</v>
      </c>
      <c r="H280" s="660" t="str">
        <f>Intv_Ann_TO!H2312</f>
        <v>PALL</v>
      </c>
      <c r="I280" s="5">
        <f>IFERROR(INDEX(Reg_Pop_Ann_TA!$H$110:$H$116,MATCH(H280,Reg_Pop_Ann_TA!$D$110:$D$116,0)),0)</f>
        <v>0</v>
      </c>
      <c r="J280" s="5">
        <f ca="1">IF(AND($I280,$I280&lt;J$8),OFFSET(Intv_Ann_TO!J2312,0,-$I280),0)</f>
        <v>0</v>
      </c>
      <c r="K280" s="5">
        <f ca="1">IF(AND($I280,$I280&lt;K$8),OFFSET(Intv_Ann_TO!K2312,0,-$I280),0)</f>
        <v>0</v>
      </c>
      <c r="L280" s="5">
        <f ca="1">IF(AND($I280,$I280&lt;L$8),OFFSET(Intv_Ann_TO!L2312,0,-$I280),0)</f>
        <v>0</v>
      </c>
      <c r="M280" s="5">
        <f ca="1">IF(AND($I280,$I280&lt;M$8),OFFSET(Intv_Ann_TO!M2312,0,-$I280),0)</f>
        <v>0</v>
      </c>
      <c r="N280" s="5">
        <f ca="1">IF(AND($I280,$I280&lt;N$8),OFFSET(Intv_Ann_TO!N2312,0,-$I280),0)</f>
        <v>0</v>
      </c>
      <c r="O280" s="5">
        <f ca="1">IF(AND($I280,$I280&lt;O$8),OFFSET(Intv_Ann_TO!O2312,0,-$I280),0)</f>
        <v>0</v>
      </c>
    </row>
    <row r="281" spans="4:15" s="327" customFormat="1" hidden="1" outlineLevel="1" x14ac:dyDescent="0.2">
      <c r="D281" s="660" t="str">
        <f>Intv_Ann_TO!D2313</f>
        <v>Lusaka</v>
      </c>
      <c r="H281" s="660" t="str">
        <f>Intv_Ann_TO!H2313</f>
        <v>PALL</v>
      </c>
      <c r="I281" s="5">
        <f>IFERROR(INDEX(Reg_Pop_Ann_TA!$H$110:$H$116,MATCH(H281,Reg_Pop_Ann_TA!$D$110:$D$116,0)),0)</f>
        <v>0</v>
      </c>
      <c r="J281" s="5">
        <f ca="1">IF(AND($I281,$I281&lt;J$8),OFFSET(Intv_Ann_TO!J2313,0,-$I281),0)</f>
        <v>0</v>
      </c>
      <c r="K281" s="5">
        <f ca="1">IF(AND($I281,$I281&lt;K$8),OFFSET(Intv_Ann_TO!K2313,0,-$I281),0)</f>
        <v>0</v>
      </c>
      <c r="L281" s="5">
        <f ca="1">IF(AND($I281,$I281&lt;L$8),OFFSET(Intv_Ann_TO!L2313,0,-$I281),0)</f>
        <v>0</v>
      </c>
      <c r="M281" s="5">
        <f ca="1">IF(AND($I281,$I281&lt;M$8),OFFSET(Intv_Ann_TO!M2313,0,-$I281),0)</f>
        <v>0</v>
      </c>
      <c r="N281" s="5">
        <f ca="1">IF(AND($I281,$I281&lt;N$8),OFFSET(Intv_Ann_TO!N2313,0,-$I281),0)</f>
        <v>0</v>
      </c>
      <c r="O281" s="5">
        <f ca="1">IF(AND($I281,$I281&lt;O$8),OFFSET(Intv_Ann_TO!O2313,0,-$I281),0)</f>
        <v>0</v>
      </c>
    </row>
    <row r="282" spans="4:15" s="327" customFormat="1" hidden="1" outlineLevel="1" x14ac:dyDescent="0.2">
      <c r="D282" s="660" t="str">
        <f>Intv_Ann_TO!D2314</f>
        <v>Muchinga</v>
      </c>
      <c r="H282" s="660" t="str">
        <f>Intv_Ann_TO!H2314</f>
        <v>PALL</v>
      </c>
      <c r="I282" s="5">
        <f>IFERROR(INDEX(Reg_Pop_Ann_TA!$H$110:$H$116,MATCH(H282,Reg_Pop_Ann_TA!$D$110:$D$116,0)),0)</f>
        <v>0</v>
      </c>
      <c r="J282" s="5">
        <f ca="1">IF(AND($I282,$I282&lt;J$8),OFFSET(Intv_Ann_TO!J2314,0,-$I282),0)</f>
        <v>0</v>
      </c>
      <c r="K282" s="5">
        <f ca="1">IF(AND($I282,$I282&lt;K$8),OFFSET(Intv_Ann_TO!K2314,0,-$I282),0)</f>
        <v>0</v>
      </c>
      <c r="L282" s="5">
        <f ca="1">IF(AND($I282,$I282&lt;L$8),OFFSET(Intv_Ann_TO!L2314,0,-$I282),0)</f>
        <v>0</v>
      </c>
      <c r="M282" s="5">
        <f ca="1">IF(AND($I282,$I282&lt;M$8),OFFSET(Intv_Ann_TO!M2314,0,-$I282),0)</f>
        <v>0</v>
      </c>
      <c r="N282" s="5">
        <f ca="1">IF(AND($I282,$I282&lt;N$8),OFFSET(Intv_Ann_TO!N2314,0,-$I282),0)</f>
        <v>0</v>
      </c>
      <c r="O282" s="5">
        <f ca="1">IF(AND($I282,$I282&lt;O$8),OFFSET(Intv_Ann_TO!O2314,0,-$I282),0)</f>
        <v>0</v>
      </c>
    </row>
    <row r="283" spans="4:15" s="327" customFormat="1" hidden="1" outlineLevel="1" x14ac:dyDescent="0.2">
      <c r="D283" s="660" t="str">
        <f>Intv_Ann_TO!D2315</f>
        <v>Northern</v>
      </c>
      <c r="H283" s="660" t="str">
        <f>Intv_Ann_TO!H2315</f>
        <v>PALL</v>
      </c>
      <c r="I283" s="5">
        <f>IFERROR(INDEX(Reg_Pop_Ann_TA!$H$110:$H$116,MATCH(H283,Reg_Pop_Ann_TA!$D$110:$D$116,0)),0)</f>
        <v>0</v>
      </c>
      <c r="J283" s="5">
        <f ca="1">IF(AND($I283,$I283&lt;J$8),OFFSET(Intv_Ann_TO!J2315,0,-$I283),0)</f>
        <v>0</v>
      </c>
      <c r="K283" s="5">
        <f ca="1">IF(AND($I283,$I283&lt;K$8),OFFSET(Intv_Ann_TO!K2315,0,-$I283),0)</f>
        <v>0</v>
      </c>
      <c r="L283" s="5">
        <f ca="1">IF(AND($I283,$I283&lt;L$8),OFFSET(Intv_Ann_TO!L2315,0,-$I283),0)</f>
        <v>0</v>
      </c>
      <c r="M283" s="5">
        <f ca="1">IF(AND($I283,$I283&lt;M$8),OFFSET(Intv_Ann_TO!M2315,0,-$I283),0)</f>
        <v>0</v>
      </c>
      <c r="N283" s="5">
        <f ca="1">IF(AND($I283,$I283&lt;N$8),OFFSET(Intv_Ann_TO!N2315,0,-$I283),0)</f>
        <v>0</v>
      </c>
      <c r="O283" s="5">
        <f ca="1">IF(AND($I283,$I283&lt;O$8),OFFSET(Intv_Ann_TO!O2315,0,-$I283),0)</f>
        <v>0</v>
      </c>
    </row>
    <row r="284" spans="4:15" s="327" customFormat="1" hidden="1" outlineLevel="1" x14ac:dyDescent="0.2">
      <c r="D284" s="660" t="str">
        <f>Intv_Ann_TO!D2316</f>
        <v>North-Western</v>
      </c>
      <c r="H284" s="660" t="str">
        <f>Intv_Ann_TO!H2316</f>
        <v>PALL</v>
      </c>
      <c r="I284" s="5">
        <f>IFERROR(INDEX(Reg_Pop_Ann_TA!$H$110:$H$116,MATCH(H284,Reg_Pop_Ann_TA!$D$110:$D$116,0)),0)</f>
        <v>0</v>
      </c>
      <c r="J284" s="5">
        <f ca="1">IF(AND($I284,$I284&lt;J$8),OFFSET(Intv_Ann_TO!J2316,0,-$I284),0)</f>
        <v>0</v>
      </c>
      <c r="K284" s="5">
        <f ca="1">IF(AND($I284,$I284&lt;K$8),OFFSET(Intv_Ann_TO!K2316,0,-$I284),0)</f>
        <v>0</v>
      </c>
      <c r="L284" s="5">
        <f ca="1">IF(AND($I284,$I284&lt;L$8),OFFSET(Intv_Ann_TO!L2316,0,-$I284),0)</f>
        <v>0</v>
      </c>
      <c r="M284" s="5">
        <f ca="1">IF(AND($I284,$I284&lt;M$8),OFFSET(Intv_Ann_TO!M2316,0,-$I284),0)</f>
        <v>0</v>
      </c>
      <c r="N284" s="5">
        <f ca="1">IF(AND($I284,$I284&lt;N$8),OFFSET(Intv_Ann_TO!N2316,0,-$I284),0)</f>
        <v>0</v>
      </c>
      <c r="O284" s="5">
        <f ca="1">IF(AND($I284,$I284&lt;O$8),OFFSET(Intv_Ann_TO!O2316,0,-$I284),0)</f>
        <v>0</v>
      </c>
    </row>
    <row r="285" spans="4:15" s="327" customFormat="1" hidden="1" outlineLevel="1" x14ac:dyDescent="0.2">
      <c r="D285" s="660" t="str">
        <f>Intv_Ann_TO!D2317</f>
        <v>Southern</v>
      </c>
      <c r="H285" s="660" t="str">
        <f>Intv_Ann_TO!H2317</f>
        <v>PALL</v>
      </c>
      <c r="I285" s="5">
        <f>IFERROR(INDEX(Reg_Pop_Ann_TA!$H$110:$H$116,MATCH(H285,Reg_Pop_Ann_TA!$D$110:$D$116,0)),0)</f>
        <v>0</v>
      </c>
      <c r="J285" s="5">
        <f ca="1">IF(AND($I285,$I285&lt;J$8),OFFSET(Intv_Ann_TO!J2317,0,-$I285),0)</f>
        <v>0</v>
      </c>
      <c r="K285" s="5">
        <f ca="1">IF(AND($I285,$I285&lt;K$8),OFFSET(Intv_Ann_TO!K2317,0,-$I285),0)</f>
        <v>0</v>
      </c>
      <c r="L285" s="5">
        <f ca="1">IF(AND($I285,$I285&lt;L$8),OFFSET(Intv_Ann_TO!L2317,0,-$I285),0)</f>
        <v>0</v>
      </c>
      <c r="M285" s="5">
        <f ca="1">IF(AND($I285,$I285&lt;M$8),OFFSET(Intv_Ann_TO!M2317,0,-$I285),0)</f>
        <v>0</v>
      </c>
      <c r="N285" s="5">
        <f ca="1">IF(AND($I285,$I285&lt;N$8),OFFSET(Intv_Ann_TO!N2317,0,-$I285),0)</f>
        <v>0</v>
      </c>
      <c r="O285" s="5">
        <f ca="1">IF(AND($I285,$I285&lt;O$8),OFFSET(Intv_Ann_TO!O2317,0,-$I285),0)</f>
        <v>0</v>
      </c>
    </row>
    <row r="286" spans="4:15" s="327" customFormat="1" hidden="1" outlineLevel="1" x14ac:dyDescent="0.2">
      <c r="D286" s="660" t="str">
        <f>Intv_Ann_TO!D2318</f>
        <v>Western</v>
      </c>
      <c r="H286" s="660" t="str">
        <f>Intv_Ann_TO!H2318</f>
        <v>PALL</v>
      </c>
      <c r="I286" s="5">
        <f>IFERROR(INDEX(Reg_Pop_Ann_TA!$H$110:$H$116,MATCH(H286,Reg_Pop_Ann_TA!$D$110:$D$116,0)),0)</f>
        <v>0</v>
      </c>
      <c r="J286" s="5">
        <f ca="1">IF(AND($I286,$I286&lt;J$8),OFFSET(Intv_Ann_TO!J2318,0,-$I286),0)</f>
        <v>0</v>
      </c>
      <c r="K286" s="5">
        <f ca="1">IF(AND($I286,$I286&lt;K$8),OFFSET(Intv_Ann_TO!K2318,0,-$I286),0)</f>
        <v>0</v>
      </c>
      <c r="L286" s="5">
        <f ca="1">IF(AND($I286,$I286&lt;L$8),OFFSET(Intv_Ann_TO!L2318,0,-$I286),0)</f>
        <v>0</v>
      </c>
      <c r="M286" s="5">
        <f ca="1">IF(AND($I286,$I286&lt;M$8),OFFSET(Intv_Ann_TO!M2318,0,-$I286),0)</f>
        <v>0</v>
      </c>
      <c r="N286" s="5">
        <f ca="1">IF(AND($I286,$I286&lt;N$8),OFFSET(Intv_Ann_TO!N2318,0,-$I286),0)</f>
        <v>0</v>
      </c>
      <c r="O286" s="5">
        <f ca="1">IF(AND($I286,$I286&lt;O$8),OFFSET(Intv_Ann_TO!O2318,0,-$I286),0)</f>
        <v>0</v>
      </c>
    </row>
    <row r="287" spans="4:15" s="327" customFormat="1" ht="15" collapsed="1" x14ac:dyDescent="0.2">
      <c r="D287" s="658" t="s">
        <v>749</v>
      </c>
      <c r="H287" s="646"/>
      <c r="I287" s="14"/>
      <c r="J287" s="5">
        <f t="shared" ref="J287:O287" ca="1" si="32">SUM(J217:J286)</f>
        <v>0</v>
      </c>
      <c r="K287" s="5">
        <f t="shared" ca="1" si="32"/>
        <v>11639</v>
      </c>
      <c r="L287" s="5">
        <f t="shared" ca="1" si="32"/>
        <v>11639</v>
      </c>
      <c r="M287" s="5">
        <f t="shared" ca="1" si="32"/>
        <v>11639</v>
      </c>
      <c r="N287" s="5">
        <f t="shared" ca="1" si="32"/>
        <v>11639</v>
      </c>
      <c r="O287" s="5">
        <f t="shared" ca="1" si="32"/>
        <v>11639</v>
      </c>
    </row>
    <row r="288" spans="4:15" s="327" customFormat="1" x14ac:dyDescent="0.2"/>
    <row r="289" spans="4:15" s="327" customFormat="1" x14ac:dyDescent="0.2"/>
    <row r="290" spans="4:15" s="327" customFormat="1" ht="15" x14ac:dyDescent="0.2">
      <c r="D290" s="658" t="s">
        <v>750</v>
      </c>
    </row>
    <row r="291" spans="4:15" s="327" customFormat="1" hidden="1" outlineLevel="1" x14ac:dyDescent="0.2">
      <c r="D291" s="660" t="str">
        <f>Plac_Start_Facs_BA!C10</f>
        <v>Central</v>
      </c>
      <c r="J291" s="8">
        <f t="shared" ref="J291:O300" ca="1" si="33">ROUND(SUMIF($D$217:$D$286,$D291,J$217:J$286),0)</f>
        <v>0</v>
      </c>
      <c r="K291" s="8">
        <f t="shared" ca="1" si="33"/>
        <v>794</v>
      </c>
      <c r="L291" s="8">
        <f t="shared" ca="1" si="33"/>
        <v>794</v>
      </c>
      <c r="M291" s="8">
        <f t="shared" ca="1" si="33"/>
        <v>794</v>
      </c>
      <c r="N291" s="8">
        <f t="shared" ca="1" si="33"/>
        <v>794</v>
      </c>
      <c r="O291" s="8">
        <f t="shared" ca="1" si="33"/>
        <v>794</v>
      </c>
    </row>
    <row r="292" spans="4:15" s="327" customFormat="1" hidden="1" outlineLevel="1" x14ac:dyDescent="0.2">
      <c r="D292" s="660" t="str">
        <f>Plac_Start_Facs_BA!C11</f>
        <v>Copperbelt</v>
      </c>
      <c r="J292" s="8">
        <f t="shared" ca="1" si="33"/>
        <v>0</v>
      </c>
      <c r="K292" s="8">
        <f t="shared" ca="1" si="33"/>
        <v>1115</v>
      </c>
      <c r="L292" s="8">
        <f t="shared" ca="1" si="33"/>
        <v>1115</v>
      </c>
      <c r="M292" s="8">
        <f t="shared" ca="1" si="33"/>
        <v>1115</v>
      </c>
      <c r="N292" s="8">
        <f t="shared" ca="1" si="33"/>
        <v>1115</v>
      </c>
      <c r="O292" s="8">
        <f t="shared" ca="1" si="33"/>
        <v>1115</v>
      </c>
    </row>
    <row r="293" spans="4:15" s="327" customFormat="1" hidden="1" outlineLevel="1" x14ac:dyDescent="0.2">
      <c r="D293" s="660" t="str">
        <f>Plac_Start_Facs_BA!C12</f>
        <v>Eastern</v>
      </c>
      <c r="J293" s="8">
        <f t="shared" ca="1" si="33"/>
        <v>0</v>
      </c>
      <c r="K293" s="8">
        <f t="shared" ca="1" si="33"/>
        <v>1436</v>
      </c>
      <c r="L293" s="8">
        <f t="shared" ca="1" si="33"/>
        <v>1436</v>
      </c>
      <c r="M293" s="8">
        <f t="shared" ca="1" si="33"/>
        <v>1436</v>
      </c>
      <c r="N293" s="8">
        <f t="shared" ca="1" si="33"/>
        <v>1436</v>
      </c>
      <c r="O293" s="8">
        <f t="shared" ca="1" si="33"/>
        <v>1436</v>
      </c>
    </row>
    <row r="294" spans="4:15" s="327" customFormat="1" hidden="1" outlineLevel="1" x14ac:dyDescent="0.2">
      <c r="D294" s="660" t="str">
        <f>Plac_Start_Facs_BA!C13</f>
        <v>Luapula</v>
      </c>
      <c r="J294" s="8">
        <f t="shared" ca="1" si="33"/>
        <v>0</v>
      </c>
      <c r="K294" s="8">
        <f t="shared" ca="1" si="33"/>
        <v>1115</v>
      </c>
      <c r="L294" s="8">
        <f t="shared" ca="1" si="33"/>
        <v>1115</v>
      </c>
      <c r="M294" s="8">
        <f t="shared" ca="1" si="33"/>
        <v>1115</v>
      </c>
      <c r="N294" s="8">
        <f t="shared" ca="1" si="33"/>
        <v>1115</v>
      </c>
      <c r="O294" s="8">
        <f t="shared" ca="1" si="33"/>
        <v>1115</v>
      </c>
    </row>
    <row r="295" spans="4:15" s="327" customFormat="1" hidden="1" outlineLevel="1" x14ac:dyDescent="0.2">
      <c r="D295" s="660" t="str">
        <f>Plac_Start_Facs_BA!C14</f>
        <v>Lusaka</v>
      </c>
      <c r="J295" s="8">
        <f t="shared" ca="1" si="33"/>
        <v>0</v>
      </c>
      <c r="K295" s="8">
        <f t="shared" ca="1" si="33"/>
        <v>4004</v>
      </c>
      <c r="L295" s="8">
        <f t="shared" ca="1" si="33"/>
        <v>4004</v>
      </c>
      <c r="M295" s="8">
        <f t="shared" ca="1" si="33"/>
        <v>4004</v>
      </c>
      <c r="N295" s="8">
        <f t="shared" ca="1" si="33"/>
        <v>4004</v>
      </c>
      <c r="O295" s="8">
        <f t="shared" ca="1" si="33"/>
        <v>4004</v>
      </c>
    </row>
    <row r="296" spans="4:15" s="327" customFormat="1" hidden="1" outlineLevel="1" x14ac:dyDescent="0.2">
      <c r="D296" s="660" t="str">
        <f>Plac_Start_Facs_BA!C15</f>
        <v>Muchinga</v>
      </c>
      <c r="J296" s="8">
        <f t="shared" ca="1" si="33"/>
        <v>0</v>
      </c>
      <c r="K296" s="8">
        <f t="shared" ca="1" si="33"/>
        <v>76</v>
      </c>
      <c r="L296" s="8">
        <f t="shared" ca="1" si="33"/>
        <v>76</v>
      </c>
      <c r="M296" s="8">
        <f t="shared" ca="1" si="33"/>
        <v>76</v>
      </c>
      <c r="N296" s="8">
        <f t="shared" ca="1" si="33"/>
        <v>76</v>
      </c>
      <c r="O296" s="8">
        <f t="shared" ca="1" si="33"/>
        <v>76</v>
      </c>
    </row>
    <row r="297" spans="4:15" s="327" customFormat="1" hidden="1" outlineLevel="1" x14ac:dyDescent="0.2">
      <c r="D297" s="660" t="str">
        <f>Plac_Start_Facs_BA!C16</f>
        <v>Northern</v>
      </c>
      <c r="J297" s="8">
        <f t="shared" ca="1" si="33"/>
        <v>0</v>
      </c>
      <c r="K297" s="8">
        <f t="shared" ca="1" si="33"/>
        <v>396</v>
      </c>
      <c r="L297" s="8">
        <f t="shared" ca="1" si="33"/>
        <v>396</v>
      </c>
      <c r="M297" s="8">
        <f t="shared" ca="1" si="33"/>
        <v>396</v>
      </c>
      <c r="N297" s="8">
        <f t="shared" ca="1" si="33"/>
        <v>396</v>
      </c>
      <c r="O297" s="8">
        <f t="shared" ca="1" si="33"/>
        <v>396</v>
      </c>
    </row>
    <row r="298" spans="4:15" s="327" customFormat="1" hidden="1" outlineLevel="1" x14ac:dyDescent="0.2">
      <c r="D298" s="660" t="str">
        <f>Plac_Start_Facs_BA!C17</f>
        <v>North-Western</v>
      </c>
      <c r="J298" s="8">
        <f t="shared" ca="1" si="33"/>
        <v>0</v>
      </c>
      <c r="K298" s="8">
        <f t="shared" ca="1" si="33"/>
        <v>473</v>
      </c>
      <c r="L298" s="8">
        <f t="shared" ca="1" si="33"/>
        <v>473</v>
      </c>
      <c r="M298" s="8">
        <f t="shared" ca="1" si="33"/>
        <v>473</v>
      </c>
      <c r="N298" s="8">
        <f t="shared" ca="1" si="33"/>
        <v>473</v>
      </c>
      <c r="O298" s="8">
        <f t="shared" ca="1" si="33"/>
        <v>473</v>
      </c>
    </row>
    <row r="299" spans="4:15" s="327" customFormat="1" hidden="1" outlineLevel="1" x14ac:dyDescent="0.2">
      <c r="D299" s="660" t="str">
        <f>Plac_Start_Facs_BA!C18</f>
        <v>Southern</v>
      </c>
      <c r="J299" s="8">
        <f t="shared" ca="1" si="33"/>
        <v>0</v>
      </c>
      <c r="K299" s="8">
        <f t="shared" ca="1" si="33"/>
        <v>1115</v>
      </c>
      <c r="L299" s="8">
        <f t="shared" ca="1" si="33"/>
        <v>1115</v>
      </c>
      <c r="M299" s="8">
        <f t="shared" ca="1" si="33"/>
        <v>1115</v>
      </c>
      <c r="N299" s="8">
        <f t="shared" ca="1" si="33"/>
        <v>1115</v>
      </c>
      <c r="O299" s="8">
        <f t="shared" ca="1" si="33"/>
        <v>1115</v>
      </c>
    </row>
    <row r="300" spans="4:15" s="327" customFormat="1" hidden="1" outlineLevel="1" x14ac:dyDescent="0.2">
      <c r="D300" s="660" t="str">
        <f>Plac_Start_Facs_BA!C19</f>
        <v>Western</v>
      </c>
      <c r="J300" s="15">
        <f t="shared" ca="1" si="33"/>
        <v>0</v>
      </c>
      <c r="K300" s="15">
        <f t="shared" ca="1" si="33"/>
        <v>1115</v>
      </c>
      <c r="L300" s="15">
        <f t="shared" ca="1" si="33"/>
        <v>1115</v>
      </c>
      <c r="M300" s="15">
        <f t="shared" ca="1" si="33"/>
        <v>1115</v>
      </c>
      <c r="N300" s="15">
        <f t="shared" ca="1" si="33"/>
        <v>1115</v>
      </c>
      <c r="O300" s="15">
        <f t="shared" ca="1" si="33"/>
        <v>1115</v>
      </c>
    </row>
    <row r="301" spans="4:15" s="327" customFormat="1" ht="15" collapsed="1" x14ac:dyDescent="0.2">
      <c r="D301" s="679" t="str">
        <f>"Total "&amp;D290</f>
        <v>Total Eligible for Re-Screening (Post Diag. or Treatment)</v>
      </c>
      <c r="J301" s="25">
        <f t="shared" ref="J301:O301" ca="1" si="34">SUM(J291:J300)</f>
        <v>0</v>
      </c>
      <c r="K301" s="25">
        <f t="shared" ca="1" si="34"/>
        <v>11639</v>
      </c>
      <c r="L301" s="25">
        <f t="shared" ca="1" si="34"/>
        <v>11639</v>
      </c>
      <c r="M301" s="25">
        <f t="shared" ca="1" si="34"/>
        <v>11639</v>
      </c>
      <c r="N301" s="25">
        <f t="shared" ca="1" si="34"/>
        <v>11639</v>
      </c>
      <c r="O301" s="25">
        <f t="shared" ca="1" si="34"/>
        <v>11639</v>
      </c>
    </row>
    <row r="302" spans="4:15" s="327" customFormat="1" x14ac:dyDescent="0.2"/>
    <row r="303" spans="4:15" s="327" customFormat="1" ht="15" x14ac:dyDescent="0.2">
      <c r="D303" s="658" t="s">
        <v>751</v>
      </c>
    </row>
    <row r="304" spans="4:15" s="327" customFormat="1" hidden="1" outlineLevel="1" x14ac:dyDescent="0.2">
      <c r="D304" s="660" t="str">
        <f>Reg_Pop_Ann_TA!D131</f>
        <v>Central</v>
      </c>
      <c r="J304" s="8">
        <f t="shared" ref="J304:O313" ca="1" si="35">MAX(I304+J190+J203+J291-(I361-I173),0)</f>
        <v>0</v>
      </c>
      <c r="K304" s="8">
        <f t="shared" ca="1" si="35"/>
        <v>794</v>
      </c>
      <c r="L304" s="8">
        <f t="shared" ca="1" si="35"/>
        <v>1588</v>
      </c>
      <c r="M304" s="8">
        <f t="shared" ca="1" si="35"/>
        <v>7134</v>
      </c>
      <c r="N304" s="8">
        <f t="shared" ca="1" si="35"/>
        <v>12680</v>
      </c>
      <c r="O304" s="8">
        <f t="shared" ca="1" si="35"/>
        <v>18226</v>
      </c>
    </row>
    <row r="305" spans="3:15" s="327" customFormat="1" hidden="1" outlineLevel="1" x14ac:dyDescent="0.2">
      <c r="D305" s="660" t="str">
        <f>Reg_Pop_Ann_TA!D132</f>
        <v>Copperbelt</v>
      </c>
      <c r="J305" s="8">
        <f t="shared" ca="1" si="35"/>
        <v>0</v>
      </c>
      <c r="K305" s="8">
        <f t="shared" ca="1" si="35"/>
        <v>1115</v>
      </c>
      <c r="L305" s="8">
        <f t="shared" ca="1" si="35"/>
        <v>2230</v>
      </c>
      <c r="M305" s="8">
        <f t="shared" ca="1" si="35"/>
        <v>10018</v>
      </c>
      <c r="N305" s="8">
        <f t="shared" ca="1" si="35"/>
        <v>17806</v>
      </c>
      <c r="O305" s="8">
        <f t="shared" ca="1" si="35"/>
        <v>25594</v>
      </c>
    </row>
    <row r="306" spans="3:15" s="327" customFormat="1" hidden="1" outlineLevel="1" x14ac:dyDescent="0.2">
      <c r="D306" s="660" t="str">
        <f>Reg_Pop_Ann_TA!D133</f>
        <v>Eastern</v>
      </c>
      <c r="J306" s="8">
        <f t="shared" ca="1" si="35"/>
        <v>0</v>
      </c>
      <c r="K306" s="8">
        <f t="shared" ca="1" si="35"/>
        <v>1436</v>
      </c>
      <c r="L306" s="8">
        <f t="shared" ca="1" si="35"/>
        <v>2872</v>
      </c>
      <c r="M306" s="8">
        <f t="shared" ca="1" si="35"/>
        <v>12903</v>
      </c>
      <c r="N306" s="8">
        <f t="shared" ca="1" si="35"/>
        <v>22933</v>
      </c>
      <c r="O306" s="8">
        <f t="shared" ca="1" si="35"/>
        <v>32964</v>
      </c>
    </row>
    <row r="307" spans="3:15" s="327" customFormat="1" hidden="1" outlineLevel="1" x14ac:dyDescent="0.2">
      <c r="D307" s="660" t="str">
        <f>Reg_Pop_Ann_TA!D134</f>
        <v>Luapula</v>
      </c>
      <c r="J307" s="8">
        <f t="shared" ca="1" si="35"/>
        <v>0</v>
      </c>
      <c r="K307" s="8">
        <f t="shared" ca="1" si="35"/>
        <v>1115</v>
      </c>
      <c r="L307" s="8">
        <f t="shared" ca="1" si="35"/>
        <v>2230</v>
      </c>
      <c r="M307" s="8">
        <f t="shared" ca="1" si="35"/>
        <v>10018</v>
      </c>
      <c r="N307" s="8">
        <f t="shared" ca="1" si="35"/>
        <v>17806</v>
      </c>
      <c r="O307" s="8">
        <f t="shared" ca="1" si="35"/>
        <v>25594</v>
      </c>
    </row>
    <row r="308" spans="3:15" s="327" customFormat="1" hidden="1" outlineLevel="1" x14ac:dyDescent="0.2">
      <c r="D308" s="660" t="str">
        <f>Reg_Pop_Ann_TA!D135</f>
        <v>Lusaka</v>
      </c>
      <c r="J308" s="8">
        <f t="shared" ca="1" si="35"/>
        <v>0</v>
      </c>
      <c r="K308" s="8">
        <f t="shared" ca="1" si="35"/>
        <v>4004</v>
      </c>
      <c r="L308" s="8">
        <f t="shared" ca="1" si="35"/>
        <v>8008</v>
      </c>
      <c r="M308" s="8">
        <f t="shared" ca="1" si="35"/>
        <v>35975</v>
      </c>
      <c r="N308" s="8">
        <f t="shared" ca="1" si="35"/>
        <v>63943</v>
      </c>
      <c r="O308" s="8">
        <f t="shared" ca="1" si="35"/>
        <v>91910</v>
      </c>
    </row>
    <row r="309" spans="3:15" s="327" customFormat="1" hidden="1" outlineLevel="1" x14ac:dyDescent="0.2">
      <c r="D309" s="660" t="str">
        <f>Reg_Pop_Ann_TA!D136</f>
        <v>Muchinga</v>
      </c>
      <c r="J309" s="8">
        <f t="shared" ca="1" si="35"/>
        <v>0</v>
      </c>
      <c r="K309" s="8">
        <f t="shared" ca="1" si="35"/>
        <v>76</v>
      </c>
      <c r="L309" s="8">
        <f t="shared" ca="1" si="35"/>
        <v>152</v>
      </c>
      <c r="M309" s="8">
        <f t="shared" ca="1" si="35"/>
        <v>683</v>
      </c>
      <c r="N309" s="8">
        <f t="shared" ca="1" si="35"/>
        <v>1214</v>
      </c>
      <c r="O309" s="8">
        <f t="shared" ca="1" si="35"/>
        <v>1745</v>
      </c>
    </row>
    <row r="310" spans="3:15" s="327" customFormat="1" hidden="1" outlineLevel="1" x14ac:dyDescent="0.2">
      <c r="D310" s="660" t="str">
        <f>Reg_Pop_Ann_TA!D137</f>
        <v>Northern</v>
      </c>
      <c r="J310" s="8">
        <f t="shared" ca="1" si="35"/>
        <v>0</v>
      </c>
      <c r="K310" s="8">
        <f t="shared" ca="1" si="35"/>
        <v>396</v>
      </c>
      <c r="L310" s="8">
        <f t="shared" ca="1" si="35"/>
        <v>792</v>
      </c>
      <c r="M310" s="8">
        <f t="shared" ca="1" si="35"/>
        <v>3564</v>
      </c>
      <c r="N310" s="8">
        <f t="shared" ca="1" si="35"/>
        <v>6335</v>
      </c>
      <c r="O310" s="8">
        <f t="shared" ca="1" si="35"/>
        <v>9107</v>
      </c>
    </row>
    <row r="311" spans="3:15" s="327" customFormat="1" hidden="1" outlineLevel="1" x14ac:dyDescent="0.2">
      <c r="D311" s="660" t="str">
        <f>Reg_Pop_Ann_TA!D138</f>
        <v>North-Western</v>
      </c>
      <c r="J311" s="8">
        <f t="shared" ca="1" si="35"/>
        <v>0</v>
      </c>
      <c r="K311" s="8">
        <f t="shared" ca="1" si="35"/>
        <v>473</v>
      </c>
      <c r="L311" s="8">
        <f t="shared" ca="1" si="35"/>
        <v>946</v>
      </c>
      <c r="M311" s="8">
        <f t="shared" ca="1" si="35"/>
        <v>4250</v>
      </c>
      <c r="N311" s="8">
        <f t="shared" ca="1" si="35"/>
        <v>7554</v>
      </c>
      <c r="O311" s="8">
        <f t="shared" ca="1" si="35"/>
        <v>10858</v>
      </c>
    </row>
    <row r="312" spans="3:15" s="327" customFormat="1" hidden="1" outlineLevel="1" x14ac:dyDescent="0.2">
      <c r="D312" s="660" t="str">
        <f>Reg_Pop_Ann_TA!D139</f>
        <v>Southern</v>
      </c>
      <c r="J312" s="8">
        <f t="shared" ca="1" si="35"/>
        <v>0</v>
      </c>
      <c r="K312" s="8">
        <f t="shared" ca="1" si="35"/>
        <v>1115</v>
      </c>
      <c r="L312" s="8">
        <f t="shared" ca="1" si="35"/>
        <v>2230</v>
      </c>
      <c r="M312" s="8">
        <f t="shared" ca="1" si="35"/>
        <v>10018</v>
      </c>
      <c r="N312" s="8">
        <f t="shared" ca="1" si="35"/>
        <v>17806</v>
      </c>
      <c r="O312" s="8">
        <f t="shared" ca="1" si="35"/>
        <v>25594</v>
      </c>
    </row>
    <row r="313" spans="3:15" s="327" customFormat="1" hidden="1" outlineLevel="1" x14ac:dyDescent="0.2">
      <c r="D313" s="660" t="str">
        <f>Reg_Pop_Ann_TA!D140</f>
        <v>Western</v>
      </c>
      <c r="J313" s="15">
        <f t="shared" ca="1" si="35"/>
        <v>0</v>
      </c>
      <c r="K313" s="15">
        <f t="shared" ca="1" si="35"/>
        <v>1115</v>
      </c>
      <c r="L313" s="15">
        <f t="shared" ca="1" si="35"/>
        <v>2230</v>
      </c>
      <c r="M313" s="15">
        <f t="shared" ca="1" si="35"/>
        <v>10018</v>
      </c>
      <c r="N313" s="15">
        <f t="shared" ca="1" si="35"/>
        <v>17806</v>
      </c>
      <c r="O313" s="15">
        <f t="shared" ca="1" si="35"/>
        <v>25594</v>
      </c>
    </row>
    <row r="314" spans="3:15" s="327" customFormat="1" ht="15" collapsed="1" x14ac:dyDescent="0.2">
      <c r="D314" s="658" t="s">
        <v>121</v>
      </c>
      <c r="J314" s="25">
        <f t="shared" ref="J314:O314" ca="1" si="36">SUM(J304:J313)</f>
        <v>0</v>
      </c>
      <c r="K314" s="25">
        <f t="shared" ca="1" si="36"/>
        <v>11639</v>
      </c>
      <c r="L314" s="25">
        <f t="shared" ca="1" si="36"/>
        <v>23278</v>
      </c>
      <c r="M314" s="25">
        <f t="shared" ca="1" si="36"/>
        <v>104581</v>
      </c>
      <c r="N314" s="25">
        <f t="shared" ca="1" si="36"/>
        <v>185883</v>
      </c>
      <c r="O314" s="25">
        <f t="shared" ca="1" si="36"/>
        <v>267186</v>
      </c>
    </row>
    <row r="315" spans="3:15" s="327" customFormat="1" x14ac:dyDescent="0.2"/>
    <row r="316" spans="3:15" s="327" customFormat="1" ht="15.75" x14ac:dyDescent="0.2">
      <c r="C316" s="330" t="s">
        <v>1217</v>
      </c>
    </row>
    <row r="317" spans="3:15" s="327" customFormat="1" x14ac:dyDescent="0.2"/>
    <row r="318" spans="3:15" s="327" customFormat="1" x14ac:dyDescent="0.2">
      <c r="D318" s="660" t="str">
        <f t="shared" ref="D318:D327" si="37">D116</f>
        <v>Central</v>
      </c>
      <c r="J318" s="5">
        <f t="shared" ref="J318:O327" ca="1" si="38">J116+J304</f>
        <v>225987</v>
      </c>
      <c r="K318" s="5">
        <f t="shared" ca="1" si="38"/>
        <v>233878</v>
      </c>
      <c r="L318" s="5">
        <f t="shared" ca="1" si="38"/>
        <v>242170</v>
      </c>
      <c r="M318" s="5">
        <f t="shared" ca="1" si="38"/>
        <v>255606</v>
      </c>
      <c r="N318" s="5">
        <f t="shared" ca="1" si="38"/>
        <v>269406</v>
      </c>
      <c r="O318" s="5">
        <f t="shared" ca="1" si="38"/>
        <v>283552</v>
      </c>
    </row>
    <row r="319" spans="3:15" s="327" customFormat="1" x14ac:dyDescent="0.2">
      <c r="D319" s="660" t="str">
        <f t="shared" si="37"/>
        <v>Copperbelt</v>
      </c>
      <c r="J319" s="5">
        <f t="shared" ca="1" si="38"/>
        <v>386348</v>
      </c>
      <c r="K319" s="5">
        <f t="shared" ca="1" si="38"/>
        <v>399861</v>
      </c>
      <c r="L319" s="5">
        <f t="shared" ca="1" si="38"/>
        <v>414508</v>
      </c>
      <c r="M319" s="5">
        <f t="shared" ca="1" si="38"/>
        <v>436550</v>
      </c>
      <c r="N319" s="5">
        <f t="shared" ca="1" si="38"/>
        <v>458758</v>
      </c>
      <c r="O319" s="5">
        <f t="shared" ca="1" si="38"/>
        <v>480760</v>
      </c>
    </row>
    <row r="320" spans="3:15" s="327" customFormat="1" x14ac:dyDescent="0.2">
      <c r="D320" s="660" t="str">
        <f t="shared" si="37"/>
        <v>Eastern</v>
      </c>
      <c r="J320" s="5">
        <f t="shared" ca="1" si="38"/>
        <v>275606</v>
      </c>
      <c r="K320" s="5">
        <f t="shared" ca="1" si="38"/>
        <v>286176</v>
      </c>
      <c r="L320" s="5">
        <f t="shared" ca="1" si="38"/>
        <v>296873</v>
      </c>
      <c r="M320" s="5">
        <f t="shared" ca="1" si="38"/>
        <v>316408</v>
      </c>
      <c r="N320" s="5">
        <f t="shared" ca="1" si="38"/>
        <v>336311</v>
      </c>
      <c r="O320" s="5">
        <f t="shared" ca="1" si="38"/>
        <v>356661</v>
      </c>
    </row>
    <row r="321" spans="3:15" s="327" customFormat="1" x14ac:dyDescent="0.2">
      <c r="D321" s="660" t="str">
        <f t="shared" si="37"/>
        <v>Luapula</v>
      </c>
      <c r="J321" s="5">
        <f t="shared" ca="1" si="38"/>
        <v>172111</v>
      </c>
      <c r="K321" s="5">
        <f t="shared" ca="1" si="38"/>
        <v>177771</v>
      </c>
      <c r="L321" s="5">
        <f t="shared" ca="1" si="38"/>
        <v>183579</v>
      </c>
      <c r="M321" s="5">
        <f t="shared" ca="1" si="38"/>
        <v>196122</v>
      </c>
      <c r="N321" s="5">
        <f t="shared" ca="1" si="38"/>
        <v>209153</v>
      </c>
      <c r="O321" s="5">
        <f t="shared" ca="1" si="38"/>
        <v>222402</v>
      </c>
    </row>
    <row r="322" spans="3:15" s="327" customFormat="1" x14ac:dyDescent="0.2">
      <c r="D322" s="660" t="str">
        <f t="shared" si="37"/>
        <v>Lusaka</v>
      </c>
      <c r="J322" s="5">
        <f t="shared" ca="1" si="38"/>
        <v>515857</v>
      </c>
      <c r="K322" s="5">
        <f t="shared" ca="1" si="38"/>
        <v>547431</v>
      </c>
      <c r="L322" s="5">
        <f t="shared" ca="1" si="38"/>
        <v>579400</v>
      </c>
      <c r="M322" s="5">
        <f t="shared" ca="1" si="38"/>
        <v>635769</v>
      </c>
      <c r="N322" s="5">
        <f t="shared" ca="1" si="38"/>
        <v>692606</v>
      </c>
      <c r="O322" s="5">
        <f t="shared" ca="1" si="38"/>
        <v>749958</v>
      </c>
    </row>
    <row r="323" spans="3:15" s="327" customFormat="1" x14ac:dyDescent="0.2">
      <c r="D323" s="660" t="str">
        <f t="shared" si="37"/>
        <v>Muchinga</v>
      </c>
      <c r="J323" s="5">
        <f t="shared" ca="1" si="38"/>
        <v>133018</v>
      </c>
      <c r="K323" s="5">
        <f t="shared" ca="1" si="38"/>
        <v>140116</v>
      </c>
      <c r="L323" s="5">
        <f t="shared" ca="1" si="38"/>
        <v>147426</v>
      </c>
      <c r="M323" s="5">
        <f t="shared" ca="1" si="38"/>
        <v>155411</v>
      </c>
      <c r="N323" s="5">
        <f t="shared" ca="1" si="38"/>
        <v>163647</v>
      </c>
      <c r="O323" s="5">
        <f t="shared" ca="1" si="38"/>
        <v>172155</v>
      </c>
    </row>
    <row r="324" spans="3:15" s="327" customFormat="1" x14ac:dyDescent="0.2">
      <c r="D324" s="660" t="str">
        <f t="shared" si="37"/>
        <v>Northern</v>
      </c>
      <c r="J324" s="5">
        <f t="shared" ca="1" si="38"/>
        <v>191752</v>
      </c>
      <c r="K324" s="5">
        <f t="shared" ca="1" si="38"/>
        <v>199145</v>
      </c>
      <c r="L324" s="5">
        <f t="shared" ca="1" si="38"/>
        <v>206720</v>
      </c>
      <c r="M324" s="5">
        <f t="shared" ca="1" si="38"/>
        <v>216860</v>
      </c>
      <c r="N324" s="5">
        <f t="shared" ca="1" si="38"/>
        <v>227225</v>
      </c>
      <c r="O324" s="5">
        <f t="shared" ca="1" si="38"/>
        <v>237836</v>
      </c>
    </row>
    <row r="325" spans="3:15" s="327" customFormat="1" x14ac:dyDescent="0.2">
      <c r="D325" s="660" t="str">
        <f t="shared" si="37"/>
        <v>North-Western</v>
      </c>
      <c r="J325" s="5">
        <f t="shared" ca="1" si="38"/>
        <v>117114</v>
      </c>
      <c r="K325" s="5">
        <f t="shared" ca="1" si="38"/>
        <v>120845</v>
      </c>
      <c r="L325" s="5">
        <f t="shared" ca="1" si="38"/>
        <v>124809</v>
      </c>
      <c r="M325" s="5">
        <f t="shared" ca="1" si="38"/>
        <v>131837</v>
      </c>
      <c r="N325" s="5">
        <f t="shared" ca="1" si="38"/>
        <v>139095</v>
      </c>
      <c r="O325" s="5">
        <f t="shared" ca="1" si="38"/>
        <v>146563</v>
      </c>
    </row>
    <row r="326" spans="3:15" s="327" customFormat="1" x14ac:dyDescent="0.2">
      <c r="D326" s="660" t="str">
        <f t="shared" si="37"/>
        <v>Southern</v>
      </c>
      <c r="J326" s="5">
        <f t="shared" ca="1" si="38"/>
        <v>284213</v>
      </c>
      <c r="K326" s="5">
        <f t="shared" ca="1" si="38"/>
        <v>295002</v>
      </c>
      <c r="L326" s="5">
        <f t="shared" ca="1" si="38"/>
        <v>306150</v>
      </c>
      <c r="M326" s="5">
        <f t="shared" ca="1" si="38"/>
        <v>324316</v>
      </c>
      <c r="N326" s="5">
        <f t="shared" ca="1" si="38"/>
        <v>342807</v>
      </c>
      <c r="O326" s="5">
        <f t="shared" ca="1" si="38"/>
        <v>361600</v>
      </c>
    </row>
    <row r="327" spans="3:15" s="327" customFormat="1" x14ac:dyDescent="0.2">
      <c r="D327" s="660" t="str">
        <f t="shared" si="37"/>
        <v>Western</v>
      </c>
      <c r="J327" s="5">
        <f t="shared" ca="1" si="38"/>
        <v>156111</v>
      </c>
      <c r="K327" s="5">
        <f t="shared" ca="1" si="38"/>
        <v>159311</v>
      </c>
      <c r="L327" s="5">
        <f t="shared" ca="1" si="38"/>
        <v>162587</v>
      </c>
      <c r="M327" s="5">
        <f t="shared" ca="1" si="38"/>
        <v>172651</v>
      </c>
      <c r="N327" s="5">
        <f t="shared" ca="1" si="38"/>
        <v>182881</v>
      </c>
      <c r="O327" s="5">
        <f t="shared" ca="1" si="38"/>
        <v>191311</v>
      </c>
    </row>
    <row r="328" spans="3:15" s="327" customFormat="1" ht="15" x14ac:dyDescent="0.2">
      <c r="D328" s="646" t="str">
        <f>Plac_Start_Facs_BA!C20</f>
        <v>Total</v>
      </c>
      <c r="J328" s="25">
        <f t="shared" ref="J328:O328" ca="1" si="39">SUM(J318:J327)</f>
        <v>2458117</v>
      </c>
      <c r="K328" s="25">
        <f t="shared" ca="1" si="39"/>
        <v>2559536</v>
      </c>
      <c r="L328" s="25">
        <f t="shared" ca="1" si="39"/>
        <v>2664222</v>
      </c>
      <c r="M328" s="25">
        <f t="shared" ca="1" si="39"/>
        <v>2841530</v>
      </c>
      <c r="N328" s="25">
        <f t="shared" ca="1" si="39"/>
        <v>3021889</v>
      </c>
      <c r="O328" s="25">
        <f t="shared" ca="1" si="39"/>
        <v>3202798</v>
      </c>
    </row>
    <row r="329" spans="3:15" s="327" customFormat="1" x14ac:dyDescent="0.2"/>
    <row r="330" spans="3:15" s="327" customFormat="1" ht="15.75" x14ac:dyDescent="0.2">
      <c r="C330" s="330" t="s">
        <v>388</v>
      </c>
    </row>
    <row r="331" spans="3:15" s="327" customFormat="1" x14ac:dyDescent="0.2"/>
    <row r="332" spans="3:15" s="327" customFormat="1" ht="15" x14ac:dyDescent="0.2">
      <c r="D332" s="658" t="s">
        <v>752</v>
      </c>
    </row>
    <row r="333" spans="3:15" s="327" customFormat="1" hidden="1" outlineLevel="1" x14ac:dyDescent="0.2">
      <c r="D333" s="660" t="str">
        <f>Reg_Pop_Ann_TA!D131</f>
        <v>Central</v>
      </c>
      <c r="I333" s="5">
        <f t="shared" ref="I333:I342" ca="1" si="40">SUM(J333:O333)</f>
        <v>317093</v>
      </c>
      <c r="J333" s="8">
        <f t="shared" ref="J333:O342" ca="1" si="41">J160+J304</f>
        <v>45197</v>
      </c>
      <c r="K333" s="8">
        <f t="shared" ca="1" si="41"/>
        <v>46253</v>
      </c>
      <c r="L333" s="8">
        <f t="shared" ca="1" si="41"/>
        <v>47389</v>
      </c>
      <c r="M333" s="8">
        <f t="shared" ca="1" si="41"/>
        <v>53356</v>
      </c>
      <c r="N333" s="8">
        <f t="shared" ca="1" si="41"/>
        <v>59395</v>
      </c>
      <c r="O333" s="8">
        <f t="shared" ca="1" si="41"/>
        <v>65503</v>
      </c>
    </row>
    <row r="334" spans="3:15" s="327" customFormat="1" hidden="1" outlineLevel="1" x14ac:dyDescent="0.2">
      <c r="D334" s="660" t="str">
        <f>Reg_Pop_Ann_TA!D132</f>
        <v>Copperbelt</v>
      </c>
      <c r="I334" s="5">
        <f t="shared" ca="1" si="40"/>
        <v>536384</v>
      </c>
      <c r="J334" s="8">
        <f t="shared" ca="1" si="41"/>
        <v>77270</v>
      </c>
      <c r="K334" s="8">
        <f t="shared" ca="1" si="41"/>
        <v>79239</v>
      </c>
      <c r="L334" s="8">
        <f t="shared" ca="1" si="41"/>
        <v>81434</v>
      </c>
      <c r="M334" s="8">
        <f t="shared" ca="1" si="41"/>
        <v>90448</v>
      </c>
      <c r="N334" s="8">
        <f t="shared" ca="1" si="41"/>
        <v>99494</v>
      </c>
      <c r="O334" s="8">
        <f t="shared" ca="1" si="41"/>
        <v>108499</v>
      </c>
    </row>
    <row r="335" spans="3:15" s="327" customFormat="1" hidden="1" outlineLevel="1" x14ac:dyDescent="0.2">
      <c r="D335" s="660" t="str">
        <f>Reg_Pop_Ann_TA!D133</f>
        <v>Eastern</v>
      </c>
      <c r="I335" s="5">
        <f t="shared" ca="1" si="40"/>
        <v>400688</v>
      </c>
      <c r="J335" s="8">
        <f t="shared" ca="1" si="41"/>
        <v>55121</v>
      </c>
      <c r="K335" s="8">
        <f t="shared" ca="1" si="41"/>
        <v>56290</v>
      </c>
      <c r="L335" s="8">
        <f t="shared" ca="1" si="41"/>
        <v>57485</v>
      </c>
      <c r="M335" s="8">
        <f t="shared" ca="1" si="41"/>
        <v>67323</v>
      </c>
      <c r="N335" s="8">
        <f t="shared" ca="1" si="41"/>
        <v>77234</v>
      </c>
      <c r="O335" s="8">
        <f t="shared" ca="1" si="41"/>
        <v>87235</v>
      </c>
    </row>
    <row r="336" spans="3:15" s="327" customFormat="1" hidden="1" outlineLevel="1" x14ac:dyDescent="0.2">
      <c r="D336" s="660" t="str">
        <f>Reg_Pop_Ann_TA!D134</f>
        <v>Luapula</v>
      </c>
      <c r="I336" s="5">
        <f t="shared" ca="1" si="40"/>
        <v>253255</v>
      </c>
      <c r="J336" s="8">
        <f t="shared" ca="1" si="41"/>
        <v>34422</v>
      </c>
      <c r="K336" s="8">
        <f t="shared" ca="1" si="41"/>
        <v>34821</v>
      </c>
      <c r="L336" s="8">
        <f t="shared" ca="1" si="41"/>
        <v>35249</v>
      </c>
      <c r="M336" s="8">
        <f t="shared" ca="1" si="41"/>
        <v>42362</v>
      </c>
      <c r="N336" s="8">
        <f t="shared" ca="1" si="41"/>
        <v>49573</v>
      </c>
      <c r="O336" s="8">
        <f t="shared" ca="1" si="41"/>
        <v>56828</v>
      </c>
    </row>
    <row r="337" spans="3:15" s="327" customFormat="1" hidden="1" outlineLevel="1" x14ac:dyDescent="0.2">
      <c r="D337" s="660" t="str">
        <f>Reg_Pop_Ann_TA!D135</f>
        <v>Lusaka</v>
      </c>
      <c r="I337" s="5">
        <f t="shared" ca="1" si="40"/>
        <v>819712</v>
      </c>
      <c r="J337" s="8">
        <f t="shared" ca="1" si="41"/>
        <v>103171</v>
      </c>
      <c r="K337" s="8">
        <f t="shared" ca="1" si="41"/>
        <v>106852</v>
      </c>
      <c r="L337" s="8">
        <f t="shared" ca="1" si="41"/>
        <v>110611</v>
      </c>
      <c r="M337" s="8">
        <f t="shared" ca="1" si="41"/>
        <v>138421</v>
      </c>
      <c r="N337" s="8">
        <f t="shared" ca="1" si="41"/>
        <v>166325</v>
      </c>
      <c r="O337" s="8">
        <f t="shared" ca="1" si="41"/>
        <v>194332</v>
      </c>
    </row>
    <row r="338" spans="3:15" s="327" customFormat="1" hidden="1" outlineLevel="1" x14ac:dyDescent="0.2">
      <c r="D338" s="660" t="str">
        <f>Reg_Pop_Ann_TA!D136</f>
        <v>Muchinga</v>
      </c>
      <c r="I338" s="5">
        <f t="shared" ca="1" si="40"/>
        <v>183788</v>
      </c>
      <c r="J338" s="8">
        <f t="shared" ca="1" si="41"/>
        <v>26604</v>
      </c>
      <c r="K338" s="8">
        <f t="shared" ca="1" si="41"/>
        <v>27973</v>
      </c>
      <c r="L338" s="8">
        <f t="shared" ca="1" si="41"/>
        <v>29385</v>
      </c>
      <c r="M338" s="8">
        <f t="shared" ca="1" si="41"/>
        <v>31296</v>
      </c>
      <c r="N338" s="8">
        <f t="shared" ca="1" si="41"/>
        <v>33257</v>
      </c>
      <c r="O338" s="8">
        <f t="shared" ca="1" si="41"/>
        <v>35273</v>
      </c>
    </row>
    <row r="339" spans="3:15" s="327" customFormat="1" hidden="1" outlineLevel="1" x14ac:dyDescent="0.2">
      <c r="D339" s="660" t="str">
        <f>Reg_Pop_Ann_TA!D137</f>
        <v>Northern</v>
      </c>
      <c r="I339" s="5">
        <f t="shared" ca="1" si="40"/>
        <v>263381</v>
      </c>
      <c r="J339" s="8">
        <f t="shared" ca="1" si="41"/>
        <v>38350</v>
      </c>
      <c r="K339" s="8">
        <f t="shared" ca="1" si="41"/>
        <v>39567</v>
      </c>
      <c r="L339" s="8">
        <f t="shared" ca="1" si="41"/>
        <v>40820</v>
      </c>
      <c r="M339" s="8">
        <f t="shared" ca="1" si="41"/>
        <v>44487</v>
      </c>
      <c r="N339" s="8">
        <f t="shared" ca="1" si="41"/>
        <v>48198</v>
      </c>
      <c r="O339" s="8">
        <f t="shared" ca="1" si="41"/>
        <v>51959</v>
      </c>
    </row>
    <row r="340" spans="3:15" s="327" customFormat="1" hidden="1" outlineLevel="1" x14ac:dyDescent="0.2">
      <c r="D340" s="660" t="str">
        <f>Reg_Pop_Ann_TA!D138</f>
        <v>North-Western</v>
      </c>
      <c r="I340" s="5">
        <f t="shared" ca="1" si="40"/>
        <v>164974</v>
      </c>
      <c r="J340" s="8">
        <f t="shared" ca="1" si="41"/>
        <v>23423</v>
      </c>
      <c r="K340" s="8">
        <f t="shared" ca="1" si="41"/>
        <v>23858</v>
      </c>
      <c r="L340" s="8">
        <f t="shared" ca="1" si="41"/>
        <v>24339</v>
      </c>
      <c r="M340" s="8">
        <f t="shared" ca="1" si="41"/>
        <v>27699</v>
      </c>
      <c r="N340" s="8">
        <f t="shared" ca="1" si="41"/>
        <v>31104</v>
      </c>
      <c r="O340" s="8">
        <f t="shared" ca="1" si="41"/>
        <v>34551</v>
      </c>
    </row>
    <row r="341" spans="3:15" s="327" customFormat="1" hidden="1" outlineLevel="1" x14ac:dyDescent="0.2">
      <c r="D341" s="660" t="str">
        <f>Reg_Pop_Ann_TA!D139</f>
        <v>Southern</v>
      </c>
      <c r="I341" s="5">
        <f t="shared" ca="1" si="40"/>
        <v>403845</v>
      </c>
      <c r="J341" s="8">
        <f t="shared" ca="1" si="41"/>
        <v>56843</v>
      </c>
      <c r="K341" s="8">
        <f t="shared" ca="1" si="41"/>
        <v>58267</v>
      </c>
      <c r="L341" s="8">
        <f t="shared" ca="1" si="41"/>
        <v>59763</v>
      </c>
      <c r="M341" s="8">
        <f t="shared" ca="1" si="41"/>
        <v>68001</v>
      </c>
      <c r="N341" s="8">
        <f t="shared" ca="1" si="41"/>
        <v>76304</v>
      </c>
      <c r="O341" s="8">
        <f t="shared" ca="1" si="41"/>
        <v>84667</v>
      </c>
    </row>
    <row r="342" spans="3:15" s="327" customFormat="1" hidden="1" outlineLevel="1" x14ac:dyDescent="0.2">
      <c r="D342" s="660" t="str">
        <f>Reg_Pop_Ann_TA!D140</f>
        <v>Western</v>
      </c>
      <c r="I342" s="5">
        <f t="shared" ca="1" si="40"/>
        <v>225997</v>
      </c>
      <c r="J342" s="15">
        <f t="shared" ca="1" si="41"/>
        <v>31222</v>
      </c>
      <c r="K342" s="15">
        <f t="shared" ca="1" si="41"/>
        <v>31129</v>
      </c>
      <c r="L342" s="15">
        <f t="shared" ca="1" si="41"/>
        <v>31050</v>
      </c>
      <c r="M342" s="15">
        <f t="shared" ca="1" si="41"/>
        <v>37668</v>
      </c>
      <c r="N342" s="15">
        <f t="shared" ca="1" si="41"/>
        <v>44319</v>
      </c>
      <c r="O342" s="15">
        <f t="shared" ca="1" si="41"/>
        <v>50609</v>
      </c>
    </row>
    <row r="343" spans="3:15" s="327" customFormat="1" ht="15" collapsed="1" x14ac:dyDescent="0.2">
      <c r="D343" s="658" t="s">
        <v>121</v>
      </c>
      <c r="I343" s="25">
        <f ca="1">SUM(I333:I342)</f>
        <v>3569117</v>
      </c>
      <c r="J343" s="25">
        <f t="shared" ref="J343:O343" ca="1" si="42">SUM(J333:J342)</f>
        <v>491623</v>
      </c>
      <c r="K343" s="25">
        <f t="shared" ca="1" si="42"/>
        <v>504249</v>
      </c>
      <c r="L343" s="25">
        <f t="shared" ca="1" si="42"/>
        <v>517525</v>
      </c>
      <c r="M343" s="25">
        <f t="shared" ca="1" si="42"/>
        <v>601061</v>
      </c>
      <c r="N343" s="25">
        <f t="shared" ca="1" si="42"/>
        <v>685203</v>
      </c>
      <c r="O343" s="25">
        <f t="shared" ca="1" si="42"/>
        <v>769456</v>
      </c>
    </row>
    <row r="344" spans="3:15" s="327" customFormat="1" x14ac:dyDescent="0.2"/>
    <row r="345" spans="3:15" s="327" customFormat="1" ht="15.75" x14ac:dyDescent="0.2">
      <c r="C345" s="330" t="s">
        <v>1745</v>
      </c>
    </row>
    <row r="346" spans="3:15" s="327" customFormat="1" x14ac:dyDescent="0.2"/>
    <row r="347" spans="3:15" s="327" customFormat="1" ht="15" x14ac:dyDescent="0.2">
      <c r="D347" s="658" t="s">
        <v>729</v>
      </c>
      <c r="H347" s="681" t="s">
        <v>385</v>
      </c>
      <c r="I347" s="680" t="s">
        <v>23</v>
      </c>
    </row>
    <row r="348" spans="3:15" s="327" customFormat="1" hidden="1" outlineLevel="1" x14ac:dyDescent="0.2">
      <c r="D348" s="715" t="str">
        <f>Screen_Ann_TO!D260</f>
        <v>Central</v>
      </c>
      <c r="E348" s="715"/>
      <c r="F348" s="715"/>
      <c r="G348" s="715"/>
      <c r="I348" s="5">
        <f t="shared" ref="I348:I357" si="43">IF(ISERROR(MATCH(D348,$D$361:$D$370,0)),1,0)</f>
        <v>0</v>
      </c>
      <c r="J348" s="5">
        <f ca="1">Screen_Ann_TO!J260</f>
        <v>5788</v>
      </c>
      <c r="K348" s="5">
        <f ca="1">Screen_Ann_TO!K260</f>
        <v>5788</v>
      </c>
      <c r="L348" s="5">
        <f ca="1">Screen_Ann_TO!L260</f>
        <v>5788</v>
      </c>
      <c r="M348" s="5">
        <f ca="1">Screen_Ann_TO!M260</f>
        <v>5788</v>
      </c>
      <c r="N348" s="5">
        <f ca="1">Screen_Ann_TO!N260</f>
        <v>5788</v>
      </c>
      <c r="O348" s="5">
        <f ca="1">Screen_Ann_TO!O260</f>
        <v>5788</v>
      </c>
    </row>
    <row r="349" spans="3:15" s="327" customFormat="1" hidden="1" outlineLevel="1" x14ac:dyDescent="0.2">
      <c r="D349" s="715" t="str">
        <f>Screen_Ann_TO!D261</f>
        <v>Copperbelt</v>
      </c>
      <c r="E349" s="928"/>
      <c r="F349" s="928"/>
      <c r="G349" s="928"/>
      <c r="I349" s="5">
        <f t="shared" si="43"/>
        <v>0</v>
      </c>
      <c r="J349" s="5">
        <f ca="1">Screen_Ann_TO!J261</f>
        <v>8128</v>
      </c>
      <c r="K349" s="5">
        <f ca="1">Screen_Ann_TO!K261</f>
        <v>8128</v>
      </c>
      <c r="L349" s="5">
        <f ca="1">Screen_Ann_TO!L261</f>
        <v>8128</v>
      </c>
      <c r="M349" s="5">
        <f ca="1">Screen_Ann_TO!M261</f>
        <v>8128</v>
      </c>
      <c r="N349" s="5">
        <f ca="1">Screen_Ann_TO!N261</f>
        <v>8128</v>
      </c>
      <c r="O349" s="5">
        <f ca="1">Screen_Ann_TO!O261</f>
        <v>8128</v>
      </c>
    </row>
    <row r="350" spans="3:15" s="327" customFormat="1" hidden="1" outlineLevel="1" x14ac:dyDescent="0.2">
      <c r="D350" s="715" t="str">
        <f>Screen_Ann_TO!D262</f>
        <v>Eastern</v>
      </c>
      <c r="E350" s="928"/>
      <c r="F350" s="928"/>
      <c r="G350" s="928"/>
      <c r="I350" s="5">
        <f t="shared" si="43"/>
        <v>0</v>
      </c>
      <c r="J350" s="5">
        <f ca="1">Screen_Ann_TO!J262</f>
        <v>10468</v>
      </c>
      <c r="K350" s="5">
        <f ca="1">Screen_Ann_TO!K262</f>
        <v>10468</v>
      </c>
      <c r="L350" s="5">
        <f ca="1">Screen_Ann_TO!L262</f>
        <v>10468</v>
      </c>
      <c r="M350" s="5">
        <f ca="1">Screen_Ann_TO!M262</f>
        <v>10468</v>
      </c>
      <c r="N350" s="5">
        <f ca="1">Screen_Ann_TO!N262</f>
        <v>10468</v>
      </c>
      <c r="O350" s="5">
        <f ca="1">Screen_Ann_TO!O262</f>
        <v>10468</v>
      </c>
    </row>
    <row r="351" spans="3:15" s="327" customFormat="1" hidden="1" outlineLevel="1" x14ac:dyDescent="0.2">
      <c r="D351" s="715" t="str">
        <f>Screen_Ann_TO!D263</f>
        <v>Luapula</v>
      </c>
      <c r="E351" s="928"/>
      <c r="F351" s="928"/>
      <c r="G351" s="928"/>
      <c r="I351" s="5">
        <f t="shared" si="43"/>
        <v>0</v>
      </c>
      <c r="J351" s="5">
        <f ca="1">Screen_Ann_TO!J263</f>
        <v>8128</v>
      </c>
      <c r="K351" s="5">
        <f ca="1">Screen_Ann_TO!K263</f>
        <v>8128</v>
      </c>
      <c r="L351" s="5">
        <f ca="1">Screen_Ann_TO!L263</f>
        <v>8128</v>
      </c>
      <c r="M351" s="5">
        <f ca="1">Screen_Ann_TO!M263</f>
        <v>8128</v>
      </c>
      <c r="N351" s="5">
        <f ca="1">Screen_Ann_TO!N263</f>
        <v>8128</v>
      </c>
      <c r="O351" s="5">
        <f ca="1">Screen_Ann_TO!O263</f>
        <v>8128</v>
      </c>
    </row>
    <row r="352" spans="3:15" s="327" customFormat="1" hidden="1" outlineLevel="1" x14ac:dyDescent="0.2">
      <c r="D352" s="715" t="str">
        <f>Screen_Ann_TO!D264</f>
        <v>Lusaka</v>
      </c>
      <c r="E352" s="928"/>
      <c r="F352" s="928"/>
      <c r="G352" s="928"/>
      <c r="I352" s="5">
        <f t="shared" si="43"/>
        <v>0</v>
      </c>
      <c r="J352" s="5">
        <f ca="1">Screen_Ann_TO!J264</f>
        <v>29188</v>
      </c>
      <c r="K352" s="5">
        <f ca="1">Screen_Ann_TO!K264</f>
        <v>29188</v>
      </c>
      <c r="L352" s="5">
        <f ca="1">Screen_Ann_TO!L264</f>
        <v>29188</v>
      </c>
      <c r="M352" s="5">
        <f ca="1">Screen_Ann_TO!M264</f>
        <v>29188</v>
      </c>
      <c r="N352" s="5">
        <f ca="1">Screen_Ann_TO!N264</f>
        <v>29188</v>
      </c>
      <c r="O352" s="5">
        <f ca="1">Screen_Ann_TO!O264</f>
        <v>29188</v>
      </c>
    </row>
    <row r="353" spans="4:15" s="327" customFormat="1" hidden="1" outlineLevel="1" x14ac:dyDescent="0.2">
      <c r="D353" s="925" t="str">
        <f>Screen_Ann_TO!D265</f>
        <v>Muchinga</v>
      </c>
      <c r="E353" s="926"/>
      <c r="F353" s="926"/>
      <c r="G353" s="926"/>
      <c r="I353" s="5">
        <f t="shared" si="43"/>
        <v>0</v>
      </c>
      <c r="J353" s="5">
        <f ca="1">Screen_Ann_TO!J265</f>
        <v>554</v>
      </c>
      <c r="K353" s="5">
        <f ca="1">Screen_Ann_TO!K265</f>
        <v>554</v>
      </c>
      <c r="L353" s="5">
        <f ca="1">Screen_Ann_TO!L265</f>
        <v>554</v>
      </c>
      <c r="M353" s="5">
        <f ca="1">Screen_Ann_TO!M265</f>
        <v>554</v>
      </c>
      <c r="N353" s="5">
        <f ca="1">Screen_Ann_TO!N265</f>
        <v>554</v>
      </c>
      <c r="O353" s="5">
        <f ca="1">Screen_Ann_TO!O265</f>
        <v>554</v>
      </c>
    </row>
    <row r="354" spans="4:15" s="327" customFormat="1" hidden="1" outlineLevel="1" x14ac:dyDescent="0.2">
      <c r="D354" s="925" t="str">
        <f>Screen_Ann_TO!D266</f>
        <v>Northern</v>
      </c>
      <c r="E354" s="926"/>
      <c r="F354" s="926"/>
      <c r="G354" s="926"/>
      <c r="I354" s="5">
        <f t="shared" si="43"/>
        <v>0</v>
      </c>
      <c r="J354" s="5">
        <f ca="1">Screen_Ann_TO!J266</f>
        <v>2894</v>
      </c>
      <c r="K354" s="5">
        <f ca="1">Screen_Ann_TO!K266</f>
        <v>2894</v>
      </c>
      <c r="L354" s="5">
        <f ca="1">Screen_Ann_TO!L266</f>
        <v>2894</v>
      </c>
      <c r="M354" s="5">
        <f ca="1">Screen_Ann_TO!M266</f>
        <v>2894</v>
      </c>
      <c r="N354" s="5">
        <f ca="1">Screen_Ann_TO!N266</f>
        <v>2894</v>
      </c>
      <c r="O354" s="5">
        <f ca="1">Screen_Ann_TO!O266</f>
        <v>2894</v>
      </c>
    </row>
    <row r="355" spans="4:15" s="327" customFormat="1" hidden="1" outlineLevel="1" x14ac:dyDescent="0.2">
      <c r="D355" s="925" t="str">
        <f>Screen_Ann_TO!D267</f>
        <v>North-Western</v>
      </c>
      <c r="E355" s="926"/>
      <c r="F355" s="926"/>
      <c r="G355" s="926"/>
      <c r="I355" s="5">
        <f t="shared" si="43"/>
        <v>0</v>
      </c>
      <c r="J355" s="5">
        <f ca="1">Screen_Ann_TO!J267</f>
        <v>3448</v>
      </c>
      <c r="K355" s="5">
        <f ca="1">Screen_Ann_TO!K267</f>
        <v>3448</v>
      </c>
      <c r="L355" s="5">
        <f ca="1">Screen_Ann_TO!L267</f>
        <v>3448</v>
      </c>
      <c r="M355" s="5">
        <f ca="1">Screen_Ann_TO!M267</f>
        <v>3448</v>
      </c>
      <c r="N355" s="5">
        <f ca="1">Screen_Ann_TO!N267</f>
        <v>3448</v>
      </c>
      <c r="O355" s="5">
        <f ca="1">Screen_Ann_TO!O267</f>
        <v>3448</v>
      </c>
    </row>
    <row r="356" spans="4:15" s="327" customFormat="1" hidden="1" outlineLevel="1" x14ac:dyDescent="0.2">
      <c r="D356" s="925" t="str">
        <f>Screen_Ann_TO!D268</f>
        <v>Southern</v>
      </c>
      <c r="E356" s="926"/>
      <c r="F356" s="926"/>
      <c r="G356" s="926"/>
      <c r="I356" s="5">
        <f t="shared" si="43"/>
        <v>0</v>
      </c>
      <c r="J356" s="5">
        <f ca="1">Screen_Ann_TO!J268</f>
        <v>8128</v>
      </c>
      <c r="K356" s="5">
        <f ca="1">Screen_Ann_TO!K268</f>
        <v>8128</v>
      </c>
      <c r="L356" s="5">
        <f ca="1">Screen_Ann_TO!L268</f>
        <v>8128</v>
      </c>
      <c r="M356" s="5">
        <f ca="1">Screen_Ann_TO!M268</f>
        <v>8128</v>
      </c>
      <c r="N356" s="5">
        <f ca="1">Screen_Ann_TO!N268</f>
        <v>8128</v>
      </c>
      <c r="O356" s="5">
        <f ca="1">Screen_Ann_TO!O268</f>
        <v>8128</v>
      </c>
    </row>
    <row r="357" spans="4:15" s="327" customFormat="1" hidden="1" outlineLevel="1" x14ac:dyDescent="0.2">
      <c r="D357" s="925" t="str">
        <f>Screen_Ann_TO!D269</f>
        <v>Western</v>
      </c>
      <c r="E357" s="926"/>
      <c r="F357" s="926"/>
      <c r="G357" s="926"/>
      <c r="I357" s="5">
        <f t="shared" si="43"/>
        <v>0</v>
      </c>
      <c r="J357" s="5">
        <f ca="1">Screen_Ann_TO!J269</f>
        <v>8128</v>
      </c>
      <c r="K357" s="5">
        <f ca="1">Screen_Ann_TO!K269</f>
        <v>8128</v>
      </c>
      <c r="L357" s="5">
        <f ca="1">Screen_Ann_TO!L269</f>
        <v>8128</v>
      </c>
      <c r="M357" s="5">
        <f ca="1">Screen_Ann_TO!M269</f>
        <v>8128</v>
      </c>
      <c r="N357" s="5">
        <f ca="1">Screen_Ann_TO!N269</f>
        <v>8128</v>
      </c>
      <c r="O357" s="5">
        <f ca="1">Screen_Ann_TO!O269</f>
        <v>8128</v>
      </c>
    </row>
    <row r="358" spans="4:15" s="327" customFormat="1" ht="15" collapsed="1" x14ac:dyDescent="0.2">
      <c r="D358" s="717" t="s">
        <v>121</v>
      </c>
      <c r="E358" s="717"/>
      <c r="F358" s="717"/>
      <c r="G358" s="717"/>
      <c r="I358" s="14"/>
      <c r="J358" s="5">
        <f t="shared" ref="J358:O358" ca="1" si="44">SUM(J348:J357)</f>
        <v>84852</v>
      </c>
      <c r="K358" s="5">
        <f t="shared" ca="1" si="44"/>
        <v>84852</v>
      </c>
      <c r="L358" s="5">
        <f t="shared" ca="1" si="44"/>
        <v>84852</v>
      </c>
      <c r="M358" s="5">
        <f t="shared" ca="1" si="44"/>
        <v>84852</v>
      </c>
      <c r="N358" s="5">
        <f t="shared" ca="1" si="44"/>
        <v>84852</v>
      </c>
      <c r="O358" s="5">
        <f t="shared" ca="1" si="44"/>
        <v>84852</v>
      </c>
    </row>
    <row r="359" spans="4:15" s="327" customFormat="1" x14ac:dyDescent="0.2"/>
    <row r="360" spans="4:15" s="327" customFormat="1" ht="15" x14ac:dyDescent="0.2">
      <c r="D360" s="658" t="s">
        <v>730</v>
      </c>
    </row>
    <row r="361" spans="4:15" s="327" customFormat="1" hidden="1" outlineLevel="1" x14ac:dyDescent="0.2">
      <c r="D361" s="660" t="str">
        <f>Reg_Pop_Ann_TA!D131</f>
        <v>Central</v>
      </c>
      <c r="J361" s="8">
        <f t="shared" ref="J361:O370" ca="1" si="45">ROUND(MIN(SUMIF($D$348:$D$357,$D361,J$348:J$357),J333),0)</f>
        <v>5788</v>
      </c>
      <c r="K361" s="8">
        <f t="shared" ca="1" si="45"/>
        <v>5788</v>
      </c>
      <c r="L361" s="8">
        <f t="shared" ca="1" si="45"/>
        <v>5788</v>
      </c>
      <c r="M361" s="8">
        <f t="shared" ca="1" si="45"/>
        <v>5788</v>
      </c>
      <c r="N361" s="8">
        <f t="shared" ca="1" si="45"/>
        <v>5788</v>
      </c>
      <c r="O361" s="8">
        <f t="shared" ca="1" si="45"/>
        <v>5788</v>
      </c>
    </row>
    <row r="362" spans="4:15" s="327" customFormat="1" hidden="1" outlineLevel="1" x14ac:dyDescent="0.2">
      <c r="D362" s="660" t="str">
        <f>Reg_Pop_Ann_TA!D132</f>
        <v>Copperbelt</v>
      </c>
      <c r="J362" s="8">
        <f t="shared" ca="1" si="45"/>
        <v>8128</v>
      </c>
      <c r="K362" s="8">
        <f t="shared" ca="1" si="45"/>
        <v>8128</v>
      </c>
      <c r="L362" s="8">
        <f t="shared" ca="1" si="45"/>
        <v>8128</v>
      </c>
      <c r="M362" s="8">
        <f t="shared" ca="1" si="45"/>
        <v>8128</v>
      </c>
      <c r="N362" s="8">
        <f t="shared" ca="1" si="45"/>
        <v>8128</v>
      </c>
      <c r="O362" s="8">
        <f t="shared" ca="1" si="45"/>
        <v>8128</v>
      </c>
    </row>
    <row r="363" spans="4:15" s="327" customFormat="1" hidden="1" outlineLevel="1" x14ac:dyDescent="0.2">
      <c r="D363" s="660" t="str">
        <f>Reg_Pop_Ann_TA!D133</f>
        <v>Eastern</v>
      </c>
      <c r="J363" s="8">
        <f t="shared" ca="1" si="45"/>
        <v>10468</v>
      </c>
      <c r="K363" s="8">
        <f t="shared" ca="1" si="45"/>
        <v>10468</v>
      </c>
      <c r="L363" s="8">
        <f t="shared" ca="1" si="45"/>
        <v>10468</v>
      </c>
      <c r="M363" s="8">
        <f t="shared" ca="1" si="45"/>
        <v>10468</v>
      </c>
      <c r="N363" s="8">
        <f t="shared" ca="1" si="45"/>
        <v>10468</v>
      </c>
      <c r="O363" s="8">
        <f t="shared" ca="1" si="45"/>
        <v>10468</v>
      </c>
    </row>
    <row r="364" spans="4:15" s="327" customFormat="1" hidden="1" outlineLevel="1" x14ac:dyDescent="0.2">
      <c r="D364" s="660" t="str">
        <f>Reg_Pop_Ann_TA!D134</f>
        <v>Luapula</v>
      </c>
      <c r="J364" s="8">
        <f t="shared" ca="1" si="45"/>
        <v>8128</v>
      </c>
      <c r="K364" s="8">
        <f t="shared" ca="1" si="45"/>
        <v>8128</v>
      </c>
      <c r="L364" s="8">
        <f t="shared" ca="1" si="45"/>
        <v>8128</v>
      </c>
      <c r="M364" s="8">
        <f t="shared" ca="1" si="45"/>
        <v>8128</v>
      </c>
      <c r="N364" s="8">
        <f t="shared" ca="1" si="45"/>
        <v>8128</v>
      </c>
      <c r="O364" s="8">
        <f t="shared" ca="1" si="45"/>
        <v>8128</v>
      </c>
    </row>
    <row r="365" spans="4:15" s="327" customFormat="1" hidden="1" outlineLevel="1" x14ac:dyDescent="0.2">
      <c r="D365" s="660" t="str">
        <f>Reg_Pop_Ann_TA!D135</f>
        <v>Lusaka</v>
      </c>
      <c r="J365" s="8">
        <f t="shared" ca="1" si="45"/>
        <v>29188</v>
      </c>
      <c r="K365" s="8">
        <f t="shared" ca="1" si="45"/>
        <v>29188</v>
      </c>
      <c r="L365" s="8">
        <f t="shared" ca="1" si="45"/>
        <v>29188</v>
      </c>
      <c r="M365" s="8">
        <f t="shared" ca="1" si="45"/>
        <v>29188</v>
      </c>
      <c r="N365" s="8">
        <f t="shared" ca="1" si="45"/>
        <v>29188</v>
      </c>
      <c r="O365" s="8">
        <f t="shared" ca="1" si="45"/>
        <v>29188</v>
      </c>
    </row>
    <row r="366" spans="4:15" s="327" customFormat="1" hidden="1" outlineLevel="1" x14ac:dyDescent="0.2">
      <c r="D366" s="660" t="str">
        <f>Reg_Pop_Ann_TA!D136</f>
        <v>Muchinga</v>
      </c>
      <c r="J366" s="8">
        <f t="shared" ca="1" si="45"/>
        <v>554</v>
      </c>
      <c r="K366" s="8">
        <f t="shared" ca="1" si="45"/>
        <v>554</v>
      </c>
      <c r="L366" s="8">
        <f t="shared" ca="1" si="45"/>
        <v>554</v>
      </c>
      <c r="M366" s="8">
        <f t="shared" ca="1" si="45"/>
        <v>554</v>
      </c>
      <c r="N366" s="8">
        <f t="shared" ca="1" si="45"/>
        <v>554</v>
      </c>
      <c r="O366" s="8">
        <f t="shared" ca="1" si="45"/>
        <v>554</v>
      </c>
    </row>
    <row r="367" spans="4:15" s="327" customFormat="1" hidden="1" outlineLevel="1" x14ac:dyDescent="0.2">
      <c r="D367" s="660" t="str">
        <f>Reg_Pop_Ann_TA!D137</f>
        <v>Northern</v>
      </c>
      <c r="J367" s="8">
        <f t="shared" ca="1" si="45"/>
        <v>2894</v>
      </c>
      <c r="K367" s="8">
        <f t="shared" ca="1" si="45"/>
        <v>2894</v>
      </c>
      <c r="L367" s="8">
        <f t="shared" ca="1" si="45"/>
        <v>2894</v>
      </c>
      <c r="M367" s="8">
        <f t="shared" ca="1" si="45"/>
        <v>2894</v>
      </c>
      <c r="N367" s="8">
        <f t="shared" ca="1" si="45"/>
        <v>2894</v>
      </c>
      <c r="O367" s="8">
        <f t="shared" ca="1" si="45"/>
        <v>2894</v>
      </c>
    </row>
    <row r="368" spans="4:15" s="327" customFormat="1" hidden="1" outlineLevel="1" x14ac:dyDescent="0.2">
      <c r="D368" s="660" t="str">
        <f>Reg_Pop_Ann_TA!D138</f>
        <v>North-Western</v>
      </c>
      <c r="J368" s="8">
        <f t="shared" ca="1" si="45"/>
        <v>3448</v>
      </c>
      <c r="K368" s="8">
        <f t="shared" ca="1" si="45"/>
        <v>3448</v>
      </c>
      <c r="L368" s="8">
        <f t="shared" ca="1" si="45"/>
        <v>3448</v>
      </c>
      <c r="M368" s="8">
        <f t="shared" ca="1" si="45"/>
        <v>3448</v>
      </c>
      <c r="N368" s="8">
        <f t="shared" ca="1" si="45"/>
        <v>3448</v>
      </c>
      <c r="O368" s="8">
        <f t="shared" ca="1" si="45"/>
        <v>3448</v>
      </c>
    </row>
    <row r="369" spans="4:15" s="327" customFormat="1" hidden="1" outlineLevel="1" x14ac:dyDescent="0.2">
      <c r="D369" s="660" t="str">
        <f>Reg_Pop_Ann_TA!D139</f>
        <v>Southern</v>
      </c>
      <c r="J369" s="8">
        <f t="shared" ca="1" si="45"/>
        <v>8128</v>
      </c>
      <c r="K369" s="8">
        <f t="shared" ca="1" si="45"/>
        <v>8128</v>
      </c>
      <c r="L369" s="8">
        <f t="shared" ca="1" si="45"/>
        <v>8128</v>
      </c>
      <c r="M369" s="8">
        <f t="shared" ca="1" si="45"/>
        <v>8128</v>
      </c>
      <c r="N369" s="8">
        <f t="shared" ca="1" si="45"/>
        <v>8128</v>
      </c>
      <c r="O369" s="8">
        <f t="shared" ca="1" si="45"/>
        <v>8128</v>
      </c>
    </row>
    <row r="370" spans="4:15" s="327" customFormat="1" hidden="1" outlineLevel="1" x14ac:dyDescent="0.2">
      <c r="D370" s="660" t="str">
        <f>Reg_Pop_Ann_TA!D140</f>
        <v>Western</v>
      </c>
      <c r="J370" s="15">
        <f t="shared" ca="1" si="45"/>
        <v>8128</v>
      </c>
      <c r="K370" s="15">
        <f t="shared" ca="1" si="45"/>
        <v>8128</v>
      </c>
      <c r="L370" s="15">
        <f t="shared" ca="1" si="45"/>
        <v>8128</v>
      </c>
      <c r="M370" s="15">
        <f t="shared" ca="1" si="45"/>
        <v>8128</v>
      </c>
      <c r="N370" s="15">
        <f t="shared" ca="1" si="45"/>
        <v>8128</v>
      </c>
      <c r="O370" s="15">
        <f t="shared" ca="1" si="45"/>
        <v>8128</v>
      </c>
    </row>
    <row r="371" spans="4:15" s="327" customFormat="1" ht="15" collapsed="1" x14ac:dyDescent="0.2">
      <c r="D371" s="658" t="s">
        <v>121</v>
      </c>
      <c r="J371" s="25">
        <f t="shared" ref="J371:O371" ca="1" si="46">SUM(J361:J370)</f>
        <v>84852</v>
      </c>
      <c r="K371" s="25">
        <f t="shared" ca="1" si="46"/>
        <v>84852</v>
      </c>
      <c r="L371" s="25">
        <f t="shared" ca="1" si="46"/>
        <v>84852</v>
      </c>
      <c r="M371" s="25">
        <f t="shared" ca="1" si="46"/>
        <v>84852</v>
      </c>
      <c r="N371" s="25">
        <f t="shared" ca="1" si="46"/>
        <v>84852</v>
      </c>
      <c r="O371" s="25">
        <f t="shared" ca="1" si="46"/>
        <v>84852</v>
      </c>
    </row>
    <row r="372" spans="4:15" s="327" customFormat="1" x14ac:dyDescent="0.2"/>
    <row r="373" spans="4:15" s="327" customFormat="1" ht="15" x14ac:dyDescent="0.2">
      <c r="D373" s="658" t="s">
        <v>290</v>
      </c>
    </row>
    <row r="374" spans="4:15" s="327" customFormat="1" hidden="1" outlineLevel="1" x14ac:dyDescent="0.2">
      <c r="D374" s="660" t="str">
        <f>Reg_Pop_Ann_TA!D131</f>
        <v>Central</v>
      </c>
      <c r="J374" s="8">
        <f t="shared" ref="J374:O383" ca="1" si="47">IF((J333-J361)&lt;0,0,(J333-J361))</f>
        <v>39409</v>
      </c>
      <c r="K374" s="8">
        <f t="shared" ca="1" si="47"/>
        <v>40465</v>
      </c>
      <c r="L374" s="8">
        <f t="shared" ca="1" si="47"/>
        <v>41601</v>
      </c>
      <c r="M374" s="8">
        <f t="shared" ca="1" si="47"/>
        <v>47568</v>
      </c>
      <c r="N374" s="8">
        <f t="shared" ca="1" si="47"/>
        <v>53607</v>
      </c>
      <c r="O374" s="8">
        <f t="shared" ca="1" si="47"/>
        <v>59715</v>
      </c>
    </row>
    <row r="375" spans="4:15" s="327" customFormat="1" hidden="1" outlineLevel="1" x14ac:dyDescent="0.2">
      <c r="D375" s="660" t="str">
        <f>Reg_Pop_Ann_TA!D132</f>
        <v>Copperbelt</v>
      </c>
      <c r="J375" s="8">
        <f t="shared" ca="1" si="47"/>
        <v>69142</v>
      </c>
      <c r="K375" s="8">
        <f t="shared" ca="1" si="47"/>
        <v>71111</v>
      </c>
      <c r="L375" s="8">
        <f t="shared" ca="1" si="47"/>
        <v>73306</v>
      </c>
      <c r="M375" s="8">
        <f t="shared" ca="1" si="47"/>
        <v>82320</v>
      </c>
      <c r="N375" s="8">
        <f t="shared" ca="1" si="47"/>
        <v>91366</v>
      </c>
      <c r="O375" s="8">
        <f t="shared" ca="1" si="47"/>
        <v>100371</v>
      </c>
    </row>
    <row r="376" spans="4:15" s="327" customFormat="1" hidden="1" outlineLevel="1" x14ac:dyDescent="0.2">
      <c r="D376" s="660" t="str">
        <f>Reg_Pop_Ann_TA!D133</f>
        <v>Eastern</v>
      </c>
      <c r="J376" s="8">
        <f t="shared" ca="1" si="47"/>
        <v>44653</v>
      </c>
      <c r="K376" s="8">
        <f t="shared" ca="1" si="47"/>
        <v>45822</v>
      </c>
      <c r="L376" s="8">
        <f t="shared" ca="1" si="47"/>
        <v>47017</v>
      </c>
      <c r="M376" s="8">
        <f t="shared" ca="1" si="47"/>
        <v>56855</v>
      </c>
      <c r="N376" s="8">
        <f t="shared" ca="1" si="47"/>
        <v>66766</v>
      </c>
      <c r="O376" s="8">
        <f t="shared" ca="1" si="47"/>
        <v>76767</v>
      </c>
    </row>
    <row r="377" spans="4:15" s="327" customFormat="1" hidden="1" outlineLevel="1" x14ac:dyDescent="0.2">
      <c r="D377" s="660" t="str">
        <f>Reg_Pop_Ann_TA!D134</f>
        <v>Luapula</v>
      </c>
      <c r="J377" s="8">
        <f t="shared" ca="1" si="47"/>
        <v>26294</v>
      </c>
      <c r="K377" s="8">
        <f t="shared" ca="1" si="47"/>
        <v>26693</v>
      </c>
      <c r="L377" s="8">
        <f t="shared" ca="1" si="47"/>
        <v>27121</v>
      </c>
      <c r="M377" s="8">
        <f t="shared" ca="1" si="47"/>
        <v>34234</v>
      </c>
      <c r="N377" s="8">
        <f t="shared" ca="1" si="47"/>
        <v>41445</v>
      </c>
      <c r="O377" s="8">
        <f t="shared" ca="1" si="47"/>
        <v>48700</v>
      </c>
    </row>
    <row r="378" spans="4:15" s="327" customFormat="1" hidden="1" outlineLevel="1" x14ac:dyDescent="0.2">
      <c r="D378" s="660" t="str">
        <f>Reg_Pop_Ann_TA!D135</f>
        <v>Lusaka</v>
      </c>
      <c r="J378" s="8">
        <f t="shared" ca="1" si="47"/>
        <v>73983</v>
      </c>
      <c r="K378" s="8">
        <f t="shared" ca="1" si="47"/>
        <v>77664</v>
      </c>
      <c r="L378" s="8">
        <f t="shared" ca="1" si="47"/>
        <v>81423</v>
      </c>
      <c r="M378" s="8">
        <f t="shared" ca="1" si="47"/>
        <v>109233</v>
      </c>
      <c r="N378" s="8">
        <f t="shared" ca="1" si="47"/>
        <v>137137</v>
      </c>
      <c r="O378" s="8">
        <f t="shared" ca="1" si="47"/>
        <v>165144</v>
      </c>
    </row>
    <row r="379" spans="4:15" s="327" customFormat="1" hidden="1" outlineLevel="1" x14ac:dyDescent="0.2">
      <c r="D379" s="660" t="str">
        <f>Reg_Pop_Ann_TA!D136</f>
        <v>Muchinga</v>
      </c>
      <c r="J379" s="8">
        <f t="shared" ca="1" si="47"/>
        <v>26050</v>
      </c>
      <c r="K379" s="8">
        <f t="shared" ca="1" si="47"/>
        <v>27419</v>
      </c>
      <c r="L379" s="8">
        <f t="shared" ca="1" si="47"/>
        <v>28831</v>
      </c>
      <c r="M379" s="8">
        <f t="shared" ca="1" si="47"/>
        <v>30742</v>
      </c>
      <c r="N379" s="8">
        <f t="shared" ca="1" si="47"/>
        <v>32703</v>
      </c>
      <c r="O379" s="8">
        <f t="shared" ca="1" si="47"/>
        <v>34719</v>
      </c>
    </row>
    <row r="380" spans="4:15" s="327" customFormat="1" hidden="1" outlineLevel="1" x14ac:dyDescent="0.2">
      <c r="D380" s="660" t="str">
        <f>Reg_Pop_Ann_TA!D137</f>
        <v>Northern</v>
      </c>
      <c r="J380" s="8">
        <f t="shared" ca="1" si="47"/>
        <v>35456</v>
      </c>
      <c r="K380" s="8">
        <f t="shared" ca="1" si="47"/>
        <v>36673</v>
      </c>
      <c r="L380" s="8">
        <f t="shared" ca="1" si="47"/>
        <v>37926</v>
      </c>
      <c r="M380" s="8">
        <f t="shared" ca="1" si="47"/>
        <v>41593</v>
      </c>
      <c r="N380" s="8">
        <f t="shared" ca="1" si="47"/>
        <v>45304</v>
      </c>
      <c r="O380" s="8">
        <f t="shared" ca="1" si="47"/>
        <v>49065</v>
      </c>
    </row>
    <row r="381" spans="4:15" s="327" customFormat="1" hidden="1" outlineLevel="1" x14ac:dyDescent="0.2">
      <c r="D381" s="660" t="str">
        <f>Reg_Pop_Ann_TA!D138</f>
        <v>North-Western</v>
      </c>
      <c r="J381" s="8">
        <f t="shared" ca="1" si="47"/>
        <v>19975</v>
      </c>
      <c r="K381" s="8">
        <f t="shared" ca="1" si="47"/>
        <v>20410</v>
      </c>
      <c r="L381" s="8">
        <f t="shared" ca="1" si="47"/>
        <v>20891</v>
      </c>
      <c r="M381" s="8">
        <f t="shared" ca="1" si="47"/>
        <v>24251</v>
      </c>
      <c r="N381" s="8">
        <f t="shared" ca="1" si="47"/>
        <v>27656</v>
      </c>
      <c r="O381" s="8">
        <f t="shared" ca="1" si="47"/>
        <v>31103</v>
      </c>
    </row>
    <row r="382" spans="4:15" s="327" customFormat="1" hidden="1" outlineLevel="1" x14ac:dyDescent="0.2">
      <c r="D382" s="660" t="str">
        <f>Reg_Pop_Ann_TA!D139</f>
        <v>Southern</v>
      </c>
      <c r="J382" s="8">
        <f t="shared" ca="1" si="47"/>
        <v>48715</v>
      </c>
      <c r="K382" s="8">
        <f t="shared" ca="1" si="47"/>
        <v>50139</v>
      </c>
      <c r="L382" s="8">
        <f t="shared" ca="1" si="47"/>
        <v>51635</v>
      </c>
      <c r="M382" s="8">
        <f t="shared" ca="1" si="47"/>
        <v>59873</v>
      </c>
      <c r="N382" s="8">
        <f t="shared" ca="1" si="47"/>
        <v>68176</v>
      </c>
      <c r="O382" s="8">
        <f t="shared" ca="1" si="47"/>
        <v>76539</v>
      </c>
    </row>
    <row r="383" spans="4:15" s="327" customFormat="1" hidden="1" outlineLevel="1" x14ac:dyDescent="0.2">
      <c r="D383" s="660" t="str">
        <f>Reg_Pop_Ann_TA!D140</f>
        <v>Western</v>
      </c>
      <c r="J383" s="15">
        <f t="shared" ca="1" si="47"/>
        <v>23094</v>
      </c>
      <c r="K383" s="15">
        <f t="shared" ca="1" si="47"/>
        <v>23001</v>
      </c>
      <c r="L383" s="15">
        <f t="shared" ca="1" si="47"/>
        <v>22922</v>
      </c>
      <c r="M383" s="15">
        <f t="shared" ca="1" si="47"/>
        <v>29540</v>
      </c>
      <c r="N383" s="15">
        <f t="shared" ca="1" si="47"/>
        <v>36191</v>
      </c>
      <c r="O383" s="15">
        <f t="shared" ca="1" si="47"/>
        <v>42481</v>
      </c>
    </row>
    <row r="384" spans="4:15" s="327" customFormat="1" ht="15" collapsed="1" x14ac:dyDescent="0.2">
      <c r="D384" s="658" t="s">
        <v>121</v>
      </c>
      <c r="J384" s="25">
        <f t="shared" ref="J384:O384" ca="1" si="48">SUM(J374:J383)</f>
        <v>406771</v>
      </c>
      <c r="K384" s="25">
        <f t="shared" ca="1" si="48"/>
        <v>419397</v>
      </c>
      <c r="L384" s="25">
        <f t="shared" ca="1" si="48"/>
        <v>432673</v>
      </c>
      <c r="M384" s="25">
        <f t="shared" ca="1" si="48"/>
        <v>516209</v>
      </c>
      <c r="N384" s="25">
        <f t="shared" ca="1" si="48"/>
        <v>600351</v>
      </c>
      <c r="O384" s="25">
        <f t="shared" ca="1" si="48"/>
        <v>684604</v>
      </c>
    </row>
    <row r="385" spans="3:9" s="327" customFormat="1" x14ac:dyDescent="0.2"/>
    <row r="386" spans="3:9" s="327" customFormat="1" x14ac:dyDescent="0.2"/>
    <row r="387" spans="3:9" s="327" customFormat="1" ht="15.75" x14ac:dyDescent="0.2">
      <c r="C387" s="330" t="s">
        <v>131</v>
      </c>
    </row>
    <row r="388" spans="3:9" s="327" customFormat="1" ht="15" x14ac:dyDescent="0.2">
      <c r="D388" s="658" t="s">
        <v>593</v>
      </c>
      <c r="H388" s="71">
        <f>IF(SUM($I$348:$I$357),1,0)</f>
        <v>0</v>
      </c>
    </row>
    <row r="389" spans="3:9" s="327" customFormat="1" x14ac:dyDescent="0.2"/>
    <row r="390" spans="3:9" s="327" customFormat="1" x14ac:dyDescent="0.2"/>
    <row r="391" spans="3:9" s="327" customFormat="1" x14ac:dyDescent="0.2">
      <c r="C391" s="716" t="str">
        <f>"Go to "&amp;HL_Reg_Pop_Reg_Ass</f>
        <v>Go to Provinces, Districts, and Program Start Years - Assumptions</v>
      </c>
      <c r="D391" s="716"/>
      <c r="E391" s="716"/>
      <c r="F391" s="716"/>
      <c r="G391" s="716"/>
      <c r="H391" s="716"/>
      <c r="I391" s="716"/>
    </row>
    <row r="392" spans="3:9" s="327" customFormat="1" x14ac:dyDescent="0.2">
      <c r="C392" s="716" t="str">
        <f>"Go to "&amp;HL_Reg_Pop_Reg_Out</f>
        <v>Go to Province - Outputs</v>
      </c>
      <c r="D392" s="716"/>
      <c r="E392" s="716"/>
      <c r="F392" s="716"/>
      <c r="G392" s="716"/>
      <c r="H392" s="716"/>
      <c r="I392" s="716"/>
    </row>
  </sheetData>
  <sheetProtection password="F0F4" sheet="1" scenarios="1"/>
  <mergeCells count="29">
    <mergeCell ref="D65:G65"/>
    <mergeCell ref="D63:G63"/>
    <mergeCell ref="C392:I392"/>
    <mergeCell ref="C82:I82"/>
    <mergeCell ref="D348:G348"/>
    <mergeCell ref="D351:G351"/>
    <mergeCell ref="D352:G352"/>
    <mergeCell ref="D216:G216"/>
    <mergeCell ref="D358:G358"/>
    <mergeCell ref="D350:G350"/>
    <mergeCell ref="D349:G349"/>
    <mergeCell ref="D354:G354"/>
    <mergeCell ref="D353:G353"/>
    <mergeCell ref="B3:F3"/>
    <mergeCell ref="C81:I81"/>
    <mergeCell ref="C391:I391"/>
    <mergeCell ref="D53:G53"/>
    <mergeCell ref="D54:G54"/>
    <mergeCell ref="D55:G55"/>
    <mergeCell ref="D56:G56"/>
    <mergeCell ref="D57:G57"/>
    <mergeCell ref="D62:G62"/>
    <mergeCell ref="D357:G357"/>
    <mergeCell ref="D61:G61"/>
    <mergeCell ref="D356:G356"/>
    <mergeCell ref="D60:G60"/>
    <mergeCell ref="D355:G355"/>
    <mergeCell ref="D59:G59"/>
    <mergeCell ref="D58:G58"/>
  </mergeCells>
  <conditionalFormatting sqref="H388">
    <cfRule type="cellIs" dxfId="48" priority="2" operator="notEqual">
      <formula>0</formula>
    </cfRule>
  </conditionalFormatting>
  <conditionalFormatting sqref="I348:I357">
    <cfRule type="cellIs" dxfId="47" priority="3" operator="notEqual">
      <formula>0</formula>
    </cfRule>
  </conditionalFormatting>
  <hyperlinks>
    <hyperlink ref="A4" location="$A$10" tooltip="Go to Top of Sheet" display="$A$10"/>
    <hyperlink ref="C81:I81" location="HL_Reg_Pop_Reg_Ass" tooltip="Click to follow hyperlink." display="HL_Reg_Pop_Reg_Ass"/>
    <hyperlink ref="C82:I82" location="HL_Reg_Pop_Pop_Out" tooltip="Click to follow hyperlink." display="HL_Reg_Pop_Pop_Out"/>
    <hyperlink ref="C391:I391" location="HL_Reg_Pop_Reg_Ass" tooltip="Click to follow hyperlink." display="HL_Reg_Pop_Reg_Ass"/>
    <hyperlink ref="C392:I392" location="HL_Reg_Pop_Reg_Out" tooltip="Click to follow hyperlink." display="HL_Reg_Pop_Reg_Out"/>
    <hyperlink ref="C4" location="HL_Sheet_Main_16" tooltip="Go to Next Sheet" display="HL_Sheet_Main_16"/>
    <hyperlink ref="B4" location="HL_Sheet_Main_54" tooltip="Go to Previous Sheet" display="HL_Sheet_Main_54"/>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indexed="60"/>
    <pageSetUpPr autoPageBreaks="0"/>
  </sheetPr>
  <dimension ref="A1:O397"/>
  <sheetViews>
    <sheetView showGridLines="0" zoomScaleNormal="100" workbookViewId="0">
      <pane ySplit="9" topLeftCell="A195" activePane="bottomLeft" state="frozen"/>
      <selection activeCell="F4" sqref="F4"/>
      <selection pane="bottomLeft" activeCell="A214" sqref="A214:XFD214"/>
    </sheetView>
  </sheetViews>
  <sheetFormatPr defaultColWidth="11.7109375" defaultRowHeight="12.75" outlineLevelRow="2" outlineLevelCol="1" x14ac:dyDescent="0.2"/>
  <cols>
    <col min="1" max="1" width="3.7109375" style="49" customWidth="1"/>
    <col min="2" max="2" width="5.85546875" style="49" customWidth="1"/>
    <col min="3" max="4" width="3.85546875" style="49" customWidth="1"/>
    <col min="5" max="5" width="3.7109375" style="49" customWidth="1"/>
    <col min="6" max="6" width="11.7109375" style="49"/>
    <col min="7" max="7" width="14.7109375" style="49" customWidth="1"/>
    <col min="8" max="8" width="15.7109375" style="49" customWidth="1"/>
    <col min="9" max="9" width="11.7109375" style="49" customWidth="1"/>
    <col min="10" max="10" width="12.42578125" style="49" customWidth="1" outlineLevel="1"/>
    <col min="11" max="14" width="13.7109375" style="49" customWidth="1" outlineLevel="1"/>
    <col min="15" max="15" width="11.7109375" style="49" outlineLevel="1"/>
    <col min="16" max="16384" width="11.7109375" style="49"/>
  </cols>
  <sheetData>
    <row r="1" spans="1:15" ht="23.25" x14ac:dyDescent="0.2">
      <c r="A1" s="422"/>
      <c r="B1" s="100" t="s">
        <v>599</v>
      </c>
    </row>
    <row r="2" spans="1:15" ht="18.75" x14ac:dyDescent="0.2">
      <c r="B2" s="101" t="str">
        <f>Model_Name</f>
        <v>Zambia C4P* - Screening &amp; Treatment Tool</v>
      </c>
    </row>
    <row r="3" spans="1:15" x14ac:dyDescent="0.2">
      <c r="B3" s="716" t="s">
        <v>2</v>
      </c>
      <c r="C3" s="716"/>
      <c r="D3" s="716"/>
      <c r="E3" s="716"/>
      <c r="F3" s="716"/>
    </row>
    <row r="4" spans="1:15" x14ac:dyDescent="0.2">
      <c r="A4" s="102" t="s">
        <v>4</v>
      </c>
      <c r="B4" s="343" t="s">
        <v>6</v>
      </c>
      <c r="C4" s="344" t="s">
        <v>7</v>
      </c>
      <c r="D4" s="345" t="s">
        <v>27</v>
      </c>
      <c r="E4" s="346" t="s">
        <v>28</v>
      </c>
      <c r="F4" s="347" t="s">
        <v>29</v>
      </c>
    </row>
    <row r="5" spans="1:15" s="327" customFormat="1" x14ac:dyDescent="0.2">
      <c r="B5" s="199" t="str">
        <f>"Year Ending "&amp;INDEX(LU_TS_Mth_Names,DD_TS_Fin_Yr_End_Mth)</f>
        <v>Year Ending December</v>
      </c>
      <c r="C5" s="231"/>
      <c r="D5" s="231"/>
      <c r="E5" s="231"/>
      <c r="F5" s="231"/>
      <c r="G5" s="231"/>
      <c r="H5" s="231"/>
      <c r="I5" s="231"/>
      <c r="J5" s="454">
        <f t="shared" ref="J5:O5" si="0">J9</f>
        <v>2015</v>
      </c>
      <c r="K5" s="454">
        <f t="shared" si="0"/>
        <v>2016</v>
      </c>
      <c r="L5" s="454">
        <f t="shared" si="0"/>
        <v>2017</v>
      </c>
      <c r="M5" s="454">
        <f t="shared" si="0"/>
        <v>2018</v>
      </c>
      <c r="N5" s="454">
        <f t="shared" si="0"/>
        <v>2019</v>
      </c>
      <c r="O5" s="454">
        <f t="shared" si="0"/>
        <v>2020</v>
      </c>
    </row>
    <row r="6" spans="1:15" s="327" customFormat="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outlineLevel="2" x14ac:dyDescent="0.2">
      <c r="B8" s="680" t="s">
        <v>72</v>
      </c>
      <c r="J8" s="5">
        <f>COLUMNS($J8:J8)</f>
        <v>1</v>
      </c>
      <c r="K8" s="5">
        <f>COLUMNS($J8:K8)</f>
        <v>2</v>
      </c>
      <c r="L8" s="5">
        <f>COLUMNS($J8:L8)</f>
        <v>3</v>
      </c>
      <c r="M8" s="5">
        <f>COLUMNS($J8:M8)</f>
        <v>4</v>
      </c>
      <c r="N8" s="5">
        <f>COLUMNS($J8:N8)</f>
        <v>5</v>
      </c>
      <c r="O8" s="5">
        <f>COLUMNS($J8:O8)</f>
        <v>6</v>
      </c>
    </row>
    <row r="9" spans="1:15" s="327" customFormat="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x14ac:dyDescent="0.2"/>
    <row r="11" spans="1:15" s="327" customFormat="1" x14ac:dyDescent="0.2"/>
    <row r="12" spans="1:15" s="327" customFormat="1" ht="18.75" x14ac:dyDescent="0.2">
      <c r="B12" s="453" t="str">
        <f>Screen_Code1&amp;" Outputs"</f>
        <v>VIA Outputs</v>
      </c>
    </row>
    <row r="13" spans="1:15" s="327" customFormat="1" x14ac:dyDescent="0.2"/>
    <row r="14" spans="1:15" s="327" customFormat="1" x14ac:dyDescent="0.2"/>
    <row r="15" spans="1:15" s="327" customFormat="1" ht="15" x14ac:dyDescent="0.2">
      <c r="D15" s="679" t="str">
        <f ca="1">"Active "&amp;Screen_Ann_TA!D18</f>
        <v>Active Central Referral Hospital</v>
      </c>
    </row>
    <row r="16" spans="1:15" s="327" customFormat="1" outlineLevel="1" x14ac:dyDescent="0.2">
      <c r="H16" s="680" t="s">
        <v>101</v>
      </c>
      <c r="I16" s="680" t="s">
        <v>1753</v>
      </c>
    </row>
    <row r="17" spans="4:15" s="327" customFormat="1" outlineLevel="1" x14ac:dyDescent="0.2">
      <c r="D17" s="660" t="str">
        <f>Screen_Ann_TA!D20</f>
        <v>Central</v>
      </c>
      <c r="H17" s="5">
        <f>IFERROR(Screen_BA!H$21*Screen_BA!I$21*Screen_BA!J$21/Screen_BA!K$21,0)</f>
        <v>2340</v>
      </c>
      <c r="I17" s="5">
        <f t="shared" ref="I17:I26" si="4">J17</f>
        <v>0</v>
      </c>
      <c r="J17" s="5">
        <f>Screen_Ann_TA!J20</f>
        <v>0</v>
      </c>
      <c r="K17" s="5">
        <f>Screen_Ann_TA!K20</f>
        <v>0</v>
      </c>
      <c r="L17" s="5">
        <f>Screen_Ann_TA!L20</f>
        <v>0</v>
      </c>
      <c r="M17" s="5">
        <f>Screen_Ann_TA!M20</f>
        <v>0</v>
      </c>
      <c r="N17" s="5">
        <f>Screen_Ann_TA!N20</f>
        <v>0</v>
      </c>
      <c r="O17" s="5">
        <f>Screen_Ann_TA!O20</f>
        <v>0</v>
      </c>
    </row>
    <row r="18" spans="4:15" s="327" customFormat="1" outlineLevel="1" x14ac:dyDescent="0.2">
      <c r="D18" s="660" t="str">
        <f>Screen_Ann_TA!D21</f>
        <v>Copperbelt</v>
      </c>
      <c r="H18" s="5">
        <f>IFERROR(Screen_BA!H$21*Screen_BA!I$21*Screen_BA!J$21/Screen_BA!K$21,0)</f>
        <v>2340</v>
      </c>
      <c r="I18" s="5">
        <f t="shared" si="4"/>
        <v>2</v>
      </c>
      <c r="J18" s="5">
        <f>Screen_Ann_TA!J21</f>
        <v>2</v>
      </c>
      <c r="K18" s="5">
        <f>Screen_Ann_TA!K21</f>
        <v>2</v>
      </c>
      <c r="L18" s="5">
        <f>Screen_Ann_TA!L21</f>
        <v>2</v>
      </c>
      <c r="M18" s="5">
        <f>Screen_Ann_TA!M21</f>
        <v>2</v>
      </c>
      <c r="N18" s="5">
        <f>Screen_Ann_TA!N21</f>
        <v>2</v>
      </c>
      <c r="O18" s="5">
        <f>Screen_Ann_TA!O21</f>
        <v>2</v>
      </c>
    </row>
    <row r="19" spans="4:15" s="327" customFormat="1" outlineLevel="1" x14ac:dyDescent="0.2">
      <c r="D19" s="660" t="str">
        <f>Screen_Ann_TA!D22</f>
        <v>Eastern</v>
      </c>
      <c r="H19" s="5">
        <f>IFERROR(Screen_BA!H$21*Screen_BA!I$21*Screen_BA!J$21/Screen_BA!K$21,0)</f>
        <v>2340</v>
      </c>
      <c r="I19" s="5">
        <f t="shared" si="4"/>
        <v>0</v>
      </c>
      <c r="J19" s="5">
        <f>Screen_Ann_TA!J22</f>
        <v>0</v>
      </c>
      <c r="K19" s="5">
        <f>Screen_Ann_TA!K22</f>
        <v>0</v>
      </c>
      <c r="L19" s="5">
        <f>Screen_Ann_TA!L22</f>
        <v>0</v>
      </c>
      <c r="M19" s="5">
        <f>Screen_Ann_TA!M22</f>
        <v>0</v>
      </c>
      <c r="N19" s="5">
        <f>Screen_Ann_TA!N22</f>
        <v>0</v>
      </c>
      <c r="O19" s="5">
        <f>Screen_Ann_TA!O22</f>
        <v>0</v>
      </c>
    </row>
    <row r="20" spans="4:15" s="327" customFormat="1" outlineLevel="1" x14ac:dyDescent="0.2">
      <c r="D20" s="660" t="str">
        <f>Screen_Ann_TA!D23</f>
        <v>Luapula</v>
      </c>
      <c r="H20" s="5">
        <f>IFERROR(Screen_BA!H$21*Screen_BA!I$21*Screen_BA!J$21/Screen_BA!K$21,0)</f>
        <v>2340</v>
      </c>
      <c r="I20" s="5">
        <f t="shared" si="4"/>
        <v>0</v>
      </c>
      <c r="J20" s="5">
        <f>Screen_Ann_TA!J23</f>
        <v>0</v>
      </c>
      <c r="K20" s="5">
        <f>Screen_Ann_TA!K23</f>
        <v>0</v>
      </c>
      <c r="L20" s="5">
        <f>Screen_Ann_TA!L23</f>
        <v>0</v>
      </c>
      <c r="M20" s="5">
        <f>Screen_Ann_TA!M23</f>
        <v>0</v>
      </c>
      <c r="N20" s="5">
        <f>Screen_Ann_TA!N23</f>
        <v>0</v>
      </c>
      <c r="O20" s="5">
        <f>Screen_Ann_TA!O23</f>
        <v>0</v>
      </c>
    </row>
    <row r="21" spans="4:15" s="327" customFormat="1" outlineLevel="1" x14ac:dyDescent="0.2">
      <c r="D21" s="660" t="str">
        <f>Screen_Ann_TA!D24</f>
        <v>Lusaka</v>
      </c>
      <c r="H21" s="5">
        <f>IFERROR(Screen_BA!H$21*Screen_BA!I$21*Screen_BA!J$21/Screen_BA!K$21,0)</f>
        <v>2340</v>
      </c>
      <c r="I21" s="5">
        <f t="shared" si="4"/>
        <v>1</v>
      </c>
      <c r="J21" s="5">
        <f>Screen_Ann_TA!J24</f>
        <v>1</v>
      </c>
      <c r="K21" s="5">
        <f>Screen_Ann_TA!K24</f>
        <v>1</v>
      </c>
      <c r="L21" s="5">
        <f>Screen_Ann_TA!L24</f>
        <v>1</v>
      </c>
      <c r="M21" s="5">
        <f>Screen_Ann_TA!M24</f>
        <v>1</v>
      </c>
      <c r="N21" s="5">
        <f>Screen_Ann_TA!N24</f>
        <v>1</v>
      </c>
      <c r="O21" s="5">
        <f>Screen_Ann_TA!O24</f>
        <v>1</v>
      </c>
    </row>
    <row r="22" spans="4:15" s="327" customFormat="1" outlineLevel="1" x14ac:dyDescent="0.2">
      <c r="D22" s="660" t="str">
        <f>Screen_Ann_TA!D25</f>
        <v>Muchinga</v>
      </c>
      <c r="H22" s="5">
        <f>IFERROR(Screen_BA!H$21*Screen_BA!I$21*Screen_BA!J$21/Screen_BA!K$21,0)</f>
        <v>2340</v>
      </c>
      <c r="I22" s="5">
        <f t="shared" si="4"/>
        <v>0</v>
      </c>
      <c r="J22" s="5">
        <f>Screen_Ann_TA!J25</f>
        <v>0</v>
      </c>
      <c r="K22" s="5">
        <f>Screen_Ann_TA!K25</f>
        <v>0</v>
      </c>
      <c r="L22" s="5">
        <f>Screen_Ann_TA!L25</f>
        <v>0</v>
      </c>
      <c r="M22" s="5">
        <f>Screen_Ann_TA!M25</f>
        <v>0</v>
      </c>
      <c r="N22" s="5">
        <f>Screen_Ann_TA!N25</f>
        <v>0</v>
      </c>
      <c r="O22" s="5">
        <f>Screen_Ann_TA!O25</f>
        <v>0</v>
      </c>
    </row>
    <row r="23" spans="4:15" s="327" customFormat="1" outlineLevel="1" x14ac:dyDescent="0.2">
      <c r="D23" s="660" t="str">
        <f>Screen_Ann_TA!D26</f>
        <v>Northern</v>
      </c>
      <c r="H23" s="5">
        <f>IFERROR(Screen_BA!H$21*Screen_BA!I$21*Screen_BA!J$21/Screen_BA!K$21,0)</f>
        <v>2340</v>
      </c>
      <c r="I23" s="5">
        <f t="shared" si="4"/>
        <v>0</v>
      </c>
      <c r="J23" s="5">
        <f>Screen_Ann_TA!J26</f>
        <v>0</v>
      </c>
      <c r="K23" s="5">
        <f>Screen_Ann_TA!K26</f>
        <v>0</v>
      </c>
      <c r="L23" s="5">
        <f>Screen_Ann_TA!L26</f>
        <v>0</v>
      </c>
      <c r="M23" s="5">
        <f>Screen_Ann_TA!M26</f>
        <v>0</v>
      </c>
      <c r="N23" s="5">
        <f>Screen_Ann_TA!N26</f>
        <v>0</v>
      </c>
      <c r="O23" s="5">
        <f>Screen_Ann_TA!O26</f>
        <v>0</v>
      </c>
    </row>
    <row r="24" spans="4:15" s="327" customFormat="1" outlineLevel="1" x14ac:dyDescent="0.2">
      <c r="D24" s="660" t="str">
        <f>Screen_Ann_TA!D27</f>
        <v>North-Western</v>
      </c>
      <c r="H24" s="5">
        <f>IFERROR(Screen_BA!H$21*Screen_BA!I$21*Screen_BA!J$21/Screen_BA!K$21,0)</f>
        <v>2340</v>
      </c>
      <c r="I24" s="5">
        <f t="shared" si="4"/>
        <v>0</v>
      </c>
      <c r="J24" s="5">
        <f>Screen_Ann_TA!J27</f>
        <v>0</v>
      </c>
      <c r="K24" s="5">
        <f>Screen_Ann_TA!K27</f>
        <v>0</v>
      </c>
      <c r="L24" s="5">
        <f>Screen_Ann_TA!L27</f>
        <v>0</v>
      </c>
      <c r="M24" s="5">
        <f>Screen_Ann_TA!M27</f>
        <v>0</v>
      </c>
      <c r="N24" s="5">
        <f>Screen_Ann_TA!N27</f>
        <v>0</v>
      </c>
      <c r="O24" s="5">
        <f>Screen_Ann_TA!O27</f>
        <v>0</v>
      </c>
    </row>
    <row r="25" spans="4:15" s="327" customFormat="1" outlineLevel="1" x14ac:dyDescent="0.2">
      <c r="D25" s="660" t="str">
        <f>Screen_Ann_TA!D28</f>
        <v>Southern</v>
      </c>
      <c r="H25" s="5">
        <f>IFERROR(Screen_BA!H$21*Screen_BA!I$21*Screen_BA!J$21/Screen_BA!K$21,0)</f>
        <v>2340</v>
      </c>
      <c r="I25" s="5">
        <f t="shared" si="4"/>
        <v>0</v>
      </c>
      <c r="J25" s="5">
        <f>Screen_Ann_TA!J28</f>
        <v>0</v>
      </c>
      <c r="K25" s="5">
        <f>Screen_Ann_TA!K28</f>
        <v>0</v>
      </c>
      <c r="L25" s="5">
        <f>Screen_Ann_TA!L28</f>
        <v>0</v>
      </c>
      <c r="M25" s="5">
        <f>Screen_Ann_TA!M28</f>
        <v>0</v>
      </c>
      <c r="N25" s="5">
        <f>Screen_Ann_TA!N28</f>
        <v>0</v>
      </c>
      <c r="O25" s="5">
        <f>Screen_Ann_TA!O28</f>
        <v>0</v>
      </c>
    </row>
    <row r="26" spans="4:15" s="327" customFormat="1" outlineLevel="1" x14ac:dyDescent="0.2">
      <c r="D26" s="660" t="str">
        <f>Screen_Ann_TA!D29</f>
        <v>Western</v>
      </c>
      <c r="H26" s="5">
        <f>IFERROR(Screen_BA!H$21*Screen_BA!I$21*Screen_BA!J$21/Screen_BA!K$21,0)</f>
        <v>2340</v>
      </c>
      <c r="I26" s="5">
        <f t="shared" si="4"/>
        <v>0</v>
      </c>
      <c r="J26" s="5">
        <f>Screen_Ann_TA!J29</f>
        <v>0</v>
      </c>
      <c r="K26" s="5">
        <f>Screen_Ann_TA!K29</f>
        <v>0</v>
      </c>
      <c r="L26" s="5">
        <f>Screen_Ann_TA!L29</f>
        <v>0</v>
      </c>
      <c r="M26" s="5">
        <f>Screen_Ann_TA!M29</f>
        <v>0</v>
      </c>
      <c r="N26" s="5">
        <f>Screen_Ann_TA!N29</f>
        <v>0</v>
      </c>
      <c r="O26" s="5">
        <f>Screen_Ann_TA!O29</f>
        <v>0</v>
      </c>
    </row>
    <row r="27" spans="4:15" s="327" customFormat="1" ht="15" x14ac:dyDescent="0.2">
      <c r="D27" s="679" t="str">
        <f ca="1">"Total "&amp;D15&amp;"s"</f>
        <v>Total Active Central Referral Hospitals</v>
      </c>
      <c r="H27" s="5"/>
      <c r="I27" s="14">
        <f>SUM(I17:I26)</f>
        <v>3</v>
      </c>
      <c r="J27" s="562">
        <f t="shared" ref="J27:O27" si="5">SUM(J17:J26)</f>
        <v>3</v>
      </c>
      <c r="K27" s="562">
        <f t="shared" si="5"/>
        <v>3</v>
      </c>
      <c r="L27" s="562">
        <f t="shared" si="5"/>
        <v>3</v>
      </c>
      <c r="M27" s="562">
        <f t="shared" si="5"/>
        <v>3</v>
      </c>
      <c r="N27" s="562">
        <f t="shared" si="5"/>
        <v>3</v>
      </c>
      <c r="O27" s="562">
        <f t="shared" si="5"/>
        <v>3</v>
      </c>
    </row>
    <row r="28" spans="4:15" s="327" customFormat="1" x14ac:dyDescent="0.2">
      <c r="D28" s="659" t="str">
        <f>"Total New Facilities- ("&amp;Screen_BA!$G$10&amp;")"</f>
        <v>Total New Facilities- (VIA)</v>
      </c>
      <c r="J28" s="5">
        <f t="shared" ref="J28:O28" si="6">J27-I27</f>
        <v>0</v>
      </c>
      <c r="K28" s="5">
        <f t="shared" si="6"/>
        <v>0</v>
      </c>
      <c r="L28" s="5">
        <f t="shared" si="6"/>
        <v>0</v>
      </c>
      <c r="M28" s="5">
        <f t="shared" si="6"/>
        <v>0</v>
      </c>
      <c r="N28" s="5">
        <f t="shared" si="6"/>
        <v>0</v>
      </c>
      <c r="O28" s="5">
        <f t="shared" si="6"/>
        <v>0</v>
      </c>
    </row>
    <row r="29" spans="4:15" s="327" customFormat="1" x14ac:dyDescent="0.2">
      <c r="D29" s="659" t="str">
        <f>"Total Continuing Facilities- ("&amp;Screen_BA!$G$10&amp;")"</f>
        <v>Total Continuing Facilities- (VIA)</v>
      </c>
      <c r="J29" s="5">
        <f t="shared" ref="J29:O29" si="7">J27-J28</f>
        <v>3</v>
      </c>
      <c r="K29" s="5">
        <f t="shared" si="7"/>
        <v>3</v>
      </c>
      <c r="L29" s="5">
        <f t="shared" si="7"/>
        <v>3</v>
      </c>
      <c r="M29" s="5">
        <f t="shared" si="7"/>
        <v>3</v>
      </c>
      <c r="N29" s="5">
        <f t="shared" si="7"/>
        <v>3</v>
      </c>
      <c r="O29" s="5">
        <f t="shared" si="7"/>
        <v>3</v>
      </c>
    </row>
    <row r="30" spans="4:15" s="327" customFormat="1" ht="15" x14ac:dyDescent="0.2">
      <c r="D30" s="679" t="str">
        <f ca="1">"Active "&amp;Screen_Ann_TA!D40</f>
        <v>Active Provincial Hospital</v>
      </c>
    </row>
    <row r="31" spans="4:15" s="327" customFormat="1" outlineLevel="1" x14ac:dyDescent="0.2">
      <c r="H31" s="680" t="s">
        <v>101</v>
      </c>
      <c r="I31" s="680" t="s">
        <v>1753</v>
      </c>
    </row>
    <row r="32" spans="4:15" s="327" customFormat="1" outlineLevel="1" x14ac:dyDescent="0.2">
      <c r="D32" s="660" t="str">
        <f>Screen_Ann_TA!D42</f>
        <v>Central</v>
      </c>
      <c r="H32" s="5">
        <f>IFERROR(Screen_BA!H$22*Screen_BA!I$22*Screen_BA!J$22/Screen_BA!K$22,0)</f>
        <v>2340</v>
      </c>
      <c r="I32" s="5">
        <f t="shared" ref="I32:I41" si="8">J32</f>
        <v>0</v>
      </c>
      <c r="J32" s="5">
        <f>Screen_Ann_TA!J42</f>
        <v>0</v>
      </c>
      <c r="K32" s="5">
        <f>Screen_Ann_TA!K42</f>
        <v>0</v>
      </c>
      <c r="L32" s="5">
        <f>Screen_Ann_TA!L42</f>
        <v>0</v>
      </c>
      <c r="M32" s="5">
        <f>Screen_Ann_TA!M42</f>
        <v>0</v>
      </c>
      <c r="N32" s="5">
        <f>Screen_Ann_TA!N42</f>
        <v>0</v>
      </c>
      <c r="O32" s="5">
        <f>Screen_Ann_TA!O42</f>
        <v>0</v>
      </c>
    </row>
    <row r="33" spans="4:15" s="327" customFormat="1" outlineLevel="1" x14ac:dyDescent="0.2">
      <c r="D33" s="660" t="str">
        <f>Screen_Ann_TA!D43</f>
        <v>Copperbelt</v>
      </c>
      <c r="H33" s="5">
        <f>IFERROR(Screen_BA!H$22*Screen_BA!I$22*Screen_BA!J$22/Screen_BA!K$22,0)</f>
        <v>2340</v>
      </c>
      <c r="I33" s="5">
        <f t="shared" si="8"/>
        <v>1</v>
      </c>
      <c r="J33" s="5">
        <f>Screen_Ann_TA!J43</f>
        <v>1</v>
      </c>
      <c r="K33" s="5">
        <f>Screen_Ann_TA!K43</f>
        <v>1</v>
      </c>
      <c r="L33" s="5">
        <f>Screen_Ann_TA!L43</f>
        <v>1</v>
      </c>
      <c r="M33" s="5">
        <f>Screen_Ann_TA!M43</f>
        <v>1</v>
      </c>
      <c r="N33" s="5">
        <f>Screen_Ann_TA!N43</f>
        <v>1</v>
      </c>
      <c r="O33" s="5">
        <f>Screen_Ann_TA!O43</f>
        <v>1</v>
      </c>
    </row>
    <row r="34" spans="4:15" s="327" customFormat="1" outlineLevel="1" x14ac:dyDescent="0.2">
      <c r="D34" s="660" t="str">
        <f>Screen_Ann_TA!D44</f>
        <v>Eastern</v>
      </c>
      <c r="H34" s="5">
        <f>IFERROR(Screen_BA!H$22*Screen_BA!I$22*Screen_BA!J$22/Screen_BA!K$22,0)</f>
        <v>2340</v>
      </c>
      <c r="I34" s="5">
        <f t="shared" si="8"/>
        <v>2</v>
      </c>
      <c r="J34" s="5">
        <f>Screen_Ann_TA!J44</f>
        <v>2</v>
      </c>
      <c r="K34" s="5">
        <f>Screen_Ann_TA!K44</f>
        <v>2</v>
      </c>
      <c r="L34" s="5">
        <f>Screen_Ann_TA!L44</f>
        <v>2</v>
      </c>
      <c r="M34" s="5">
        <f>Screen_Ann_TA!M44</f>
        <v>2</v>
      </c>
      <c r="N34" s="5">
        <f>Screen_Ann_TA!N44</f>
        <v>2</v>
      </c>
      <c r="O34" s="5">
        <f>Screen_Ann_TA!O44</f>
        <v>2</v>
      </c>
    </row>
    <row r="35" spans="4:15" s="327" customFormat="1" outlineLevel="1" x14ac:dyDescent="0.2">
      <c r="D35" s="660" t="str">
        <f>Screen_Ann_TA!D45</f>
        <v>Luapula</v>
      </c>
      <c r="H35" s="5">
        <f>IFERROR(Screen_BA!H$22*Screen_BA!I$22*Screen_BA!J$22/Screen_BA!K$22,0)</f>
        <v>2340</v>
      </c>
      <c r="I35" s="5">
        <f t="shared" si="8"/>
        <v>1</v>
      </c>
      <c r="J35" s="5">
        <f>Screen_Ann_TA!J45</f>
        <v>1</v>
      </c>
      <c r="K35" s="5">
        <f>Screen_Ann_TA!K45</f>
        <v>1</v>
      </c>
      <c r="L35" s="5">
        <f>Screen_Ann_TA!L45</f>
        <v>1</v>
      </c>
      <c r="M35" s="5">
        <f>Screen_Ann_TA!M45</f>
        <v>1</v>
      </c>
      <c r="N35" s="5">
        <f>Screen_Ann_TA!N45</f>
        <v>1</v>
      </c>
      <c r="O35" s="5">
        <f>Screen_Ann_TA!O45</f>
        <v>1</v>
      </c>
    </row>
    <row r="36" spans="4:15" s="327" customFormat="1" outlineLevel="1" x14ac:dyDescent="0.2">
      <c r="D36" s="660" t="str">
        <f>Screen_Ann_TA!D46</f>
        <v>Lusaka</v>
      </c>
      <c r="H36" s="5">
        <f>IFERROR(Screen_BA!H$22*Screen_BA!I$22*Screen_BA!J$22/Screen_BA!K$22,0)</f>
        <v>2340</v>
      </c>
      <c r="I36" s="5">
        <f t="shared" si="8"/>
        <v>0</v>
      </c>
      <c r="J36" s="5">
        <f>Screen_Ann_TA!J46</f>
        <v>0</v>
      </c>
      <c r="K36" s="5">
        <f>Screen_Ann_TA!K46</f>
        <v>0</v>
      </c>
      <c r="L36" s="5">
        <f>Screen_Ann_TA!L46</f>
        <v>0</v>
      </c>
      <c r="M36" s="5">
        <f>Screen_Ann_TA!M46</f>
        <v>0</v>
      </c>
      <c r="N36" s="5">
        <f>Screen_Ann_TA!N46</f>
        <v>0</v>
      </c>
      <c r="O36" s="5">
        <f>Screen_Ann_TA!O46</f>
        <v>0</v>
      </c>
    </row>
    <row r="37" spans="4:15" s="327" customFormat="1" outlineLevel="1" x14ac:dyDescent="0.2">
      <c r="D37" s="660" t="str">
        <f>Screen_Ann_TA!D47</f>
        <v>Muchinga</v>
      </c>
      <c r="H37" s="5">
        <f>IFERROR(Screen_BA!H$22*Screen_BA!I$22*Screen_BA!J$22/Screen_BA!K$22,0)</f>
        <v>2340</v>
      </c>
      <c r="I37" s="5">
        <f t="shared" si="8"/>
        <v>0</v>
      </c>
      <c r="J37" s="5">
        <f>Screen_Ann_TA!J47</f>
        <v>0</v>
      </c>
      <c r="K37" s="5">
        <f>Screen_Ann_TA!K47</f>
        <v>0</v>
      </c>
      <c r="L37" s="5">
        <f>Screen_Ann_TA!L47</f>
        <v>0</v>
      </c>
      <c r="M37" s="5">
        <f>Screen_Ann_TA!M47</f>
        <v>0</v>
      </c>
      <c r="N37" s="5">
        <f>Screen_Ann_TA!N47</f>
        <v>0</v>
      </c>
      <c r="O37" s="5">
        <f>Screen_Ann_TA!O47</f>
        <v>0</v>
      </c>
    </row>
    <row r="38" spans="4:15" s="327" customFormat="1" outlineLevel="1" x14ac:dyDescent="0.2">
      <c r="D38" s="660" t="str">
        <f>Screen_Ann_TA!D48</f>
        <v>Northern</v>
      </c>
      <c r="H38" s="5">
        <f>IFERROR(Screen_BA!H$22*Screen_BA!I$22*Screen_BA!J$22/Screen_BA!K$22,0)</f>
        <v>2340</v>
      </c>
      <c r="I38" s="5">
        <f t="shared" si="8"/>
        <v>1</v>
      </c>
      <c r="J38" s="5">
        <f>Screen_Ann_TA!J48</f>
        <v>1</v>
      </c>
      <c r="K38" s="5">
        <f>Screen_Ann_TA!K48</f>
        <v>1</v>
      </c>
      <c r="L38" s="5">
        <f>Screen_Ann_TA!L48</f>
        <v>1</v>
      </c>
      <c r="M38" s="5">
        <f>Screen_Ann_TA!M48</f>
        <v>1</v>
      </c>
      <c r="N38" s="5">
        <f>Screen_Ann_TA!N48</f>
        <v>1</v>
      </c>
      <c r="O38" s="5">
        <f>Screen_Ann_TA!O48</f>
        <v>1</v>
      </c>
    </row>
    <row r="39" spans="4:15" s="327" customFormat="1" outlineLevel="1" x14ac:dyDescent="0.2">
      <c r="D39" s="660" t="str">
        <f>Screen_Ann_TA!D49</f>
        <v>North-Western</v>
      </c>
      <c r="H39" s="5">
        <f>IFERROR(Screen_BA!H$22*Screen_BA!I$22*Screen_BA!J$22/Screen_BA!K$22,0)</f>
        <v>2340</v>
      </c>
      <c r="I39" s="5">
        <f t="shared" si="8"/>
        <v>1</v>
      </c>
      <c r="J39" s="5">
        <f>Screen_Ann_TA!J49</f>
        <v>1</v>
      </c>
      <c r="K39" s="5">
        <f>Screen_Ann_TA!K49</f>
        <v>1</v>
      </c>
      <c r="L39" s="5">
        <f>Screen_Ann_TA!L49</f>
        <v>1</v>
      </c>
      <c r="M39" s="5">
        <f>Screen_Ann_TA!M49</f>
        <v>1</v>
      </c>
      <c r="N39" s="5">
        <f>Screen_Ann_TA!N49</f>
        <v>1</v>
      </c>
      <c r="O39" s="5">
        <f>Screen_Ann_TA!O49</f>
        <v>1</v>
      </c>
    </row>
    <row r="40" spans="4:15" s="327" customFormat="1" outlineLevel="1" x14ac:dyDescent="0.2">
      <c r="D40" s="660" t="str">
        <f>Screen_Ann_TA!D50</f>
        <v>Southern</v>
      </c>
      <c r="H40" s="5">
        <f>IFERROR(Screen_BA!H$22*Screen_BA!I$22*Screen_BA!J$22/Screen_BA!K$22,0)</f>
        <v>2340</v>
      </c>
      <c r="I40" s="5">
        <f t="shared" si="8"/>
        <v>2</v>
      </c>
      <c r="J40" s="5">
        <f>Screen_Ann_TA!J50</f>
        <v>2</v>
      </c>
      <c r="K40" s="5">
        <f>Screen_Ann_TA!K50</f>
        <v>2</v>
      </c>
      <c r="L40" s="5">
        <f>Screen_Ann_TA!L50</f>
        <v>2</v>
      </c>
      <c r="M40" s="5">
        <f>Screen_Ann_TA!M50</f>
        <v>2</v>
      </c>
      <c r="N40" s="5">
        <f>Screen_Ann_TA!N50</f>
        <v>2</v>
      </c>
      <c r="O40" s="5">
        <f>Screen_Ann_TA!O50</f>
        <v>2</v>
      </c>
    </row>
    <row r="41" spans="4:15" s="327" customFormat="1" outlineLevel="1" x14ac:dyDescent="0.2">
      <c r="D41" s="660" t="str">
        <f>Screen_Ann_TA!D51</f>
        <v>Western</v>
      </c>
      <c r="H41" s="5">
        <f>IFERROR(Screen_BA!H$22*Screen_BA!I$22*Screen_BA!J$22/Screen_BA!K$22,0)</f>
        <v>2340</v>
      </c>
      <c r="I41" s="5">
        <f t="shared" si="8"/>
        <v>1</v>
      </c>
      <c r="J41" s="5">
        <f>Screen_Ann_TA!J51</f>
        <v>1</v>
      </c>
      <c r="K41" s="5">
        <f>Screen_Ann_TA!K51</f>
        <v>1</v>
      </c>
      <c r="L41" s="5">
        <f>Screen_Ann_TA!L51</f>
        <v>1</v>
      </c>
      <c r="M41" s="5">
        <f>Screen_Ann_TA!M51</f>
        <v>1</v>
      </c>
      <c r="N41" s="5">
        <f>Screen_Ann_TA!N51</f>
        <v>1</v>
      </c>
      <c r="O41" s="5">
        <f>Screen_Ann_TA!O51</f>
        <v>1</v>
      </c>
    </row>
    <row r="42" spans="4:15" s="327" customFormat="1" ht="15" x14ac:dyDescent="0.2">
      <c r="D42" s="679" t="str">
        <f ca="1">"Total "&amp;D30&amp;"s"</f>
        <v>Total Active Provincial Hospitals</v>
      </c>
      <c r="H42" s="5"/>
      <c r="I42" s="5">
        <f>SUM(I32:I41)</f>
        <v>9</v>
      </c>
      <c r="J42" s="562">
        <f t="shared" ref="J42:O42" si="9">SUM(J32:J41)</f>
        <v>9</v>
      </c>
      <c r="K42" s="562">
        <f t="shared" si="9"/>
        <v>9</v>
      </c>
      <c r="L42" s="562">
        <f t="shared" si="9"/>
        <v>9</v>
      </c>
      <c r="M42" s="562">
        <f t="shared" si="9"/>
        <v>9</v>
      </c>
      <c r="N42" s="562">
        <f t="shared" si="9"/>
        <v>9</v>
      </c>
      <c r="O42" s="562">
        <f t="shared" si="9"/>
        <v>9</v>
      </c>
    </row>
    <row r="43" spans="4:15" s="327" customFormat="1" x14ac:dyDescent="0.2">
      <c r="D43" s="659" t="str">
        <f>"Total New Facilities- ("&amp;Screen_BA!$G$10&amp;")"</f>
        <v>Total New Facilities- (VIA)</v>
      </c>
      <c r="J43" s="5">
        <f t="shared" ref="J43:O43" si="10">J42-I42</f>
        <v>0</v>
      </c>
      <c r="K43" s="5">
        <f t="shared" si="10"/>
        <v>0</v>
      </c>
      <c r="L43" s="5">
        <f t="shared" si="10"/>
        <v>0</v>
      </c>
      <c r="M43" s="5">
        <f t="shared" si="10"/>
        <v>0</v>
      </c>
      <c r="N43" s="5">
        <f t="shared" si="10"/>
        <v>0</v>
      </c>
      <c r="O43" s="5">
        <f t="shared" si="10"/>
        <v>0</v>
      </c>
    </row>
    <row r="44" spans="4:15" s="327" customFormat="1" x14ac:dyDescent="0.2">
      <c r="D44" s="659" t="str">
        <f>"Total Continuing Facilities- ("&amp;Screen_BA!$G$10&amp;")"</f>
        <v>Total Continuing Facilities- (VIA)</v>
      </c>
      <c r="J44" s="5">
        <f t="shared" ref="J44:O44" si="11">J42-J43</f>
        <v>9</v>
      </c>
      <c r="K44" s="5">
        <f t="shared" si="11"/>
        <v>9</v>
      </c>
      <c r="L44" s="5">
        <f t="shared" si="11"/>
        <v>9</v>
      </c>
      <c r="M44" s="5">
        <f t="shared" si="11"/>
        <v>9</v>
      </c>
      <c r="N44" s="5">
        <f t="shared" si="11"/>
        <v>9</v>
      </c>
      <c r="O44" s="5">
        <f t="shared" si="11"/>
        <v>9</v>
      </c>
    </row>
    <row r="45" spans="4:15" s="327" customFormat="1" ht="15" x14ac:dyDescent="0.2">
      <c r="D45" s="679" t="str">
        <f ca="1">"Active "&amp;Screen_Ann_TA!D61</f>
        <v>Active District Hospital</v>
      </c>
    </row>
    <row r="46" spans="4:15" s="327" customFormat="1" outlineLevel="1" x14ac:dyDescent="0.2">
      <c r="H46" s="680" t="s">
        <v>101</v>
      </c>
      <c r="I46" s="565" t="s">
        <v>1753</v>
      </c>
    </row>
    <row r="47" spans="4:15" s="327" customFormat="1" outlineLevel="1" x14ac:dyDescent="0.2">
      <c r="D47" s="660" t="str">
        <f>Screen_Ann_TA!D63</f>
        <v>Central</v>
      </c>
      <c r="H47" s="5">
        <f>IFERROR(Screen_BA!H$23*Screen_BA!I$23*Screen_BA!J$23/Screen_BA!K$23,0)</f>
        <v>2340</v>
      </c>
      <c r="I47" s="5">
        <f t="shared" ref="I47:I56" si="12">J47</f>
        <v>1</v>
      </c>
      <c r="J47" s="5">
        <f>Screen_Ann_TA!J63</f>
        <v>1</v>
      </c>
      <c r="K47" s="5">
        <f>Screen_Ann_TA!K63</f>
        <v>1</v>
      </c>
      <c r="L47" s="5">
        <f>Screen_Ann_TA!L63</f>
        <v>1</v>
      </c>
      <c r="M47" s="5">
        <f>Screen_Ann_TA!M63</f>
        <v>1</v>
      </c>
      <c r="N47" s="5">
        <f>Screen_Ann_TA!N63</f>
        <v>1</v>
      </c>
      <c r="O47" s="5">
        <f>Screen_Ann_TA!O63</f>
        <v>1</v>
      </c>
    </row>
    <row r="48" spans="4:15" s="327" customFormat="1" outlineLevel="1" x14ac:dyDescent="0.2">
      <c r="D48" s="660" t="str">
        <f>Screen_Ann_TA!D64</f>
        <v>Copperbelt</v>
      </c>
      <c r="H48" s="5">
        <f>IFERROR(Screen_BA!H$23*Screen_BA!I$23*Screen_BA!J$23/Screen_BA!K$23,0)</f>
        <v>2340</v>
      </c>
      <c r="I48" s="5">
        <f t="shared" si="12"/>
        <v>0</v>
      </c>
      <c r="J48" s="5">
        <f>Screen_Ann_TA!J64</f>
        <v>0</v>
      </c>
      <c r="K48" s="5">
        <f>Screen_Ann_TA!K64</f>
        <v>0</v>
      </c>
      <c r="L48" s="5">
        <f>Screen_Ann_TA!L64</f>
        <v>0</v>
      </c>
      <c r="M48" s="5">
        <f>Screen_Ann_TA!M64</f>
        <v>0</v>
      </c>
      <c r="N48" s="5">
        <f>Screen_Ann_TA!N64</f>
        <v>0</v>
      </c>
      <c r="O48" s="5">
        <f>Screen_Ann_TA!O64</f>
        <v>0</v>
      </c>
    </row>
    <row r="49" spans="4:15" s="327" customFormat="1" outlineLevel="1" x14ac:dyDescent="0.2">
      <c r="D49" s="660" t="str">
        <f>Screen_Ann_TA!D65</f>
        <v>Eastern</v>
      </c>
      <c r="H49" s="5">
        <f>IFERROR(Screen_BA!H$23*Screen_BA!I$23*Screen_BA!J$23/Screen_BA!K$23,0)</f>
        <v>2340</v>
      </c>
      <c r="I49" s="5">
        <f t="shared" si="12"/>
        <v>1</v>
      </c>
      <c r="J49" s="5">
        <f>Screen_Ann_TA!J65</f>
        <v>1</v>
      </c>
      <c r="K49" s="5">
        <f>Screen_Ann_TA!K65</f>
        <v>1</v>
      </c>
      <c r="L49" s="5">
        <f>Screen_Ann_TA!L65</f>
        <v>1</v>
      </c>
      <c r="M49" s="5">
        <f>Screen_Ann_TA!M65</f>
        <v>1</v>
      </c>
      <c r="N49" s="5">
        <f>Screen_Ann_TA!N65</f>
        <v>1</v>
      </c>
      <c r="O49" s="5">
        <f>Screen_Ann_TA!O65</f>
        <v>1</v>
      </c>
    </row>
    <row r="50" spans="4:15" s="327" customFormat="1" outlineLevel="1" x14ac:dyDescent="0.2">
      <c r="D50" s="660" t="str">
        <f>Screen_Ann_TA!D66</f>
        <v>Luapula</v>
      </c>
      <c r="H50" s="5">
        <f>IFERROR(Screen_BA!H$23*Screen_BA!I$23*Screen_BA!J$23/Screen_BA!K$23,0)</f>
        <v>2340</v>
      </c>
      <c r="I50" s="5">
        <f t="shared" si="12"/>
        <v>2</v>
      </c>
      <c r="J50" s="5">
        <f>Screen_Ann_TA!J66</f>
        <v>2</v>
      </c>
      <c r="K50" s="5">
        <f>Screen_Ann_TA!K66</f>
        <v>2</v>
      </c>
      <c r="L50" s="5">
        <f>Screen_Ann_TA!L66</f>
        <v>2</v>
      </c>
      <c r="M50" s="5">
        <f>Screen_Ann_TA!M66</f>
        <v>2</v>
      </c>
      <c r="N50" s="5">
        <f>Screen_Ann_TA!N66</f>
        <v>2</v>
      </c>
      <c r="O50" s="5">
        <f>Screen_Ann_TA!O66</f>
        <v>2</v>
      </c>
    </row>
    <row r="51" spans="4:15" s="327" customFormat="1" outlineLevel="1" x14ac:dyDescent="0.2">
      <c r="D51" s="660" t="str">
        <f>Screen_Ann_TA!D67</f>
        <v>Lusaka</v>
      </c>
      <c r="H51" s="5">
        <f>IFERROR(Screen_BA!H$23*Screen_BA!I$23*Screen_BA!J$23/Screen_BA!K$23,0)</f>
        <v>2340</v>
      </c>
      <c r="I51" s="5">
        <f t="shared" si="12"/>
        <v>0</v>
      </c>
      <c r="J51" s="5">
        <f>Screen_Ann_TA!J67</f>
        <v>0</v>
      </c>
      <c r="K51" s="5">
        <f>Screen_Ann_TA!K67</f>
        <v>0</v>
      </c>
      <c r="L51" s="5">
        <f>Screen_Ann_TA!L67</f>
        <v>0</v>
      </c>
      <c r="M51" s="5">
        <f>Screen_Ann_TA!M67</f>
        <v>0</v>
      </c>
      <c r="N51" s="5">
        <f>Screen_Ann_TA!N67</f>
        <v>0</v>
      </c>
      <c r="O51" s="5">
        <f>Screen_Ann_TA!O67</f>
        <v>0</v>
      </c>
    </row>
    <row r="52" spans="4:15" s="327" customFormat="1" outlineLevel="1" x14ac:dyDescent="0.2">
      <c r="D52" s="660" t="str">
        <f>Screen_Ann_TA!D68</f>
        <v>Muchinga</v>
      </c>
      <c r="H52" s="5">
        <f>IFERROR(Screen_BA!H$23*Screen_BA!I$23*Screen_BA!J$23/Screen_BA!K$23,0)</f>
        <v>2340</v>
      </c>
      <c r="I52" s="5">
        <f t="shared" si="12"/>
        <v>0</v>
      </c>
      <c r="J52" s="5">
        <f>Screen_Ann_TA!J68</f>
        <v>0</v>
      </c>
      <c r="K52" s="5">
        <f>Screen_Ann_TA!K68</f>
        <v>0</v>
      </c>
      <c r="L52" s="5">
        <f>Screen_Ann_TA!L68</f>
        <v>0</v>
      </c>
      <c r="M52" s="5">
        <f>Screen_Ann_TA!M68</f>
        <v>0</v>
      </c>
      <c r="N52" s="5">
        <f>Screen_Ann_TA!N68</f>
        <v>0</v>
      </c>
      <c r="O52" s="5">
        <f>Screen_Ann_TA!O68</f>
        <v>0</v>
      </c>
    </row>
    <row r="53" spans="4:15" s="327" customFormat="1" outlineLevel="1" x14ac:dyDescent="0.2">
      <c r="D53" s="660" t="str">
        <f>Screen_Ann_TA!D69</f>
        <v>Northern</v>
      </c>
      <c r="H53" s="5">
        <f>IFERROR(Screen_BA!H$23*Screen_BA!I$23*Screen_BA!J$23/Screen_BA!K$23,0)</f>
        <v>2340</v>
      </c>
      <c r="I53" s="5">
        <f t="shared" si="12"/>
        <v>0</v>
      </c>
      <c r="J53" s="5">
        <f>Screen_Ann_TA!J69</f>
        <v>0</v>
      </c>
      <c r="K53" s="5">
        <f>Screen_Ann_TA!K69</f>
        <v>0</v>
      </c>
      <c r="L53" s="5">
        <f>Screen_Ann_TA!L69</f>
        <v>0</v>
      </c>
      <c r="M53" s="5">
        <f>Screen_Ann_TA!M69</f>
        <v>0</v>
      </c>
      <c r="N53" s="5">
        <f>Screen_Ann_TA!N69</f>
        <v>0</v>
      </c>
      <c r="O53" s="5">
        <f>Screen_Ann_TA!O69</f>
        <v>0</v>
      </c>
    </row>
    <row r="54" spans="4:15" s="327" customFormat="1" outlineLevel="1" x14ac:dyDescent="0.2">
      <c r="D54" s="660" t="str">
        <f>Screen_Ann_TA!D70</f>
        <v>North-Western</v>
      </c>
      <c r="H54" s="5">
        <f>IFERROR(Screen_BA!H$23*Screen_BA!I$23*Screen_BA!J$23/Screen_BA!K$23,0)</f>
        <v>2340</v>
      </c>
      <c r="I54" s="5">
        <f t="shared" si="12"/>
        <v>0</v>
      </c>
      <c r="J54" s="5">
        <f>Screen_Ann_TA!J70</f>
        <v>0</v>
      </c>
      <c r="K54" s="5">
        <f>Screen_Ann_TA!K70</f>
        <v>0</v>
      </c>
      <c r="L54" s="5">
        <f>Screen_Ann_TA!L70</f>
        <v>0</v>
      </c>
      <c r="M54" s="5">
        <f>Screen_Ann_TA!M70</f>
        <v>0</v>
      </c>
      <c r="N54" s="5">
        <f>Screen_Ann_TA!N70</f>
        <v>0</v>
      </c>
      <c r="O54" s="5">
        <f>Screen_Ann_TA!O70</f>
        <v>0</v>
      </c>
    </row>
    <row r="55" spans="4:15" s="327" customFormat="1" outlineLevel="1" x14ac:dyDescent="0.2">
      <c r="D55" s="660" t="str">
        <f>Screen_Ann_TA!D71</f>
        <v>Southern</v>
      </c>
      <c r="H55" s="5">
        <f>IFERROR(Screen_BA!H$23*Screen_BA!I$23*Screen_BA!J$23/Screen_BA!K$23,0)</f>
        <v>2340</v>
      </c>
      <c r="I55" s="5">
        <f t="shared" si="12"/>
        <v>0</v>
      </c>
      <c r="J55" s="5">
        <f>Screen_Ann_TA!J71</f>
        <v>0</v>
      </c>
      <c r="K55" s="5">
        <f>Screen_Ann_TA!K71</f>
        <v>0</v>
      </c>
      <c r="L55" s="5">
        <f>Screen_Ann_TA!L71</f>
        <v>0</v>
      </c>
      <c r="M55" s="5">
        <f>Screen_Ann_TA!M71</f>
        <v>0</v>
      </c>
      <c r="N55" s="5">
        <f>Screen_Ann_TA!N71</f>
        <v>0</v>
      </c>
      <c r="O55" s="5">
        <f>Screen_Ann_TA!O71</f>
        <v>0</v>
      </c>
    </row>
    <row r="56" spans="4:15" s="327" customFormat="1" outlineLevel="1" x14ac:dyDescent="0.2">
      <c r="D56" s="660" t="str">
        <f>Screen_Ann_TA!D72</f>
        <v>Western</v>
      </c>
      <c r="H56" s="5">
        <f>IFERROR(Screen_BA!H$23*Screen_BA!I$23*Screen_BA!J$23/Screen_BA!K$23,0)</f>
        <v>2340</v>
      </c>
      <c r="I56" s="5">
        <f t="shared" si="12"/>
        <v>2</v>
      </c>
      <c r="J56" s="5">
        <f>Screen_Ann_TA!J72</f>
        <v>2</v>
      </c>
      <c r="K56" s="5">
        <f>Screen_Ann_TA!K72</f>
        <v>2</v>
      </c>
      <c r="L56" s="5">
        <f>Screen_Ann_TA!L72</f>
        <v>2</v>
      </c>
      <c r="M56" s="5">
        <f>Screen_Ann_TA!M72</f>
        <v>2</v>
      </c>
      <c r="N56" s="5">
        <f>Screen_Ann_TA!N72</f>
        <v>2</v>
      </c>
      <c r="O56" s="5">
        <f>Screen_Ann_TA!O72</f>
        <v>2</v>
      </c>
    </row>
    <row r="57" spans="4:15" s="327" customFormat="1" ht="15" x14ac:dyDescent="0.2">
      <c r="D57" s="679" t="str">
        <f ca="1">"Total "&amp;D45&amp;"s"</f>
        <v>Total Active District Hospitals</v>
      </c>
      <c r="H57" s="5"/>
      <c r="I57" s="5">
        <f>SUM(I47:I56)</f>
        <v>6</v>
      </c>
      <c r="J57" s="562">
        <f t="shared" ref="J57:O57" si="13">SUM(J47:J56)</f>
        <v>6</v>
      </c>
      <c r="K57" s="562">
        <f t="shared" si="13"/>
        <v>6</v>
      </c>
      <c r="L57" s="562">
        <f t="shared" si="13"/>
        <v>6</v>
      </c>
      <c r="M57" s="562">
        <f t="shared" si="13"/>
        <v>6</v>
      </c>
      <c r="N57" s="562">
        <f t="shared" si="13"/>
        <v>6</v>
      </c>
      <c r="O57" s="562">
        <f t="shared" si="13"/>
        <v>6</v>
      </c>
    </row>
    <row r="58" spans="4:15" s="327" customFormat="1" x14ac:dyDescent="0.2">
      <c r="D58" s="659" t="str">
        <f>"Total New Facilities- ("&amp;Screen_BA!$G$10&amp;")"</f>
        <v>Total New Facilities- (VIA)</v>
      </c>
      <c r="J58" s="5">
        <f t="shared" ref="J58:O58" si="14">J57-I57</f>
        <v>0</v>
      </c>
      <c r="K58" s="5">
        <f t="shared" si="14"/>
        <v>0</v>
      </c>
      <c r="L58" s="5">
        <f t="shared" si="14"/>
        <v>0</v>
      </c>
      <c r="M58" s="5">
        <f t="shared" si="14"/>
        <v>0</v>
      </c>
      <c r="N58" s="5">
        <f t="shared" si="14"/>
        <v>0</v>
      </c>
      <c r="O58" s="5">
        <f t="shared" si="14"/>
        <v>0</v>
      </c>
    </row>
    <row r="59" spans="4:15" s="327" customFormat="1" x14ac:dyDescent="0.2">
      <c r="D59" s="659" t="str">
        <f>"Total Continuing Facilities- ("&amp;Screen_BA!$G$10&amp;")"</f>
        <v>Total Continuing Facilities- (VIA)</v>
      </c>
      <c r="J59" s="5">
        <f t="shared" ref="J59:O59" si="15">J57-J58</f>
        <v>6</v>
      </c>
      <c r="K59" s="5">
        <f t="shared" si="15"/>
        <v>6</v>
      </c>
      <c r="L59" s="5">
        <f t="shared" si="15"/>
        <v>6</v>
      </c>
      <c r="M59" s="5">
        <f t="shared" si="15"/>
        <v>6</v>
      </c>
      <c r="N59" s="5">
        <f t="shared" si="15"/>
        <v>6</v>
      </c>
      <c r="O59" s="5">
        <f t="shared" si="15"/>
        <v>6</v>
      </c>
    </row>
    <row r="60" spans="4:15" s="327" customFormat="1" ht="15" x14ac:dyDescent="0.2">
      <c r="D60" s="679" t="str">
        <f ca="1">"Active "&amp;Screen_Ann_TA!D82</f>
        <v>Active Fixed Health Clinic</v>
      </c>
    </row>
    <row r="61" spans="4:15" s="327" customFormat="1" outlineLevel="1" x14ac:dyDescent="0.2">
      <c r="H61" s="680" t="s">
        <v>101</v>
      </c>
      <c r="I61" s="565" t="s">
        <v>1753</v>
      </c>
    </row>
    <row r="62" spans="4:15" s="327" customFormat="1" outlineLevel="1" x14ac:dyDescent="0.2">
      <c r="D62" s="660" t="str">
        <f>Screen_Ann_TA!D84</f>
        <v>Central</v>
      </c>
      <c r="H62" s="5">
        <f>IFERROR(Screen_BA!H$26*Screen_BA!I$26*Screen_BA!J$26/Screen_BA!K$26,0)</f>
        <v>2340</v>
      </c>
      <c r="I62" s="5">
        <f t="shared" ref="I62:I71" si="16">J62</f>
        <v>1</v>
      </c>
      <c r="J62" s="5">
        <f>Screen_Ann_TA!J84</f>
        <v>1</v>
      </c>
      <c r="K62" s="5">
        <f>Screen_Ann_TA!K84</f>
        <v>1</v>
      </c>
      <c r="L62" s="5">
        <f>Screen_Ann_TA!L84</f>
        <v>1</v>
      </c>
      <c r="M62" s="5">
        <f>Screen_Ann_TA!M84</f>
        <v>1</v>
      </c>
      <c r="N62" s="5">
        <f>Screen_Ann_TA!N84</f>
        <v>1</v>
      </c>
      <c r="O62" s="5">
        <f>Screen_Ann_TA!O84</f>
        <v>1</v>
      </c>
    </row>
    <row r="63" spans="4:15" s="327" customFormat="1" outlineLevel="1" x14ac:dyDescent="0.2">
      <c r="D63" s="660" t="str">
        <f>Screen_Ann_TA!D85</f>
        <v>Copperbelt</v>
      </c>
      <c r="H63" s="5">
        <f>IFERROR(Screen_BA!H$26*Screen_BA!I$26*Screen_BA!J$26/Screen_BA!K$26,0)</f>
        <v>2340</v>
      </c>
      <c r="I63" s="5">
        <f t="shared" si="16"/>
        <v>0</v>
      </c>
      <c r="J63" s="5">
        <f>Screen_Ann_TA!J85</f>
        <v>0</v>
      </c>
      <c r="K63" s="5">
        <f>Screen_Ann_TA!K85</f>
        <v>0</v>
      </c>
      <c r="L63" s="5">
        <f>Screen_Ann_TA!L85</f>
        <v>0</v>
      </c>
      <c r="M63" s="5">
        <f>Screen_Ann_TA!M85</f>
        <v>0</v>
      </c>
      <c r="N63" s="5">
        <f>Screen_Ann_TA!N85</f>
        <v>0</v>
      </c>
      <c r="O63" s="5">
        <f>Screen_Ann_TA!O85</f>
        <v>0</v>
      </c>
    </row>
    <row r="64" spans="4:15" s="327" customFormat="1" outlineLevel="1" x14ac:dyDescent="0.2">
      <c r="D64" s="660" t="str">
        <f>Screen_Ann_TA!D86</f>
        <v>Eastern</v>
      </c>
      <c r="H64" s="5">
        <f>IFERROR(Screen_BA!H$26*Screen_BA!I$26*Screen_BA!J$26/Screen_BA!K$26,0)</f>
        <v>2340</v>
      </c>
      <c r="I64" s="5">
        <f t="shared" si="16"/>
        <v>1</v>
      </c>
      <c r="J64" s="5">
        <f>Screen_Ann_TA!J86</f>
        <v>1</v>
      </c>
      <c r="K64" s="5">
        <f>Screen_Ann_TA!K86</f>
        <v>1</v>
      </c>
      <c r="L64" s="5">
        <f>Screen_Ann_TA!L86</f>
        <v>1</v>
      </c>
      <c r="M64" s="5">
        <f>Screen_Ann_TA!M86</f>
        <v>1</v>
      </c>
      <c r="N64" s="5">
        <f>Screen_Ann_TA!N86</f>
        <v>1</v>
      </c>
      <c r="O64" s="5">
        <f>Screen_Ann_TA!O86</f>
        <v>1</v>
      </c>
    </row>
    <row r="65" spans="4:15" s="327" customFormat="1" outlineLevel="1" x14ac:dyDescent="0.2">
      <c r="D65" s="660" t="str">
        <f>Screen_Ann_TA!D87</f>
        <v>Luapula</v>
      </c>
      <c r="H65" s="5">
        <f>IFERROR(Screen_BA!H$26*Screen_BA!I$26*Screen_BA!J$26/Screen_BA!K$26,0)</f>
        <v>2340</v>
      </c>
      <c r="I65" s="5">
        <f t="shared" si="16"/>
        <v>0</v>
      </c>
      <c r="J65" s="5">
        <f>Screen_Ann_TA!J87</f>
        <v>0</v>
      </c>
      <c r="K65" s="5">
        <f>Screen_Ann_TA!K87</f>
        <v>0</v>
      </c>
      <c r="L65" s="5">
        <f>Screen_Ann_TA!L87</f>
        <v>0</v>
      </c>
      <c r="M65" s="5">
        <f>Screen_Ann_TA!M87</f>
        <v>0</v>
      </c>
      <c r="N65" s="5">
        <f>Screen_Ann_TA!N87</f>
        <v>0</v>
      </c>
      <c r="O65" s="5">
        <f>Screen_Ann_TA!O87</f>
        <v>0</v>
      </c>
    </row>
    <row r="66" spans="4:15" s="327" customFormat="1" outlineLevel="1" x14ac:dyDescent="0.2">
      <c r="D66" s="660" t="str">
        <f>Screen_Ann_TA!D88</f>
        <v>Lusaka</v>
      </c>
      <c r="H66" s="5">
        <f>IFERROR(Screen_BA!H$26*Screen_BA!I$26*Screen_BA!J$26/Screen_BA!K$26,0)</f>
        <v>2340</v>
      </c>
      <c r="I66" s="5">
        <f t="shared" si="16"/>
        <v>11</v>
      </c>
      <c r="J66" s="5">
        <f>Screen_Ann_TA!J88</f>
        <v>11</v>
      </c>
      <c r="K66" s="5">
        <f>Screen_Ann_TA!K88</f>
        <v>11</v>
      </c>
      <c r="L66" s="5">
        <f>Screen_Ann_TA!L88</f>
        <v>11</v>
      </c>
      <c r="M66" s="5">
        <f>Screen_Ann_TA!M88</f>
        <v>11</v>
      </c>
      <c r="N66" s="5">
        <f>Screen_Ann_TA!N88</f>
        <v>11</v>
      </c>
      <c r="O66" s="5">
        <f>Screen_Ann_TA!O88</f>
        <v>11</v>
      </c>
    </row>
    <row r="67" spans="4:15" s="327" customFormat="1" outlineLevel="1" x14ac:dyDescent="0.2">
      <c r="D67" s="660" t="str">
        <f>Screen_Ann_TA!D89</f>
        <v>Muchinga</v>
      </c>
      <c r="H67" s="5">
        <f>IFERROR(Screen_BA!H$26*Screen_BA!I$26*Screen_BA!J$26/Screen_BA!K$26,0)</f>
        <v>2340</v>
      </c>
      <c r="I67" s="5">
        <f t="shared" si="16"/>
        <v>0</v>
      </c>
      <c r="J67" s="5">
        <f>Screen_Ann_TA!J89</f>
        <v>0</v>
      </c>
      <c r="K67" s="5">
        <f>Screen_Ann_TA!K89</f>
        <v>0</v>
      </c>
      <c r="L67" s="5">
        <f>Screen_Ann_TA!L89</f>
        <v>0</v>
      </c>
      <c r="M67" s="5">
        <f>Screen_Ann_TA!M89</f>
        <v>0</v>
      </c>
      <c r="N67" s="5">
        <f>Screen_Ann_TA!N89</f>
        <v>0</v>
      </c>
      <c r="O67" s="5">
        <f>Screen_Ann_TA!O89</f>
        <v>0</v>
      </c>
    </row>
    <row r="68" spans="4:15" s="327" customFormat="1" outlineLevel="1" x14ac:dyDescent="0.2">
      <c r="D68" s="660" t="str">
        <f>Screen_Ann_TA!D90</f>
        <v>Northern</v>
      </c>
      <c r="H68" s="5">
        <f>IFERROR(Screen_BA!H$26*Screen_BA!I$26*Screen_BA!J$26/Screen_BA!K$26,0)</f>
        <v>2340</v>
      </c>
      <c r="I68" s="5">
        <f t="shared" si="16"/>
        <v>0</v>
      </c>
      <c r="J68" s="5">
        <f>Screen_Ann_TA!J90</f>
        <v>0</v>
      </c>
      <c r="K68" s="5">
        <f>Screen_Ann_TA!K90</f>
        <v>0</v>
      </c>
      <c r="L68" s="5">
        <f>Screen_Ann_TA!L90</f>
        <v>0</v>
      </c>
      <c r="M68" s="5">
        <f>Screen_Ann_TA!M90</f>
        <v>0</v>
      </c>
      <c r="N68" s="5">
        <f>Screen_Ann_TA!N90</f>
        <v>0</v>
      </c>
      <c r="O68" s="5">
        <f>Screen_Ann_TA!O90</f>
        <v>0</v>
      </c>
    </row>
    <row r="69" spans="4:15" s="327" customFormat="1" outlineLevel="1" x14ac:dyDescent="0.2">
      <c r="D69" s="660" t="str">
        <f>Screen_Ann_TA!D91</f>
        <v>North-Western</v>
      </c>
      <c r="H69" s="5">
        <f>IFERROR(Screen_BA!H$26*Screen_BA!I$26*Screen_BA!J$26/Screen_BA!K$26,0)</f>
        <v>2340</v>
      </c>
      <c r="I69" s="5">
        <f t="shared" si="16"/>
        <v>0</v>
      </c>
      <c r="J69" s="5">
        <f>Screen_Ann_TA!J91</f>
        <v>0</v>
      </c>
      <c r="K69" s="5">
        <f>Screen_Ann_TA!K91</f>
        <v>0</v>
      </c>
      <c r="L69" s="5">
        <f>Screen_Ann_TA!L91</f>
        <v>0</v>
      </c>
      <c r="M69" s="5">
        <f>Screen_Ann_TA!M91</f>
        <v>0</v>
      </c>
      <c r="N69" s="5">
        <f>Screen_Ann_TA!N91</f>
        <v>0</v>
      </c>
      <c r="O69" s="5">
        <f>Screen_Ann_TA!O91</f>
        <v>0</v>
      </c>
    </row>
    <row r="70" spans="4:15" s="327" customFormat="1" outlineLevel="1" x14ac:dyDescent="0.2">
      <c r="D70" s="660" t="str">
        <f>Screen_Ann_TA!D92</f>
        <v>Southern</v>
      </c>
      <c r="H70" s="5">
        <f>IFERROR(Screen_BA!H$26*Screen_BA!I$26*Screen_BA!J$26/Screen_BA!K$26,0)</f>
        <v>2340</v>
      </c>
      <c r="I70" s="5">
        <f t="shared" si="16"/>
        <v>1</v>
      </c>
      <c r="J70" s="5">
        <f>Screen_Ann_TA!J92</f>
        <v>1</v>
      </c>
      <c r="K70" s="5">
        <f>Screen_Ann_TA!K92</f>
        <v>1</v>
      </c>
      <c r="L70" s="5">
        <f>Screen_Ann_TA!L92</f>
        <v>1</v>
      </c>
      <c r="M70" s="5">
        <f>Screen_Ann_TA!M92</f>
        <v>1</v>
      </c>
      <c r="N70" s="5">
        <f>Screen_Ann_TA!N92</f>
        <v>1</v>
      </c>
      <c r="O70" s="5">
        <f>Screen_Ann_TA!O92</f>
        <v>1</v>
      </c>
    </row>
    <row r="71" spans="4:15" s="327" customFormat="1" outlineLevel="1" x14ac:dyDescent="0.2">
      <c r="D71" s="660" t="str">
        <f>Screen_Ann_TA!D93</f>
        <v>Western</v>
      </c>
      <c r="H71" s="5">
        <f>IFERROR(Screen_BA!H$26*Screen_BA!I$26*Screen_BA!J$26/Screen_BA!K$26,0)</f>
        <v>2340</v>
      </c>
      <c r="I71" s="5">
        <f t="shared" si="16"/>
        <v>0</v>
      </c>
      <c r="J71" s="5">
        <f>Screen_Ann_TA!J93</f>
        <v>0</v>
      </c>
      <c r="K71" s="5">
        <f>Screen_Ann_TA!K93</f>
        <v>0</v>
      </c>
      <c r="L71" s="5">
        <f>Screen_Ann_TA!L93</f>
        <v>0</v>
      </c>
      <c r="M71" s="5">
        <f>Screen_Ann_TA!M93</f>
        <v>0</v>
      </c>
      <c r="N71" s="5">
        <f>Screen_Ann_TA!N93</f>
        <v>0</v>
      </c>
      <c r="O71" s="5">
        <f>Screen_Ann_TA!O93</f>
        <v>0</v>
      </c>
    </row>
    <row r="72" spans="4:15" s="327" customFormat="1" ht="15" x14ac:dyDescent="0.2">
      <c r="D72" s="679" t="str">
        <f ca="1">"Total "&amp;D60&amp;"s"</f>
        <v>Total Active Fixed Health Clinics</v>
      </c>
      <c r="H72" s="5"/>
      <c r="I72" s="5">
        <f>SUM(I62:I71)</f>
        <v>14</v>
      </c>
      <c r="J72" s="562">
        <f t="shared" ref="J72:O72" si="17">SUM(J62:J71)</f>
        <v>14</v>
      </c>
      <c r="K72" s="562">
        <f t="shared" si="17"/>
        <v>14</v>
      </c>
      <c r="L72" s="562">
        <f t="shared" si="17"/>
        <v>14</v>
      </c>
      <c r="M72" s="562">
        <f t="shared" si="17"/>
        <v>14</v>
      </c>
      <c r="N72" s="562">
        <f t="shared" si="17"/>
        <v>14</v>
      </c>
      <c r="O72" s="562">
        <f t="shared" si="17"/>
        <v>14</v>
      </c>
    </row>
    <row r="73" spans="4:15" s="327" customFormat="1" x14ac:dyDescent="0.2">
      <c r="D73" s="659" t="str">
        <f>"Total New Facilities- ("&amp;Screen_BA!$G$10&amp;")"</f>
        <v>Total New Facilities- (VIA)</v>
      </c>
      <c r="J73" s="5">
        <f t="shared" ref="J73:O73" si="18">J72-I72</f>
        <v>0</v>
      </c>
      <c r="K73" s="5">
        <f t="shared" si="18"/>
        <v>0</v>
      </c>
      <c r="L73" s="5">
        <f t="shared" si="18"/>
        <v>0</v>
      </c>
      <c r="M73" s="5">
        <f t="shared" si="18"/>
        <v>0</v>
      </c>
      <c r="N73" s="5">
        <f t="shared" si="18"/>
        <v>0</v>
      </c>
      <c r="O73" s="5">
        <f t="shared" si="18"/>
        <v>0</v>
      </c>
    </row>
    <row r="74" spans="4:15" s="327" customFormat="1" x14ac:dyDescent="0.2">
      <c r="D74" s="659" t="str">
        <f>"Total Continuing Facilities- ("&amp;Screen_BA!$G$10&amp;")"</f>
        <v>Total Continuing Facilities- (VIA)</v>
      </c>
      <c r="J74" s="5">
        <f t="shared" ref="J74:O74" si="19">J72-J73</f>
        <v>14</v>
      </c>
      <c r="K74" s="5">
        <f t="shared" si="19"/>
        <v>14</v>
      </c>
      <c r="L74" s="5">
        <f t="shared" si="19"/>
        <v>14</v>
      </c>
      <c r="M74" s="5">
        <f t="shared" si="19"/>
        <v>14</v>
      </c>
      <c r="N74" s="5">
        <f t="shared" si="19"/>
        <v>14</v>
      </c>
      <c r="O74" s="5">
        <f t="shared" si="19"/>
        <v>14</v>
      </c>
    </row>
    <row r="75" spans="4:15" s="327" customFormat="1" ht="15" x14ac:dyDescent="0.2">
      <c r="D75" s="679" t="str">
        <f ca="1">"Active "&amp;Screen_Ann_TA!D103</f>
        <v>Active PCI Mobile Health Team</v>
      </c>
    </row>
    <row r="76" spans="4:15" s="327" customFormat="1" outlineLevel="1" x14ac:dyDescent="0.2">
      <c r="H76" s="680" t="s">
        <v>101</v>
      </c>
      <c r="I76" s="565" t="s">
        <v>1753</v>
      </c>
    </row>
    <row r="77" spans="4:15" s="327" customFormat="1" outlineLevel="1" x14ac:dyDescent="0.2">
      <c r="D77" s="660" t="str">
        <f>Screen_Ann_TA!D105</f>
        <v>Central</v>
      </c>
      <c r="H77" s="563">
        <f>IFERROR(Screen_BA!H$27*Screen_BA!I$27*Screen_BA!J$27/Screen_BA!K$27,0)</f>
        <v>4430.7692307692305</v>
      </c>
      <c r="I77" s="5">
        <f t="shared" ref="I77:I86" si="20">J77</f>
        <v>0</v>
      </c>
      <c r="J77" s="563">
        <f>Screen_Ann_TA!J105</f>
        <v>0</v>
      </c>
      <c r="K77" s="563">
        <f>Screen_Ann_TA!K105</f>
        <v>0</v>
      </c>
      <c r="L77" s="563">
        <f>Screen_Ann_TA!L105</f>
        <v>0</v>
      </c>
      <c r="M77" s="563">
        <f>Screen_Ann_TA!M105</f>
        <v>0</v>
      </c>
      <c r="N77" s="563">
        <f>Screen_Ann_TA!N105</f>
        <v>0</v>
      </c>
      <c r="O77" s="563">
        <f>Screen_Ann_TA!O105</f>
        <v>0</v>
      </c>
    </row>
    <row r="78" spans="4:15" s="327" customFormat="1" outlineLevel="1" x14ac:dyDescent="0.2">
      <c r="D78" s="660" t="str">
        <f>Screen_Ann_TA!D106</f>
        <v>Copperbelt</v>
      </c>
      <c r="H78" s="563">
        <f>IFERROR(Screen_BA!H$27*Screen_BA!I$27*Screen_BA!J$27/Screen_BA!K$27,0)</f>
        <v>4430.7692307692305</v>
      </c>
      <c r="I78" s="5">
        <f t="shared" si="20"/>
        <v>0</v>
      </c>
      <c r="J78" s="563">
        <f>Screen_Ann_TA!J106</f>
        <v>0</v>
      </c>
      <c r="K78" s="563">
        <f>Screen_Ann_TA!K106</f>
        <v>0</v>
      </c>
      <c r="L78" s="563">
        <f>Screen_Ann_TA!L106</f>
        <v>0</v>
      </c>
      <c r="M78" s="563">
        <f>Screen_Ann_TA!M106</f>
        <v>0</v>
      </c>
      <c r="N78" s="563">
        <f>Screen_Ann_TA!N106</f>
        <v>0</v>
      </c>
      <c r="O78" s="563">
        <f>Screen_Ann_TA!O106</f>
        <v>0</v>
      </c>
    </row>
    <row r="79" spans="4:15" s="327" customFormat="1" outlineLevel="1" x14ac:dyDescent="0.2">
      <c r="D79" s="660" t="str">
        <f>Screen_Ann_TA!D107</f>
        <v>Eastern</v>
      </c>
      <c r="H79" s="563">
        <f>IFERROR(Screen_BA!H$27*Screen_BA!I$27*Screen_BA!J$27/Screen_BA!K$27,0)</f>
        <v>4430.7692307692305</v>
      </c>
      <c r="I79" s="5">
        <f t="shared" si="20"/>
        <v>0</v>
      </c>
      <c r="J79" s="563">
        <f>Screen_Ann_TA!J107</f>
        <v>0</v>
      </c>
      <c r="K79" s="563">
        <f>Screen_Ann_TA!K107</f>
        <v>0</v>
      </c>
      <c r="L79" s="563">
        <f>Screen_Ann_TA!L107</f>
        <v>0</v>
      </c>
      <c r="M79" s="563">
        <f>Screen_Ann_TA!M107</f>
        <v>0</v>
      </c>
      <c r="N79" s="563">
        <f>Screen_Ann_TA!N107</f>
        <v>0</v>
      </c>
      <c r="O79" s="563">
        <f>Screen_Ann_TA!O107</f>
        <v>0</v>
      </c>
    </row>
    <row r="80" spans="4:15" s="327" customFormat="1" outlineLevel="1" x14ac:dyDescent="0.2">
      <c r="D80" s="660" t="str">
        <f>Screen_Ann_TA!D108</f>
        <v>Luapula</v>
      </c>
      <c r="H80" s="563">
        <f>IFERROR(Screen_BA!H$27*Screen_BA!I$27*Screen_BA!J$27/Screen_BA!K$27,0)</f>
        <v>4430.7692307692305</v>
      </c>
      <c r="I80" s="5">
        <f t="shared" si="20"/>
        <v>0</v>
      </c>
      <c r="J80" s="563">
        <f>Screen_Ann_TA!J108</f>
        <v>0</v>
      </c>
      <c r="K80" s="563">
        <f>Screen_Ann_TA!K108</f>
        <v>0</v>
      </c>
      <c r="L80" s="563">
        <f>Screen_Ann_TA!L108</f>
        <v>0</v>
      </c>
      <c r="M80" s="563">
        <f>Screen_Ann_TA!M108</f>
        <v>0</v>
      </c>
      <c r="N80" s="563">
        <f>Screen_Ann_TA!N108</f>
        <v>0</v>
      </c>
      <c r="O80" s="563">
        <f>Screen_Ann_TA!O108</f>
        <v>0</v>
      </c>
    </row>
    <row r="81" spans="4:15" s="327" customFormat="1" outlineLevel="1" x14ac:dyDescent="0.2">
      <c r="D81" s="660" t="str">
        <f>Screen_Ann_TA!D109</f>
        <v>Lusaka</v>
      </c>
      <c r="H81" s="563">
        <f>IFERROR(Screen_BA!H$27*Screen_BA!I$27*Screen_BA!J$27/Screen_BA!K$27,0)</f>
        <v>4430.7692307692305</v>
      </c>
      <c r="I81" s="5">
        <f t="shared" si="20"/>
        <v>0</v>
      </c>
      <c r="J81" s="563">
        <f>Screen_Ann_TA!J109</f>
        <v>0</v>
      </c>
      <c r="K81" s="563">
        <f>Screen_Ann_TA!K109</f>
        <v>0</v>
      </c>
      <c r="L81" s="563">
        <f>Screen_Ann_TA!L109</f>
        <v>0</v>
      </c>
      <c r="M81" s="563">
        <f>Screen_Ann_TA!M109</f>
        <v>0</v>
      </c>
      <c r="N81" s="563">
        <f>Screen_Ann_TA!N109</f>
        <v>0</v>
      </c>
      <c r="O81" s="563">
        <f>Screen_Ann_TA!O109</f>
        <v>0</v>
      </c>
    </row>
    <row r="82" spans="4:15" s="327" customFormat="1" outlineLevel="1" x14ac:dyDescent="0.2">
      <c r="D82" s="660" t="str">
        <f>Screen_Ann_TA!D110</f>
        <v>Muchinga</v>
      </c>
      <c r="H82" s="563">
        <f>IFERROR(Screen_BA!H$27*Screen_BA!I$27*Screen_BA!J$27/Screen_BA!K$27,0)</f>
        <v>4430.7692307692305</v>
      </c>
      <c r="I82" s="5">
        <f t="shared" si="20"/>
        <v>0</v>
      </c>
      <c r="J82" s="563">
        <f>Screen_Ann_TA!J110</f>
        <v>0</v>
      </c>
      <c r="K82" s="563">
        <f>Screen_Ann_TA!K110</f>
        <v>0</v>
      </c>
      <c r="L82" s="563">
        <f>Screen_Ann_TA!L110</f>
        <v>0</v>
      </c>
      <c r="M82" s="563">
        <f>Screen_Ann_TA!M110</f>
        <v>0</v>
      </c>
      <c r="N82" s="563">
        <f>Screen_Ann_TA!N110</f>
        <v>0</v>
      </c>
      <c r="O82" s="563">
        <f>Screen_Ann_TA!O110</f>
        <v>0</v>
      </c>
    </row>
    <row r="83" spans="4:15" s="327" customFormat="1" outlineLevel="1" x14ac:dyDescent="0.2">
      <c r="D83" s="660" t="str">
        <f>Screen_Ann_TA!D111</f>
        <v>Northern</v>
      </c>
      <c r="H83" s="563">
        <f>IFERROR(Screen_BA!H$27*Screen_BA!I$27*Screen_BA!J$27/Screen_BA!K$27,0)</f>
        <v>4430.7692307692305</v>
      </c>
      <c r="I83" s="5">
        <f t="shared" si="20"/>
        <v>0</v>
      </c>
      <c r="J83" s="563">
        <f>Screen_Ann_TA!J111</f>
        <v>0</v>
      </c>
      <c r="K83" s="563">
        <f>Screen_Ann_TA!K111</f>
        <v>0</v>
      </c>
      <c r="L83" s="563">
        <f>Screen_Ann_TA!L111</f>
        <v>0</v>
      </c>
      <c r="M83" s="563">
        <f>Screen_Ann_TA!M111</f>
        <v>0</v>
      </c>
      <c r="N83" s="563">
        <f>Screen_Ann_TA!N111</f>
        <v>0</v>
      </c>
      <c r="O83" s="563">
        <f>Screen_Ann_TA!O111</f>
        <v>0</v>
      </c>
    </row>
    <row r="84" spans="4:15" s="327" customFormat="1" outlineLevel="1" x14ac:dyDescent="0.2">
      <c r="D84" s="660" t="str">
        <f>Screen_Ann_TA!D112</f>
        <v>North-Western</v>
      </c>
      <c r="H84" s="563">
        <f>IFERROR(Screen_BA!H$27*Screen_BA!I$27*Screen_BA!J$27/Screen_BA!K$27,0)</f>
        <v>4430.7692307692305</v>
      </c>
      <c r="I84" s="5">
        <f t="shared" si="20"/>
        <v>0</v>
      </c>
      <c r="J84" s="563">
        <f>Screen_Ann_TA!J112</f>
        <v>0</v>
      </c>
      <c r="K84" s="563">
        <f>Screen_Ann_TA!K112</f>
        <v>0</v>
      </c>
      <c r="L84" s="563">
        <f>Screen_Ann_TA!L112</f>
        <v>0</v>
      </c>
      <c r="M84" s="563">
        <f>Screen_Ann_TA!M112</f>
        <v>0</v>
      </c>
      <c r="N84" s="563">
        <f>Screen_Ann_TA!N112</f>
        <v>0</v>
      </c>
      <c r="O84" s="563">
        <f>Screen_Ann_TA!O112</f>
        <v>0</v>
      </c>
    </row>
    <row r="85" spans="4:15" s="327" customFormat="1" outlineLevel="1" x14ac:dyDescent="0.2">
      <c r="D85" s="660" t="str">
        <f>Screen_Ann_TA!D113</f>
        <v>Southern</v>
      </c>
      <c r="H85" s="563">
        <f>IFERROR(Screen_BA!H$27*Screen_BA!I$27*Screen_BA!J$27/Screen_BA!K$27,0)</f>
        <v>4430.7692307692305</v>
      </c>
      <c r="I85" s="5">
        <f t="shared" si="20"/>
        <v>0</v>
      </c>
      <c r="J85" s="563">
        <f>Screen_Ann_TA!J113</f>
        <v>0</v>
      </c>
      <c r="K85" s="563">
        <f>Screen_Ann_TA!K113</f>
        <v>0</v>
      </c>
      <c r="L85" s="563">
        <f>Screen_Ann_TA!L113</f>
        <v>0</v>
      </c>
      <c r="M85" s="563">
        <f>Screen_Ann_TA!M113</f>
        <v>0</v>
      </c>
      <c r="N85" s="563">
        <f>Screen_Ann_TA!N113</f>
        <v>0</v>
      </c>
      <c r="O85" s="563">
        <f>Screen_Ann_TA!O113</f>
        <v>0</v>
      </c>
    </row>
    <row r="86" spans="4:15" s="327" customFormat="1" outlineLevel="1" x14ac:dyDescent="0.2">
      <c r="D86" s="660" t="str">
        <f>Screen_Ann_TA!D114</f>
        <v>Western</v>
      </c>
      <c r="H86" s="563">
        <f>IFERROR(Screen_BA!H$27*Screen_BA!I$27*Screen_BA!J$27/Screen_BA!K$27,0)</f>
        <v>4430.7692307692305</v>
      </c>
      <c r="I86" s="5">
        <f t="shared" si="20"/>
        <v>0</v>
      </c>
      <c r="J86" s="563">
        <f>Screen_Ann_TA!J114</f>
        <v>0</v>
      </c>
      <c r="K86" s="563">
        <f>Screen_Ann_TA!K114</f>
        <v>0</v>
      </c>
      <c r="L86" s="563">
        <f>Screen_Ann_TA!L114</f>
        <v>0</v>
      </c>
      <c r="M86" s="563">
        <f>Screen_Ann_TA!M114</f>
        <v>0</v>
      </c>
      <c r="N86" s="563">
        <f>Screen_Ann_TA!N114</f>
        <v>0</v>
      </c>
      <c r="O86" s="563">
        <f>Screen_Ann_TA!O114</f>
        <v>0</v>
      </c>
    </row>
    <row r="87" spans="4:15" s="327" customFormat="1" ht="15" x14ac:dyDescent="0.2">
      <c r="D87" s="679" t="str">
        <f ca="1">"Total "&amp;D75&amp;"s"</f>
        <v>Total Active PCI Mobile Health Teams</v>
      </c>
      <c r="H87" s="563"/>
      <c r="I87" s="5">
        <f>SUM(I77:I86)</f>
        <v>0</v>
      </c>
      <c r="J87" s="564">
        <f t="shared" ref="J87:O87" si="21">SUM(J77:J86)</f>
        <v>0</v>
      </c>
      <c r="K87" s="564">
        <f t="shared" si="21"/>
        <v>0</v>
      </c>
      <c r="L87" s="564">
        <f t="shared" si="21"/>
        <v>0</v>
      </c>
      <c r="M87" s="564">
        <f t="shared" si="21"/>
        <v>0</v>
      </c>
      <c r="N87" s="564">
        <f t="shared" si="21"/>
        <v>0</v>
      </c>
      <c r="O87" s="564">
        <f t="shared" si="21"/>
        <v>0</v>
      </c>
    </row>
    <row r="88" spans="4:15" s="327" customFormat="1" x14ac:dyDescent="0.2">
      <c r="D88" s="659" t="str">
        <f>"Total New Facilities- ("&amp;Screen_BA!$G$10&amp;")"</f>
        <v>Total New Facilities- (VIA)</v>
      </c>
      <c r="J88" s="563">
        <f t="shared" ref="J88:O88" si="22">J87-I87</f>
        <v>0</v>
      </c>
      <c r="K88" s="563">
        <f t="shared" si="22"/>
        <v>0</v>
      </c>
      <c r="L88" s="563">
        <f t="shared" si="22"/>
        <v>0</v>
      </c>
      <c r="M88" s="563">
        <f t="shared" si="22"/>
        <v>0</v>
      </c>
      <c r="N88" s="563">
        <f t="shared" si="22"/>
        <v>0</v>
      </c>
      <c r="O88" s="563">
        <f t="shared" si="22"/>
        <v>0</v>
      </c>
    </row>
    <row r="89" spans="4:15" s="327" customFormat="1" x14ac:dyDescent="0.2">
      <c r="D89" s="659" t="str">
        <f>"Total Continuing Facilities- ("&amp;Screen_BA!$G$10&amp;")"</f>
        <v>Total Continuing Facilities- (VIA)</v>
      </c>
      <c r="J89" s="563">
        <f t="shared" ref="J89:O89" si="23">J87-J88</f>
        <v>0</v>
      </c>
      <c r="K89" s="563">
        <f t="shared" si="23"/>
        <v>0</v>
      </c>
      <c r="L89" s="563">
        <f t="shared" si="23"/>
        <v>0</v>
      </c>
      <c r="M89" s="563">
        <f t="shared" si="23"/>
        <v>0</v>
      </c>
      <c r="N89" s="563">
        <f t="shared" si="23"/>
        <v>0</v>
      </c>
      <c r="O89" s="563">
        <f t="shared" si="23"/>
        <v>0</v>
      </c>
    </row>
    <row r="90" spans="4:15" s="327" customFormat="1" ht="15" x14ac:dyDescent="0.2">
      <c r="D90" s="679" t="str">
        <f ca="1">"Active "&amp;Screen_Ann_TA!D124</f>
        <v>Active Gov't Mobile Health Team (Hospital)</v>
      </c>
    </row>
    <row r="91" spans="4:15" s="327" customFormat="1" outlineLevel="1" x14ac:dyDescent="0.2">
      <c r="H91" s="680" t="s">
        <v>101</v>
      </c>
      <c r="I91" s="565" t="s">
        <v>1753</v>
      </c>
    </row>
    <row r="92" spans="4:15" s="327" customFormat="1" outlineLevel="1" x14ac:dyDescent="0.2">
      <c r="D92" s="660" t="str">
        <f>Screen_Ann_TA!D126</f>
        <v>Central</v>
      </c>
      <c r="H92" s="5">
        <f>IFERROR(Screen_BA!H$28*Screen_BA!I$28*Screen_BA!J$28/Screen_BA!K$28,0)</f>
        <v>553.84615384615381</v>
      </c>
      <c r="I92" s="5">
        <f t="shared" ref="I92:I101" si="24">J92</f>
        <v>2</v>
      </c>
      <c r="J92" s="5">
        <f>Screen_Ann_TA!J126</f>
        <v>2</v>
      </c>
      <c r="K92" s="5">
        <f>Screen_Ann_TA!K126</f>
        <v>2</v>
      </c>
      <c r="L92" s="5">
        <f>Screen_Ann_TA!L126</f>
        <v>2</v>
      </c>
      <c r="M92" s="5">
        <f>Screen_Ann_TA!M126</f>
        <v>2</v>
      </c>
      <c r="N92" s="5">
        <f>Screen_Ann_TA!N126</f>
        <v>2</v>
      </c>
      <c r="O92" s="5">
        <f>Screen_Ann_TA!O126</f>
        <v>2</v>
      </c>
    </row>
    <row r="93" spans="4:15" s="327" customFormat="1" outlineLevel="1" x14ac:dyDescent="0.2">
      <c r="D93" s="660" t="str">
        <f>Screen_Ann_TA!D127</f>
        <v>Copperbelt</v>
      </c>
      <c r="H93" s="5">
        <f>IFERROR(Screen_BA!H$28*Screen_BA!I$28*Screen_BA!J$28/Screen_BA!K$28,0)</f>
        <v>553.84615384615381</v>
      </c>
      <c r="I93" s="5">
        <f t="shared" si="24"/>
        <v>2</v>
      </c>
      <c r="J93" s="5">
        <f>Screen_Ann_TA!J127</f>
        <v>2</v>
      </c>
      <c r="K93" s="5">
        <f>Screen_Ann_TA!K127</f>
        <v>2</v>
      </c>
      <c r="L93" s="5">
        <f>Screen_Ann_TA!L127</f>
        <v>2</v>
      </c>
      <c r="M93" s="5">
        <f>Screen_Ann_TA!M127</f>
        <v>2</v>
      </c>
      <c r="N93" s="5">
        <f>Screen_Ann_TA!N127</f>
        <v>2</v>
      </c>
      <c r="O93" s="5">
        <f>Screen_Ann_TA!O127</f>
        <v>2</v>
      </c>
    </row>
    <row r="94" spans="4:15" s="327" customFormat="1" outlineLevel="1" x14ac:dyDescent="0.2">
      <c r="D94" s="660" t="str">
        <f>Screen_Ann_TA!D128</f>
        <v>Eastern</v>
      </c>
      <c r="H94" s="5">
        <f>IFERROR(Screen_BA!H$28*Screen_BA!I$28*Screen_BA!J$28/Screen_BA!K$28,0)</f>
        <v>553.84615384615381</v>
      </c>
      <c r="I94" s="5">
        <f t="shared" si="24"/>
        <v>2</v>
      </c>
      <c r="J94" s="5">
        <f>Screen_Ann_TA!J128</f>
        <v>2</v>
      </c>
      <c r="K94" s="5">
        <f>Screen_Ann_TA!K128</f>
        <v>2</v>
      </c>
      <c r="L94" s="5">
        <f>Screen_Ann_TA!L128</f>
        <v>2</v>
      </c>
      <c r="M94" s="5">
        <f>Screen_Ann_TA!M128</f>
        <v>2</v>
      </c>
      <c r="N94" s="5">
        <f>Screen_Ann_TA!N128</f>
        <v>2</v>
      </c>
      <c r="O94" s="5">
        <f>Screen_Ann_TA!O128</f>
        <v>2</v>
      </c>
    </row>
    <row r="95" spans="4:15" s="327" customFormat="1" outlineLevel="1" x14ac:dyDescent="0.2">
      <c r="D95" s="660" t="str">
        <f>Screen_Ann_TA!D129</f>
        <v>Luapula</v>
      </c>
      <c r="H95" s="5">
        <f>IFERROR(Screen_BA!H$28*Screen_BA!I$28*Screen_BA!J$28/Screen_BA!K$28,0)</f>
        <v>553.84615384615381</v>
      </c>
      <c r="I95" s="5">
        <f t="shared" si="24"/>
        <v>2</v>
      </c>
      <c r="J95" s="5">
        <f>Screen_Ann_TA!J129</f>
        <v>2</v>
      </c>
      <c r="K95" s="5">
        <f>Screen_Ann_TA!K129</f>
        <v>2</v>
      </c>
      <c r="L95" s="5">
        <f>Screen_Ann_TA!L129</f>
        <v>2</v>
      </c>
      <c r="M95" s="5">
        <f>Screen_Ann_TA!M129</f>
        <v>2</v>
      </c>
      <c r="N95" s="5">
        <f>Screen_Ann_TA!N129</f>
        <v>2</v>
      </c>
      <c r="O95" s="5">
        <f>Screen_Ann_TA!O129</f>
        <v>2</v>
      </c>
    </row>
    <row r="96" spans="4:15" s="327" customFormat="1" outlineLevel="1" x14ac:dyDescent="0.2">
      <c r="D96" s="660" t="str">
        <f>Screen_Ann_TA!D130</f>
        <v>Lusaka</v>
      </c>
      <c r="H96" s="5">
        <f>IFERROR(Screen_BA!H$28*Screen_BA!I$28*Screen_BA!J$28/Screen_BA!K$28,0)</f>
        <v>553.84615384615381</v>
      </c>
      <c r="I96" s="5">
        <f t="shared" si="24"/>
        <v>2</v>
      </c>
      <c r="J96" s="5">
        <f>Screen_Ann_TA!J130</f>
        <v>2</v>
      </c>
      <c r="K96" s="5">
        <f>Screen_Ann_TA!K130</f>
        <v>2</v>
      </c>
      <c r="L96" s="5">
        <f>Screen_Ann_TA!L130</f>
        <v>2</v>
      </c>
      <c r="M96" s="5">
        <f>Screen_Ann_TA!M130</f>
        <v>2</v>
      </c>
      <c r="N96" s="5">
        <f>Screen_Ann_TA!N130</f>
        <v>2</v>
      </c>
      <c r="O96" s="5">
        <f>Screen_Ann_TA!O130</f>
        <v>2</v>
      </c>
    </row>
    <row r="97" spans="4:15" s="327" customFormat="1" outlineLevel="1" x14ac:dyDescent="0.2">
      <c r="D97" s="660" t="str">
        <f>Screen_Ann_TA!D131</f>
        <v>Muchinga</v>
      </c>
      <c r="H97" s="5">
        <f>IFERROR(Screen_BA!H$28*Screen_BA!I$28*Screen_BA!J$28/Screen_BA!K$28,0)</f>
        <v>553.84615384615381</v>
      </c>
      <c r="I97" s="5">
        <f t="shared" si="24"/>
        <v>1</v>
      </c>
      <c r="J97" s="5">
        <f>Screen_Ann_TA!J131</f>
        <v>1</v>
      </c>
      <c r="K97" s="5">
        <f>Screen_Ann_TA!K131</f>
        <v>1</v>
      </c>
      <c r="L97" s="5">
        <f>Screen_Ann_TA!L131</f>
        <v>1</v>
      </c>
      <c r="M97" s="5">
        <f>Screen_Ann_TA!M131</f>
        <v>1</v>
      </c>
      <c r="N97" s="5">
        <f>Screen_Ann_TA!N131</f>
        <v>1</v>
      </c>
      <c r="O97" s="5">
        <f>Screen_Ann_TA!O131</f>
        <v>1</v>
      </c>
    </row>
    <row r="98" spans="4:15" s="327" customFormat="1" outlineLevel="1" x14ac:dyDescent="0.2">
      <c r="D98" s="660" t="str">
        <f>Screen_Ann_TA!D132</f>
        <v>Northern</v>
      </c>
      <c r="H98" s="5">
        <f>IFERROR(Screen_BA!H$28*Screen_BA!I$28*Screen_BA!J$28/Screen_BA!K$28,0)</f>
        <v>553.84615384615381</v>
      </c>
      <c r="I98" s="5">
        <f t="shared" si="24"/>
        <v>1</v>
      </c>
      <c r="J98" s="5">
        <f>Screen_Ann_TA!J132</f>
        <v>1</v>
      </c>
      <c r="K98" s="5">
        <f>Screen_Ann_TA!K132</f>
        <v>1</v>
      </c>
      <c r="L98" s="5">
        <f>Screen_Ann_TA!L132</f>
        <v>1</v>
      </c>
      <c r="M98" s="5">
        <f>Screen_Ann_TA!M132</f>
        <v>1</v>
      </c>
      <c r="N98" s="5">
        <f>Screen_Ann_TA!N132</f>
        <v>1</v>
      </c>
      <c r="O98" s="5">
        <f>Screen_Ann_TA!O132</f>
        <v>1</v>
      </c>
    </row>
    <row r="99" spans="4:15" s="327" customFormat="1" outlineLevel="1" x14ac:dyDescent="0.2">
      <c r="D99" s="660" t="str">
        <f>Screen_Ann_TA!D133</f>
        <v>North-Western</v>
      </c>
      <c r="H99" s="5">
        <f>IFERROR(Screen_BA!H$28*Screen_BA!I$28*Screen_BA!J$28/Screen_BA!K$28,0)</f>
        <v>553.84615384615381</v>
      </c>
      <c r="I99" s="5">
        <f t="shared" si="24"/>
        <v>2</v>
      </c>
      <c r="J99" s="5">
        <f>Screen_Ann_TA!J133</f>
        <v>2</v>
      </c>
      <c r="K99" s="5">
        <f>Screen_Ann_TA!K133</f>
        <v>2</v>
      </c>
      <c r="L99" s="5">
        <f>Screen_Ann_TA!L133</f>
        <v>2</v>
      </c>
      <c r="M99" s="5">
        <f>Screen_Ann_TA!M133</f>
        <v>2</v>
      </c>
      <c r="N99" s="5">
        <f>Screen_Ann_TA!N133</f>
        <v>2</v>
      </c>
      <c r="O99" s="5">
        <f>Screen_Ann_TA!O133</f>
        <v>2</v>
      </c>
    </row>
    <row r="100" spans="4:15" s="327" customFormat="1" outlineLevel="1" x14ac:dyDescent="0.2">
      <c r="D100" s="660" t="str">
        <f>Screen_Ann_TA!D134</f>
        <v>Southern</v>
      </c>
      <c r="H100" s="5">
        <f>IFERROR(Screen_BA!H$28*Screen_BA!I$28*Screen_BA!J$28/Screen_BA!K$28,0)</f>
        <v>553.84615384615381</v>
      </c>
      <c r="I100" s="5">
        <f t="shared" si="24"/>
        <v>2</v>
      </c>
      <c r="J100" s="5">
        <f>Screen_Ann_TA!J134</f>
        <v>2</v>
      </c>
      <c r="K100" s="5">
        <f>Screen_Ann_TA!K134</f>
        <v>2</v>
      </c>
      <c r="L100" s="5">
        <f>Screen_Ann_TA!L134</f>
        <v>2</v>
      </c>
      <c r="M100" s="5">
        <f>Screen_Ann_TA!M134</f>
        <v>2</v>
      </c>
      <c r="N100" s="5">
        <f>Screen_Ann_TA!N134</f>
        <v>2</v>
      </c>
      <c r="O100" s="5">
        <f>Screen_Ann_TA!O134</f>
        <v>2</v>
      </c>
    </row>
    <row r="101" spans="4:15" s="327" customFormat="1" outlineLevel="1" x14ac:dyDescent="0.2">
      <c r="D101" s="660" t="str">
        <f>Screen_Ann_TA!D135</f>
        <v>Western</v>
      </c>
      <c r="H101" s="5">
        <f>IFERROR(Screen_BA!H$28*Screen_BA!I$28*Screen_BA!J$28/Screen_BA!K$28,0)</f>
        <v>553.84615384615381</v>
      </c>
      <c r="I101" s="5">
        <f t="shared" si="24"/>
        <v>2</v>
      </c>
      <c r="J101" s="5">
        <f>Screen_Ann_TA!J135</f>
        <v>2</v>
      </c>
      <c r="K101" s="5">
        <f>Screen_Ann_TA!K135</f>
        <v>2</v>
      </c>
      <c r="L101" s="5">
        <f>Screen_Ann_TA!L135</f>
        <v>2</v>
      </c>
      <c r="M101" s="5">
        <f>Screen_Ann_TA!M135</f>
        <v>2</v>
      </c>
      <c r="N101" s="5">
        <f>Screen_Ann_TA!N135</f>
        <v>2</v>
      </c>
      <c r="O101" s="5">
        <f>Screen_Ann_TA!O135</f>
        <v>2</v>
      </c>
    </row>
    <row r="102" spans="4:15" s="327" customFormat="1" ht="15" x14ac:dyDescent="0.2">
      <c r="D102" s="679" t="str">
        <f ca="1">"Total "&amp;D90&amp;"s"</f>
        <v>Total Active Gov't Mobile Health Team (Hospital)s</v>
      </c>
      <c r="H102" s="5"/>
      <c r="I102" s="5">
        <f>SUM(I92:I101)</f>
        <v>18</v>
      </c>
      <c r="J102" s="562">
        <f t="shared" ref="J102:O102" si="25">SUM(J92:J101)</f>
        <v>18</v>
      </c>
      <c r="K102" s="562">
        <f t="shared" si="25"/>
        <v>18</v>
      </c>
      <c r="L102" s="562">
        <f t="shared" si="25"/>
        <v>18</v>
      </c>
      <c r="M102" s="562">
        <f t="shared" si="25"/>
        <v>18</v>
      </c>
      <c r="N102" s="562">
        <f t="shared" si="25"/>
        <v>18</v>
      </c>
      <c r="O102" s="562">
        <f t="shared" si="25"/>
        <v>18</v>
      </c>
    </row>
    <row r="103" spans="4:15" s="327" customFormat="1" x14ac:dyDescent="0.2">
      <c r="D103" s="659" t="str">
        <f>"Total New Facilities- ("&amp;Screen_BA!$G$10&amp;")"</f>
        <v>Total New Facilities- (VIA)</v>
      </c>
      <c r="J103" s="5">
        <f t="shared" ref="J103:O103" si="26">J102-I102</f>
        <v>0</v>
      </c>
      <c r="K103" s="5">
        <f t="shared" si="26"/>
        <v>0</v>
      </c>
      <c r="L103" s="5">
        <f t="shared" si="26"/>
        <v>0</v>
      </c>
      <c r="M103" s="5">
        <f t="shared" si="26"/>
        <v>0</v>
      </c>
      <c r="N103" s="5">
        <f t="shared" si="26"/>
        <v>0</v>
      </c>
      <c r="O103" s="5">
        <f t="shared" si="26"/>
        <v>0</v>
      </c>
    </row>
    <row r="104" spans="4:15" s="327" customFormat="1" x14ac:dyDescent="0.2">
      <c r="D104" s="659" t="str">
        <f>"Total Continuing Facilities- ("&amp;Screen_BA!$G$10&amp;")"</f>
        <v>Total Continuing Facilities- (VIA)</v>
      </c>
      <c r="J104" s="5">
        <f t="shared" ref="J104:O104" si="27">J102-J103</f>
        <v>18</v>
      </c>
      <c r="K104" s="5">
        <f t="shared" si="27"/>
        <v>18</v>
      </c>
      <c r="L104" s="5">
        <f t="shared" si="27"/>
        <v>18</v>
      </c>
      <c r="M104" s="5">
        <f t="shared" si="27"/>
        <v>18</v>
      </c>
      <c r="N104" s="5">
        <f t="shared" si="27"/>
        <v>18</v>
      </c>
      <c r="O104" s="5">
        <f t="shared" si="27"/>
        <v>18</v>
      </c>
    </row>
    <row r="105" spans="4:15" s="327" customFormat="1" ht="15" x14ac:dyDescent="0.2">
      <c r="D105" s="679" t="str">
        <f ca="1">"Active "&amp;Screen_Ann_TA!D145</f>
        <v>Active CIDRZ Mobile Health Team</v>
      </c>
    </row>
    <row r="106" spans="4:15" s="327" customFormat="1" outlineLevel="1" x14ac:dyDescent="0.2">
      <c r="H106" s="680" t="s">
        <v>101</v>
      </c>
      <c r="I106" s="565" t="s">
        <v>1753</v>
      </c>
    </row>
    <row r="107" spans="4:15" s="327" customFormat="1" outlineLevel="1" x14ac:dyDescent="0.2">
      <c r="D107" s="660" t="str">
        <f>Screen_Ann_TA!D147</f>
        <v>Central</v>
      </c>
      <c r="H107" s="5">
        <f>IFERROR(Screen_BA!H$29*Screen_BA!I$29*Screen_BA!J$29/Screen_BA!K$29,0)</f>
        <v>0</v>
      </c>
      <c r="I107" s="5">
        <f t="shared" ref="I107:I116" si="28">J107</f>
        <v>0</v>
      </c>
      <c r="J107" s="5">
        <f>Screen_Ann_TA!J147</f>
        <v>0</v>
      </c>
      <c r="K107" s="5">
        <f>Screen_Ann_TA!K147</f>
        <v>0</v>
      </c>
      <c r="L107" s="5">
        <f>Screen_Ann_TA!L147</f>
        <v>0</v>
      </c>
      <c r="M107" s="5">
        <f>Screen_Ann_TA!M147</f>
        <v>0</v>
      </c>
      <c r="N107" s="5">
        <f>Screen_Ann_TA!N147</f>
        <v>0</v>
      </c>
      <c r="O107" s="5">
        <f>Screen_Ann_TA!O147</f>
        <v>0</v>
      </c>
    </row>
    <row r="108" spans="4:15" s="327" customFormat="1" outlineLevel="1" x14ac:dyDescent="0.2">
      <c r="D108" s="660" t="str">
        <f>Screen_Ann_TA!D148</f>
        <v>Copperbelt</v>
      </c>
      <c r="H108" s="5">
        <f>IFERROR(Screen_BA!H$29*Screen_BA!I$29*Screen_BA!J$29/Screen_BA!K$29,0)</f>
        <v>0</v>
      </c>
      <c r="I108" s="5">
        <f t="shared" si="28"/>
        <v>0</v>
      </c>
      <c r="J108" s="5">
        <f>Screen_Ann_TA!J148</f>
        <v>0</v>
      </c>
      <c r="K108" s="5">
        <f>Screen_Ann_TA!K148</f>
        <v>0</v>
      </c>
      <c r="L108" s="5">
        <f>Screen_Ann_TA!L148</f>
        <v>0</v>
      </c>
      <c r="M108" s="5">
        <f>Screen_Ann_TA!M148</f>
        <v>0</v>
      </c>
      <c r="N108" s="5">
        <f>Screen_Ann_TA!N148</f>
        <v>0</v>
      </c>
      <c r="O108" s="5">
        <f>Screen_Ann_TA!O148</f>
        <v>0</v>
      </c>
    </row>
    <row r="109" spans="4:15" s="327" customFormat="1" outlineLevel="1" x14ac:dyDescent="0.2">
      <c r="D109" s="660" t="str">
        <f>Screen_Ann_TA!D149</f>
        <v>Eastern</v>
      </c>
      <c r="H109" s="5">
        <f>IFERROR(Screen_BA!H$29*Screen_BA!I$29*Screen_BA!J$29/Screen_BA!K$29,0)</f>
        <v>0</v>
      </c>
      <c r="I109" s="5">
        <f t="shared" si="28"/>
        <v>0</v>
      </c>
      <c r="J109" s="5">
        <f>Screen_Ann_TA!J149</f>
        <v>0</v>
      </c>
      <c r="K109" s="5">
        <f>Screen_Ann_TA!K149</f>
        <v>0</v>
      </c>
      <c r="L109" s="5">
        <f>Screen_Ann_TA!L149</f>
        <v>0</v>
      </c>
      <c r="M109" s="5">
        <f>Screen_Ann_TA!M149</f>
        <v>0</v>
      </c>
      <c r="N109" s="5">
        <f>Screen_Ann_TA!N149</f>
        <v>0</v>
      </c>
      <c r="O109" s="5">
        <f>Screen_Ann_TA!O149</f>
        <v>0</v>
      </c>
    </row>
    <row r="110" spans="4:15" s="327" customFormat="1" outlineLevel="1" x14ac:dyDescent="0.2">
      <c r="D110" s="660" t="str">
        <f>Screen_Ann_TA!D150</f>
        <v>Luapula</v>
      </c>
      <c r="H110" s="5">
        <f>IFERROR(Screen_BA!H$29*Screen_BA!I$29*Screen_BA!J$29/Screen_BA!K$29,0)</f>
        <v>0</v>
      </c>
      <c r="I110" s="5">
        <f t="shared" si="28"/>
        <v>0</v>
      </c>
      <c r="J110" s="5">
        <f>Screen_Ann_TA!J150</f>
        <v>0</v>
      </c>
      <c r="K110" s="5">
        <f>Screen_Ann_TA!K150</f>
        <v>0</v>
      </c>
      <c r="L110" s="5">
        <f>Screen_Ann_TA!L150</f>
        <v>0</v>
      </c>
      <c r="M110" s="5">
        <f>Screen_Ann_TA!M150</f>
        <v>0</v>
      </c>
      <c r="N110" s="5">
        <f>Screen_Ann_TA!N150</f>
        <v>0</v>
      </c>
      <c r="O110" s="5">
        <f>Screen_Ann_TA!O150</f>
        <v>0</v>
      </c>
    </row>
    <row r="111" spans="4:15" s="327" customFormat="1" outlineLevel="1" x14ac:dyDescent="0.2">
      <c r="D111" s="660" t="str">
        <f>Screen_Ann_TA!D151</f>
        <v>Lusaka</v>
      </c>
      <c r="H111" s="5">
        <f>IFERROR(Screen_BA!H$29*Screen_BA!I$29*Screen_BA!J$29/Screen_BA!K$29,0)</f>
        <v>0</v>
      </c>
      <c r="I111" s="5">
        <f t="shared" si="28"/>
        <v>0</v>
      </c>
      <c r="J111" s="5">
        <f>Screen_Ann_TA!J151</f>
        <v>0</v>
      </c>
      <c r="K111" s="5">
        <f>Screen_Ann_TA!K151</f>
        <v>0</v>
      </c>
      <c r="L111" s="5">
        <f>Screen_Ann_TA!L151</f>
        <v>0</v>
      </c>
      <c r="M111" s="5">
        <f>Screen_Ann_TA!M151</f>
        <v>0</v>
      </c>
      <c r="N111" s="5">
        <f>Screen_Ann_TA!N151</f>
        <v>0</v>
      </c>
      <c r="O111" s="5">
        <f>Screen_Ann_TA!O151</f>
        <v>0</v>
      </c>
    </row>
    <row r="112" spans="4:15" s="327" customFormat="1" outlineLevel="1" x14ac:dyDescent="0.2">
      <c r="D112" s="660" t="str">
        <f>Screen_Ann_TA!D152</f>
        <v>Muchinga</v>
      </c>
      <c r="H112" s="5">
        <f>IFERROR(Screen_BA!H$29*Screen_BA!I$29*Screen_BA!J$29/Screen_BA!K$29,0)</f>
        <v>0</v>
      </c>
      <c r="I112" s="5">
        <f t="shared" si="28"/>
        <v>0</v>
      </c>
      <c r="J112" s="5">
        <f>Screen_Ann_TA!J152</f>
        <v>0</v>
      </c>
      <c r="K112" s="5">
        <f>Screen_Ann_TA!K152</f>
        <v>0</v>
      </c>
      <c r="L112" s="5">
        <f>Screen_Ann_TA!L152</f>
        <v>0</v>
      </c>
      <c r="M112" s="5">
        <f>Screen_Ann_TA!M152</f>
        <v>0</v>
      </c>
      <c r="N112" s="5">
        <f>Screen_Ann_TA!N152</f>
        <v>0</v>
      </c>
      <c r="O112" s="5">
        <f>Screen_Ann_TA!O152</f>
        <v>0</v>
      </c>
    </row>
    <row r="113" spans="4:15" s="327" customFormat="1" outlineLevel="1" x14ac:dyDescent="0.2">
      <c r="D113" s="660" t="str">
        <f>Screen_Ann_TA!D153</f>
        <v>Northern</v>
      </c>
      <c r="H113" s="5">
        <f>IFERROR(Screen_BA!H$29*Screen_BA!I$29*Screen_BA!J$29/Screen_BA!K$29,0)</f>
        <v>0</v>
      </c>
      <c r="I113" s="5">
        <f t="shared" si="28"/>
        <v>0</v>
      </c>
      <c r="J113" s="5">
        <f>Screen_Ann_TA!J153</f>
        <v>0</v>
      </c>
      <c r="K113" s="5">
        <f>Screen_Ann_TA!K153</f>
        <v>0</v>
      </c>
      <c r="L113" s="5">
        <f>Screen_Ann_TA!L153</f>
        <v>0</v>
      </c>
      <c r="M113" s="5">
        <f>Screen_Ann_TA!M153</f>
        <v>0</v>
      </c>
      <c r="N113" s="5">
        <f>Screen_Ann_TA!N153</f>
        <v>0</v>
      </c>
      <c r="O113" s="5">
        <f>Screen_Ann_TA!O153</f>
        <v>0</v>
      </c>
    </row>
    <row r="114" spans="4:15" s="327" customFormat="1" outlineLevel="1" x14ac:dyDescent="0.2">
      <c r="D114" s="660" t="str">
        <f>Screen_Ann_TA!D154</f>
        <v>North-Western</v>
      </c>
      <c r="H114" s="5">
        <f>IFERROR(Screen_BA!H$29*Screen_BA!I$29*Screen_BA!J$29/Screen_BA!K$29,0)</f>
        <v>0</v>
      </c>
      <c r="I114" s="5">
        <f t="shared" si="28"/>
        <v>0</v>
      </c>
      <c r="J114" s="5">
        <f>Screen_Ann_TA!J154</f>
        <v>0</v>
      </c>
      <c r="K114" s="5">
        <f>Screen_Ann_TA!K154</f>
        <v>0</v>
      </c>
      <c r="L114" s="5">
        <f>Screen_Ann_TA!L154</f>
        <v>0</v>
      </c>
      <c r="M114" s="5">
        <f>Screen_Ann_TA!M154</f>
        <v>0</v>
      </c>
      <c r="N114" s="5">
        <f>Screen_Ann_TA!N154</f>
        <v>0</v>
      </c>
      <c r="O114" s="5">
        <f>Screen_Ann_TA!O154</f>
        <v>0</v>
      </c>
    </row>
    <row r="115" spans="4:15" s="327" customFormat="1" outlineLevel="1" x14ac:dyDescent="0.2">
      <c r="D115" s="660" t="str">
        <f>Screen_Ann_TA!D155</f>
        <v>Southern</v>
      </c>
      <c r="H115" s="5">
        <f>IFERROR(Screen_BA!H$29*Screen_BA!I$29*Screen_BA!J$29/Screen_BA!K$29,0)</f>
        <v>0</v>
      </c>
      <c r="I115" s="5">
        <f t="shared" si="28"/>
        <v>0</v>
      </c>
      <c r="J115" s="5">
        <f>Screen_Ann_TA!J155</f>
        <v>0</v>
      </c>
      <c r="K115" s="5">
        <f>Screen_Ann_TA!K155</f>
        <v>0</v>
      </c>
      <c r="L115" s="5">
        <f>Screen_Ann_TA!L155</f>
        <v>0</v>
      </c>
      <c r="M115" s="5">
        <f>Screen_Ann_TA!M155</f>
        <v>0</v>
      </c>
      <c r="N115" s="5">
        <f>Screen_Ann_TA!N155</f>
        <v>0</v>
      </c>
      <c r="O115" s="5">
        <f>Screen_Ann_TA!O155</f>
        <v>0</v>
      </c>
    </row>
    <row r="116" spans="4:15" s="327" customFormat="1" outlineLevel="1" x14ac:dyDescent="0.2">
      <c r="D116" s="660" t="str">
        <f>Screen_Ann_TA!D156</f>
        <v>Western</v>
      </c>
      <c r="H116" s="5">
        <f>IFERROR(Screen_BA!H$29*Screen_BA!I$29*Screen_BA!J$29/Screen_BA!K$29,0)</f>
        <v>0</v>
      </c>
      <c r="I116" s="5">
        <f t="shared" si="28"/>
        <v>0</v>
      </c>
      <c r="J116" s="5">
        <f>Screen_Ann_TA!J156</f>
        <v>0</v>
      </c>
      <c r="K116" s="5">
        <f>Screen_Ann_TA!K156</f>
        <v>0</v>
      </c>
      <c r="L116" s="5">
        <f>Screen_Ann_TA!L156</f>
        <v>0</v>
      </c>
      <c r="M116" s="5">
        <f>Screen_Ann_TA!M156</f>
        <v>0</v>
      </c>
      <c r="N116" s="5">
        <f>Screen_Ann_TA!N156</f>
        <v>0</v>
      </c>
      <c r="O116" s="5">
        <f>Screen_Ann_TA!O156</f>
        <v>0</v>
      </c>
    </row>
    <row r="117" spans="4:15" s="327" customFormat="1" ht="15" x14ac:dyDescent="0.2">
      <c r="D117" s="679" t="str">
        <f ca="1">"Total "&amp;D105&amp;"s"</f>
        <v>Total Active CIDRZ Mobile Health Teams</v>
      </c>
      <c r="H117" s="5"/>
      <c r="I117" s="5">
        <f>SUM(I107:I116)</f>
        <v>0</v>
      </c>
      <c r="J117" s="562">
        <f t="shared" ref="J117:O117" si="29">SUM(J107:J116)</f>
        <v>0</v>
      </c>
      <c r="K117" s="562">
        <f t="shared" si="29"/>
        <v>0</v>
      </c>
      <c r="L117" s="562">
        <f t="shared" si="29"/>
        <v>0</v>
      </c>
      <c r="M117" s="562">
        <f t="shared" si="29"/>
        <v>0</v>
      </c>
      <c r="N117" s="562">
        <f t="shared" si="29"/>
        <v>0</v>
      </c>
      <c r="O117" s="562">
        <f t="shared" si="29"/>
        <v>0</v>
      </c>
    </row>
    <row r="118" spans="4:15" s="327" customFormat="1" x14ac:dyDescent="0.2">
      <c r="D118" s="659" t="str">
        <f>"Total New Facilities- ("&amp;Screen_BA!$G$10&amp;")"</f>
        <v>Total New Facilities- (VIA)</v>
      </c>
      <c r="J118" s="5">
        <f t="shared" ref="J118:O118" si="30">J117-I117</f>
        <v>0</v>
      </c>
      <c r="K118" s="5">
        <f t="shared" si="30"/>
        <v>0</v>
      </c>
      <c r="L118" s="5">
        <f t="shared" si="30"/>
        <v>0</v>
      </c>
      <c r="M118" s="5">
        <f t="shared" si="30"/>
        <v>0</v>
      </c>
      <c r="N118" s="5">
        <f t="shared" si="30"/>
        <v>0</v>
      </c>
      <c r="O118" s="5">
        <f t="shared" si="30"/>
        <v>0</v>
      </c>
    </row>
    <row r="119" spans="4:15" s="327" customFormat="1" x14ac:dyDescent="0.2">
      <c r="D119" s="659" t="str">
        <f>"Total Continuing Facilities- ("&amp;Screen_BA!$G$10&amp;")"</f>
        <v>Total Continuing Facilities- (VIA)</v>
      </c>
      <c r="J119" s="5">
        <f t="shared" ref="J119:O119" si="31">J117-J118</f>
        <v>0</v>
      </c>
      <c r="K119" s="5">
        <f t="shared" si="31"/>
        <v>0</v>
      </c>
      <c r="L119" s="5">
        <f t="shared" si="31"/>
        <v>0</v>
      </c>
      <c r="M119" s="5">
        <f t="shared" si="31"/>
        <v>0</v>
      </c>
      <c r="N119" s="5">
        <f t="shared" si="31"/>
        <v>0</v>
      </c>
      <c r="O119" s="5">
        <f t="shared" si="31"/>
        <v>0</v>
      </c>
    </row>
    <row r="120" spans="4:15" s="327" customFormat="1" ht="15" x14ac:dyDescent="0.2">
      <c r="D120" s="679" t="str">
        <f ca="1">"Active "&amp;Screen_Ann_TA!D166</f>
        <v>Active Facility Type 8</v>
      </c>
    </row>
    <row r="121" spans="4:15" s="327" customFormat="1" outlineLevel="1" x14ac:dyDescent="0.2">
      <c r="H121" s="680" t="s">
        <v>101</v>
      </c>
      <c r="I121" s="565" t="s">
        <v>1753</v>
      </c>
    </row>
    <row r="122" spans="4:15" s="327" customFormat="1" outlineLevel="1" x14ac:dyDescent="0.2">
      <c r="D122" s="660" t="str">
        <f>Screen_Ann_TA!D168</f>
        <v>Central</v>
      </c>
      <c r="H122" s="5">
        <f>IFERROR(Screen_BA!H$30*Screen_BA!I$30*Screen_BA!J$30/Screen_BA!K$30,0)</f>
        <v>0</v>
      </c>
      <c r="I122" s="5">
        <f t="shared" ref="I122:I131" si="32">J122</f>
        <v>0</v>
      </c>
      <c r="J122" s="5">
        <f>Screen_Ann_TA!J168</f>
        <v>0</v>
      </c>
      <c r="K122" s="5">
        <f>Screen_Ann_TA!K168</f>
        <v>0</v>
      </c>
      <c r="L122" s="5">
        <f>Screen_Ann_TA!L168</f>
        <v>0</v>
      </c>
      <c r="M122" s="5">
        <f>Screen_Ann_TA!M168</f>
        <v>0</v>
      </c>
      <c r="N122" s="5">
        <f>Screen_Ann_TA!N168</f>
        <v>0</v>
      </c>
      <c r="O122" s="5">
        <f>Screen_Ann_TA!O168</f>
        <v>0</v>
      </c>
    </row>
    <row r="123" spans="4:15" s="327" customFormat="1" outlineLevel="1" x14ac:dyDescent="0.2">
      <c r="D123" s="660" t="str">
        <f>Screen_Ann_TA!D169</f>
        <v>Copperbelt</v>
      </c>
      <c r="H123" s="5">
        <f>IFERROR(Screen_BA!H$30*Screen_BA!I$30*Screen_BA!J$30/Screen_BA!K$30,0)</f>
        <v>0</v>
      </c>
      <c r="I123" s="5">
        <f t="shared" si="32"/>
        <v>0</v>
      </c>
      <c r="J123" s="5">
        <f>Screen_Ann_TA!J169</f>
        <v>0</v>
      </c>
      <c r="K123" s="5">
        <f>Screen_Ann_TA!K169</f>
        <v>0</v>
      </c>
      <c r="L123" s="5">
        <f>Screen_Ann_TA!L169</f>
        <v>0</v>
      </c>
      <c r="M123" s="5">
        <f>Screen_Ann_TA!M169</f>
        <v>0</v>
      </c>
      <c r="N123" s="5">
        <f>Screen_Ann_TA!N169</f>
        <v>0</v>
      </c>
      <c r="O123" s="5">
        <f>Screen_Ann_TA!O169</f>
        <v>0</v>
      </c>
    </row>
    <row r="124" spans="4:15" s="327" customFormat="1" outlineLevel="1" x14ac:dyDescent="0.2">
      <c r="D124" s="660" t="str">
        <f>Screen_Ann_TA!D170</f>
        <v>Eastern</v>
      </c>
      <c r="H124" s="5">
        <f>IFERROR(Screen_BA!H$30*Screen_BA!I$30*Screen_BA!J$30/Screen_BA!K$30,0)</f>
        <v>0</v>
      </c>
      <c r="I124" s="5">
        <f t="shared" si="32"/>
        <v>0</v>
      </c>
      <c r="J124" s="5">
        <f>Screen_Ann_TA!J170</f>
        <v>0</v>
      </c>
      <c r="K124" s="5">
        <f>Screen_Ann_TA!K170</f>
        <v>0</v>
      </c>
      <c r="L124" s="5">
        <f>Screen_Ann_TA!L170</f>
        <v>0</v>
      </c>
      <c r="M124" s="5">
        <f>Screen_Ann_TA!M170</f>
        <v>0</v>
      </c>
      <c r="N124" s="5">
        <f>Screen_Ann_TA!N170</f>
        <v>0</v>
      </c>
      <c r="O124" s="5">
        <f>Screen_Ann_TA!O170</f>
        <v>0</v>
      </c>
    </row>
    <row r="125" spans="4:15" s="327" customFormat="1" outlineLevel="1" x14ac:dyDescent="0.2">
      <c r="D125" s="660" t="str">
        <f>Screen_Ann_TA!D171</f>
        <v>Luapula</v>
      </c>
      <c r="H125" s="5">
        <f>IFERROR(Screen_BA!H$30*Screen_BA!I$30*Screen_BA!J$30/Screen_BA!K$30,0)</f>
        <v>0</v>
      </c>
      <c r="I125" s="5">
        <f t="shared" si="32"/>
        <v>0</v>
      </c>
      <c r="J125" s="5">
        <f>Screen_Ann_TA!J171</f>
        <v>0</v>
      </c>
      <c r="K125" s="5">
        <f>Screen_Ann_TA!K171</f>
        <v>0</v>
      </c>
      <c r="L125" s="5">
        <f>Screen_Ann_TA!L171</f>
        <v>0</v>
      </c>
      <c r="M125" s="5">
        <f>Screen_Ann_TA!M171</f>
        <v>0</v>
      </c>
      <c r="N125" s="5">
        <f>Screen_Ann_TA!N171</f>
        <v>0</v>
      </c>
      <c r="O125" s="5">
        <f>Screen_Ann_TA!O171</f>
        <v>0</v>
      </c>
    </row>
    <row r="126" spans="4:15" s="327" customFormat="1" outlineLevel="1" x14ac:dyDescent="0.2">
      <c r="D126" s="660" t="str">
        <f>Screen_Ann_TA!D172</f>
        <v>Lusaka</v>
      </c>
      <c r="H126" s="5">
        <f>IFERROR(Screen_BA!H$30*Screen_BA!I$30*Screen_BA!J$30/Screen_BA!K$30,0)</f>
        <v>0</v>
      </c>
      <c r="I126" s="5">
        <f t="shared" si="32"/>
        <v>0</v>
      </c>
      <c r="J126" s="5">
        <f>Screen_Ann_TA!J172</f>
        <v>0</v>
      </c>
      <c r="K126" s="5">
        <f>Screen_Ann_TA!K172</f>
        <v>0</v>
      </c>
      <c r="L126" s="5">
        <f>Screen_Ann_TA!L172</f>
        <v>0</v>
      </c>
      <c r="M126" s="5">
        <f>Screen_Ann_TA!M172</f>
        <v>0</v>
      </c>
      <c r="N126" s="5">
        <f>Screen_Ann_TA!N172</f>
        <v>0</v>
      </c>
      <c r="O126" s="5">
        <f>Screen_Ann_TA!O172</f>
        <v>0</v>
      </c>
    </row>
    <row r="127" spans="4:15" s="327" customFormat="1" outlineLevel="1" x14ac:dyDescent="0.2">
      <c r="D127" s="660" t="str">
        <f>Screen_Ann_TA!D173</f>
        <v>Muchinga</v>
      </c>
      <c r="H127" s="5">
        <f>IFERROR(Screen_BA!H$30*Screen_BA!I$30*Screen_BA!J$30/Screen_BA!K$30,0)</f>
        <v>0</v>
      </c>
      <c r="I127" s="5">
        <f t="shared" si="32"/>
        <v>0</v>
      </c>
      <c r="J127" s="5">
        <f>Screen_Ann_TA!J173</f>
        <v>0</v>
      </c>
      <c r="K127" s="5">
        <f>Screen_Ann_TA!K173</f>
        <v>0</v>
      </c>
      <c r="L127" s="5">
        <f>Screen_Ann_TA!L173</f>
        <v>0</v>
      </c>
      <c r="M127" s="5">
        <f>Screen_Ann_TA!M173</f>
        <v>0</v>
      </c>
      <c r="N127" s="5">
        <f>Screen_Ann_TA!N173</f>
        <v>0</v>
      </c>
      <c r="O127" s="5">
        <f>Screen_Ann_TA!O173</f>
        <v>0</v>
      </c>
    </row>
    <row r="128" spans="4:15" s="327" customFormat="1" outlineLevel="1" x14ac:dyDescent="0.2">
      <c r="D128" s="660" t="str">
        <f>Screen_Ann_TA!D174</f>
        <v>Northern</v>
      </c>
      <c r="H128" s="5">
        <f>IFERROR(Screen_BA!H$30*Screen_BA!I$30*Screen_BA!J$30/Screen_BA!K$30,0)</f>
        <v>0</v>
      </c>
      <c r="I128" s="5">
        <f t="shared" si="32"/>
        <v>0</v>
      </c>
      <c r="J128" s="5">
        <f>Screen_Ann_TA!J174</f>
        <v>0</v>
      </c>
      <c r="K128" s="5">
        <f>Screen_Ann_TA!K174</f>
        <v>0</v>
      </c>
      <c r="L128" s="5">
        <f>Screen_Ann_TA!L174</f>
        <v>0</v>
      </c>
      <c r="M128" s="5">
        <f>Screen_Ann_TA!M174</f>
        <v>0</v>
      </c>
      <c r="N128" s="5">
        <f>Screen_Ann_TA!N174</f>
        <v>0</v>
      </c>
      <c r="O128" s="5">
        <f>Screen_Ann_TA!O174</f>
        <v>0</v>
      </c>
    </row>
    <row r="129" spans="4:15" s="327" customFormat="1" outlineLevel="1" x14ac:dyDescent="0.2">
      <c r="D129" s="660" t="str">
        <f>Screen_Ann_TA!D175</f>
        <v>North-Western</v>
      </c>
      <c r="H129" s="5">
        <f>IFERROR(Screen_BA!H$30*Screen_BA!I$30*Screen_BA!J$30/Screen_BA!K$30,0)</f>
        <v>0</v>
      </c>
      <c r="I129" s="5">
        <f t="shared" si="32"/>
        <v>0</v>
      </c>
      <c r="J129" s="5">
        <f>Screen_Ann_TA!J175</f>
        <v>0</v>
      </c>
      <c r="K129" s="5">
        <f>Screen_Ann_TA!K175</f>
        <v>0</v>
      </c>
      <c r="L129" s="5">
        <f>Screen_Ann_TA!L175</f>
        <v>0</v>
      </c>
      <c r="M129" s="5">
        <f>Screen_Ann_TA!M175</f>
        <v>0</v>
      </c>
      <c r="N129" s="5">
        <f>Screen_Ann_TA!N175</f>
        <v>0</v>
      </c>
      <c r="O129" s="5">
        <f>Screen_Ann_TA!O175</f>
        <v>0</v>
      </c>
    </row>
    <row r="130" spans="4:15" s="327" customFormat="1" outlineLevel="1" x14ac:dyDescent="0.2">
      <c r="D130" s="660" t="str">
        <f>Screen_Ann_TA!D176</f>
        <v>Southern</v>
      </c>
      <c r="H130" s="5">
        <f>IFERROR(Screen_BA!H$30*Screen_BA!I$30*Screen_BA!J$30/Screen_BA!K$30,0)</f>
        <v>0</v>
      </c>
      <c r="I130" s="5">
        <f t="shared" si="32"/>
        <v>0</v>
      </c>
      <c r="J130" s="5">
        <f>Screen_Ann_TA!J176</f>
        <v>0</v>
      </c>
      <c r="K130" s="5">
        <f>Screen_Ann_TA!K176</f>
        <v>0</v>
      </c>
      <c r="L130" s="5">
        <f>Screen_Ann_TA!L176</f>
        <v>0</v>
      </c>
      <c r="M130" s="5">
        <f>Screen_Ann_TA!M176</f>
        <v>0</v>
      </c>
      <c r="N130" s="5">
        <f>Screen_Ann_TA!N176</f>
        <v>0</v>
      </c>
      <c r="O130" s="5">
        <f>Screen_Ann_TA!O176</f>
        <v>0</v>
      </c>
    </row>
    <row r="131" spans="4:15" s="327" customFormat="1" outlineLevel="1" x14ac:dyDescent="0.2">
      <c r="D131" s="660" t="str">
        <f>Screen_Ann_TA!D177</f>
        <v>Western</v>
      </c>
      <c r="H131" s="5">
        <f>IFERROR(Screen_BA!H$30*Screen_BA!I$30*Screen_BA!J$30/Screen_BA!K$30,0)</f>
        <v>0</v>
      </c>
      <c r="I131" s="5">
        <f t="shared" si="32"/>
        <v>0</v>
      </c>
      <c r="J131" s="5">
        <f>Screen_Ann_TA!J177</f>
        <v>0</v>
      </c>
      <c r="K131" s="5">
        <f>Screen_Ann_TA!K177</f>
        <v>0</v>
      </c>
      <c r="L131" s="5">
        <f>Screen_Ann_TA!L177</f>
        <v>0</v>
      </c>
      <c r="M131" s="5">
        <f>Screen_Ann_TA!M177</f>
        <v>0</v>
      </c>
      <c r="N131" s="5">
        <f>Screen_Ann_TA!N177</f>
        <v>0</v>
      </c>
      <c r="O131" s="5">
        <f>Screen_Ann_TA!O177</f>
        <v>0</v>
      </c>
    </row>
    <row r="132" spans="4:15" s="327" customFormat="1" ht="15" x14ac:dyDescent="0.2">
      <c r="D132" s="679" t="str">
        <f ca="1">"Total "&amp;D120&amp;"s"</f>
        <v>Total Active Facility Type 8s</v>
      </c>
      <c r="H132" s="5"/>
      <c r="I132" s="5">
        <f>SUM(I122:I131)</f>
        <v>0</v>
      </c>
      <c r="J132" s="562">
        <f t="shared" ref="J132:O132" si="33">SUM(J122:J131)</f>
        <v>0</v>
      </c>
      <c r="K132" s="562">
        <f t="shared" si="33"/>
        <v>0</v>
      </c>
      <c r="L132" s="562">
        <f t="shared" si="33"/>
        <v>0</v>
      </c>
      <c r="M132" s="562">
        <f t="shared" si="33"/>
        <v>0</v>
      </c>
      <c r="N132" s="562">
        <f t="shared" si="33"/>
        <v>0</v>
      </c>
      <c r="O132" s="562">
        <f t="shared" si="33"/>
        <v>0</v>
      </c>
    </row>
    <row r="133" spans="4:15" s="327" customFormat="1" x14ac:dyDescent="0.2">
      <c r="D133" s="659" t="str">
        <f>"Total New Facilities- ("&amp;Screen_BA!$G$10&amp;")"</f>
        <v>Total New Facilities- (VIA)</v>
      </c>
      <c r="J133" s="5">
        <f t="shared" ref="J133:O133" si="34">J132-I132</f>
        <v>0</v>
      </c>
      <c r="K133" s="5">
        <f t="shared" si="34"/>
        <v>0</v>
      </c>
      <c r="L133" s="5">
        <f t="shared" si="34"/>
        <v>0</v>
      </c>
      <c r="M133" s="5">
        <f t="shared" si="34"/>
        <v>0</v>
      </c>
      <c r="N133" s="5">
        <f t="shared" si="34"/>
        <v>0</v>
      </c>
      <c r="O133" s="5">
        <f t="shared" si="34"/>
        <v>0</v>
      </c>
    </row>
    <row r="134" spans="4:15" s="327" customFormat="1" x14ac:dyDescent="0.2">
      <c r="D134" s="659" t="str">
        <f>"Total Continuing Facilities- ("&amp;Screen_BA!$G$10&amp;")"</f>
        <v>Total Continuing Facilities- (VIA)</v>
      </c>
      <c r="J134" s="5">
        <f t="shared" ref="J134:O134" si="35">J132-J133</f>
        <v>0</v>
      </c>
      <c r="K134" s="5">
        <f t="shared" si="35"/>
        <v>0</v>
      </c>
      <c r="L134" s="5">
        <f t="shared" si="35"/>
        <v>0</v>
      </c>
      <c r="M134" s="5">
        <f t="shared" si="35"/>
        <v>0</v>
      </c>
      <c r="N134" s="5">
        <f t="shared" si="35"/>
        <v>0</v>
      </c>
      <c r="O134" s="5">
        <f t="shared" si="35"/>
        <v>0</v>
      </c>
    </row>
    <row r="135" spans="4:15" s="327" customFormat="1" ht="15" x14ac:dyDescent="0.2">
      <c r="D135" s="679" t="str">
        <f ca="1">"Active "&amp;Screen_Ann_TA!D187</f>
        <v>Active Facility Type 9</v>
      </c>
    </row>
    <row r="136" spans="4:15" s="327" customFormat="1" outlineLevel="1" x14ac:dyDescent="0.2">
      <c r="H136" s="680" t="s">
        <v>101</v>
      </c>
      <c r="I136" s="565" t="s">
        <v>1753</v>
      </c>
    </row>
    <row r="137" spans="4:15" s="327" customFormat="1" outlineLevel="1" x14ac:dyDescent="0.2">
      <c r="D137" s="660" t="str">
        <f>Screen_Ann_TA!D189</f>
        <v>Central</v>
      </c>
      <c r="H137" s="5">
        <f>IFERROR(Screen_BA!H$31*Screen_BA!I$31*Screen_BA!J$31/Screen_BA!K$31,0)</f>
        <v>0</v>
      </c>
      <c r="I137" s="5">
        <f t="shared" ref="I137:I146" si="36">J137</f>
        <v>0</v>
      </c>
      <c r="J137" s="5">
        <f>Screen_Ann_TA!J189</f>
        <v>0</v>
      </c>
      <c r="K137" s="5">
        <f>Screen_Ann_TA!K189</f>
        <v>0</v>
      </c>
      <c r="L137" s="5">
        <f>Screen_Ann_TA!L189</f>
        <v>0</v>
      </c>
      <c r="M137" s="5">
        <f>Screen_Ann_TA!M189</f>
        <v>0</v>
      </c>
      <c r="N137" s="5">
        <f>Screen_Ann_TA!N189</f>
        <v>0</v>
      </c>
      <c r="O137" s="5">
        <f>Screen_Ann_TA!O189</f>
        <v>0</v>
      </c>
    </row>
    <row r="138" spans="4:15" s="327" customFormat="1" outlineLevel="1" x14ac:dyDescent="0.2">
      <c r="D138" s="660" t="str">
        <f>Screen_Ann_TA!D190</f>
        <v>Copperbelt</v>
      </c>
      <c r="H138" s="5">
        <f>IFERROR(Screen_BA!H$31*Screen_BA!I$31*Screen_BA!J$31/Screen_BA!K$31,0)</f>
        <v>0</v>
      </c>
      <c r="I138" s="5">
        <f t="shared" si="36"/>
        <v>0</v>
      </c>
      <c r="J138" s="5">
        <f>Screen_Ann_TA!J190</f>
        <v>0</v>
      </c>
      <c r="K138" s="5">
        <f>Screen_Ann_TA!K190</f>
        <v>0</v>
      </c>
      <c r="L138" s="5">
        <f>Screen_Ann_TA!L190</f>
        <v>0</v>
      </c>
      <c r="M138" s="5">
        <f>Screen_Ann_TA!M190</f>
        <v>0</v>
      </c>
      <c r="N138" s="5">
        <f>Screen_Ann_TA!N190</f>
        <v>0</v>
      </c>
      <c r="O138" s="5">
        <f>Screen_Ann_TA!O190</f>
        <v>0</v>
      </c>
    </row>
    <row r="139" spans="4:15" s="327" customFormat="1" outlineLevel="1" x14ac:dyDescent="0.2">
      <c r="D139" s="660" t="str">
        <f>Screen_Ann_TA!D191</f>
        <v>Eastern</v>
      </c>
      <c r="H139" s="5">
        <f>IFERROR(Screen_BA!H$31*Screen_BA!I$31*Screen_BA!J$31/Screen_BA!K$31,0)</f>
        <v>0</v>
      </c>
      <c r="I139" s="5">
        <f t="shared" si="36"/>
        <v>0</v>
      </c>
      <c r="J139" s="5">
        <f>Screen_Ann_TA!J191</f>
        <v>0</v>
      </c>
      <c r="K139" s="5">
        <f>Screen_Ann_TA!K191</f>
        <v>0</v>
      </c>
      <c r="L139" s="5">
        <f>Screen_Ann_TA!L191</f>
        <v>0</v>
      </c>
      <c r="M139" s="5">
        <f>Screen_Ann_TA!M191</f>
        <v>0</v>
      </c>
      <c r="N139" s="5">
        <f>Screen_Ann_TA!N191</f>
        <v>0</v>
      </c>
      <c r="O139" s="5">
        <f>Screen_Ann_TA!O191</f>
        <v>0</v>
      </c>
    </row>
    <row r="140" spans="4:15" s="327" customFormat="1" outlineLevel="1" x14ac:dyDescent="0.2">
      <c r="D140" s="660" t="str">
        <f>Screen_Ann_TA!D192</f>
        <v>Luapula</v>
      </c>
      <c r="H140" s="5">
        <f>IFERROR(Screen_BA!H$31*Screen_BA!I$31*Screen_BA!J$31/Screen_BA!K$31,0)</f>
        <v>0</v>
      </c>
      <c r="I140" s="5">
        <f t="shared" si="36"/>
        <v>0</v>
      </c>
      <c r="J140" s="5">
        <f>Screen_Ann_TA!J192</f>
        <v>0</v>
      </c>
      <c r="K140" s="5">
        <f>Screen_Ann_TA!K192</f>
        <v>0</v>
      </c>
      <c r="L140" s="5">
        <f>Screen_Ann_TA!L192</f>
        <v>0</v>
      </c>
      <c r="M140" s="5">
        <f>Screen_Ann_TA!M192</f>
        <v>0</v>
      </c>
      <c r="N140" s="5">
        <f>Screen_Ann_TA!N192</f>
        <v>0</v>
      </c>
      <c r="O140" s="5">
        <f>Screen_Ann_TA!O192</f>
        <v>0</v>
      </c>
    </row>
    <row r="141" spans="4:15" s="327" customFormat="1" outlineLevel="1" x14ac:dyDescent="0.2">
      <c r="D141" s="660" t="str">
        <f>Screen_Ann_TA!D193</f>
        <v>Lusaka</v>
      </c>
      <c r="H141" s="5">
        <f>IFERROR(Screen_BA!H$31*Screen_BA!I$31*Screen_BA!J$31/Screen_BA!K$31,0)</f>
        <v>0</v>
      </c>
      <c r="I141" s="5">
        <f t="shared" si="36"/>
        <v>0</v>
      </c>
      <c r="J141" s="5">
        <f>Screen_Ann_TA!J193</f>
        <v>0</v>
      </c>
      <c r="K141" s="5">
        <f>Screen_Ann_TA!K193</f>
        <v>0</v>
      </c>
      <c r="L141" s="5">
        <f>Screen_Ann_TA!L193</f>
        <v>0</v>
      </c>
      <c r="M141" s="5">
        <f>Screen_Ann_TA!M193</f>
        <v>0</v>
      </c>
      <c r="N141" s="5">
        <f>Screen_Ann_TA!N193</f>
        <v>0</v>
      </c>
      <c r="O141" s="5">
        <f>Screen_Ann_TA!O193</f>
        <v>0</v>
      </c>
    </row>
    <row r="142" spans="4:15" s="327" customFormat="1" outlineLevel="1" x14ac:dyDescent="0.2">
      <c r="D142" s="660" t="str">
        <f>Screen_Ann_TA!D194</f>
        <v>Muchinga</v>
      </c>
      <c r="H142" s="5">
        <f>IFERROR(Screen_BA!H$31*Screen_BA!I$31*Screen_BA!J$31/Screen_BA!K$31,0)</f>
        <v>0</v>
      </c>
      <c r="I142" s="5">
        <f t="shared" si="36"/>
        <v>0</v>
      </c>
      <c r="J142" s="5">
        <f>Screen_Ann_TA!J194</f>
        <v>0</v>
      </c>
      <c r="K142" s="5">
        <f>Screen_Ann_TA!K194</f>
        <v>0</v>
      </c>
      <c r="L142" s="5">
        <f>Screen_Ann_TA!L194</f>
        <v>0</v>
      </c>
      <c r="M142" s="5">
        <f>Screen_Ann_TA!M194</f>
        <v>0</v>
      </c>
      <c r="N142" s="5">
        <f>Screen_Ann_TA!N194</f>
        <v>0</v>
      </c>
      <c r="O142" s="5">
        <f>Screen_Ann_TA!O194</f>
        <v>0</v>
      </c>
    </row>
    <row r="143" spans="4:15" s="327" customFormat="1" outlineLevel="1" x14ac:dyDescent="0.2">
      <c r="D143" s="660" t="str">
        <f>Screen_Ann_TA!D195</f>
        <v>Northern</v>
      </c>
      <c r="H143" s="5">
        <f>IFERROR(Screen_BA!H$31*Screen_BA!I$31*Screen_BA!J$31/Screen_BA!K$31,0)</f>
        <v>0</v>
      </c>
      <c r="I143" s="5">
        <f t="shared" si="36"/>
        <v>0</v>
      </c>
      <c r="J143" s="5">
        <f>Screen_Ann_TA!J195</f>
        <v>0</v>
      </c>
      <c r="K143" s="5">
        <f>Screen_Ann_TA!K195</f>
        <v>0</v>
      </c>
      <c r="L143" s="5">
        <f>Screen_Ann_TA!L195</f>
        <v>0</v>
      </c>
      <c r="M143" s="5">
        <f>Screen_Ann_TA!M195</f>
        <v>0</v>
      </c>
      <c r="N143" s="5">
        <f>Screen_Ann_TA!N195</f>
        <v>0</v>
      </c>
      <c r="O143" s="5">
        <f>Screen_Ann_TA!O195</f>
        <v>0</v>
      </c>
    </row>
    <row r="144" spans="4:15" s="327" customFormat="1" outlineLevel="1" x14ac:dyDescent="0.2">
      <c r="D144" s="660" t="str">
        <f>Screen_Ann_TA!D196</f>
        <v>North-Western</v>
      </c>
      <c r="H144" s="5">
        <f>IFERROR(Screen_BA!H$31*Screen_BA!I$31*Screen_BA!J$31/Screen_BA!K$31,0)</f>
        <v>0</v>
      </c>
      <c r="I144" s="5">
        <f t="shared" si="36"/>
        <v>0</v>
      </c>
      <c r="J144" s="5">
        <f>Screen_Ann_TA!J196</f>
        <v>0</v>
      </c>
      <c r="K144" s="5">
        <f>Screen_Ann_TA!K196</f>
        <v>0</v>
      </c>
      <c r="L144" s="5">
        <f>Screen_Ann_TA!L196</f>
        <v>0</v>
      </c>
      <c r="M144" s="5">
        <f>Screen_Ann_TA!M196</f>
        <v>0</v>
      </c>
      <c r="N144" s="5">
        <f>Screen_Ann_TA!N196</f>
        <v>0</v>
      </c>
      <c r="O144" s="5">
        <f>Screen_Ann_TA!O196</f>
        <v>0</v>
      </c>
    </row>
    <row r="145" spans="4:15" s="327" customFormat="1" outlineLevel="1" x14ac:dyDescent="0.2">
      <c r="D145" s="660" t="str">
        <f>Screen_Ann_TA!D197</f>
        <v>Southern</v>
      </c>
      <c r="H145" s="5">
        <f>IFERROR(Screen_BA!H$31*Screen_BA!I$31*Screen_BA!J$31/Screen_BA!K$31,0)</f>
        <v>0</v>
      </c>
      <c r="I145" s="5">
        <f t="shared" si="36"/>
        <v>0</v>
      </c>
      <c r="J145" s="5">
        <f>Screen_Ann_TA!J197</f>
        <v>0</v>
      </c>
      <c r="K145" s="5">
        <f>Screen_Ann_TA!K197</f>
        <v>0</v>
      </c>
      <c r="L145" s="5">
        <f>Screen_Ann_TA!L197</f>
        <v>0</v>
      </c>
      <c r="M145" s="5">
        <f>Screen_Ann_TA!M197</f>
        <v>0</v>
      </c>
      <c r="N145" s="5">
        <f>Screen_Ann_TA!N197</f>
        <v>0</v>
      </c>
      <c r="O145" s="5">
        <f>Screen_Ann_TA!O197</f>
        <v>0</v>
      </c>
    </row>
    <row r="146" spans="4:15" s="327" customFormat="1" outlineLevel="1" x14ac:dyDescent="0.2">
      <c r="D146" s="660" t="str">
        <f>Screen_Ann_TA!D198</f>
        <v>Western</v>
      </c>
      <c r="H146" s="5">
        <f>IFERROR(Screen_BA!H$31*Screen_BA!I$31*Screen_BA!J$31/Screen_BA!K$31,0)</f>
        <v>0</v>
      </c>
      <c r="I146" s="5">
        <f t="shared" si="36"/>
        <v>0</v>
      </c>
      <c r="J146" s="5">
        <f>Screen_Ann_TA!J198</f>
        <v>0</v>
      </c>
      <c r="K146" s="5">
        <f>Screen_Ann_TA!K198</f>
        <v>0</v>
      </c>
      <c r="L146" s="5">
        <f>Screen_Ann_TA!L198</f>
        <v>0</v>
      </c>
      <c r="M146" s="5">
        <f>Screen_Ann_TA!M198</f>
        <v>0</v>
      </c>
      <c r="N146" s="5">
        <f>Screen_Ann_TA!N198</f>
        <v>0</v>
      </c>
      <c r="O146" s="5">
        <f>Screen_Ann_TA!O198</f>
        <v>0</v>
      </c>
    </row>
    <row r="147" spans="4:15" s="327" customFormat="1" ht="15" x14ac:dyDescent="0.2">
      <c r="D147" s="679" t="str">
        <f ca="1">"Total "&amp;D135&amp;"s"</f>
        <v>Total Active Facility Type 9s</v>
      </c>
      <c r="H147" s="5"/>
      <c r="I147" s="5">
        <f>SUM(I137:I146)</f>
        <v>0</v>
      </c>
      <c r="J147" s="562">
        <f t="shared" ref="J147:O147" si="37">SUM(J137:J146)</f>
        <v>0</v>
      </c>
      <c r="K147" s="562">
        <f t="shared" si="37"/>
        <v>0</v>
      </c>
      <c r="L147" s="562">
        <f t="shared" si="37"/>
        <v>0</v>
      </c>
      <c r="M147" s="562">
        <f t="shared" si="37"/>
        <v>0</v>
      </c>
      <c r="N147" s="562">
        <f t="shared" si="37"/>
        <v>0</v>
      </c>
      <c r="O147" s="562">
        <f t="shared" si="37"/>
        <v>0</v>
      </c>
    </row>
    <row r="148" spans="4:15" s="327" customFormat="1" x14ac:dyDescent="0.2">
      <c r="D148" s="659" t="str">
        <f>"Total New Facilities- ("&amp;Screen_BA!$G$10&amp;")"</f>
        <v>Total New Facilities- (VIA)</v>
      </c>
      <c r="J148" s="5">
        <f t="shared" ref="J148:O148" si="38">J147-I147</f>
        <v>0</v>
      </c>
      <c r="K148" s="5">
        <f t="shared" si="38"/>
        <v>0</v>
      </c>
      <c r="L148" s="5">
        <f t="shared" si="38"/>
        <v>0</v>
      </c>
      <c r="M148" s="5">
        <f t="shared" si="38"/>
        <v>0</v>
      </c>
      <c r="N148" s="5">
        <f t="shared" si="38"/>
        <v>0</v>
      </c>
      <c r="O148" s="5">
        <f t="shared" si="38"/>
        <v>0</v>
      </c>
    </row>
    <row r="149" spans="4:15" s="327" customFormat="1" x14ac:dyDescent="0.2">
      <c r="D149" s="659" t="str">
        <f>"Total Continuing Facilities- ("&amp;Screen_BA!$G$10&amp;")"</f>
        <v>Total Continuing Facilities- (VIA)</v>
      </c>
      <c r="J149" s="5">
        <f t="shared" ref="J149:O149" si="39">J147-J148</f>
        <v>0</v>
      </c>
      <c r="K149" s="5">
        <f t="shared" si="39"/>
        <v>0</v>
      </c>
      <c r="L149" s="5">
        <f t="shared" si="39"/>
        <v>0</v>
      </c>
      <c r="M149" s="5">
        <f t="shared" si="39"/>
        <v>0</v>
      </c>
      <c r="N149" s="5">
        <f t="shared" si="39"/>
        <v>0</v>
      </c>
      <c r="O149" s="5">
        <f t="shared" si="39"/>
        <v>0</v>
      </c>
    </row>
    <row r="150" spans="4:15" s="327" customFormat="1" ht="15" x14ac:dyDescent="0.2">
      <c r="D150" s="679" t="str">
        <f ca="1">"Active "&amp;Screen_Ann_TA!D208</f>
        <v>Active Facility Type 10</v>
      </c>
    </row>
    <row r="151" spans="4:15" s="327" customFormat="1" outlineLevel="1" x14ac:dyDescent="0.2">
      <c r="H151" s="680" t="s">
        <v>101</v>
      </c>
      <c r="I151" s="565" t="s">
        <v>1753</v>
      </c>
    </row>
    <row r="152" spans="4:15" s="327" customFormat="1" outlineLevel="1" x14ac:dyDescent="0.2">
      <c r="D152" s="660" t="str">
        <f>Screen_Ann_TA!D210</f>
        <v>Central</v>
      </c>
      <c r="H152" s="5">
        <f>IFERROR(Screen_BA!H$32*Screen_BA!I$32*Screen_BA!J$32/Screen_BA!K$32,0)</f>
        <v>0</v>
      </c>
      <c r="I152" s="5">
        <f t="shared" ref="I152:I161" si="40">J152</f>
        <v>0</v>
      </c>
      <c r="J152" s="5">
        <f>Screen_Ann_TA!J210</f>
        <v>0</v>
      </c>
      <c r="K152" s="5">
        <f>Screen_Ann_TA!K210</f>
        <v>0</v>
      </c>
      <c r="L152" s="5">
        <f>Screen_Ann_TA!L210</f>
        <v>0</v>
      </c>
      <c r="M152" s="5">
        <f>Screen_Ann_TA!M210</f>
        <v>0</v>
      </c>
      <c r="N152" s="5">
        <f>Screen_Ann_TA!N210</f>
        <v>0</v>
      </c>
      <c r="O152" s="5">
        <f>Screen_Ann_TA!O210</f>
        <v>0</v>
      </c>
    </row>
    <row r="153" spans="4:15" s="327" customFormat="1" outlineLevel="1" x14ac:dyDescent="0.2">
      <c r="D153" s="660" t="str">
        <f>Screen_Ann_TA!D211</f>
        <v>Copperbelt</v>
      </c>
      <c r="H153" s="5">
        <f>IFERROR(Screen_BA!H$32*Screen_BA!I$32*Screen_BA!J$32/Screen_BA!K$32,0)</f>
        <v>0</v>
      </c>
      <c r="I153" s="5">
        <f t="shared" si="40"/>
        <v>0</v>
      </c>
      <c r="J153" s="5">
        <f>Screen_Ann_TA!J211</f>
        <v>0</v>
      </c>
      <c r="K153" s="5">
        <f>Screen_Ann_TA!K211</f>
        <v>0</v>
      </c>
      <c r="L153" s="5">
        <f>Screen_Ann_TA!L211</f>
        <v>0</v>
      </c>
      <c r="M153" s="5">
        <f>Screen_Ann_TA!M211</f>
        <v>0</v>
      </c>
      <c r="N153" s="5">
        <f>Screen_Ann_TA!N211</f>
        <v>0</v>
      </c>
      <c r="O153" s="5">
        <f>Screen_Ann_TA!O211</f>
        <v>0</v>
      </c>
    </row>
    <row r="154" spans="4:15" s="327" customFormat="1" outlineLevel="1" x14ac:dyDescent="0.2">
      <c r="D154" s="660" t="str">
        <f>Screen_Ann_TA!D212</f>
        <v>Eastern</v>
      </c>
      <c r="H154" s="5">
        <f>IFERROR(Screen_BA!H$32*Screen_BA!I$32*Screen_BA!J$32/Screen_BA!K$32,0)</f>
        <v>0</v>
      </c>
      <c r="I154" s="5">
        <f t="shared" si="40"/>
        <v>0</v>
      </c>
      <c r="J154" s="5">
        <f>Screen_Ann_TA!J212</f>
        <v>0</v>
      </c>
      <c r="K154" s="5">
        <f>Screen_Ann_TA!K212</f>
        <v>0</v>
      </c>
      <c r="L154" s="5">
        <f>Screen_Ann_TA!L212</f>
        <v>0</v>
      </c>
      <c r="M154" s="5">
        <f>Screen_Ann_TA!M212</f>
        <v>0</v>
      </c>
      <c r="N154" s="5">
        <f>Screen_Ann_TA!N212</f>
        <v>0</v>
      </c>
      <c r="O154" s="5">
        <f>Screen_Ann_TA!O212</f>
        <v>0</v>
      </c>
    </row>
    <row r="155" spans="4:15" s="327" customFormat="1" outlineLevel="1" x14ac:dyDescent="0.2">
      <c r="D155" s="660" t="str">
        <f>Screen_Ann_TA!D213</f>
        <v>Luapula</v>
      </c>
      <c r="H155" s="5">
        <f>IFERROR(Screen_BA!H$32*Screen_BA!I$32*Screen_BA!J$32/Screen_BA!K$32,0)</f>
        <v>0</v>
      </c>
      <c r="I155" s="5">
        <f t="shared" si="40"/>
        <v>0</v>
      </c>
      <c r="J155" s="5">
        <f>Screen_Ann_TA!J213</f>
        <v>0</v>
      </c>
      <c r="K155" s="5">
        <f>Screen_Ann_TA!K213</f>
        <v>0</v>
      </c>
      <c r="L155" s="5">
        <f>Screen_Ann_TA!L213</f>
        <v>0</v>
      </c>
      <c r="M155" s="5">
        <f>Screen_Ann_TA!M213</f>
        <v>0</v>
      </c>
      <c r="N155" s="5">
        <f>Screen_Ann_TA!N213</f>
        <v>0</v>
      </c>
      <c r="O155" s="5">
        <f>Screen_Ann_TA!O213</f>
        <v>0</v>
      </c>
    </row>
    <row r="156" spans="4:15" s="327" customFormat="1" outlineLevel="1" x14ac:dyDescent="0.2">
      <c r="D156" s="660" t="str">
        <f>Screen_Ann_TA!D214</f>
        <v>Lusaka</v>
      </c>
      <c r="H156" s="5">
        <f>IFERROR(Screen_BA!H$32*Screen_BA!I$32*Screen_BA!J$32/Screen_BA!K$32,0)</f>
        <v>0</v>
      </c>
      <c r="I156" s="5">
        <f t="shared" si="40"/>
        <v>0</v>
      </c>
      <c r="J156" s="5">
        <f>Screen_Ann_TA!J214</f>
        <v>0</v>
      </c>
      <c r="K156" s="5">
        <f>Screen_Ann_TA!K214</f>
        <v>0</v>
      </c>
      <c r="L156" s="5">
        <f>Screen_Ann_TA!L214</f>
        <v>0</v>
      </c>
      <c r="M156" s="5">
        <f>Screen_Ann_TA!M214</f>
        <v>0</v>
      </c>
      <c r="N156" s="5">
        <f>Screen_Ann_TA!N214</f>
        <v>0</v>
      </c>
      <c r="O156" s="5">
        <f>Screen_Ann_TA!O214</f>
        <v>0</v>
      </c>
    </row>
    <row r="157" spans="4:15" s="327" customFormat="1" outlineLevel="1" x14ac:dyDescent="0.2">
      <c r="D157" s="660" t="str">
        <f>Screen_Ann_TA!D215</f>
        <v>Muchinga</v>
      </c>
      <c r="H157" s="5">
        <f>IFERROR(Screen_BA!H$32*Screen_BA!I$32*Screen_BA!J$32/Screen_BA!K$32,0)</f>
        <v>0</v>
      </c>
      <c r="I157" s="5">
        <f t="shared" si="40"/>
        <v>0</v>
      </c>
      <c r="J157" s="5">
        <f>Screen_Ann_TA!J215</f>
        <v>0</v>
      </c>
      <c r="K157" s="5">
        <f>Screen_Ann_TA!K215</f>
        <v>0</v>
      </c>
      <c r="L157" s="5">
        <f>Screen_Ann_TA!L215</f>
        <v>0</v>
      </c>
      <c r="M157" s="5">
        <f>Screen_Ann_TA!M215</f>
        <v>0</v>
      </c>
      <c r="N157" s="5">
        <f>Screen_Ann_TA!N215</f>
        <v>0</v>
      </c>
      <c r="O157" s="5">
        <f>Screen_Ann_TA!O215</f>
        <v>0</v>
      </c>
    </row>
    <row r="158" spans="4:15" s="327" customFormat="1" outlineLevel="1" x14ac:dyDescent="0.2">
      <c r="D158" s="660" t="str">
        <f>Screen_Ann_TA!D216</f>
        <v>Northern</v>
      </c>
      <c r="H158" s="5">
        <f>IFERROR(Screen_BA!H$32*Screen_BA!I$32*Screen_BA!J$32/Screen_BA!K$32,0)</f>
        <v>0</v>
      </c>
      <c r="I158" s="5">
        <f t="shared" si="40"/>
        <v>0</v>
      </c>
      <c r="J158" s="5">
        <f>Screen_Ann_TA!J216</f>
        <v>0</v>
      </c>
      <c r="K158" s="5">
        <f>Screen_Ann_TA!K216</f>
        <v>0</v>
      </c>
      <c r="L158" s="5">
        <f>Screen_Ann_TA!L216</f>
        <v>0</v>
      </c>
      <c r="M158" s="5">
        <f>Screen_Ann_TA!M216</f>
        <v>0</v>
      </c>
      <c r="N158" s="5">
        <f>Screen_Ann_TA!N216</f>
        <v>0</v>
      </c>
      <c r="O158" s="5">
        <f>Screen_Ann_TA!O216</f>
        <v>0</v>
      </c>
    </row>
    <row r="159" spans="4:15" s="327" customFormat="1" outlineLevel="1" x14ac:dyDescent="0.2">
      <c r="D159" s="660" t="str">
        <f>Screen_Ann_TA!D217</f>
        <v>North-Western</v>
      </c>
      <c r="H159" s="5">
        <f>IFERROR(Screen_BA!H$32*Screen_BA!I$32*Screen_BA!J$32/Screen_BA!K$32,0)</f>
        <v>0</v>
      </c>
      <c r="I159" s="5">
        <f t="shared" si="40"/>
        <v>0</v>
      </c>
      <c r="J159" s="5">
        <f>Screen_Ann_TA!J217</f>
        <v>0</v>
      </c>
      <c r="K159" s="5">
        <f>Screen_Ann_TA!K217</f>
        <v>0</v>
      </c>
      <c r="L159" s="5">
        <f>Screen_Ann_TA!L217</f>
        <v>0</v>
      </c>
      <c r="M159" s="5">
        <f>Screen_Ann_TA!M217</f>
        <v>0</v>
      </c>
      <c r="N159" s="5">
        <f>Screen_Ann_TA!N217</f>
        <v>0</v>
      </c>
      <c r="O159" s="5">
        <f>Screen_Ann_TA!O217</f>
        <v>0</v>
      </c>
    </row>
    <row r="160" spans="4:15" s="327" customFormat="1" outlineLevel="1" x14ac:dyDescent="0.2">
      <c r="D160" s="660" t="str">
        <f>Screen_Ann_TA!D218</f>
        <v>Southern</v>
      </c>
      <c r="H160" s="5">
        <f>IFERROR(Screen_BA!H$32*Screen_BA!I$32*Screen_BA!J$32/Screen_BA!K$32,0)</f>
        <v>0</v>
      </c>
      <c r="I160" s="5">
        <f t="shared" si="40"/>
        <v>0</v>
      </c>
      <c r="J160" s="5">
        <f>Screen_Ann_TA!J218</f>
        <v>0</v>
      </c>
      <c r="K160" s="5">
        <f>Screen_Ann_TA!K218</f>
        <v>0</v>
      </c>
      <c r="L160" s="5">
        <f>Screen_Ann_TA!L218</f>
        <v>0</v>
      </c>
      <c r="M160" s="5">
        <f>Screen_Ann_TA!M218</f>
        <v>0</v>
      </c>
      <c r="N160" s="5">
        <f>Screen_Ann_TA!N218</f>
        <v>0</v>
      </c>
      <c r="O160" s="5">
        <f>Screen_Ann_TA!O218</f>
        <v>0</v>
      </c>
    </row>
    <row r="161" spans="3:15" s="327" customFormat="1" outlineLevel="1" x14ac:dyDescent="0.2">
      <c r="D161" s="660" t="str">
        <f>Screen_Ann_TA!D219</f>
        <v>Western</v>
      </c>
      <c r="H161" s="5">
        <f>IFERROR(Screen_BA!H$32*Screen_BA!I$32*Screen_BA!J$32/Screen_BA!K$32,0)</f>
        <v>0</v>
      </c>
      <c r="I161" s="5">
        <f t="shared" si="40"/>
        <v>0</v>
      </c>
      <c r="J161" s="5">
        <f>Screen_Ann_TA!J219</f>
        <v>0</v>
      </c>
      <c r="K161" s="5">
        <f>Screen_Ann_TA!K219</f>
        <v>0</v>
      </c>
      <c r="L161" s="5">
        <f>Screen_Ann_TA!L219</f>
        <v>0</v>
      </c>
      <c r="M161" s="5">
        <f>Screen_Ann_TA!M219</f>
        <v>0</v>
      </c>
      <c r="N161" s="5">
        <f>Screen_Ann_TA!N219</f>
        <v>0</v>
      </c>
      <c r="O161" s="5">
        <f>Screen_Ann_TA!O219</f>
        <v>0</v>
      </c>
    </row>
    <row r="162" spans="3:15" s="327" customFormat="1" ht="15" x14ac:dyDescent="0.2">
      <c r="D162" s="679" t="str">
        <f ca="1">"Total "&amp;D150&amp;"s"</f>
        <v>Total Active Facility Type 10s</v>
      </c>
      <c r="H162" s="5"/>
      <c r="I162" s="5">
        <f>SUM(I152:I161)</f>
        <v>0</v>
      </c>
      <c r="J162" s="25">
        <f t="shared" ref="J162:O162" si="41">SUM(J152:J161)</f>
        <v>0</v>
      </c>
      <c r="K162" s="25">
        <f t="shared" si="41"/>
        <v>0</v>
      </c>
      <c r="L162" s="25">
        <f t="shared" si="41"/>
        <v>0</v>
      </c>
      <c r="M162" s="25">
        <f t="shared" si="41"/>
        <v>0</v>
      </c>
      <c r="N162" s="25">
        <f t="shared" si="41"/>
        <v>0</v>
      </c>
      <c r="O162" s="25">
        <f t="shared" si="41"/>
        <v>0</v>
      </c>
    </row>
    <row r="163" spans="3:15" s="327" customFormat="1" x14ac:dyDescent="0.2">
      <c r="D163" s="659" t="str">
        <f>"Total New Facilities- ("&amp;Screen_BA!$G$10&amp;")"</f>
        <v>Total New Facilities- (VIA)</v>
      </c>
      <c r="J163" s="5">
        <f t="shared" ref="J163:O163" si="42">J162-I162</f>
        <v>0</v>
      </c>
      <c r="K163" s="5">
        <f t="shared" si="42"/>
        <v>0</v>
      </c>
      <c r="L163" s="5">
        <f t="shared" si="42"/>
        <v>0</v>
      </c>
      <c r="M163" s="5">
        <f t="shared" si="42"/>
        <v>0</v>
      </c>
      <c r="N163" s="5">
        <f t="shared" si="42"/>
        <v>0</v>
      </c>
      <c r="O163" s="5">
        <f t="shared" si="42"/>
        <v>0</v>
      </c>
    </row>
    <row r="164" spans="3:15" s="327" customFormat="1" x14ac:dyDescent="0.2">
      <c r="D164" s="659" t="str">
        <f>"Total Continuing Facilities- ("&amp;Screen_BA!$G$10&amp;")"</f>
        <v>Total Continuing Facilities- (VIA)</v>
      </c>
      <c r="J164" s="5">
        <f t="shared" ref="J164:O164" si="43">J162-J163</f>
        <v>0</v>
      </c>
      <c r="K164" s="5">
        <f t="shared" si="43"/>
        <v>0</v>
      </c>
      <c r="L164" s="5">
        <f t="shared" si="43"/>
        <v>0</v>
      </c>
      <c r="M164" s="5">
        <f t="shared" si="43"/>
        <v>0</v>
      </c>
      <c r="N164" s="5">
        <f t="shared" si="43"/>
        <v>0</v>
      </c>
      <c r="O164" s="5">
        <f t="shared" si="43"/>
        <v>0</v>
      </c>
    </row>
    <row r="165" spans="3:15" s="327" customFormat="1" x14ac:dyDescent="0.2"/>
    <row r="166" spans="3:15" s="327" customFormat="1" ht="15.75" thickBot="1" x14ac:dyDescent="0.25">
      <c r="D166" s="679" t="str">
        <f>D172&amp;" ("&amp;Screen_BA!$G$10&amp;")"</f>
        <v>Total Active Facilities (VIA)</v>
      </c>
      <c r="I166" s="607">
        <f>SUM(I27,I42,I57,I72,I87,I102,I117,I132,I147,I162)</f>
        <v>50</v>
      </c>
      <c r="J166" s="607">
        <f>SUM(J27,J42,J57,J72,J87,J102,J117,J132,J147,J162)</f>
        <v>50</v>
      </c>
      <c r="K166" s="607">
        <f>SUM(K27,K42,K57,K72,K87,K102,K117,K132,K147,K162)</f>
        <v>50</v>
      </c>
      <c r="L166" s="607">
        <f>SUM(L27,L42,L57,L72,L87,L102,L117,L132,L147,L162)</f>
        <v>50</v>
      </c>
      <c r="M166" s="607">
        <f>SUM(M27,M42,M57,M72,M87,M102,M117,M132,M147,M162)</f>
        <v>50</v>
      </c>
      <c r="N166" s="607">
        <f t="shared" ref="N166:O166" si="44">SUM(N27,N42,N57,N72,N87,N102,N117,N132,N147,N162)</f>
        <v>50</v>
      </c>
      <c r="O166" s="607">
        <f t="shared" si="44"/>
        <v>50</v>
      </c>
    </row>
    <row r="167" spans="3:15" s="327" customFormat="1" ht="13.5" thickTop="1" x14ac:dyDescent="0.2">
      <c r="D167" s="659" t="str">
        <f>"Total New Facilities- ("&amp;Screen_BA!$G$10&amp;")"</f>
        <v>Total New Facilities- (VIA)</v>
      </c>
      <c r="J167" s="25">
        <f t="shared" ref="J167:O167" si="45">J166-I166</f>
        <v>0</v>
      </c>
      <c r="K167" s="25">
        <f t="shared" si="45"/>
        <v>0</v>
      </c>
      <c r="L167" s="25">
        <f t="shared" si="45"/>
        <v>0</v>
      </c>
      <c r="M167" s="25">
        <f t="shared" si="45"/>
        <v>0</v>
      </c>
      <c r="N167" s="25">
        <f t="shared" si="45"/>
        <v>0</v>
      </c>
      <c r="O167" s="25">
        <f t="shared" si="45"/>
        <v>0</v>
      </c>
    </row>
    <row r="168" spans="3:15" s="327" customFormat="1" x14ac:dyDescent="0.2">
      <c r="D168" s="659" t="str">
        <f>"Total Continuing Facilities- ("&amp;Screen_BA!$G$10&amp;")"</f>
        <v>Total Continuing Facilities- (VIA)</v>
      </c>
      <c r="J168" s="5">
        <f t="shared" ref="J168:O168" si="46">J166-J167</f>
        <v>50</v>
      </c>
      <c r="K168" s="5">
        <f t="shared" si="46"/>
        <v>50</v>
      </c>
      <c r="L168" s="5">
        <f t="shared" si="46"/>
        <v>50</v>
      </c>
      <c r="M168" s="5">
        <f t="shared" si="46"/>
        <v>50</v>
      </c>
      <c r="N168" s="5">
        <f t="shared" si="46"/>
        <v>50</v>
      </c>
      <c r="O168" s="5">
        <f t="shared" si="46"/>
        <v>50</v>
      </c>
    </row>
    <row r="169" spans="3:15" s="327" customFormat="1" x14ac:dyDescent="0.2"/>
    <row r="170" spans="3:15" s="327" customFormat="1" ht="15.75" x14ac:dyDescent="0.2">
      <c r="C170" s="330" t="s">
        <v>1892</v>
      </c>
    </row>
    <row r="171" spans="3:15" s="327" customFormat="1" x14ac:dyDescent="0.2"/>
    <row r="172" spans="3:15" s="327" customFormat="1" ht="15" x14ac:dyDescent="0.2">
      <c r="D172" s="658" t="s">
        <v>122</v>
      </c>
      <c r="I172" s="565" t="s">
        <v>1753</v>
      </c>
    </row>
    <row r="173" spans="3:15" s="327" customFormat="1" outlineLevel="1" x14ac:dyDescent="0.2">
      <c r="D173" s="660" t="str">
        <f>Screen_LU!D23</f>
        <v>Central</v>
      </c>
      <c r="I173" s="5">
        <f t="shared" ref="I173:I182" si="47">J173</f>
        <v>4</v>
      </c>
      <c r="J173" s="5">
        <f t="shared" ref="J173:O182" si="48">SUM(J17,J32,J47,J62,J77,J92,J107,J122,J137,J152)</f>
        <v>4</v>
      </c>
      <c r="K173" s="5">
        <f t="shared" si="48"/>
        <v>4</v>
      </c>
      <c r="L173" s="5">
        <f t="shared" si="48"/>
        <v>4</v>
      </c>
      <c r="M173" s="5">
        <f t="shared" si="48"/>
        <v>4</v>
      </c>
      <c r="N173" s="5">
        <f t="shared" si="48"/>
        <v>4</v>
      </c>
      <c r="O173" s="5">
        <f t="shared" si="48"/>
        <v>4</v>
      </c>
    </row>
    <row r="174" spans="3:15" s="327" customFormat="1" outlineLevel="1" x14ac:dyDescent="0.2">
      <c r="D174" s="660" t="str">
        <f>Screen_LU!D24</f>
        <v>Copperbelt</v>
      </c>
      <c r="I174" s="5">
        <f t="shared" si="47"/>
        <v>5</v>
      </c>
      <c r="J174" s="5">
        <f t="shared" si="48"/>
        <v>5</v>
      </c>
      <c r="K174" s="5">
        <f t="shared" si="48"/>
        <v>5</v>
      </c>
      <c r="L174" s="5">
        <f t="shared" si="48"/>
        <v>5</v>
      </c>
      <c r="M174" s="5">
        <f t="shared" si="48"/>
        <v>5</v>
      </c>
      <c r="N174" s="5">
        <f t="shared" si="48"/>
        <v>5</v>
      </c>
      <c r="O174" s="5">
        <f t="shared" si="48"/>
        <v>5</v>
      </c>
    </row>
    <row r="175" spans="3:15" s="327" customFormat="1" outlineLevel="1" x14ac:dyDescent="0.2">
      <c r="D175" s="660" t="str">
        <f>Screen_LU!D25</f>
        <v>Eastern</v>
      </c>
      <c r="I175" s="5">
        <f t="shared" si="47"/>
        <v>6</v>
      </c>
      <c r="J175" s="5">
        <f t="shared" si="48"/>
        <v>6</v>
      </c>
      <c r="K175" s="5">
        <f t="shared" si="48"/>
        <v>6</v>
      </c>
      <c r="L175" s="5">
        <f t="shared" si="48"/>
        <v>6</v>
      </c>
      <c r="M175" s="5">
        <f t="shared" si="48"/>
        <v>6</v>
      </c>
      <c r="N175" s="5">
        <f t="shared" si="48"/>
        <v>6</v>
      </c>
      <c r="O175" s="5">
        <f t="shared" si="48"/>
        <v>6</v>
      </c>
    </row>
    <row r="176" spans="3:15" s="327" customFormat="1" outlineLevel="1" x14ac:dyDescent="0.2">
      <c r="D176" s="660" t="str">
        <f>Screen_LU!D26</f>
        <v>Luapula</v>
      </c>
      <c r="I176" s="5">
        <f t="shared" si="47"/>
        <v>5</v>
      </c>
      <c r="J176" s="5">
        <f t="shared" si="48"/>
        <v>5</v>
      </c>
      <c r="K176" s="5">
        <f t="shared" si="48"/>
        <v>5</v>
      </c>
      <c r="L176" s="5">
        <f t="shared" si="48"/>
        <v>5</v>
      </c>
      <c r="M176" s="5">
        <f t="shared" si="48"/>
        <v>5</v>
      </c>
      <c r="N176" s="5">
        <f t="shared" si="48"/>
        <v>5</v>
      </c>
      <c r="O176" s="5">
        <f t="shared" si="48"/>
        <v>5</v>
      </c>
    </row>
    <row r="177" spans="4:15" s="327" customFormat="1" outlineLevel="1" x14ac:dyDescent="0.2">
      <c r="D177" s="660" t="str">
        <f>Screen_LU!D27</f>
        <v>Lusaka</v>
      </c>
      <c r="I177" s="5">
        <f t="shared" si="47"/>
        <v>14</v>
      </c>
      <c r="J177" s="5">
        <f t="shared" si="48"/>
        <v>14</v>
      </c>
      <c r="K177" s="5">
        <f t="shared" si="48"/>
        <v>14</v>
      </c>
      <c r="L177" s="5">
        <f t="shared" si="48"/>
        <v>14</v>
      </c>
      <c r="M177" s="5">
        <f t="shared" si="48"/>
        <v>14</v>
      </c>
      <c r="N177" s="5">
        <f t="shared" si="48"/>
        <v>14</v>
      </c>
      <c r="O177" s="5">
        <f t="shared" si="48"/>
        <v>14</v>
      </c>
    </row>
    <row r="178" spans="4:15" s="327" customFormat="1" outlineLevel="1" x14ac:dyDescent="0.2">
      <c r="D178" s="660" t="str">
        <f>Screen_LU!D28</f>
        <v>Muchinga</v>
      </c>
      <c r="I178" s="5">
        <f t="shared" si="47"/>
        <v>1</v>
      </c>
      <c r="J178" s="5">
        <f t="shared" si="48"/>
        <v>1</v>
      </c>
      <c r="K178" s="5">
        <f t="shared" si="48"/>
        <v>1</v>
      </c>
      <c r="L178" s="5">
        <f t="shared" si="48"/>
        <v>1</v>
      </c>
      <c r="M178" s="5">
        <f t="shared" si="48"/>
        <v>1</v>
      </c>
      <c r="N178" s="5">
        <f t="shared" si="48"/>
        <v>1</v>
      </c>
      <c r="O178" s="5">
        <f t="shared" si="48"/>
        <v>1</v>
      </c>
    </row>
    <row r="179" spans="4:15" s="327" customFormat="1" outlineLevel="1" x14ac:dyDescent="0.2">
      <c r="D179" s="660" t="str">
        <f>Screen_LU!D29</f>
        <v>Northern</v>
      </c>
      <c r="I179" s="5">
        <f t="shared" si="47"/>
        <v>2</v>
      </c>
      <c r="J179" s="5">
        <f t="shared" si="48"/>
        <v>2</v>
      </c>
      <c r="K179" s="5">
        <f t="shared" si="48"/>
        <v>2</v>
      </c>
      <c r="L179" s="5">
        <f t="shared" si="48"/>
        <v>2</v>
      </c>
      <c r="M179" s="5">
        <f t="shared" si="48"/>
        <v>2</v>
      </c>
      <c r="N179" s="5">
        <f t="shared" si="48"/>
        <v>2</v>
      </c>
      <c r="O179" s="5">
        <f t="shared" si="48"/>
        <v>2</v>
      </c>
    </row>
    <row r="180" spans="4:15" s="327" customFormat="1" outlineLevel="1" x14ac:dyDescent="0.2">
      <c r="D180" s="660" t="str">
        <f>Screen_LU!D30</f>
        <v>North-Western</v>
      </c>
      <c r="I180" s="5">
        <f t="shared" si="47"/>
        <v>3</v>
      </c>
      <c r="J180" s="5">
        <f t="shared" si="48"/>
        <v>3</v>
      </c>
      <c r="K180" s="5">
        <f t="shared" si="48"/>
        <v>3</v>
      </c>
      <c r="L180" s="5">
        <f t="shared" si="48"/>
        <v>3</v>
      </c>
      <c r="M180" s="5">
        <f t="shared" si="48"/>
        <v>3</v>
      </c>
      <c r="N180" s="5">
        <f t="shared" si="48"/>
        <v>3</v>
      </c>
      <c r="O180" s="5">
        <f t="shared" si="48"/>
        <v>3</v>
      </c>
    </row>
    <row r="181" spans="4:15" s="327" customFormat="1" outlineLevel="1" x14ac:dyDescent="0.2">
      <c r="D181" s="660" t="str">
        <f>Screen_LU!D31</f>
        <v>Southern</v>
      </c>
      <c r="I181" s="5">
        <f t="shared" si="47"/>
        <v>5</v>
      </c>
      <c r="J181" s="5">
        <f t="shared" si="48"/>
        <v>5</v>
      </c>
      <c r="K181" s="5">
        <f t="shared" si="48"/>
        <v>5</v>
      </c>
      <c r="L181" s="5">
        <f t="shared" si="48"/>
        <v>5</v>
      </c>
      <c r="M181" s="5">
        <f t="shared" si="48"/>
        <v>5</v>
      </c>
      <c r="N181" s="5">
        <f t="shared" si="48"/>
        <v>5</v>
      </c>
      <c r="O181" s="5">
        <f t="shared" si="48"/>
        <v>5</v>
      </c>
    </row>
    <row r="182" spans="4:15" s="327" customFormat="1" outlineLevel="1" x14ac:dyDescent="0.2">
      <c r="D182" s="660" t="str">
        <f>Screen_LU!D32</f>
        <v>Western</v>
      </c>
      <c r="I182" s="5">
        <f t="shared" si="47"/>
        <v>5</v>
      </c>
      <c r="J182" s="5">
        <f t="shared" si="48"/>
        <v>5</v>
      </c>
      <c r="K182" s="5">
        <f t="shared" si="48"/>
        <v>5</v>
      </c>
      <c r="L182" s="5">
        <f t="shared" si="48"/>
        <v>5</v>
      </c>
      <c r="M182" s="5">
        <f t="shared" si="48"/>
        <v>5</v>
      </c>
      <c r="N182" s="5">
        <f t="shared" si="48"/>
        <v>5</v>
      </c>
      <c r="O182" s="5">
        <f t="shared" si="48"/>
        <v>5</v>
      </c>
    </row>
    <row r="183" spans="4:15" s="327" customFormat="1" ht="15.75" thickBot="1" x14ac:dyDescent="0.25">
      <c r="D183" s="679" t="str">
        <f>D172&amp;" ("&amp;Screen_BA!$G$10&amp;")"</f>
        <v>Total Active Facilities (VIA)</v>
      </c>
      <c r="I183" s="523">
        <f>SUM(I173:I182)</f>
        <v>50</v>
      </c>
      <c r="J183" s="523">
        <f t="shared" ref="J183:O183" si="49">SUM(J173:J182)</f>
        <v>50</v>
      </c>
      <c r="K183" s="523">
        <f t="shared" si="49"/>
        <v>50</v>
      </c>
      <c r="L183" s="523">
        <f t="shared" si="49"/>
        <v>50</v>
      </c>
      <c r="M183" s="523">
        <f t="shared" si="49"/>
        <v>50</v>
      </c>
      <c r="N183" s="523">
        <f t="shared" si="49"/>
        <v>50</v>
      </c>
      <c r="O183" s="523">
        <f t="shared" si="49"/>
        <v>50</v>
      </c>
    </row>
    <row r="184" spans="4:15" s="327" customFormat="1" ht="15.75" thickTop="1" x14ac:dyDescent="0.2">
      <c r="D184" s="679" t="str">
        <f>"Total New Facilities- ("&amp;Screen_BA!$G$10&amp;")"</f>
        <v>Total New Facilities- (VIA)</v>
      </c>
      <c r="J184" s="25">
        <f t="shared" ref="J184:O184" si="50">MAX(J183-I183,0)</f>
        <v>0</v>
      </c>
      <c r="K184" s="25">
        <f t="shared" si="50"/>
        <v>0</v>
      </c>
      <c r="L184" s="25">
        <f t="shared" si="50"/>
        <v>0</v>
      </c>
      <c r="M184" s="25">
        <f t="shared" si="50"/>
        <v>0</v>
      </c>
      <c r="N184" s="25">
        <f t="shared" si="50"/>
        <v>0</v>
      </c>
      <c r="O184" s="25">
        <f t="shared" si="50"/>
        <v>0</v>
      </c>
    </row>
    <row r="185" spans="4:15" s="327" customFormat="1" ht="15" collapsed="1" x14ac:dyDescent="0.2">
      <c r="D185" s="679" t="str">
        <f>"Total Continuing Facilities- ("&amp;Screen_BA!$G$10&amp;")"</f>
        <v>Total Continuing Facilities- (VIA)</v>
      </c>
      <c r="J185" s="5">
        <f t="shared" ref="J185:O185" si="51">J183-J184</f>
        <v>50</v>
      </c>
      <c r="K185" s="5">
        <f t="shared" si="51"/>
        <v>50</v>
      </c>
      <c r="L185" s="5">
        <f t="shared" si="51"/>
        <v>50</v>
      </c>
      <c r="M185" s="5">
        <f t="shared" si="51"/>
        <v>50</v>
      </c>
      <c r="N185" s="5">
        <f t="shared" si="51"/>
        <v>50</v>
      </c>
      <c r="O185" s="5">
        <f t="shared" si="51"/>
        <v>50</v>
      </c>
    </row>
    <row r="186" spans="4:15" s="327" customFormat="1" x14ac:dyDescent="0.2"/>
    <row r="187" spans="4:15" s="327" customFormat="1" ht="15" x14ac:dyDescent="0.2">
      <c r="D187" s="658" t="s">
        <v>1885</v>
      </c>
    </row>
    <row r="188" spans="4:15" s="327" customFormat="1" outlineLevel="1" x14ac:dyDescent="0.2">
      <c r="D188" s="660" t="str">
        <f>Screen_LU!D23</f>
        <v>Central</v>
      </c>
      <c r="J188" s="13">
        <f t="shared" ref="J188:O197" si="52">IFERROR((SUM(J17,J32,J47)/J173),0)</f>
        <v>0.25</v>
      </c>
      <c r="K188" s="13">
        <f t="shared" si="52"/>
        <v>0.25</v>
      </c>
      <c r="L188" s="13">
        <f t="shared" si="52"/>
        <v>0.25</v>
      </c>
      <c r="M188" s="13">
        <f t="shared" si="52"/>
        <v>0.25</v>
      </c>
      <c r="N188" s="13">
        <f t="shared" si="52"/>
        <v>0.25</v>
      </c>
      <c r="O188" s="13">
        <f t="shared" si="52"/>
        <v>0.25</v>
      </c>
    </row>
    <row r="189" spans="4:15" s="327" customFormat="1" outlineLevel="1" x14ac:dyDescent="0.2">
      <c r="D189" s="660" t="str">
        <f>Screen_LU!D24</f>
        <v>Copperbelt</v>
      </c>
      <c r="J189" s="13">
        <f t="shared" si="52"/>
        <v>0.6</v>
      </c>
      <c r="K189" s="13">
        <f t="shared" si="52"/>
        <v>0.6</v>
      </c>
      <c r="L189" s="13">
        <f t="shared" si="52"/>
        <v>0.6</v>
      </c>
      <c r="M189" s="13">
        <f t="shared" si="52"/>
        <v>0.6</v>
      </c>
      <c r="N189" s="13">
        <f t="shared" si="52"/>
        <v>0.6</v>
      </c>
      <c r="O189" s="13">
        <f t="shared" si="52"/>
        <v>0.6</v>
      </c>
    </row>
    <row r="190" spans="4:15" s="327" customFormat="1" outlineLevel="1" x14ac:dyDescent="0.2">
      <c r="D190" s="660" t="str">
        <f>Screen_LU!D25</f>
        <v>Eastern</v>
      </c>
      <c r="J190" s="13">
        <f t="shared" si="52"/>
        <v>0.5</v>
      </c>
      <c r="K190" s="13">
        <f t="shared" si="52"/>
        <v>0.5</v>
      </c>
      <c r="L190" s="13">
        <f t="shared" si="52"/>
        <v>0.5</v>
      </c>
      <c r="M190" s="13">
        <f t="shared" si="52"/>
        <v>0.5</v>
      </c>
      <c r="N190" s="13">
        <f t="shared" si="52"/>
        <v>0.5</v>
      </c>
      <c r="O190" s="13">
        <f t="shared" si="52"/>
        <v>0.5</v>
      </c>
    </row>
    <row r="191" spans="4:15" s="327" customFormat="1" outlineLevel="1" x14ac:dyDescent="0.2">
      <c r="D191" s="660" t="str">
        <f>Screen_LU!D26</f>
        <v>Luapula</v>
      </c>
      <c r="J191" s="13">
        <f t="shared" si="52"/>
        <v>0.6</v>
      </c>
      <c r="K191" s="13">
        <f t="shared" si="52"/>
        <v>0.6</v>
      </c>
      <c r="L191" s="13">
        <f t="shared" si="52"/>
        <v>0.6</v>
      </c>
      <c r="M191" s="13">
        <f t="shared" si="52"/>
        <v>0.6</v>
      </c>
      <c r="N191" s="13">
        <f t="shared" si="52"/>
        <v>0.6</v>
      </c>
      <c r="O191" s="13">
        <f t="shared" si="52"/>
        <v>0.6</v>
      </c>
    </row>
    <row r="192" spans="4:15" s="327" customFormat="1" outlineLevel="1" x14ac:dyDescent="0.2">
      <c r="D192" s="660" t="str">
        <f>Screen_LU!D27</f>
        <v>Lusaka</v>
      </c>
      <c r="J192" s="13">
        <f t="shared" si="52"/>
        <v>7.1428571428571425E-2</v>
      </c>
      <c r="K192" s="13">
        <f t="shared" si="52"/>
        <v>7.1428571428571425E-2</v>
      </c>
      <c r="L192" s="13">
        <f t="shared" si="52"/>
        <v>7.1428571428571425E-2</v>
      </c>
      <c r="M192" s="13">
        <f t="shared" si="52"/>
        <v>7.1428571428571425E-2</v>
      </c>
      <c r="N192" s="13">
        <f t="shared" si="52"/>
        <v>7.1428571428571425E-2</v>
      </c>
      <c r="O192" s="13">
        <f t="shared" si="52"/>
        <v>7.1428571428571425E-2</v>
      </c>
    </row>
    <row r="193" spans="4:15" s="327" customFormat="1" outlineLevel="1" x14ac:dyDescent="0.2">
      <c r="D193" s="660" t="str">
        <f>Screen_LU!D28</f>
        <v>Muchinga</v>
      </c>
      <c r="J193" s="13">
        <f t="shared" si="52"/>
        <v>0</v>
      </c>
      <c r="K193" s="13">
        <f t="shared" si="52"/>
        <v>0</v>
      </c>
      <c r="L193" s="13">
        <f t="shared" si="52"/>
        <v>0</v>
      </c>
      <c r="M193" s="13">
        <f t="shared" si="52"/>
        <v>0</v>
      </c>
      <c r="N193" s="13">
        <f t="shared" si="52"/>
        <v>0</v>
      </c>
      <c r="O193" s="13">
        <f t="shared" si="52"/>
        <v>0</v>
      </c>
    </row>
    <row r="194" spans="4:15" s="327" customFormat="1" outlineLevel="1" x14ac:dyDescent="0.2">
      <c r="D194" s="660" t="str">
        <f>Screen_LU!D29</f>
        <v>Northern</v>
      </c>
      <c r="J194" s="13">
        <f t="shared" si="52"/>
        <v>0.5</v>
      </c>
      <c r="K194" s="13">
        <f t="shared" si="52"/>
        <v>0.5</v>
      </c>
      <c r="L194" s="13">
        <f t="shared" si="52"/>
        <v>0.5</v>
      </c>
      <c r="M194" s="13">
        <f t="shared" si="52"/>
        <v>0.5</v>
      </c>
      <c r="N194" s="13">
        <f t="shared" si="52"/>
        <v>0.5</v>
      </c>
      <c r="O194" s="13">
        <f t="shared" si="52"/>
        <v>0.5</v>
      </c>
    </row>
    <row r="195" spans="4:15" s="327" customFormat="1" outlineLevel="1" x14ac:dyDescent="0.2">
      <c r="D195" s="660" t="str">
        <f>Screen_LU!D30</f>
        <v>North-Western</v>
      </c>
      <c r="J195" s="13">
        <f t="shared" si="52"/>
        <v>0.33333333333333331</v>
      </c>
      <c r="K195" s="13">
        <f t="shared" si="52"/>
        <v>0.33333333333333331</v>
      </c>
      <c r="L195" s="13">
        <f t="shared" si="52"/>
        <v>0.33333333333333331</v>
      </c>
      <c r="M195" s="13">
        <f t="shared" si="52"/>
        <v>0.33333333333333331</v>
      </c>
      <c r="N195" s="13">
        <f t="shared" si="52"/>
        <v>0.33333333333333331</v>
      </c>
      <c r="O195" s="13">
        <f t="shared" si="52"/>
        <v>0.33333333333333331</v>
      </c>
    </row>
    <row r="196" spans="4:15" s="327" customFormat="1" outlineLevel="1" x14ac:dyDescent="0.2">
      <c r="D196" s="660" t="str">
        <f>Screen_LU!D31</f>
        <v>Southern</v>
      </c>
      <c r="J196" s="13">
        <f t="shared" si="52"/>
        <v>0.4</v>
      </c>
      <c r="K196" s="13">
        <f t="shared" si="52"/>
        <v>0.4</v>
      </c>
      <c r="L196" s="13">
        <f t="shared" si="52"/>
        <v>0.4</v>
      </c>
      <c r="M196" s="13">
        <f t="shared" si="52"/>
        <v>0.4</v>
      </c>
      <c r="N196" s="13">
        <f t="shared" si="52"/>
        <v>0.4</v>
      </c>
      <c r="O196" s="13">
        <f t="shared" si="52"/>
        <v>0.4</v>
      </c>
    </row>
    <row r="197" spans="4:15" s="327" customFormat="1" outlineLevel="1" x14ac:dyDescent="0.2">
      <c r="D197" s="660" t="str">
        <f>Screen_LU!D32</f>
        <v>Western</v>
      </c>
      <c r="J197" s="13">
        <f t="shared" si="52"/>
        <v>0.6</v>
      </c>
      <c r="K197" s="13">
        <f t="shared" si="52"/>
        <v>0.6</v>
      </c>
      <c r="L197" s="13">
        <f t="shared" si="52"/>
        <v>0.6</v>
      </c>
      <c r="M197" s="13">
        <f t="shared" si="52"/>
        <v>0.6</v>
      </c>
      <c r="N197" s="13">
        <f t="shared" si="52"/>
        <v>0.6</v>
      </c>
      <c r="O197" s="13">
        <f t="shared" si="52"/>
        <v>0.6</v>
      </c>
    </row>
    <row r="198" spans="4:15" s="327" customFormat="1" x14ac:dyDescent="0.2"/>
    <row r="199" spans="4:15" s="327" customFormat="1" ht="15" x14ac:dyDescent="0.2">
      <c r="D199" s="658" t="s">
        <v>2020</v>
      </c>
    </row>
    <row r="200" spans="4:15" s="327" customFormat="1" ht="15.75" thickBot="1" x14ac:dyDescent="0.25">
      <c r="D200" s="646" t="str">
        <f>D199</f>
        <v>Total Active Fixed Site Facilities</v>
      </c>
      <c r="J200" s="624">
        <f t="shared" ref="J200:O200" si="53">SUM(J201:J210)</f>
        <v>32</v>
      </c>
      <c r="K200" s="624">
        <f t="shared" si="53"/>
        <v>32</v>
      </c>
      <c r="L200" s="624">
        <f t="shared" si="53"/>
        <v>32</v>
      </c>
      <c r="M200" s="624">
        <f t="shared" si="53"/>
        <v>32</v>
      </c>
      <c r="N200" s="624">
        <f t="shared" si="53"/>
        <v>32</v>
      </c>
      <c r="O200" s="624">
        <f t="shared" si="53"/>
        <v>32</v>
      </c>
    </row>
    <row r="201" spans="4:15" s="327" customFormat="1" ht="13.5" thickTop="1" x14ac:dyDescent="0.2">
      <c r="D201" s="660" t="str">
        <f>Screen_LU!D23</f>
        <v>Central</v>
      </c>
      <c r="J201" s="5">
        <f t="shared" ref="J201:O210" si="54">J17+J32+J47+J62</f>
        <v>2</v>
      </c>
      <c r="K201" s="5">
        <f t="shared" si="54"/>
        <v>2</v>
      </c>
      <c r="L201" s="5">
        <f t="shared" si="54"/>
        <v>2</v>
      </c>
      <c r="M201" s="5">
        <f t="shared" si="54"/>
        <v>2</v>
      </c>
      <c r="N201" s="5">
        <f t="shared" si="54"/>
        <v>2</v>
      </c>
      <c r="O201" s="5">
        <f t="shared" si="54"/>
        <v>2</v>
      </c>
    </row>
    <row r="202" spans="4:15" s="327" customFormat="1" x14ac:dyDescent="0.2">
      <c r="D202" s="660" t="str">
        <f>Screen_LU!D24</f>
        <v>Copperbelt</v>
      </c>
      <c r="J202" s="5">
        <f t="shared" si="54"/>
        <v>3</v>
      </c>
      <c r="K202" s="5">
        <f t="shared" si="54"/>
        <v>3</v>
      </c>
      <c r="L202" s="5">
        <f t="shared" si="54"/>
        <v>3</v>
      </c>
      <c r="M202" s="5">
        <f t="shared" si="54"/>
        <v>3</v>
      </c>
      <c r="N202" s="5">
        <f t="shared" si="54"/>
        <v>3</v>
      </c>
      <c r="O202" s="5">
        <f t="shared" si="54"/>
        <v>3</v>
      </c>
    </row>
    <row r="203" spans="4:15" s="327" customFormat="1" x14ac:dyDescent="0.2">
      <c r="D203" s="660" t="str">
        <f>Screen_LU!D25</f>
        <v>Eastern</v>
      </c>
      <c r="J203" s="5">
        <f t="shared" si="54"/>
        <v>4</v>
      </c>
      <c r="K203" s="5">
        <f t="shared" si="54"/>
        <v>4</v>
      </c>
      <c r="L203" s="5">
        <f t="shared" si="54"/>
        <v>4</v>
      </c>
      <c r="M203" s="5">
        <f t="shared" si="54"/>
        <v>4</v>
      </c>
      <c r="N203" s="5">
        <f t="shared" si="54"/>
        <v>4</v>
      </c>
      <c r="O203" s="5">
        <f t="shared" si="54"/>
        <v>4</v>
      </c>
    </row>
    <row r="204" spans="4:15" s="327" customFormat="1" x14ac:dyDescent="0.2">
      <c r="D204" s="660" t="str">
        <f>Screen_LU!D26</f>
        <v>Luapula</v>
      </c>
      <c r="J204" s="5">
        <f t="shared" si="54"/>
        <v>3</v>
      </c>
      <c r="K204" s="5">
        <f t="shared" si="54"/>
        <v>3</v>
      </c>
      <c r="L204" s="5">
        <f t="shared" si="54"/>
        <v>3</v>
      </c>
      <c r="M204" s="5">
        <f t="shared" si="54"/>
        <v>3</v>
      </c>
      <c r="N204" s="5">
        <f t="shared" si="54"/>
        <v>3</v>
      </c>
      <c r="O204" s="5">
        <f t="shared" si="54"/>
        <v>3</v>
      </c>
    </row>
    <row r="205" spans="4:15" s="327" customFormat="1" x14ac:dyDescent="0.2">
      <c r="D205" s="660" t="str">
        <f>Screen_LU!D27</f>
        <v>Lusaka</v>
      </c>
      <c r="J205" s="5">
        <f t="shared" si="54"/>
        <v>12</v>
      </c>
      <c r="K205" s="5">
        <f t="shared" si="54"/>
        <v>12</v>
      </c>
      <c r="L205" s="5">
        <f t="shared" si="54"/>
        <v>12</v>
      </c>
      <c r="M205" s="5">
        <f t="shared" si="54"/>
        <v>12</v>
      </c>
      <c r="N205" s="5">
        <f t="shared" si="54"/>
        <v>12</v>
      </c>
      <c r="O205" s="5">
        <f t="shared" si="54"/>
        <v>12</v>
      </c>
    </row>
    <row r="206" spans="4:15" s="327" customFormat="1" x14ac:dyDescent="0.2">
      <c r="D206" s="660" t="str">
        <f>Screen_LU!D28</f>
        <v>Muchinga</v>
      </c>
      <c r="J206" s="5">
        <f t="shared" si="54"/>
        <v>0</v>
      </c>
      <c r="K206" s="5">
        <f t="shared" si="54"/>
        <v>0</v>
      </c>
      <c r="L206" s="5">
        <f t="shared" si="54"/>
        <v>0</v>
      </c>
      <c r="M206" s="5">
        <f t="shared" si="54"/>
        <v>0</v>
      </c>
      <c r="N206" s="5">
        <f t="shared" si="54"/>
        <v>0</v>
      </c>
      <c r="O206" s="5">
        <f t="shared" si="54"/>
        <v>0</v>
      </c>
    </row>
    <row r="207" spans="4:15" s="327" customFormat="1" x14ac:dyDescent="0.2">
      <c r="D207" s="660" t="str">
        <f>Screen_LU!D29</f>
        <v>Northern</v>
      </c>
      <c r="J207" s="5">
        <f t="shared" si="54"/>
        <v>1</v>
      </c>
      <c r="K207" s="5">
        <f t="shared" si="54"/>
        <v>1</v>
      </c>
      <c r="L207" s="5">
        <f t="shared" si="54"/>
        <v>1</v>
      </c>
      <c r="M207" s="5">
        <f t="shared" si="54"/>
        <v>1</v>
      </c>
      <c r="N207" s="5">
        <f t="shared" si="54"/>
        <v>1</v>
      </c>
      <c r="O207" s="5">
        <f t="shared" si="54"/>
        <v>1</v>
      </c>
    </row>
    <row r="208" spans="4:15" s="327" customFormat="1" x14ac:dyDescent="0.2">
      <c r="D208" s="660" t="str">
        <f>Screen_LU!D30</f>
        <v>North-Western</v>
      </c>
      <c r="J208" s="5">
        <f t="shared" si="54"/>
        <v>1</v>
      </c>
      <c r="K208" s="5">
        <f t="shared" si="54"/>
        <v>1</v>
      </c>
      <c r="L208" s="5">
        <f t="shared" si="54"/>
        <v>1</v>
      </c>
      <c r="M208" s="5">
        <f t="shared" si="54"/>
        <v>1</v>
      </c>
      <c r="N208" s="5">
        <f t="shared" si="54"/>
        <v>1</v>
      </c>
      <c r="O208" s="5">
        <f t="shared" si="54"/>
        <v>1</v>
      </c>
    </row>
    <row r="209" spans="4:15" s="327" customFormat="1" x14ac:dyDescent="0.2">
      <c r="D209" s="660" t="str">
        <f>Screen_LU!D31</f>
        <v>Southern</v>
      </c>
      <c r="J209" s="5">
        <f t="shared" si="54"/>
        <v>3</v>
      </c>
      <c r="K209" s="5">
        <f t="shared" si="54"/>
        <v>3</v>
      </c>
      <c r="L209" s="5">
        <f t="shared" si="54"/>
        <v>3</v>
      </c>
      <c r="M209" s="5">
        <f t="shared" si="54"/>
        <v>3</v>
      </c>
      <c r="N209" s="5">
        <f t="shared" si="54"/>
        <v>3</v>
      </c>
      <c r="O209" s="5">
        <f t="shared" si="54"/>
        <v>3</v>
      </c>
    </row>
    <row r="210" spans="4:15" s="327" customFormat="1" x14ac:dyDescent="0.2">
      <c r="D210" s="660" t="str">
        <f>Screen_LU!D32</f>
        <v>Western</v>
      </c>
      <c r="J210" s="5">
        <f t="shared" si="54"/>
        <v>3</v>
      </c>
      <c r="K210" s="5">
        <f t="shared" si="54"/>
        <v>3</v>
      </c>
      <c r="L210" s="5">
        <f t="shared" si="54"/>
        <v>3</v>
      </c>
      <c r="M210" s="5">
        <f t="shared" si="54"/>
        <v>3</v>
      </c>
      <c r="N210" s="5">
        <f t="shared" si="54"/>
        <v>3</v>
      </c>
      <c r="O210" s="5">
        <f t="shared" si="54"/>
        <v>3</v>
      </c>
    </row>
    <row r="211" spans="4:15" s="327" customFormat="1" x14ac:dyDescent="0.2"/>
    <row r="212" spans="4:15" s="327" customFormat="1" x14ac:dyDescent="0.2"/>
    <row r="213" spans="4:15" s="327" customFormat="1" ht="15" x14ac:dyDescent="0.2">
      <c r="D213" s="658" t="s">
        <v>2021</v>
      </c>
    </row>
    <row r="214" spans="4:15" s="327" customFormat="1" ht="15.75" thickBot="1" x14ac:dyDescent="0.25">
      <c r="D214" s="646" t="str">
        <f>D213</f>
        <v>Total Active Mobile Teams</v>
      </c>
      <c r="J214" s="624">
        <f t="shared" ref="J214:O214" si="55">SUM(J215:J224)</f>
        <v>18</v>
      </c>
      <c r="K214" s="624">
        <f t="shared" si="55"/>
        <v>18</v>
      </c>
      <c r="L214" s="624">
        <f t="shared" si="55"/>
        <v>18</v>
      </c>
      <c r="M214" s="624">
        <f t="shared" si="55"/>
        <v>18</v>
      </c>
      <c r="N214" s="624">
        <f t="shared" si="55"/>
        <v>18</v>
      </c>
      <c r="O214" s="624">
        <f t="shared" si="55"/>
        <v>18</v>
      </c>
    </row>
    <row r="215" spans="4:15" s="327" customFormat="1" ht="13.5" thickTop="1" x14ac:dyDescent="0.2">
      <c r="D215" s="660" t="str">
        <f>Screen_LU!D23</f>
        <v>Central</v>
      </c>
      <c r="J215" s="5">
        <f t="shared" ref="J215:O224" si="56">J173-J201</f>
        <v>2</v>
      </c>
      <c r="K215" s="5">
        <f t="shared" si="56"/>
        <v>2</v>
      </c>
      <c r="L215" s="5">
        <f t="shared" si="56"/>
        <v>2</v>
      </c>
      <c r="M215" s="5">
        <f t="shared" si="56"/>
        <v>2</v>
      </c>
      <c r="N215" s="5">
        <f t="shared" si="56"/>
        <v>2</v>
      </c>
      <c r="O215" s="5">
        <f t="shared" si="56"/>
        <v>2</v>
      </c>
    </row>
    <row r="216" spans="4:15" s="327" customFormat="1" x14ac:dyDescent="0.2">
      <c r="D216" s="660" t="str">
        <f>Screen_LU!D24</f>
        <v>Copperbelt</v>
      </c>
      <c r="J216" s="5">
        <f t="shared" si="56"/>
        <v>2</v>
      </c>
      <c r="K216" s="5">
        <f t="shared" si="56"/>
        <v>2</v>
      </c>
      <c r="L216" s="5">
        <f t="shared" si="56"/>
        <v>2</v>
      </c>
      <c r="M216" s="5">
        <f t="shared" si="56"/>
        <v>2</v>
      </c>
      <c r="N216" s="5">
        <f t="shared" si="56"/>
        <v>2</v>
      </c>
      <c r="O216" s="5">
        <f t="shared" si="56"/>
        <v>2</v>
      </c>
    </row>
    <row r="217" spans="4:15" s="327" customFormat="1" x14ac:dyDescent="0.2">
      <c r="D217" s="660" t="str">
        <f>Screen_LU!D25</f>
        <v>Eastern</v>
      </c>
      <c r="J217" s="5">
        <f t="shared" si="56"/>
        <v>2</v>
      </c>
      <c r="K217" s="5">
        <f t="shared" si="56"/>
        <v>2</v>
      </c>
      <c r="L217" s="5">
        <f t="shared" si="56"/>
        <v>2</v>
      </c>
      <c r="M217" s="5">
        <f t="shared" si="56"/>
        <v>2</v>
      </c>
      <c r="N217" s="5">
        <f t="shared" si="56"/>
        <v>2</v>
      </c>
      <c r="O217" s="5">
        <f t="shared" si="56"/>
        <v>2</v>
      </c>
    </row>
    <row r="218" spans="4:15" s="327" customFormat="1" x14ac:dyDescent="0.2">
      <c r="D218" s="660" t="str">
        <f>Screen_LU!D26</f>
        <v>Luapula</v>
      </c>
      <c r="J218" s="5">
        <f t="shared" si="56"/>
        <v>2</v>
      </c>
      <c r="K218" s="5">
        <f t="shared" si="56"/>
        <v>2</v>
      </c>
      <c r="L218" s="5">
        <f t="shared" si="56"/>
        <v>2</v>
      </c>
      <c r="M218" s="5">
        <f t="shared" si="56"/>
        <v>2</v>
      </c>
      <c r="N218" s="5">
        <f t="shared" si="56"/>
        <v>2</v>
      </c>
      <c r="O218" s="5">
        <f t="shared" si="56"/>
        <v>2</v>
      </c>
    </row>
    <row r="219" spans="4:15" s="327" customFormat="1" x14ac:dyDescent="0.2">
      <c r="D219" s="660" t="str">
        <f>Screen_LU!D27</f>
        <v>Lusaka</v>
      </c>
      <c r="J219" s="5">
        <f t="shared" si="56"/>
        <v>2</v>
      </c>
      <c r="K219" s="5">
        <f t="shared" si="56"/>
        <v>2</v>
      </c>
      <c r="L219" s="5">
        <f t="shared" si="56"/>
        <v>2</v>
      </c>
      <c r="M219" s="5">
        <f t="shared" si="56"/>
        <v>2</v>
      </c>
      <c r="N219" s="5">
        <f t="shared" si="56"/>
        <v>2</v>
      </c>
      <c r="O219" s="5">
        <f t="shared" si="56"/>
        <v>2</v>
      </c>
    </row>
    <row r="220" spans="4:15" s="327" customFormat="1" x14ac:dyDescent="0.2">
      <c r="D220" s="660" t="str">
        <f>Screen_LU!D28</f>
        <v>Muchinga</v>
      </c>
      <c r="J220" s="5">
        <f t="shared" si="56"/>
        <v>1</v>
      </c>
      <c r="K220" s="5">
        <f t="shared" si="56"/>
        <v>1</v>
      </c>
      <c r="L220" s="5">
        <f t="shared" si="56"/>
        <v>1</v>
      </c>
      <c r="M220" s="5">
        <f t="shared" si="56"/>
        <v>1</v>
      </c>
      <c r="N220" s="5">
        <f t="shared" si="56"/>
        <v>1</v>
      </c>
      <c r="O220" s="5">
        <f t="shared" si="56"/>
        <v>1</v>
      </c>
    </row>
    <row r="221" spans="4:15" s="327" customFormat="1" x14ac:dyDescent="0.2">
      <c r="D221" s="660" t="str">
        <f>Screen_LU!D29</f>
        <v>Northern</v>
      </c>
      <c r="J221" s="5">
        <f t="shared" si="56"/>
        <v>1</v>
      </c>
      <c r="K221" s="5">
        <f t="shared" si="56"/>
        <v>1</v>
      </c>
      <c r="L221" s="5">
        <f t="shared" si="56"/>
        <v>1</v>
      </c>
      <c r="M221" s="5">
        <f t="shared" si="56"/>
        <v>1</v>
      </c>
      <c r="N221" s="5">
        <f t="shared" si="56"/>
        <v>1</v>
      </c>
      <c r="O221" s="5">
        <f t="shared" si="56"/>
        <v>1</v>
      </c>
    </row>
    <row r="222" spans="4:15" s="327" customFormat="1" x14ac:dyDescent="0.2">
      <c r="D222" s="660" t="str">
        <f>Screen_LU!D30</f>
        <v>North-Western</v>
      </c>
      <c r="J222" s="5">
        <f t="shared" si="56"/>
        <v>2</v>
      </c>
      <c r="K222" s="5">
        <f t="shared" si="56"/>
        <v>2</v>
      </c>
      <c r="L222" s="5">
        <f t="shared" si="56"/>
        <v>2</v>
      </c>
      <c r="M222" s="5">
        <f t="shared" si="56"/>
        <v>2</v>
      </c>
      <c r="N222" s="5">
        <f t="shared" si="56"/>
        <v>2</v>
      </c>
      <c r="O222" s="5">
        <f t="shared" si="56"/>
        <v>2</v>
      </c>
    </row>
    <row r="223" spans="4:15" s="327" customFormat="1" x14ac:dyDescent="0.2">
      <c r="D223" s="660" t="str">
        <f>Screen_LU!D31</f>
        <v>Southern</v>
      </c>
      <c r="J223" s="5">
        <f t="shared" si="56"/>
        <v>2</v>
      </c>
      <c r="K223" s="5">
        <f t="shared" si="56"/>
        <v>2</v>
      </c>
      <c r="L223" s="5">
        <f t="shared" si="56"/>
        <v>2</v>
      </c>
      <c r="M223" s="5">
        <f t="shared" si="56"/>
        <v>2</v>
      </c>
      <c r="N223" s="5">
        <f t="shared" si="56"/>
        <v>2</v>
      </c>
      <c r="O223" s="5">
        <f t="shared" si="56"/>
        <v>2</v>
      </c>
    </row>
    <row r="224" spans="4:15" s="327" customFormat="1" x14ac:dyDescent="0.2">
      <c r="D224" s="660" t="str">
        <f>Screen_LU!D32</f>
        <v>Western</v>
      </c>
      <c r="J224" s="5">
        <f t="shared" si="56"/>
        <v>2</v>
      </c>
      <c r="K224" s="5">
        <f t="shared" si="56"/>
        <v>2</v>
      </c>
      <c r="L224" s="5">
        <f t="shared" si="56"/>
        <v>2</v>
      </c>
      <c r="M224" s="5">
        <f t="shared" si="56"/>
        <v>2</v>
      </c>
      <c r="N224" s="5">
        <f t="shared" si="56"/>
        <v>2</v>
      </c>
      <c r="O224" s="5">
        <f t="shared" si="56"/>
        <v>2</v>
      </c>
    </row>
    <row r="225" spans="3:15" s="327" customFormat="1" x14ac:dyDescent="0.2"/>
    <row r="226" spans="3:15" s="327" customFormat="1" x14ac:dyDescent="0.2"/>
    <row r="227" spans="3:15" s="327" customFormat="1" ht="15.75" x14ac:dyDescent="0.2">
      <c r="C227" s="330" t="s">
        <v>102</v>
      </c>
    </row>
    <row r="228" spans="3:15" s="327" customFormat="1" x14ac:dyDescent="0.2"/>
    <row r="229" spans="3:15" s="327" customFormat="1" ht="15.75" outlineLevel="2" x14ac:dyDescent="0.2">
      <c r="D229" s="26" t="str">
        <f>"Maximum Procedures Capacity "&amp;" ("&amp;Screen_BA!$G$10&amp;")"</f>
        <v>Maximum Procedures Capacity  (VIA)</v>
      </c>
    </row>
    <row r="230" spans="3:15" s="327" customFormat="1" outlineLevel="2" x14ac:dyDescent="0.2">
      <c r="D230" s="660" t="str">
        <f>Screen_LU!D23</f>
        <v>Central</v>
      </c>
      <c r="J230" s="489">
        <f t="shared" ref="J230:O239" si="57">ROUND(J17*$H17+J32*$H32+J47*$H47+J62*$H62+J77*$H77+J92*$H92+J107*$H107+J122*$H122+J137*$H137+J152*$H152,0)</f>
        <v>5788</v>
      </c>
      <c r="K230" s="489">
        <f t="shared" si="57"/>
        <v>5788</v>
      </c>
      <c r="L230" s="489">
        <f t="shared" si="57"/>
        <v>5788</v>
      </c>
      <c r="M230" s="489">
        <f t="shared" si="57"/>
        <v>5788</v>
      </c>
      <c r="N230" s="489">
        <f t="shared" si="57"/>
        <v>5788</v>
      </c>
      <c r="O230" s="489">
        <f t="shared" si="57"/>
        <v>5788</v>
      </c>
    </row>
    <row r="231" spans="3:15" s="327" customFormat="1" outlineLevel="2" x14ac:dyDescent="0.2">
      <c r="D231" s="660" t="str">
        <f>Screen_LU!D24</f>
        <v>Copperbelt</v>
      </c>
      <c r="J231" s="490">
        <f t="shared" si="57"/>
        <v>8128</v>
      </c>
      <c r="K231" s="490">
        <f t="shared" si="57"/>
        <v>8128</v>
      </c>
      <c r="L231" s="490">
        <f t="shared" si="57"/>
        <v>8128</v>
      </c>
      <c r="M231" s="490">
        <f t="shared" si="57"/>
        <v>8128</v>
      </c>
      <c r="N231" s="490">
        <f t="shared" si="57"/>
        <v>8128</v>
      </c>
      <c r="O231" s="490">
        <f t="shared" si="57"/>
        <v>8128</v>
      </c>
    </row>
    <row r="232" spans="3:15" s="327" customFormat="1" outlineLevel="2" x14ac:dyDescent="0.2">
      <c r="D232" s="660" t="str">
        <f>Screen_LU!D25</f>
        <v>Eastern</v>
      </c>
      <c r="J232" s="490">
        <f t="shared" si="57"/>
        <v>10468</v>
      </c>
      <c r="K232" s="490">
        <f t="shared" si="57"/>
        <v>10468</v>
      </c>
      <c r="L232" s="490">
        <f t="shared" si="57"/>
        <v>10468</v>
      </c>
      <c r="M232" s="490">
        <f t="shared" si="57"/>
        <v>10468</v>
      </c>
      <c r="N232" s="490">
        <f t="shared" si="57"/>
        <v>10468</v>
      </c>
      <c r="O232" s="490">
        <f t="shared" si="57"/>
        <v>10468</v>
      </c>
    </row>
    <row r="233" spans="3:15" s="327" customFormat="1" outlineLevel="2" x14ac:dyDescent="0.2">
      <c r="D233" s="660" t="str">
        <f>Screen_LU!D26</f>
        <v>Luapula</v>
      </c>
      <c r="J233" s="490">
        <f t="shared" si="57"/>
        <v>8128</v>
      </c>
      <c r="K233" s="490">
        <f t="shared" si="57"/>
        <v>8128</v>
      </c>
      <c r="L233" s="490">
        <f t="shared" si="57"/>
        <v>8128</v>
      </c>
      <c r="M233" s="490">
        <f t="shared" si="57"/>
        <v>8128</v>
      </c>
      <c r="N233" s="490">
        <f t="shared" si="57"/>
        <v>8128</v>
      </c>
      <c r="O233" s="490">
        <f t="shared" si="57"/>
        <v>8128</v>
      </c>
    </row>
    <row r="234" spans="3:15" s="327" customFormat="1" outlineLevel="2" x14ac:dyDescent="0.2">
      <c r="D234" s="660" t="str">
        <f>Screen_LU!D27</f>
        <v>Lusaka</v>
      </c>
      <c r="J234" s="490">
        <f t="shared" si="57"/>
        <v>29188</v>
      </c>
      <c r="K234" s="490">
        <f t="shared" si="57"/>
        <v>29188</v>
      </c>
      <c r="L234" s="490">
        <f t="shared" si="57"/>
        <v>29188</v>
      </c>
      <c r="M234" s="490">
        <f t="shared" si="57"/>
        <v>29188</v>
      </c>
      <c r="N234" s="490">
        <f t="shared" si="57"/>
        <v>29188</v>
      </c>
      <c r="O234" s="490">
        <f t="shared" si="57"/>
        <v>29188</v>
      </c>
    </row>
    <row r="235" spans="3:15" s="327" customFormat="1" outlineLevel="2" x14ac:dyDescent="0.2">
      <c r="D235" s="660" t="str">
        <f>Screen_LU!D28</f>
        <v>Muchinga</v>
      </c>
      <c r="J235" s="490">
        <f t="shared" si="57"/>
        <v>554</v>
      </c>
      <c r="K235" s="490">
        <f t="shared" si="57"/>
        <v>554</v>
      </c>
      <c r="L235" s="490">
        <f t="shared" si="57"/>
        <v>554</v>
      </c>
      <c r="M235" s="490">
        <f t="shared" si="57"/>
        <v>554</v>
      </c>
      <c r="N235" s="490">
        <f t="shared" si="57"/>
        <v>554</v>
      </c>
      <c r="O235" s="490">
        <f t="shared" si="57"/>
        <v>554</v>
      </c>
    </row>
    <row r="236" spans="3:15" s="327" customFormat="1" outlineLevel="2" x14ac:dyDescent="0.2">
      <c r="D236" s="660" t="str">
        <f>Screen_LU!D29</f>
        <v>Northern</v>
      </c>
      <c r="J236" s="490">
        <f t="shared" si="57"/>
        <v>2894</v>
      </c>
      <c r="K236" s="490">
        <f t="shared" si="57"/>
        <v>2894</v>
      </c>
      <c r="L236" s="490">
        <f t="shared" si="57"/>
        <v>2894</v>
      </c>
      <c r="M236" s="490">
        <f t="shared" si="57"/>
        <v>2894</v>
      </c>
      <c r="N236" s="490">
        <f t="shared" si="57"/>
        <v>2894</v>
      </c>
      <c r="O236" s="490">
        <f t="shared" si="57"/>
        <v>2894</v>
      </c>
    </row>
    <row r="237" spans="3:15" s="327" customFormat="1" outlineLevel="2" x14ac:dyDescent="0.2">
      <c r="D237" s="660" t="str">
        <f>Screen_LU!D30</f>
        <v>North-Western</v>
      </c>
      <c r="J237" s="490">
        <f t="shared" si="57"/>
        <v>3448</v>
      </c>
      <c r="K237" s="490">
        <f t="shared" si="57"/>
        <v>3448</v>
      </c>
      <c r="L237" s="490">
        <f t="shared" si="57"/>
        <v>3448</v>
      </c>
      <c r="M237" s="490">
        <f t="shared" si="57"/>
        <v>3448</v>
      </c>
      <c r="N237" s="490">
        <f t="shared" si="57"/>
        <v>3448</v>
      </c>
      <c r="O237" s="490">
        <f t="shared" si="57"/>
        <v>3448</v>
      </c>
    </row>
    <row r="238" spans="3:15" s="327" customFormat="1" outlineLevel="2" x14ac:dyDescent="0.2">
      <c r="D238" s="660" t="str">
        <f>Screen_LU!D31</f>
        <v>Southern</v>
      </c>
      <c r="J238" s="490">
        <f t="shared" si="57"/>
        <v>8128</v>
      </c>
      <c r="K238" s="490">
        <f t="shared" si="57"/>
        <v>8128</v>
      </c>
      <c r="L238" s="490">
        <f t="shared" si="57"/>
        <v>8128</v>
      </c>
      <c r="M238" s="490">
        <f t="shared" si="57"/>
        <v>8128</v>
      </c>
      <c r="N238" s="490">
        <f t="shared" si="57"/>
        <v>8128</v>
      </c>
      <c r="O238" s="490">
        <f t="shared" si="57"/>
        <v>8128</v>
      </c>
    </row>
    <row r="239" spans="3:15" s="327" customFormat="1" outlineLevel="2" x14ac:dyDescent="0.2">
      <c r="D239" s="660" t="str">
        <f>Screen_LU!D32</f>
        <v>Western</v>
      </c>
      <c r="J239" s="491">
        <f t="shared" si="57"/>
        <v>8128</v>
      </c>
      <c r="K239" s="491">
        <f t="shared" si="57"/>
        <v>8128</v>
      </c>
      <c r="L239" s="491">
        <f t="shared" si="57"/>
        <v>8128</v>
      </c>
      <c r="M239" s="491">
        <f t="shared" si="57"/>
        <v>8128</v>
      </c>
      <c r="N239" s="491">
        <f t="shared" si="57"/>
        <v>8128</v>
      </c>
      <c r="O239" s="491">
        <f t="shared" si="57"/>
        <v>8128</v>
      </c>
    </row>
    <row r="240" spans="3:15" s="327" customFormat="1" ht="15" x14ac:dyDescent="0.2">
      <c r="D240" s="659" t="str">
        <f>"Total "&amp;D229</f>
        <v>Total Maximum Procedures Capacity  (VIA)</v>
      </c>
      <c r="H240" s="646" t="str">
        <f>Screen_BA!G10</f>
        <v>VIA</v>
      </c>
      <c r="J240" s="495">
        <f t="shared" ref="J240:O240" si="58">SUM(J230:J239)</f>
        <v>84852</v>
      </c>
      <c r="K240" s="495">
        <f t="shared" si="58"/>
        <v>84852</v>
      </c>
      <c r="L240" s="495">
        <f t="shared" si="58"/>
        <v>84852</v>
      </c>
      <c r="M240" s="495">
        <f t="shared" si="58"/>
        <v>84852</v>
      </c>
      <c r="N240" s="495">
        <f t="shared" si="58"/>
        <v>84852</v>
      </c>
      <c r="O240" s="495">
        <f t="shared" si="58"/>
        <v>84852</v>
      </c>
    </row>
    <row r="241" spans="4:15" s="327" customFormat="1" outlineLevel="2" x14ac:dyDescent="0.2"/>
    <row r="242" spans="4:15" s="327" customFormat="1" ht="15" outlineLevel="2" x14ac:dyDescent="0.2">
      <c r="D242" s="658" t="s">
        <v>769</v>
      </c>
    </row>
    <row r="243" spans="4:15" s="327" customFormat="1" outlineLevel="2" x14ac:dyDescent="0.2">
      <c r="D243" s="660" t="str">
        <f>Screen_LU!D23</f>
        <v>Central</v>
      </c>
      <c r="J243" s="282">
        <f ca="1">ROUND(Screen_Ann_TA!J252*Screen_BA!$J$12,0)</f>
        <v>45197</v>
      </c>
      <c r="K243" s="282">
        <f ca="1">ROUND(Screen_Ann_TA!K252*Screen_BA!$J$12,0)</f>
        <v>46253</v>
      </c>
      <c r="L243" s="282">
        <f ca="1">ROUND(Screen_Ann_TA!L252*Screen_BA!$J$12,0)</f>
        <v>47389</v>
      </c>
      <c r="M243" s="282">
        <f ca="1">ROUND(Screen_Ann_TA!M252*Screen_BA!$J$12,0)</f>
        <v>53356</v>
      </c>
      <c r="N243" s="282">
        <f ca="1">ROUND(Screen_Ann_TA!N252*Screen_BA!$J$12,0)</f>
        <v>59395</v>
      </c>
      <c r="O243" s="282">
        <f ca="1">ROUND(Screen_Ann_TA!O252*Screen_BA!$J$12,0)</f>
        <v>65503</v>
      </c>
    </row>
    <row r="244" spans="4:15" s="327" customFormat="1" outlineLevel="2" x14ac:dyDescent="0.2">
      <c r="D244" s="660" t="str">
        <f>Screen_LU!D24</f>
        <v>Copperbelt</v>
      </c>
      <c r="J244" s="8">
        <f ca="1">ROUND(Screen_Ann_TA!J253*Screen_BA!$J$12,0)</f>
        <v>77270</v>
      </c>
      <c r="K244" s="8">
        <f ca="1">ROUND(Screen_Ann_TA!K253*Screen_BA!$J$12,0)</f>
        <v>79239</v>
      </c>
      <c r="L244" s="8">
        <f ca="1">ROUND(Screen_Ann_TA!L253*Screen_BA!$J$12,0)</f>
        <v>81434</v>
      </c>
      <c r="M244" s="8">
        <f ca="1">ROUND(Screen_Ann_TA!M253*Screen_BA!$J$12,0)</f>
        <v>90448</v>
      </c>
      <c r="N244" s="8">
        <f ca="1">ROUND(Screen_Ann_TA!N253*Screen_BA!$J$12,0)</f>
        <v>99494</v>
      </c>
      <c r="O244" s="8">
        <f ca="1">ROUND(Screen_Ann_TA!O253*Screen_BA!$J$12,0)</f>
        <v>108499</v>
      </c>
    </row>
    <row r="245" spans="4:15" s="327" customFormat="1" outlineLevel="2" x14ac:dyDescent="0.2">
      <c r="D245" s="660" t="str">
        <f>Screen_LU!D25</f>
        <v>Eastern</v>
      </c>
      <c r="J245" s="8">
        <f ca="1">ROUND(Screen_Ann_TA!J254*Screen_BA!$J$12,0)</f>
        <v>55121</v>
      </c>
      <c r="K245" s="8">
        <f ca="1">ROUND(Screen_Ann_TA!K254*Screen_BA!$J$12,0)</f>
        <v>56290</v>
      </c>
      <c r="L245" s="8">
        <f ca="1">ROUND(Screen_Ann_TA!L254*Screen_BA!$J$12,0)</f>
        <v>57485</v>
      </c>
      <c r="M245" s="8">
        <f ca="1">ROUND(Screen_Ann_TA!M254*Screen_BA!$J$12,0)</f>
        <v>67323</v>
      </c>
      <c r="N245" s="8">
        <f ca="1">ROUND(Screen_Ann_TA!N254*Screen_BA!$J$12,0)</f>
        <v>77234</v>
      </c>
      <c r="O245" s="8">
        <f ca="1">ROUND(Screen_Ann_TA!O254*Screen_BA!$J$12,0)</f>
        <v>87235</v>
      </c>
    </row>
    <row r="246" spans="4:15" s="327" customFormat="1" outlineLevel="2" x14ac:dyDescent="0.2">
      <c r="D246" s="660" t="str">
        <f>Screen_LU!D26</f>
        <v>Luapula</v>
      </c>
      <c r="J246" s="8">
        <f ca="1">ROUND(Screen_Ann_TA!J255*Screen_BA!$J$12,0)</f>
        <v>34422</v>
      </c>
      <c r="K246" s="8">
        <f ca="1">ROUND(Screen_Ann_TA!K255*Screen_BA!$J$12,0)</f>
        <v>34821</v>
      </c>
      <c r="L246" s="8">
        <f ca="1">ROUND(Screen_Ann_TA!L255*Screen_BA!$J$12,0)</f>
        <v>35249</v>
      </c>
      <c r="M246" s="8">
        <f ca="1">ROUND(Screen_Ann_TA!M255*Screen_BA!$J$12,0)</f>
        <v>42362</v>
      </c>
      <c r="N246" s="8">
        <f ca="1">ROUND(Screen_Ann_TA!N255*Screen_BA!$J$12,0)</f>
        <v>49573</v>
      </c>
      <c r="O246" s="8">
        <f ca="1">ROUND(Screen_Ann_TA!O255*Screen_BA!$J$12,0)</f>
        <v>56828</v>
      </c>
    </row>
    <row r="247" spans="4:15" s="327" customFormat="1" outlineLevel="2" x14ac:dyDescent="0.2">
      <c r="D247" s="660" t="str">
        <f>Screen_LU!D27</f>
        <v>Lusaka</v>
      </c>
      <c r="J247" s="8">
        <f ca="1">ROUND(Screen_Ann_TA!J256*Screen_BA!$J$12,0)</f>
        <v>103171</v>
      </c>
      <c r="K247" s="8">
        <f ca="1">ROUND(Screen_Ann_TA!K256*Screen_BA!$J$12,0)</f>
        <v>106852</v>
      </c>
      <c r="L247" s="8">
        <f ca="1">ROUND(Screen_Ann_TA!L256*Screen_BA!$J$12,0)</f>
        <v>110611</v>
      </c>
      <c r="M247" s="8">
        <f ca="1">ROUND(Screen_Ann_TA!M256*Screen_BA!$J$12,0)</f>
        <v>138421</v>
      </c>
      <c r="N247" s="8">
        <f ca="1">ROUND(Screen_Ann_TA!N256*Screen_BA!$J$12,0)</f>
        <v>166325</v>
      </c>
      <c r="O247" s="8">
        <f ca="1">ROUND(Screen_Ann_TA!O256*Screen_BA!$J$12,0)</f>
        <v>194332</v>
      </c>
    </row>
    <row r="248" spans="4:15" s="327" customFormat="1" outlineLevel="2" x14ac:dyDescent="0.2">
      <c r="D248" s="660" t="str">
        <f>Screen_LU!D28</f>
        <v>Muchinga</v>
      </c>
      <c r="J248" s="8">
        <f ca="1">ROUND(Screen_Ann_TA!J257*Screen_BA!$J$12,0)</f>
        <v>26604</v>
      </c>
      <c r="K248" s="8">
        <f ca="1">ROUND(Screen_Ann_TA!K257*Screen_BA!$J$12,0)</f>
        <v>27973</v>
      </c>
      <c r="L248" s="8">
        <f ca="1">ROUND(Screen_Ann_TA!L257*Screen_BA!$J$12,0)</f>
        <v>29385</v>
      </c>
      <c r="M248" s="8">
        <f ca="1">ROUND(Screen_Ann_TA!M257*Screen_BA!$J$12,0)</f>
        <v>31296</v>
      </c>
      <c r="N248" s="8">
        <f ca="1">ROUND(Screen_Ann_TA!N257*Screen_BA!$J$12,0)</f>
        <v>33257</v>
      </c>
      <c r="O248" s="8">
        <f ca="1">ROUND(Screen_Ann_TA!O257*Screen_BA!$J$12,0)</f>
        <v>35273</v>
      </c>
    </row>
    <row r="249" spans="4:15" s="327" customFormat="1" outlineLevel="2" x14ac:dyDescent="0.2">
      <c r="D249" s="660" t="str">
        <f>Screen_LU!D29</f>
        <v>Northern</v>
      </c>
      <c r="J249" s="8">
        <f ca="1">ROUND(Screen_Ann_TA!J258*Screen_BA!$J$12,0)</f>
        <v>38350</v>
      </c>
      <c r="K249" s="8">
        <f ca="1">ROUND(Screen_Ann_TA!K258*Screen_BA!$J$12,0)</f>
        <v>39567</v>
      </c>
      <c r="L249" s="8">
        <f ca="1">ROUND(Screen_Ann_TA!L258*Screen_BA!$J$12,0)</f>
        <v>40820</v>
      </c>
      <c r="M249" s="8">
        <f ca="1">ROUND(Screen_Ann_TA!M258*Screen_BA!$J$12,0)</f>
        <v>44487</v>
      </c>
      <c r="N249" s="8">
        <f ca="1">ROUND(Screen_Ann_TA!N258*Screen_BA!$J$12,0)</f>
        <v>48198</v>
      </c>
      <c r="O249" s="8">
        <f ca="1">ROUND(Screen_Ann_TA!O258*Screen_BA!$J$12,0)</f>
        <v>51959</v>
      </c>
    </row>
    <row r="250" spans="4:15" s="327" customFormat="1" outlineLevel="2" x14ac:dyDescent="0.2">
      <c r="D250" s="660" t="str">
        <f>Screen_LU!D30</f>
        <v>North-Western</v>
      </c>
      <c r="J250" s="8">
        <f ca="1">ROUND(Screen_Ann_TA!J259*Screen_BA!$J$12,0)</f>
        <v>23423</v>
      </c>
      <c r="K250" s="8">
        <f ca="1">ROUND(Screen_Ann_TA!K259*Screen_BA!$J$12,0)</f>
        <v>23858</v>
      </c>
      <c r="L250" s="8">
        <f ca="1">ROUND(Screen_Ann_TA!L259*Screen_BA!$J$12,0)</f>
        <v>24339</v>
      </c>
      <c r="M250" s="8">
        <f ca="1">ROUND(Screen_Ann_TA!M259*Screen_BA!$J$12,0)</f>
        <v>27699</v>
      </c>
      <c r="N250" s="8">
        <f ca="1">ROUND(Screen_Ann_TA!N259*Screen_BA!$J$12,0)</f>
        <v>31104</v>
      </c>
      <c r="O250" s="8">
        <f ca="1">ROUND(Screen_Ann_TA!O259*Screen_BA!$J$12,0)</f>
        <v>34551</v>
      </c>
    </row>
    <row r="251" spans="4:15" s="327" customFormat="1" outlineLevel="2" x14ac:dyDescent="0.2">
      <c r="D251" s="660" t="str">
        <f>Screen_LU!D31</f>
        <v>Southern</v>
      </c>
      <c r="J251" s="8">
        <f ca="1">ROUND(Screen_Ann_TA!J260*Screen_BA!$J$12,0)</f>
        <v>56843</v>
      </c>
      <c r="K251" s="8">
        <f ca="1">ROUND(Screen_Ann_TA!K260*Screen_BA!$J$12,0)</f>
        <v>58267</v>
      </c>
      <c r="L251" s="8">
        <f ca="1">ROUND(Screen_Ann_TA!L260*Screen_BA!$J$12,0)</f>
        <v>59763</v>
      </c>
      <c r="M251" s="8">
        <f ca="1">ROUND(Screen_Ann_TA!M260*Screen_BA!$J$12,0)</f>
        <v>68001</v>
      </c>
      <c r="N251" s="8">
        <f ca="1">ROUND(Screen_Ann_TA!N260*Screen_BA!$J$12,0)</f>
        <v>76304</v>
      </c>
      <c r="O251" s="8">
        <f ca="1">ROUND(Screen_Ann_TA!O260*Screen_BA!$J$12,0)</f>
        <v>84667</v>
      </c>
    </row>
    <row r="252" spans="4:15" s="327" customFormat="1" outlineLevel="2" x14ac:dyDescent="0.2">
      <c r="D252" s="660" t="str">
        <f>Screen_LU!D32</f>
        <v>Western</v>
      </c>
      <c r="J252" s="15">
        <f ca="1">ROUND(Screen_Ann_TA!J261*Screen_BA!$J$12,0)</f>
        <v>31222</v>
      </c>
      <c r="K252" s="15">
        <f ca="1">ROUND(Screen_Ann_TA!K261*Screen_BA!$J$12,0)</f>
        <v>31129</v>
      </c>
      <c r="L252" s="15">
        <f ca="1">ROUND(Screen_Ann_TA!L261*Screen_BA!$J$12,0)</f>
        <v>31050</v>
      </c>
      <c r="M252" s="15">
        <f ca="1">ROUND(Screen_Ann_TA!M261*Screen_BA!$J$12,0)</f>
        <v>37668</v>
      </c>
      <c r="N252" s="15">
        <f ca="1">ROUND(Screen_Ann_TA!N261*Screen_BA!$J$12,0)</f>
        <v>44319</v>
      </c>
      <c r="O252" s="15">
        <f ca="1">ROUND(Screen_Ann_TA!O261*Screen_BA!$J$12,0)</f>
        <v>50609</v>
      </c>
    </row>
    <row r="253" spans="4:15" s="327" customFormat="1" ht="15" x14ac:dyDescent="0.2">
      <c r="D253" s="659" t="str">
        <f>"Total "&amp;D242</f>
        <v>Total Population Seeking Procedure</v>
      </c>
      <c r="H253" s="646" t="str">
        <f>Screen_BA!G10</f>
        <v>VIA</v>
      </c>
      <c r="J253" s="5">
        <f t="shared" ref="J253:O253" ca="1" si="59">SUM(J243:J252)</f>
        <v>491623</v>
      </c>
      <c r="K253" s="5">
        <f t="shared" ca="1" si="59"/>
        <v>504249</v>
      </c>
      <c r="L253" s="5">
        <f t="shared" ca="1" si="59"/>
        <v>517525</v>
      </c>
      <c r="M253" s="5">
        <f t="shared" ca="1" si="59"/>
        <v>601061</v>
      </c>
      <c r="N253" s="5">
        <f t="shared" ca="1" si="59"/>
        <v>685203</v>
      </c>
      <c r="O253" s="5">
        <f t="shared" ca="1" si="59"/>
        <v>769456</v>
      </c>
    </row>
    <row r="254" spans="4:15" s="327" customFormat="1" outlineLevel="1" x14ac:dyDescent="0.2"/>
    <row r="255" spans="4:15" s="327" customFormat="1" x14ac:dyDescent="0.2"/>
    <row r="256" spans="4:15" s="327" customFormat="1" ht="15" x14ac:dyDescent="0.2">
      <c r="D256" s="658" t="s">
        <v>1702</v>
      </c>
      <c r="H256" s="14" t="b">
        <f>Screen_Ann_TA!$H$246</f>
        <v>1</v>
      </c>
    </row>
    <row r="257" spans="4:15" s="327" customFormat="1" x14ac:dyDescent="0.2">
      <c r="D257" s="657" t="s">
        <v>1703</v>
      </c>
    </row>
    <row r="258" spans="4:15" s="327" customFormat="1" x14ac:dyDescent="0.2"/>
    <row r="259" spans="4:15" s="327" customFormat="1" ht="15" outlineLevel="1" x14ac:dyDescent="0.2">
      <c r="D259" s="679" t="str">
        <f>Screen_BA!$G$10&amp;" Procedures Performed (According to Home Region)"</f>
        <v>VIA Procedures Performed (According to Home Region)</v>
      </c>
    </row>
    <row r="260" spans="4:15" s="327" customFormat="1" outlineLevel="1" x14ac:dyDescent="0.2">
      <c r="D260" s="660" t="str">
        <f>Screen_LU!D23</f>
        <v>Central</v>
      </c>
      <c r="H260" s="660" t="str">
        <f>Screen_BA!G$10</f>
        <v>VIA</v>
      </c>
      <c r="J260" s="5">
        <f ca="1">ROUND(IF(Screen_Ann_TA!$H$246,IF(J243&lt;=J230,J243,J243-MAX((J$253-J$240),0)*IFERROR((J243-J230)/SUMPRODUCT((J$243:J$252&gt;J$230:J$239)*(J$243:J$252-J$230:J$239)),0)),J273),0)</f>
        <v>5788</v>
      </c>
      <c r="K260" s="5">
        <f ca="1">ROUND(IF(Screen_Ann_TA!$H$246,IF(K243&lt;=K230,K243,K243-MAX((K$253-K$240),0)*IFERROR((K243-K230)/SUMPRODUCT((K$243:K$252&gt;K$230:K$239)*(K$243:K$252-K$230:K$239)),0)),K273),0)</f>
        <v>5788</v>
      </c>
      <c r="L260" s="5">
        <f ca="1">ROUND(IF(Screen_Ann_TA!$H$246,IF(L243&lt;=L230,L243,L243-MAX((L$253-L$240),0)*IFERROR((L243-L230)/SUMPRODUCT((L$243:L$252&gt;L$230:L$239)*(L$243:L$252-L$230:L$239)),0)),L273),0)</f>
        <v>5788</v>
      </c>
      <c r="M260" s="5">
        <f ca="1">ROUND(IF(Screen_Ann_TA!$H$246,IF(M243&lt;=M230,M243,M243-MAX((M$253-M$240),0)*IFERROR((M243-M230)/SUMPRODUCT((M$243:M$252&gt;M$230:M$239)*(M$243:M$252-M$230:M$239)),0)),M273),0)</f>
        <v>5788</v>
      </c>
      <c r="N260" s="5">
        <f ca="1">ROUND(IF(Screen_Ann_TA!$H$246,IF(N243&lt;=N230,N243,N243-MAX((N$253-N$240),0)*IFERROR((N243-N230)/SUMPRODUCT((N$243:N$252&gt;N$230:N$239)*(N$243:N$252-N$230:N$239)),0)),N273),0)</f>
        <v>5788</v>
      </c>
      <c r="O260" s="5">
        <f ca="1">ROUND(IF(Screen_Ann_TA!$H$246,IF(O243&lt;=O230,O243,O243-MAX((O$253-O$240),0)*IFERROR((O243-O230)/SUMPRODUCT((O$243:O$252&gt;O$230:O$239)*(O$243:O$252-O$230:O$239)),0)),O273),0)</f>
        <v>5788</v>
      </c>
    </row>
    <row r="261" spans="4:15" s="327" customFormat="1" outlineLevel="1" x14ac:dyDescent="0.2">
      <c r="D261" s="660" t="str">
        <f>Screen_LU!D24</f>
        <v>Copperbelt</v>
      </c>
      <c r="H261" s="660" t="str">
        <f>Screen_BA!G$10</f>
        <v>VIA</v>
      </c>
      <c r="J261" s="5">
        <f ca="1">ROUND(IF(Screen_Ann_TA!$H$246,IF(J244&lt;=J231,J244,J244-MAX((J$253-J$240),0)*IFERROR((J244-J231)/SUMPRODUCT((J$243:J$252&gt;J$230:J$239)*(J$243:J$252-J$230:J$239)),0)),J274),0)</f>
        <v>8128</v>
      </c>
      <c r="K261" s="5">
        <f ca="1">ROUND(IF(Screen_Ann_TA!$H$246,IF(K244&lt;=K231,K244,K244-MAX((K$253-K$240),0)*IFERROR((K244-K231)/SUMPRODUCT((K$243:K$252&gt;K$230:K$239)*(K$243:K$252-K$230:K$239)),0)),K274),0)</f>
        <v>8128</v>
      </c>
      <c r="L261" s="5">
        <f ca="1">ROUND(IF(Screen_Ann_TA!$H$246,IF(L244&lt;=L231,L244,L244-MAX((L$253-L$240),0)*IFERROR((L244-L231)/SUMPRODUCT((L$243:L$252&gt;L$230:L$239)*(L$243:L$252-L$230:L$239)),0)),L274),0)</f>
        <v>8128</v>
      </c>
      <c r="M261" s="5">
        <f ca="1">ROUND(IF(Screen_Ann_TA!$H$246,IF(M244&lt;=M231,M244,M244-MAX((M$253-M$240),0)*IFERROR((M244-M231)/SUMPRODUCT((M$243:M$252&gt;M$230:M$239)*(M$243:M$252-M$230:M$239)),0)),M274),0)</f>
        <v>8128</v>
      </c>
      <c r="N261" s="5">
        <f ca="1">ROUND(IF(Screen_Ann_TA!$H$246,IF(N244&lt;=N231,N244,N244-MAX((N$253-N$240),0)*IFERROR((N244-N231)/SUMPRODUCT((N$243:N$252&gt;N$230:N$239)*(N$243:N$252-N$230:N$239)),0)),N274),0)</f>
        <v>8128</v>
      </c>
      <c r="O261" s="5">
        <f ca="1">ROUND(IF(Screen_Ann_TA!$H$246,IF(O244&lt;=O231,O244,O244-MAX((O$253-O$240),0)*IFERROR((O244-O231)/SUMPRODUCT((O$243:O$252&gt;O$230:O$239)*(O$243:O$252-O$230:O$239)),0)),O274),0)</f>
        <v>8128</v>
      </c>
    </row>
    <row r="262" spans="4:15" s="327" customFormat="1" outlineLevel="1" x14ac:dyDescent="0.2">
      <c r="D262" s="660" t="str">
        <f>Screen_LU!D25</f>
        <v>Eastern</v>
      </c>
      <c r="H262" s="660" t="str">
        <f>Screen_BA!G$10</f>
        <v>VIA</v>
      </c>
      <c r="J262" s="5">
        <f ca="1">ROUND(IF(Screen_Ann_TA!$H$246,IF(J245&lt;=J232,J245,J245-MAX((J$253-J$240),0)*IFERROR((J245-J232)/SUMPRODUCT((J$243:J$252&gt;J$230:J$239)*(J$243:J$252-J$230:J$239)),0)),J275),0)</f>
        <v>10468</v>
      </c>
      <c r="K262" s="5">
        <f ca="1">ROUND(IF(Screen_Ann_TA!$H$246,IF(K245&lt;=K232,K245,K245-MAX((K$253-K$240),0)*IFERROR((K245-K232)/SUMPRODUCT((K$243:K$252&gt;K$230:K$239)*(K$243:K$252-K$230:K$239)),0)),K275),0)</f>
        <v>10468</v>
      </c>
      <c r="L262" s="5">
        <f ca="1">ROUND(IF(Screen_Ann_TA!$H$246,IF(L245&lt;=L232,L245,L245-MAX((L$253-L$240),0)*IFERROR((L245-L232)/SUMPRODUCT((L$243:L$252&gt;L$230:L$239)*(L$243:L$252-L$230:L$239)),0)),L275),0)</f>
        <v>10468</v>
      </c>
      <c r="M262" s="5">
        <f ca="1">ROUND(IF(Screen_Ann_TA!$H$246,IF(M245&lt;=M232,M245,M245-MAX((M$253-M$240),0)*IFERROR((M245-M232)/SUMPRODUCT((M$243:M$252&gt;M$230:M$239)*(M$243:M$252-M$230:M$239)),0)),M275),0)</f>
        <v>10468</v>
      </c>
      <c r="N262" s="5">
        <f ca="1">ROUND(IF(Screen_Ann_TA!$H$246,IF(N245&lt;=N232,N245,N245-MAX((N$253-N$240),0)*IFERROR((N245-N232)/SUMPRODUCT((N$243:N$252&gt;N$230:N$239)*(N$243:N$252-N$230:N$239)),0)),N275),0)</f>
        <v>10468</v>
      </c>
      <c r="O262" s="5">
        <f ca="1">ROUND(IF(Screen_Ann_TA!$H$246,IF(O245&lt;=O232,O245,O245-MAX((O$253-O$240),0)*IFERROR((O245-O232)/SUMPRODUCT((O$243:O$252&gt;O$230:O$239)*(O$243:O$252-O$230:O$239)),0)),O275),0)</f>
        <v>10468</v>
      </c>
    </row>
    <row r="263" spans="4:15" s="327" customFormat="1" outlineLevel="1" x14ac:dyDescent="0.2">
      <c r="D263" s="660" t="str">
        <f>Screen_LU!D26</f>
        <v>Luapula</v>
      </c>
      <c r="H263" s="660" t="str">
        <f>Screen_BA!G$10</f>
        <v>VIA</v>
      </c>
      <c r="J263" s="5">
        <f ca="1">ROUND(IF(Screen_Ann_TA!$H$246,IF(J246&lt;=J233,J246,J246-MAX((J$253-J$240),0)*IFERROR((J246-J233)/SUMPRODUCT((J$243:J$252&gt;J$230:J$239)*(J$243:J$252-J$230:J$239)),0)),J276),0)</f>
        <v>8128</v>
      </c>
      <c r="K263" s="5">
        <f ca="1">ROUND(IF(Screen_Ann_TA!$H$246,IF(K246&lt;=K233,K246,K246-MAX((K$253-K$240),0)*IFERROR((K246-K233)/SUMPRODUCT((K$243:K$252&gt;K$230:K$239)*(K$243:K$252-K$230:K$239)),0)),K276),0)</f>
        <v>8128</v>
      </c>
      <c r="L263" s="5">
        <f ca="1">ROUND(IF(Screen_Ann_TA!$H$246,IF(L246&lt;=L233,L246,L246-MAX((L$253-L$240),0)*IFERROR((L246-L233)/SUMPRODUCT((L$243:L$252&gt;L$230:L$239)*(L$243:L$252-L$230:L$239)),0)),L276),0)</f>
        <v>8128</v>
      </c>
      <c r="M263" s="5">
        <f ca="1">ROUND(IF(Screen_Ann_TA!$H$246,IF(M246&lt;=M233,M246,M246-MAX((M$253-M$240),0)*IFERROR((M246-M233)/SUMPRODUCT((M$243:M$252&gt;M$230:M$239)*(M$243:M$252-M$230:M$239)),0)),M276),0)</f>
        <v>8128</v>
      </c>
      <c r="N263" s="5">
        <f ca="1">ROUND(IF(Screen_Ann_TA!$H$246,IF(N246&lt;=N233,N246,N246-MAX((N$253-N$240),0)*IFERROR((N246-N233)/SUMPRODUCT((N$243:N$252&gt;N$230:N$239)*(N$243:N$252-N$230:N$239)),0)),N276),0)</f>
        <v>8128</v>
      </c>
      <c r="O263" s="5">
        <f ca="1">ROUND(IF(Screen_Ann_TA!$H$246,IF(O246&lt;=O233,O246,O246-MAX((O$253-O$240),0)*IFERROR((O246-O233)/SUMPRODUCT((O$243:O$252&gt;O$230:O$239)*(O$243:O$252-O$230:O$239)),0)),O276),0)</f>
        <v>8128</v>
      </c>
    </row>
    <row r="264" spans="4:15" s="327" customFormat="1" outlineLevel="1" x14ac:dyDescent="0.2">
      <c r="D264" s="660" t="str">
        <f>Screen_LU!D27</f>
        <v>Lusaka</v>
      </c>
      <c r="H264" s="660" t="str">
        <f>Screen_BA!G$10</f>
        <v>VIA</v>
      </c>
      <c r="J264" s="5">
        <f ca="1">ROUND(IF(Screen_Ann_TA!$H$246,IF(J247&lt;=J234,J247,J247-MAX((J$253-J$240),0)*IFERROR((J247-J234)/SUMPRODUCT((J$243:J$252&gt;J$230:J$239)*(J$243:J$252-J$230:J$239)),0)),J277),0)</f>
        <v>29188</v>
      </c>
      <c r="K264" s="5">
        <f ca="1">ROUND(IF(Screen_Ann_TA!$H$246,IF(K247&lt;=K234,K247,K247-MAX((K$253-K$240),0)*IFERROR((K247-K234)/SUMPRODUCT((K$243:K$252&gt;K$230:K$239)*(K$243:K$252-K$230:K$239)),0)),K277),0)</f>
        <v>29188</v>
      </c>
      <c r="L264" s="5">
        <f ca="1">ROUND(IF(Screen_Ann_TA!$H$246,IF(L247&lt;=L234,L247,L247-MAX((L$253-L$240),0)*IFERROR((L247-L234)/SUMPRODUCT((L$243:L$252&gt;L$230:L$239)*(L$243:L$252-L$230:L$239)),0)),L277),0)</f>
        <v>29188</v>
      </c>
      <c r="M264" s="5">
        <f ca="1">ROUND(IF(Screen_Ann_TA!$H$246,IF(M247&lt;=M234,M247,M247-MAX((M$253-M$240),0)*IFERROR((M247-M234)/SUMPRODUCT((M$243:M$252&gt;M$230:M$239)*(M$243:M$252-M$230:M$239)),0)),M277),0)</f>
        <v>29188</v>
      </c>
      <c r="N264" s="5">
        <f ca="1">ROUND(IF(Screen_Ann_TA!$H$246,IF(N247&lt;=N234,N247,N247-MAX((N$253-N$240),0)*IFERROR((N247-N234)/SUMPRODUCT((N$243:N$252&gt;N$230:N$239)*(N$243:N$252-N$230:N$239)),0)),N277),0)</f>
        <v>29188</v>
      </c>
      <c r="O264" s="5">
        <f ca="1">ROUND(IF(Screen_Ann_TA!$H$246,IF(O247&lt;=O234,O247,O247-MAX((O$253-O$240),0)*IFERROR((O247-O234)/SUMPRODUCT((O$243:O$252&gt;O$230:O$239)*(O$243:O$252-O$230:O$239)),0)),O277),0)</f>
        <v>29188</v>
      </c>
    </row>
    <row r="265" spans="4:15" s="327" customFormat="1" outlineLevel="1" x14ac:dyDescent="0.2">
      <c r="D265" s="660" t="str">
        <f>Screen_LU!D28</f>
        <v>Muchinga</v>
      </c>
      <c r="H265" s="660" t="str">
        <f>Screen_BA!G$10</f>
        <v>VIA</v>
      </c>
      <c r="J265" s="5">
        <f ca="1">ROUND(IF(Screen_Ann_TA!$H$246,IF(J248&lt;=J235,J248,J248-MAX((J$253-J$240),0)*IFERROR((J248-J235)/SUMPRODUCT((J$243:J$252&gt;J$230:J$239)*(J$243:J$252-J$230:J$239)),0)),J278),0)</f>
        <v>554</v>
      </c>
      <c r="K265" s="5">
        <f ca="1">ROUND(IF(Screen_Ann_TA!$H$246,IF(K248&lt;=K235,K248,K248-MAX((K$253-K$240),0)*IFERROR((K248-K235)/SUMPRODUCT((K$243:K$252&gt;K$230:K$239)*(K$243:K$252-K$230:K$239)),0)),K278),0)</f>
        <v>554</v>
      </c>
      <c r="L265" s="5">
        <f ca="1">ROUND(IF(Screen_Ann_TA!$H$246,IF(L248&lt;=L235,L248,L248-MAX((L$253-L$240),0)*IFERROR((L248-L235)/SUMPRODUCT((L$243:L$252&gt;L$230:L$239)*(L$243:L$252-L$230:L$239)),0)),L278),0)</f>
        <v>554</v>
      </c>
      <c r="M265" s="5">
        <f ca="1">ROUND(IF(Screen_Ann_TA!$H$246,IF(M248&lt;=M235,M248,M248-MAX((M$253-M$240),0)*IFERROR((M248-M235)/SUMPRODUCT((M$243:M$252&gt;M$230:M$239)*(M$243:M$252-M$230:M$239)),0)),M278),0)</f>
        <v>554</v>
      </c>
      <c r="N265" s="5">
        <f ca="1">ROUND(IF(Screen_Ann_TA!$H$246,IF(N248&lt;=N235,N248,N248-MAX((N$253-N$240),0)*IFERROR((N248-N235)/SUMPRODUCT((N$243:N$252&gt;N$230:N$239)*(N$243:N$252-N$230:N$239)),0)),N278),0)</f>
        <v>554</v>
      </c>
      <c r="O265" s="5">
        <f ca="1">ROUND(IF(Screen_Ann_TA!$H$246,IF(O248&lt;=O235,O248,O248-MAX((O$253-O$240),0)*IFERROR((O248-O235)/SUMPRODUCT((O$243:O$252&gt;O$230:O$239)*(O$243:O$252-O$230:O$239)),0)),O278),0)</f>
        <v>554</v>
      </c>
    </row>
    <row r="266" spans="4:15" s="327" customFormat="1" outlineLevel="1" x14ac:dyDescent="0.2">
      <c r="D266" s="660" t="str">
        <f>Screen_LU!D29</f>
        <v>Northern</v>
      </c>
      <c r="H266" s="660" t="str">
        <f>Screen_BA!G$10</f>
        <v>VIA</v>
      </c>
      <c r="J266" s="5">
        <f ca="1">ROUND(IF(Screen_Ann_TA!$H$246,IF(J249&lt;=J236,J249,J249-MAX((J$253-J$240),0)*IFERROR((J249-J236)/SUMPRODUCT((J$243:J$252&gt;J$230:J$239)*(J$243:J$252-J$230:J$239)),0)),J279),0)</f>
        <v>2894</v>
      </c>
      <c r="K266" s="5">
        <f ca="1">ROUND(IF(Screen_Ann_TA!$H$246,IF(K249&lt;=K236,K249,K249-MAX((K$253-K$240),0)*IFERROR((K249-K236)/SUMPRODUCT((K$243:K$252&gt;K$230:K$239)*(K$243:K$252-K$230:K$239)),0)),K279),0)</f>
        <v>2894</v>
      </c>
      <c r="L266" s="5">
        <f ca="1">ROUND(IF(Screen_Ann_TA!$H$246,IF(L249&lt;=L236,L249,L249-MAX((L$253-L$240),0)*IFERROR((L249-L236)/SUMPRODUCT((L$243:L$252&gt;L$230:L$239)*(L$243:L$252-L$230:L$239)),0)),L279),0)</f>
        <v>2894</v>
      </c>
      <c r="M266" s="5">
        <f ca="1">ROUND(IF(Screen_Ann_TA!$H$246,IF(M249&lt;=M236,M249,M249-MAX((M$253-M$240),0)*IFERROR((M249-M236)/SUMPRODUCT((M$243:M$252&gt;M$230:M$239)*(M$243:M$252-M$230:M$239)),0)),M279),0)</f>
        <v>2894</v>
      </c>
      <c r="N266" s="5">
        <f ca="1">ROUND(IF(Screen_Ann_TA!$H$246,IF(N249&lt;=N236,N249,N249-MAX((N$253-N$240),0)*IFERROR((N249-N236)/SUMPRODUCT((N$243:N$252&gt;N$230:N$239)*(N$243:N$252-N$230:N$239)),0)),N279),0)</f>
        <v>2894</v>
      </c>
      <c r="O266" s="5">
        <f ca="1">ROUND(IF(Screen_Ann_TA!$H$246,IF(O249&lt;=O236,O249,O249-MAX((O$253-O$240),0)*IFERROR((O249-O236)/SUMPRODUCT((O$243:O$252&gt;O$230:O$239)*(O$243:O$252-O$230:O$239)),0)),O279),0)</f>
        <v>2894</v>
      </c>
    </row>
    <row r="267" spans="4:15" s="327" customFormat="1" outlineLevel="1" x14ac:dyDescent="0.2">
      <c r="D267" s="660" t="str">
        <f>Screen_LU!D30</f>
        <v>North-Western</v>
      </c>
      <c r="H267" s="660" t="str">
        <f>Screen_BA!G$10</f>
        <v>VIA</v>
      </c>
      <c r="J267" s="5">
        <f ca="1">ROUND(IF(Screen_Ann_TA!$H$246,IF(J250&lt;=J237,J250,J250-MAX((J$253-J$240),0)*IFERROR((J250-J237)/SUMPRODUCT((J$243:J$252&gt;J$230:J$239)*(J$243:J$252-J$230:J$239)),0)),J280),0)</f>
        <v>3448</v>
      </c>
      <c r="K267" s="5">
        <f ca="1">ROUND(IF(Screen_Ann_TA!$H$246,IF(K250&lt;=K237,K250,K250-MAX((K$253-K$240),0)*IFERROR((K250-K237)/SUMPRODUCT((K$243:K$252&gt;K$230:K$239)*(K$243:K$252-K$230:K$239)),0)),K280),0)</f>
        <v>3448</v>
      </c>
      <c r="L267" s="5">
        <f ca="1">ROUND(IF(Screen_Ann_TA!$H$246,IF(L250&lt;=L237,L250,L250-MAX((L$253-L$240),0)*IFERROR((L250-L237)/SUMPRODUCT((L$243:L$252&gt;L$230:L$239)*(L$243:L$252-L$230:L$239)),0)),L280),0)</f>
        <v>3448</v>
      </c>
      <c r="M267" s="5">
        <f ca="1">ROUND(IF(Screen_Ann_TA!$H$246,IF(M250&lt;=M237,M250,M250-MAX((M$253-M$240),0)*IFERROR((M250-M237)/SUMPRODUCT((M$243:M$252&gt;M$230:M$239)*(M$243:M$252-M$230:M$239)),0)),M280),0)</f>
        <v>3448</v>
      </c>
      <c r="N267" s="5">
        <f ca="1">ROUND(IF(Screen_Ann_TA!$H$246,IF(N250&lt;=N237,N250,N250-MAX((N$253-N$240),0)*IFERROR((N250-N237)/SUMPRODUCT((N$243:N$252&gt;N$230:N$239)*(N$243:N$252-N$230:N$239)),0)),N280),0)</f>
        <v>3448</v>
      </c>
      <c r="O267" s="5">
        <f ca="1">ROUND(IF(Screen_Ann_TA!$H$246,IF(O250&lt;=O237,O250,O250-MAX((O$253-O$240),0)*IFERROR((O250-O237)/SUMPRODUCT((O$243:O$252&gt;O$230:O$239)*(O$243:O$252-O$230:O$239)),0)),O280),0)</f>
        <v>3448</v>
      </c>
    </row>
    <row r="268" spans="4:15" s="327" customFormat="1" outlineLevel="1" x14ac:dyDescent="0.2">
      <c r="D268" s="660" t="str">
        <f>Screen_LU!D31</f>
        <v>Southern</v>
      </c>
      <c r="H268" s="660" t="str">
        <f>Screen_BA!G$10</f>
        <v>VIA</v>
      </c>
      <c r="J268" s="5">
        <f ca="1">ROUND(IF(Screen_Ann_TA!$H$246,IF(J251&lt;=J238,J251,J251-MAX((J$253-J$240),0)*IFERROR((J251-J238)/SUMPRODUCT((J$243:J$252&gt;J$230:J$239)*(J$243:J$252-J$230:J$239)),0)),J281),0)</f>
        <v>8128</v>
      </c>
      <c r="K268" s="5">
        <f ca="1">ROUND(IF(Screen_Ann_TA!$H$246,IF(K251&lt;=K238,K251,K251-MAX((K$253-K$240),0)*IFERROR((K251-K238)/SUMPRODUCT((K$243:K$252&gt;K$230:K$239)*(K$243:K$252-K$230:K$239)),0)),K281),0)</f>
        <v>8128</v>
      </c>
      <c r="L268" s="5">
        <f ca="1">ROUND(IF(Screen_Ann_TA!$H$246,IF(L251&lt;=L238,L251,L251-MAX((L$253-L$240),0)*IFERROR((L251-L238)/SUMPRODUCT((L$243:L$252&gt;L$230:L$239)*(L$243:L$252-L$230:L$239)),0)),L281),0)</f>
        <v>8128</v>
      </c>
      <c r="M268" s="5">
        <f ca="1">ROUND(IF(Screen_Ann_TA!$H$246,IF(M251&lt;=M238,M251,M251-MAX((M$253-M$240),0)*IFERROR((M251-M238)/SUMPRODUCT((M$243:M$252&gt;M$230:M$239)*(M$243:M$252-M$230:M$239)),0)),M281),0)</f>
        <v>8128</v>
      </c>
      <c r="N268" s="5">
        <f ca="1">ROUND(IF(Screen_Ann_TA!$H$246,IF(N251&lt;=N238,N251,N251-MAX((N$253-N$240),0)*IFERROR((N251-N238)/SUMPRODUCT((N$243:N$252&gt;N$230:N$239)*(N$243:N$252-N$230:N$239)),0)),N281),0)</f>
        <v>8128</v>
      </c>
      <c r="O268" s="5">
        <f ca="1">ROUND(IF(Screen_Ann_TA!$H$246,IF(O251&lt;=O238,O251,O251-MAX((O$253-O$240),0)*IFERROR((O251-O238)/SUMPRODUCT((O$243:O$252&gt;O$230:O$239)*(O$243:O$252-O$230:O$239)),0)),O281),0)</f>
        <v>8128</v>
      </c>
    </row>
    <row r="269" spans="4:15" s="327" customFormat="1" outlineLevel="1" x14ac:dyDescent="0.2">
      <c r="D269" s="660" t="str">
        <f>Screen_LU!D32</f>
        <v>Western</v>
      </c>
      <c r="H269" s="660" t="str">
        <f>Screen_BA!G$10</f>
        <v>VIA</v>
      </c>
      <c r="J269" s="5">
        <f ca="1">ROUND(IF(Screen_Ann_TA!$H$246,IF(J252&lt;=J239,J252,J252-MAX((J$253-J$240),0)*IFERROR((J252-J239)/SUMPRODUCT((J$243:J$252&gt;J$230:J$239)*(J$243:J$252-J$230:J$239)),0)),J282),0)</f>
        <v>8128</v>
      </c>
      <c r="K269" s="5">
        <f ca="1">ROUND(IF(Screen_Ann_TA!$H$246,IF(K252&lt;=K239,K252,K252-MAX((K$253-K$240),0)*IFERROR((K252-K239)/SUMPRODUCT((K$243:K$252&gt;K$230:K$239)*(K$243:K$252-K$230:K$239)),0)),K282),0)</f>
        <v>8128</v>
      </c>
      <c r="L269" s="5">
        <f ca="1">ROUND(IF(Screen_Ann_TA!$H$246,IF(L252&lt;=L239,L252,L252-MAX((L$253-L$240),0)*IFERROR((L252-L239)/SUMPRODUCT((L$243:L$252&gt;L$230:L$239)*(L$243:L$252-L$230:L$239)),0)),L282),0)</f>
        <v>8128</v>
      </c>
      <c r="M269" s="5">
        <f ca="1">ROUND(IF(Screen_Ann_TA!$H$246,IF(M252&lt;=M239,M252,M252-MAX((M$253-M$240),0)*IFERROR((M252-M239)/SUMPRODUCT((M$243:M$252&gt;M$230:M$239)*(M$243:M$252-M$230:M$239)),0)),M282),0)</f>
        <v>8128</v>
      </c>
      <c r="N269" s="5">
        <f ca="1">ROUND(IF(Screen_Ann_TA!$H$246,IF(N252&lt;=N239,N252,N252-MAX((N$253-N$240),0)*IFERROR((N252-N239)/SUMPRODUCT((N$243:N$252&gt;N$230:N$239)*(N$243:N$252-N$230:N$239)),0)),N282),0)</f>
        <v>8128</v>
      </c>
      <c r="O269" s="5">
        <f ca="1">ROUND(IF(Screen_Ann_TA!$H$246,IF(O252&lt;=O239,O252,O252-MAX((O$253-O$240),0)*IFERROR((O252-O239)/SUMPRODUCT((O$243:O$252&gt;O$230:O$239)*(O$243:O$252-O$230:O$239)),0)),O282),0)</f>
        <v>8128</v>
      </c>
    </row>
    <row r="270" spans="4:15" s="327" customFormat="1" ht="15" outlineLevel="1" x14ac:dyDescent="0.2">
      <c r="D270" s="680" t="s">
        <v>121</v>
      </c>
      <c r="H270" s="646"/>
      <c r="J270" s="5">
        <f t="shared" ref="J270:O270" ca="1" si="60">SUM(J260:J269)</f>
        <v>84852</v>
      </c>
      <c r="K270" s="5">
        <f t="shared" ca="1" si="60"/>
        <v>84852</v>
      </c>
      <c r="L270" s="5">
        <f t="shared" ca="1" si="60"/>
        <v>84852</v>
      </c>
      <c r="M270" s="5">
        <f t="shared" ca="1" si="60"/>
        <v>84852</v>
      </c>
      <c r="N270" s="5">
        <f t="shared" ca="1" si="60"/>
        <v>84852</v>
      </c>
      <c r="O270" s="5">
        <f t="shared" ca="1" si="60"/>
        <v>84852</v>
      </c>
    </row>
    <row r="271" spans="4:15" s="327" customFormat="1" outlineLevel="1" x14ac:dyDescent="0.2"/>
    <row r="272" spans="4:15" s="327" customFormat="1" ht="15" outlineLevel="1" x14ac:dyDescent="0.2">
      <c r="D272" s="658" t="s">
        <v>104</v>
      </c>
    </row>
    <row r="273" spans="4:15" s="327" customFormat="1" outlineLevel="1" x14ac:dyDescent="0.2">
      <c r="D273" s="660" t="str">
        <f>Screen_LU!D23</f>
        <v>Central</v>
      </c>
      <c r="H273" s="660" t="str">
        <f>Screen_BA!G$10</f>
        <v>VIA</v>
      </c>
      <c r="J273" s="5">
        <f ca="1">ROUND(MIN(J230,IF(Screen_Ann_TA!$H$246,MAX(0,J243+IFERROR((SUMPRODUCT((J$230:J$239=0)*J$243:J$252)+SUMPRODUCT((J$230:J$239&gt;0)*(J$243:J$252&gt;J$230:J$239)*(J$243:J$252-J$230:J$239)))*J285/J$295,0)),J243)),0)</f>
        <v>5788</v>
      </c>
      <c r="K273" s="5">
        <f ca="1">ROUND(MIN(K230,IF(Screen_Ann_TA!$H$246,MAX(0,K243+IFERROR((SUMPRODUCT((K$230:K$239=0)*K$243:K$252)+SUMPRODUCT((K$230:K$239&gt;0)*(K$243:K$252&gt;K$230:K$239)*(K$243:K$252-K$230:K$239)))*K285/K$295,0)),K243)),0)</f>
        <v>5788</v>
      </c>
      <c r="L273" s="5">
        <f ca="1">ROUND(MIN(L230,IF(Screen_Ann_TA!$H$246,MAX(0,L243+IFERROR((SUMPRODUCT((L$230:L$239=0)*L$243:L$252)+SUMPRODUCT((L$230:L$239&gt;0)*(L$243:L$252&gt;L$230:L$239)*(L$243:L$252-L$230:L$239)))*L285/L$295,0)),L243)),0)</f>
        <v>5788</v>
      </c>
      <c r="M273" s="5">
        <f ca="1">ROUND(MIN(M230,IF(Screen_Ann_TA!$H$246,MAX(0,M243+IFERROR((SUMPRODUCT((M$230:M$239=0)*M$243:M$252)+SUMPRODUCT((M$230:M$239&gt;0)*(M$243:M$252&gt;M$230:M$239)*(M$243:M$252-M$230:M$239)))*M285/M$295,0)),M243)),0)</f>
        <v>5788</v>
      </c>
      <c r="N273" s="5">
        <f ca="1">ROUND(MIN(N230,IF(Screen_Ann_TA!$H$246,MAX(0,N243+IFERROR((SUMPRODUCT((N$230:N$239=0)*N$243:N$252)+SUMPRODUCT((N$230:N$239&gt;0)*(N$243:N$252&gt;N$230:N$239)*(N$243:N$252-N$230:N$239)))*N285/N$295,0)),N243)),0)</f>
        <v>5788</v>
      </c>
      <c r="O273" s="5">
        <f ca="1">ROUND(MIN(O230,IF(Screen_Ann_TA!$H$246,MAX(0,O243+IFERROR((SUMPRODUCT((O$230:O$239=0)*O$243:O$252)+SUMPRODUCT((O$230:O$239&gt;0)*(O$243:O$252&gt;O$230:O$239)*(O$243:O$252-O$230:O$239)))*O285/O$295,0)),O243)),0)</f>
        <v>5788</v>
      </c>
    </row>
    <row r="274" spans="4:15" s="327" customFormat="1" outlineLevel="1" x14ac:dyDescent="0.2">
      <c r="D274" s="660" t="str">
        <f>Screen_LU!D24</f>
        <v>Copperbelt</v>
      </c>
      <c r="H274" s="660" t="str">
        <f>Screen_BA!G$10</f>
        <v>VIA</v>
      </c>
      <c r="J274" s="5">
        <f ca="1">ROUND(MIN(J231,IF(Screen_Ann_TA!$H$246,MAX(0,J244+IFERROR((SUMPRODUCT((J$230:J$239=0)*J$243:J$252)+SUMPRODUCT((J$230:J$239&gt;0)*(J$243:J$252&gt;J$230:J$239)*(J$243:J$252-J$230:J$239)))*J286/J$295,0)),J244)),0)</f>
        <v>8128</v>
      </c>
      <c r="K274" s="5">
        <f ca="1">ROUND(MIN(K231,IF(Screen_Ann_TA!$H$246,MAX(0,K244+IFERROR((SUMPRODUCT((K$230:K$239=0)*K$243:K$252)+SUMPRODUCT((K$230:K$239&gt;0)*(K$243:K$252&gt;K$230:K$239)*(K$243:K$252-K$230:K$239)))*K286/K$295,0)),K244)),0)</f>
        <v>8128</v>
      </c>
      <c r="L274" s="5">
        <f ca="1">ROUND(MIN(L231,IF(Screen_Ann_TA!$H$246,MAX(0,L244+IFERROR((SUMPRODUCT((L$230:L$239=0)*L$243:L$252)+SUMPRODUCT((L$230:L$239&gt;0)*(L$243:L$252&gt;L$230:L$239)*(L$243:L$252-L$230:L$239)))*L286/L$295,0)),L244)),0)</f>
        <v>8128</v>
      </c>
      <c r="M274" s="5">
        <f ca="1">ROUND(MIN(M231,IF(Screen_Ann_TA!$H$246,MAX(0,M244+IFERROR((SUMPRODUCT((M$230:M$239=0)*M$243:M$252)+SUMPRODUCT((M$230:M$239&gt;0)*(M$243:M$252&gt;M$230:M$239)*(M$243:M$252-M$230:M$239)))*M286/M$295,0)),M244)),0)</f>
        <v>8128</v>
      </c>
      <c r="N274" s="5">
        <f ca="1">ROUND(MIN(N231,IF(Screen_Ann_TA!$H$246,MAX(0,N244+IFERROR((SUMPRODUCT((N$230:N$239=0)*N$243:N$252)+SUMPRODUCT((N$230:N$239&gt;0)*(N$243:N$252&gt;N$230:N$239)*(N$243:N$252-N$230:N$239)))*N286/N$295,0)),N244)),0)</f>
        <v>8128</v>
      </c>
      <c r="O274" s="5">
        <f ca="1">ROUND(MIN(O231,IF(Screen_Ann_TA!$H$246,MAX(0,O244+IFERROR((SUMPRODUCT((O$230:O$239=0)*O$243:O$252)+SUMPRODUCT((O$230:O$239&gt;0)*(O$243:O$252&gt;O$230:O$239)*(O$243:O$252-O$230:O$239)))*O286/O$295,0)),O244)),0)</f>
        <v>8128</v>
      </c>
    </row>
    <row r="275" spans="4:15" s="327" customFormat="1" outlineLevel="1" x14ac:dyDescent="0.2">
      <c r="D275" s="660" t="str">
        <f>Screen_LU!D25</f>
        <v>Eastern</v>
      </c>
      <c r="H275" s="660" t="str">
        <f>Screen_BA!G$10</f>
        <v>VIA</v>
      </c>
      <c r="J275" s="5">
        <f ca="1">ROUND(MIN(J232,IF(Screen_Ann_TA!$H$246,MAX(0,J245+IFERROR((SUMPRODUCT((J$230:J$239=0)*J$243:J$252)+SUMPRODUCT((J$230:J$239&gt;0)*(J$243:J$252&gt;J$230:J$239)*(J$243:J$252-J$230:J$239)))*J287/J$295,0)),J245)),0)</f>
        <v>10468</v>
      </c>
      <c r="K275" s="5">
        <f ca="1">ROUND(MIN(K232,IF(Screen_Ann_TA!$H$246,MAX(0,K245+IFERROR((SUMPRODUCT((K$230:K$239=0)*K$243:K$252)+SUMPRODUCT((K$230:K$239&gt;0)*(K$243:K$252&gt;K$230:K$239)*(K$243:K$252-K$230:K$239)))*K287/K$295,0)),K245)),0)</f>
        <v>10468</v>
      </c>
      <c r="L275" s="5">
        <f ca="1">ROUND(MIN(L232,IF(Screen_Ann_TA!$H$246,MAX(0,L245+IFERROR((SUMPRODUCT((L$230:L$239=0)*L$243:L$252)+SUMPRODUCT((L$230:L$239&gt;0)*(L$243:L$252&gt;L$230:L$239)*(L$243:L$252-L$230:L$239)))*L287/L$295,0)),L245)),0)</f>
        <v>10468</v>
      </c>
      <c r="M275" s="5">
        <f ca="1">ROUND(MIN(M232,IF(Screen_Ann_TA!$H$246,MAX(0,M245+IFERROR((SUMPRODUCT((M$230:M$239=0)*M$243:M$252)+SUMPRODUCT((M$230:M$239&gt;0)*(M$243:M$252&gt;M$230:M$239)*(M$243:M$252-M$230:M$239)))*M287/M$295,0)),M245)),0)</f>
        <v>10468</v>
      </c>
      <c r="N275" s="5">
        <f ca="1">ROUND(MIN(N232,IF(Screen_Ann_TA!$H$246,MAX(0,N245+IFERROR((SUMPRODUCT((N$230:N$239=0)*N$243:N$252)+SUMPRODUCT((N$230:N$239&gt;0)*(N$243:N$252&gt;N$230:N$239)*(N$243:N$252-N$230:N$239)))*N287/N$295,0)),N245)),0)</f>
        <v>10468</v>
      </c>
      <c r="O275" s="5">
        <f ca="1">ROUND(MIN(O232,IF(Screen_Ann_TA!$H$246,MAX(0,O245+IFERROR((SUMPRODUCT((O$230:O$239=0)*O$243:O$252)+SUMPRODUCT((O$230:O$239&gt;0)*(O$243:O$252&gt;O$230:O$239)*(O$243:O$252-O$230:O$239)))*O287/O$295,0)),O245)),0)</f>
        <v>10468</v>
      </c>
    </row>
    <row r="276" spans="4:15" s="327" customFormat="1" outlineLevel="1" x14ac:dyDescent="0.2">
      <c r="D276" s="660" t="str">
        <f>Screen_LU!D26</f>
        <v>Luapula</v>
      </c>
      <c r="H276" s="660" t="str">
        <f>Screen_BA!G$10</f>
        <v>VIA</v>
      </c>
      <c r="J276" s="5">
        <f ca="1">ROUND(MIN(J233,IF(Screen_Ann_TA!$H$246,MAX(0,J246+IFERROR((SUMPRODUCT((J$230:J$239=0)*J$243:J$252)+SUMPRODUCT((J$230:J$239&gt;0)*(J$243:J$252&gt;J$230:J$239)*(J$243:J$252-J$230:J$239)))*J288/J$295,0)),J246)),0)</f>
        <v>8128</v>
      </c>
      <c r="K276" s="5">
        <f ca="1">ROUND(MIN(K233,IF(Screen_Ann_TA!$H$246,MAX(0,K246+IFERROR((SUMPRODUCT((K$230:K$239=0)*K$243:K$252)+SUMPRODUCT((K$230:K$239&gt;0)*(K$243:K$252&gt;K$230:K$239)*(K$243:K$252-K$230:K$239)))*K288/K$295,0)),K246)),0)</f>
        <v>8128</v>
      </c>
      <c r="L276" s="5">
        <f ca="1">ROUND(MIN(L233,IF(Screen_Ann_TA!$H$246,MAX(0,L246+IFERROR((SUMPRODUCT((L$230:L$239=0)*L$243:L$252)+SUMPRODUCT((L$230:L$239&gt;0)*(L$243:L$252&gt;L$230:L$239)*(L$243:L$252-L$230:L$239)))*L288/L$295,0)),L246)),0)</f>
        <v>8128</v>
      </c>
      <c r="M276" s="5">
        <f ca="1">ROUND(MIN(M233,IF(Screen_Ann_TA!$H$246,MAX(0,M246+IFERROR((SUMPRODUCT((M$230:M$239=0)*M$243:M$252)+SUMPRODUCT((M$230:M$239&gt;0)*(M$243:M$252&gt;M$230:M$239)*(M$243:M$252-M$230:M$239)))*M288/M$295,0)),M246)),0)</f>
        <v>8128</v>
      </c>
      <c r="N276" s="5">
        <f ca="1">ROUND(MIN(N233,IF(Screen_Ann_TA!$H$246,MAX(0,N246+IFERROR((SUMPRODUCT((N$230:N$239=0)*N$243:N$252)+SUMPRODUCT((N$230:N$239&gt;0)*(N$243:N$252&gt;N$230:N$239)*(N$243:N$252-N$230:N$239)))*N288/N$295,0)),N246)),0)</f>
        <v>8128</v>
      </c>
      <c r="O276" s="5">
        <f ca="1">ROUND(MIN(O233,IF(Screen_Ann_TA!$H$246,MAX(0,O246+IFERROR((SUMPRODUCT((O$230:O$239=0)*O$243:O$252)+SUMPRODUCT((O$230:O$239&gt;0)*(O$243:O$252&gt;O$230:O$239)*(O$243:O$252-O$230:O$239)))*O288/O$295,0)),O246)),0)</f>
        <v>8128</v>
      </c>
    </row>
    <row r="277" spans="4:15" s="327" customFormat="1" outlineLevel="1" x14ac:dyDescent="0.2">
      <c r="D277" s="660" t="str">
        <f>Screen_LU!D27</f>
        <v>Lusaka</v>
      </c>
      <c r="H277" s="660" t="str">
        <f>Screen_BA!G$10</f>
        <v>VIA</v>
      </c>
      <c r="J277" s="5">
        <f ca="1">ROUND(MIN(J234,IF(Screen_Ann_TA!$H$246,MAX(0,J247+IFERROR((SUMPRODUCT((J$230:J$239=0)*J$243:J$252)+SUMPRODUCT((J$230:J$239&gt;0)*(J$243:J$252&gt;J$230:J$239)*(J$243:J$252-J$230:J$239)))*J289/J$295,0)),J247)),0)</f>
        <v>29188</v>
      </c>
      <c r="K277" s="5">
        <f ca="1">ROUND(MIN(K234,IF(Screen_Ann_TA!$H$246,MAX(0,K247+IFERROR((SUMPRODUCT((K$230:K$239=0)*K$243:K$252)+SUMPRODUCT((K$230:K$239&gt;0)*(K$243:K$252&gt;K$230:K$239)*(K$243:K$252-K$230:K$239)))*K289/K$295,0)),K247)),0)</f>
        <v>29188</v>
      </c>
      <c r="L277" s="5">
        <f ca="1">ROUND(MIN(L234,IF(Screen_Ann_TA!$H$246,MAX(0,L247+IFERROR((SUMPRODUCT((L$230:L$239=0)*L$243:L$252)+SUMPRODUCT((L$230:L$239&gt;0)*(L$243:L$252&gt;L$230:L$239)*(L$243:L$252-L$230:L$239)))*L289/L$295,0)),L247)),0)</f>
        <v>29188</v>
      </c>
      <c r="M277" s="5">
        <f ca="1">ROUND(MIN(M234,IF(Screen_Ann_TA!$H$246,MAX(0,M247+IFERROR((SUMPRODUCT((M$230:M$239=0)*M$243:M$252)+SUMPRODUCT((M$230:M$239&gt;0)*(M$243:M$252&gt;M$230:M$239)*(M$243:M$252-M$230:M$239)))*M289/M$295,0)),M247)),0)</f>
        <v>29188</v>
      </c>
      <c r="N277" s="5">
        <f ca="1">ROUND(MIN(N234,IF(Screen_Ann_TA!$H$246,MAX(0,N247+IFERROR((SUMPRODUCT((N$230:N$239=0)*N$243:N$252)+SUMPRODUCT((N$230:N$239&gt;0)*(N$243:N$252&gt;N$230:N$239)*(N$243:N$252-N$230:N$239)))*N289/N$295,0)),N247)),0)</f>
        <v>29188</v>
      </c>
      <c r="O277" s="5">
        <f ca="1">ROUND(MIN(O234,IF(Screen_Ann_TA!$H$246,MAX(0,O247+IFERROR((SUMPRODUCT((O$230:O$239=0)*O$243:O$252)+SUMPRODUCT((O$230:O$239&gt;0)*(O$243:O$252&gt;O$230:O$239)*(O$243:O$252-O$230:O$239)))*O289/O$295,0)),O247)),0)</f>
        <v>29188</v>
      </c>
    </row>
    <row r="278" spans="4:15" s="327" customFormat="1" outlineLevel="1" x14ac:dyDescent="0.2">
      <c r="D278" s="660" t="str">
        <f>Screen_LU!D28</f>
        <v>Muchinga</v>
      </c>
      <c r="H278" s="660" t="str">
        <f>Screen_BA!G$10</f>
        <v>VIA</v>
      </c>
      <c r="J278" s="5">
        <f ca="1">ROUND(MIN(J235,IF(Screen_Ann_TA!$H$246,MAX(0,J248+IFERROR((SUMPRODUCT((J$230:J$239=0)*J$243:J$252)+SUMPRODUCT((J$230:J$239&gt;0)*(J$243:J$252&gt;J$230:J$239)*(J$243:J$252-J$230:J$239)))*J290/J$295,0)),J248)),0)</f>
        <v>554</v>
      </c>
      <c r="K278" s="5">
        <f ca="1">ROUND(MIN(K235,IF(Screen_Ann_TA!$H$246,MAX(0,K248+IFERROR((SUMPRODUCT((K$230:K$239=0)*K$243:K$252)+SUMPRODUCT((K$230:K$239&gt;0)*(K$243:K$252&gt;K$230:K$239)*(K$243:K$252-K$230:K$239)))*K290/K$295,0)),K248)),0)</f>
        <v>554</v>
      </c>
      <c r="L278" s="5">
        <f ca="1">ROUND(MIN(L235,IF(Screen_Ann_TA!$H$246,MAX(0,L248+IFERROR((SUMPRODUCT((L$230:L$239=0)*L$243:L$252)+SUMPRODUCT((L$230:L$239&gt;0)*(L$243:L$252&gt;L$230:L$239)*(L$243:L$252-L$230:L$239)))*L290/L$295,0)),L248)),0)</f>
        <v>554</v>
      </c>
      <c r="M278" s="5">
        <f ca="1">ROUND(MIN(M235,IF(Screen_Ann_TA!$H$246,MAX(0,M248+IFERROR((SUMPRODUCT((M$230:M$239=0)*M$243:M$252)+SUMPRODUCT((M$230:M$239&gt;0)*(M$243:M$252&gt;M$230:M$239)*(M$243:M$252-M$230:M$239)))*M290/M$295,0)),M248)),0)</f>
        <v>554</v>
      </c>
      <c r="N278" s="5">
        <f ca="1">ROUND(MIN(N235,IF(Screen_Ann_TA!$H$246,MAX(0,N248+IFERROR((SUMPRODUCT((N$230:N$239=0)*N$243:N$252)+SUMPRODUCT((N$230:N$239&gt;0)*(N$243:N$252&gt;N$230:N$239)*(N$243:N$252-N$230:N$239)))*N290/N$295,0)),N248)),0)</f>
        <v>554</v>
      </c>
      <c r="O278" s="5">
        <f ca="1">ROUND(MIN(O235,IF(Screen_Ann_TA!$H$246,MAX(0,O248+IFERROR((SUMPRODUCT((O$230:O$239=0)*O$243:O$252)+SUMPRODUCT((O$230:O$239&gt;0)*(O$243:O$252&gt;O$230:O$239)*(O$243:O$252-O$230:O$239)))*O290/O$295,0)),O248)),0)</f>
        <v>554</v>
      </c>
    </row>
    <row r="279" spans="4:15" s="327" customFormat="1" outlineLevel="1" x14ac:dyDescent="0.2">
      <c r="D279" s="660" t="str">
        <f>Screen_LU!D29</f>
        <v>Northern</v>
      </c>
      <c r="H279" s="660" t="str">
        <f>Screen_BA!G$10</f>
        <v>VIA</v>
      </c>
      <c r="J279" s="5">
        <f ca="1">ROUND(MIN(J236,IF(Screen_Ann_TA!$H$246,MAX(0,J249+IFERROR((SUMPRODUCT((J$230:J$239=0)*J$243:J$252)+SUMPRODUCT((J$230:J$239&gt;0)*(J$243:J$252&gt;J$230:J$239)*(J$243:J$252-J$230:J$239)))*J291/J$295,0)),J249)),0)</f>
        <v>2894</v>
      </c>
      <c r="K279" s="5">
        <f ca="1">ROUND(MIN(K236,IF(Screen_Ann_TA!$H$246,MAX(0,K249+IFERROR((SUMPRODUCT((K$230:K$239=0)*K$243:K$252)+SUMPRODUCT((K$230:K$239&gt;0)*(K$243:K$252&gt;K$230:K$239)*(K$243:K$252-K$230:K$239)))*K291/K$295,0)),K249)),0)</f>
        <v>2894</v>
      </c>
      <c r="L279" s="5">
        <f ca="1">ROUND(MIN(L236,IF(Screen_Ann_TA!$H$246,MAX(0,L249+IFERROR((SUMPRODUCT((L$230:L$239=0)*L$243:L$252)+SUMPRODUCT((L$230:L$239&gt;0)*(L$243:L$252&gt;L$230:L$239)*(L$243:L$252-L$230:L$239)))*L291/L$295,0)),L249)),0)</f>
        <v>2894</v>
      </c>
      <c r="M279" s="5">
        <f ca="1">ROUND(MIN(M236,IF(Screen_Ann_TA!$H$246,MAX(0,M249+IFERROR((SUMPRODUCT((M$230:M$239=0)*M$243:M$252)+SUMPRODUCT((M$230:M$239&gt;0)*(M$243:M$252&gt;M$230:M$239)*(M$243:M$252-M$230:M$239)))*M291/M$295,0)),M249)),0)</f>
        <v>2894</v>
      </c>
      <c r="N279" s="5">
        <f ca="1">ROUND(MIN(N236,IF(Screen_Ann_TA!$H$246,MAX(0,N249+IFERROR((SUMPRODUCT((N$230:N$239=0)*N$243:N$252)+SUMPRODUCT((N$230:N$239&gt;0)*(N$243:N$252&gt;N$230:N$239)*(N$243:N$252-N$230:N$239)))*N291/N$295,0)),N249)),0)</f>
        <v>2894</v>
      </c>
      <c r="O279" s="5">
        <f ca="1">ROUND(MIN(O236,IF(Screen_Ann_TA!$H$246,MAX(0,O249+IFERROR((SUMPRODUCT((O$230:O$239=0)*O$243:O$252)+SUMPRODUCT((O$230:O$239&gt;0)*(O$243:O$252&gt;O$230:O$239)*(O$243:O$252-O$230:O$239)))*O291/O$295,0)),O249)),0)</f>
        <v>2894</v>
      </c>
    </row>
    <row r="280" spans="4:15" s="327" customFormat="1" outlineLevel="1" x14ac:dyDescent="0.2">
      <c r="D280" s="660" t="str">
        <f>Screen_LU!D30</f>
        <v>North-Western</v>
      </c>
      <c r="H280" s="660" t="str">
        <f>Screen_BA!G$10</f>
        <v>VIA</v>
      </c>
      <c r="J280" s="5">
        <f ca="1">ROUND(MIN(J237,IF(Screen_Ann_TA!$H$246,MAX(0,J250+IFERROR((SUMPRODUCT((J$230:J$239=0)*J$243:J$252)+SUMPRODUCT((J$230:J$239&gt;0)*(J$243:J$252&gt;J$230:J$239)*(J$243:J$252-J$230:J$239)))*J292/J$295,0)),J250)),0)</f>
        <v>3448</v>
      </c>
      <c r="K280" s="5">
        <f ca="1">ROUND(MIN(K237,IF(Screen_Ann_TA!$H$246,MAX(0,K250+IFERROR((SUMPRODUCT((K$230:K$239=0)*K$243:K$252)+SUMPRODUCT((K$230:K$239&gt;0)*(K$243:K$252&gt;K$230:K$239)*(K$243:K$252-K$230:K$239)))*K292/K$295,0)),K250)),0)</f>
        <v>3448</v>
      </c>
      <c r="L280" s="5">
        <f ca="1">ROUND(MIN(L237,IF(Screen_Ann_TA!$H$246,MAX(0,L250+IFERROR((SUMPRODUCT((L$230:L$239=0)*L$243:L$252)+SUMPRODUCT((L$230:L$239&gt;0)*(L$243:L$252&gt;L$230:L$239)*(L$243:L$252-L$230:L$239)))*L292/L$295,0)),L250)),0)</f>
        <v>3448</v>
      </c>
      <c r="M280" s="5">
        <f ca="1">ROUND(MIN(M237,IF(Screen_Ann_TA!$H$246,MAX(0,M250+IFERROR((SUMPRODUCT((M$230:M$239=0)*M$243:M$252)+SUMPRODUCT((M$230:M$239&gt;0)*(M$243:M$252&gt;M$230:M$239)*(M$243:M$252-M$230:M$239)))*M292/M$295,0)),M250)),0)</f>
        <v>3448</v>
      </c>
      <c r="N280" s="5">
        <f ca="1">ROUND(MIN(N237,IF(Screen_Ann_TA!$H$246,MAX(0,N250+IFERROR((SUMPRODUCT((N$230:N$239=0)*N$243:N$252)+SUMPRODUCT((N$230:N$239&gt;0)*(N$243:N$252&gt;N$230:N$239)*(N$243:N$252-N$230:N$239)))*N292/N$295,0)),N250)),0)</f>
        <v>3448</v>
      </c>
      <c r="O280" s="5">
        <f ca="1">ROUND(MIN(O237,IF(Screen_Ann_TA!$H$246,MAX(0,O250+IFERROR((SUMPRODUCT((O$230:O$239=0)*O$243:O$252)+SUMPRODUCT((O$230:O$239&gt;0)*(O$243:O$252&gt;O$230:O$239)*(O$243:O$252-O$230:O$239)))*O292/O$295,0)),O250)),0)</f>
        <v>3448</v>
      </c>
    </row>
    <row r="281" spans="4:15" s="327" customFormat="1" outlineLevel="1" x14ac:dyDescent="0.2">
      <c r="D281" s="660" t="str">
        <f>Screen_LU!D31</f>
        <v>Southern</v>
      </c>
      <c r="H281" s="660" t="str">
        <f>Screen_BA!G$10</f>
        <v>VIA</v>
      </c>
      <c r="J281" s="5">
        <f ca="1">ROUND(MIN(J238,IF(Screen_Ann_TA!$H$246,MAX(0,J251+IFERROR((SUMPRODUCT((J$230:J$239=0)*J$243:J$252)+SUMPRODUCT((J$230:J$239&gt;0)*(J$243:J$252&gt;J$230:J$239)*(J$243:J$252-J$230:J$239)))*J293/J$295,0)),J251)),0)</f>
        <v>8128</v>
      </c>
      <c r="K281" s="5">
        <f ca="1">ROUND(MIN(K238,IF(Screen_Ann_TA!$H$246,MAX(0,K251+IFERROR((SUMPRODUCT((K$230:K$239=0)*K$243:K$252)+SUMPRODUCT((K$230:K$239&gt;0)*(K$243:K$252&gt;K$230:K$239)*(K$243:K$252-K$230:K$239)))*K293/K$295,0)),K251)),0)</f>
        <v>8128</v>
      </c>
      <c r="L281" s="5">
        <f ca="1">ROUND(MIN(L238,IF(Screen_Ann_TA!$H$246,MAX(0,L251+IFERROR((SUMPRODUCT((L$230:L$239=0)*L$243:L$252)+SUMPRODUCT((L$230:L$239&gt;0)*(L$243:L$252&gt;L$230:L$239)*(L$243:L$252-L$230:L$239)))*L293/L$295,0)),L251)),0)</f>
        <v>8128</v>
      </c>
      <c r="M281" s="5">
        <f ca="1">ROUND(MIN(M238,IF(Screen_Ann_TA!$H$246,MAX(0,M251+IFERROR((SUMPRODUCT((M$230:M$239=0)*M$243:M$252)+SUMPRODUCT((M$230:M$239&gt;0)*(M$243:M$252&gt;M$230:M$239)*(M$243:M$252-M$230:M$239)))*M293/M$295,0)),M251)),0)</f>
        <v>8128</v>
      </c>
      <c r="N281" s="5">
        <f ca="1">ROUND(MIN(N238,IF(Screen_Ann_TA!$H$246,MAX(0,N251+IFERROR((SUMPRODUCT((N$230:N$239=0)*N$243:N$252)+SUMPRODUCT((N$230:N$239&gt;0)*(N$243:N$252&gt;N$230:N$239)*(N$243:N$252-N$230:N$239)))*N293/N$295,0)),N251)),0)</f>
        <v>8128</v>
      </c>
      <c r="O281" s="5">
        <f ca="1">ROUND(MIN(O238,IF(Screen_Ann_TA!$H$246,MAX(0,O251+IFERROR((SUMPRODUCT((O$230:O$239=0)*O$243:O$252)+SUMPRODUCT((O$230:O$239&gt;0)*(O$243:O$252&gt;O$230:O$239)*(O$243:O$252-O$230:O$239)))*O293/O$295,0)),O251)),0)</f>
        <v>8128</v>
      </c>
    </row>
    <row r="282" spans="4:15" s="327" customFormat="1" outlineLevel="1" x14ac:dyDescent="0.2">
      <c r="D282" s="660" t="str">
        <f>Screen_LU!D32</f>
        <v>Western</v>
      </c>
      <c r="H282" s="660" t="str">
        <f>Screen_BA!G$10</f>
        <v>VIA</v>
      </c>
      <c r="J282" s="5">
        <f ca="1">ROUND(MIN(J239,IF(Screen_Ann_TA!$H$246,MAX(0,J252+IFERROR((SUMPRODUCT((J$230:J$239=0)*J$243:J$252)+SUMPRODUCT((J$230:J$239&gt;0)*(J$243:J$252&gt;J$230:J$239)*(J$243:J$252-J$230:J$239)))*J294/J$295,0)),J252)),0)</f>
        <v>8128</v>
      </c>
      <c r="K282" s="5">
        <f ca="1">ROUND(MIN(K239,IF(Screen_Ann_TA!$H$246,MAX(0,K252+IFERROR((SUMPRODUCT((K$230:K$239=0)*K$243:K$252)+SUMPRODUCT((K$230:K$239&gt;0)*(K$243:K$252&gt;K$230:K$239)*(K$243:K$252-K$230:K$239)))*K294/K$295,0)),K252)),0)</f>
        <v>8128</v>
      </c>
      <c r="L282" s="5">
        <f ca="1">ROUND(MIN(L239,IF(Screen_Ann_TA!$H$246,MAX(0,L252+IFERROR((SUMPRODUCT((L$230:L$239=0)*L$243:L$252)+SUMPRODUCT((L$230:L$239&gt;0)*(L$243:L$252&gt;L$230:L$239)*(L$243:L$252-L$230:L$239)))*L294/L$295,0)),L252)),0)</f>
        <v>8128</v>
      </c>
      <c r="M282" s="5">
        <f ca="1">ROUND(MIN(M239,IF(Screen_Ann_TA!$H$246,MAX(0,M252+IFERROR((SUMPRODUCT((M$230:M$239=0)*M$243:M$252)+SUMPRODUCT((M$230:M$239&gt;0)*(M$243:M$252&gt;M$230:M$239)*(M$243:M$252-M$230:M$239)))*M294/M$295,0)),M252)),0)</f>
        <v>8128</v>
      </c>
      <c r="N282" s="5">
        <f ca="1">ROUND(MIN(N239,IF(Screen_Ann_TA!$H$246,MAX(0,N252+IFERROR((SUMPRODUCT((N$230:N$239=0)*N$243:N$252)+SUMPRODUCT((N$230:N$239&gt;0)*(N$243:N$252&gt;N$230:N$239)*(N$243:N$252-N$230:N$239)))*N294/N$295,0)),N252)),0)</f>
        <v>8128</v>
      </c>
      <c r="O282" s="5">
        <f ca="1">ROUND(MIN(O239,IF(Screen_Ann_TA!$H$246,MAX(0,O252+IFERROR((SUMPRODUCT((O$230:O$239=0)*O$243:O$252)+SUMPRODUCT((O$230:O$239&gt;0)*(O$243:O$252&gt;O$230:O$239)*(O$243:O$252-O$230:O$239)))*O294/O$295,0)),O252)),0)</f>
        <v>8128</v>
      </c>
    </row>
    <row r="283" spans="4:15" s="327" customFormat="1" x14ac:dyDescent="0.2">
      <c r="D283" s="659" t="str">
        <f>"Total "&amp;D272</f>
        <v>Total Number of Procedures Performed</v>
      </c>
      <c r="H283" s="660" t="str">
        <f>Screen_BA!G10</f>
        <v>VIA</v>
      </c>
      <c r="J283" s="5">
        <f t="shared" ref="J283:O283" ca="1" si="61">SUM(J273:J282)</f>
        <v>84852</v>
      </c>
      <c r="K283" s="5">
        <f t="shared" ca="1" si="61"/>
        <v>84852</v>
      </c>
      <c r="L283" s="5">
        <f t="shared" ca="1" si="61"/>
        <v>84852</v>
      </c>
      <c r="M283" s="5">
        <f t="shared" ca="1" si="61"/>
        <v>84852</v>
      </c>
      <c r="N283" s="5">
        <f t="shared" ca="1" si="61"/>
        <v>84852</v>
      </c>
      <c r="O283" s="5">
        <f t="shared" ca="1" si="61"/>
        <v>84852</v>
      </c>
    </row>
    <row r="284" spans="4:15" s="327" customFormat="1" ht="15" outlineLevel="1" x14ac:dyDescent="0.2">
      <c r="D284" s="658" t="s">
        <v>185</v>
      </c>
    </row>
    <row r="285" spans="4:15" s="327" customFormat="1" outlineLevel="1" x14ac:dyDescent="0.2">
      <c r="D285" s="660" t="str">
        <f>Screen_LU!D23</f>
        <v>Central</v>
      </c>
      <c r="H285" s="660" t="str">
        <f>Screen_BA!G$10</f>
        <v>VIA</v>
      </c>
      <c r="J285" s="282">
        <f t="shared" ref="J285:O294" ca="1" si="62">MAX(J230-J243,0)</f>
        <v>0</v>
      </c>
      <c r="K285" s="282">
        <f t="shared" ca="1" si="62"/>
        <v>0</v>
      </c>
      <c r="L285" s="282">
        <f t="shared" ca="1" si="62"/>
        <v>0</v>
      </c>
      <c r="M285" s="282">
        <f t="shared" ca="1" si="62"/>
        <v>0</v>
      </c>
      <c r="N285" s="282">
        <f t="shared" ca="1" si="62"/>
        <v>0</v>
      </c>
      <c r="O285" s="282">
        <f t="shared" ca="1" si="62"/>
        <v>0</v>
      </c>
    </row>
    <row r="286" spans="4:15" s="327" customFormat="1" outlineLevel="1" x14ac:dyDescent="0.2">
      <c r="D286" s="660" t="str">
        <f>Screen_LU!D24</f>
        <v>Copperbelt</v>
      </c>
      <c r="H286" s="660" t="str">
        <f>Screen_BA!G$10</f>
        <v>VIA</v>
      </c>
      <c r="J286" s="8">
        <f t="shared" ca="1" si="62"/>
        <v>0</v>
      </c>
      <c r="K286" s="8">
        <f t="shared" ca="1" si="62"/>
        <v>0</v>
      </c>
      <c r="L286" s="8">
        <f t="shared" ca="1" si="62"/>
        <v>0</v>
      </c>
      <c r="M286" s="8">
        <f t="shared" ca="1" si="62"/>
        <v>0</v>
      </c>
      <c r="N286" s="8">
        <f t="shared" ca="1" si="62"/>
        <v>0</v>
      </c>
      <c r="O286" s="8">
        <f t="shared" ca="1" si="62"/>
        <v>0</v>
      </c>
    </row>
    <row r="287" spans="4:15" s="327" customFormat="1" outlineLevel="1" x14ac:dyDescent="0.2">
      <c r="D287" s="660" t="str">
        <f>Screen_LU!D25</f>
        <v>Eastern</v>
      </c>
      <c r="H287" s="660" t="str">
        <f>Screen_BA!G$10</f>
        <v>VIA</v>
      </c>
      <c r="J287" s="8">
        <f t="shared" ca="1" si="62"/>
        <v>0</v>
      </c>
      <c r="K287" s="8">
        <f t="shared" ca="1" si="62"/>
        <v>0</v>
      </c>
      <c r="L287" s="8">
        <f t="shared" ca="1" si="62"/>
        <v>0</v>
      </c>
      <c r="M287" s="8">
        <f t="shared" ca="1" si="62"/>
        <v>0</v>
      </c>
      <c r="N287" s="8">
        <f t="shared" ca="1" si="62"/>
        <v>0</v>
      </c>
      <c r="O287" s="8">
        <f t="shared" ca="1" si="62"/>
        <v>0</v>
      </c>
    </row>
    <row r="288" spans="4:15" s="327" customFormat="1" outlineLevel="1" x14ac:dyDescent="0.2">
      <c r="D288" s="660" t="str">
        <f>Screen_LU!D26</f>
        <v>Luapula</v>
      </c>
      <c r="H288" s="660" t="str">
        <f>Screen_BA!G$10</f>
        <v>VIA</v>
      </c>
      <c r="J288" s="8">
        <f t="shared" ca="1" si="62"/>
        <v>0</v>
      </c>
      <c r="K288" s="8">
        <f t="shared" ca="1" si="62"/>
        <v>0</v>
      </c>
      <c r="L288" s="8">
        <f t="shared" ca="1" si="62"/>
        <v>0</v>
      </c>
      <c r="M288" s="8">
        <f t="shared" ca="1" si="62"/>
        <v>0</v>
      </c>
      <c r="N288" s="8">
        <f t="shared" ca="1" si="62"/>
        <v>0</v>
      </c>
      <c r="O288" s="8">
        <f t="shared" ca="1" si="62"/>
        <v>0</v>
      </c>
    </row>
    <row r="289" spans="3:15" s="327" customFormat="1" outlineLevel="1" x14ac:dyDescent="0.2">
      <c r="D289" s="660" t="str">
        <f>Screen_LU!D27</f>
        <v>Lusaka</v>
      </c>
      <c r="H289" s="660" t="str">
        <f>Screen_BA!G$10</f>
        <v>VIA</v>
      </c>
      <c r="J289" s="8">
        <f t="shared" ca="1" si="62"/>
        <v>0</v>
      </c>
      <c r="K289" s="8">
        <f t="shared" ca="1" si="62"/>
        <v>0</v>
      </c>
      <c r="L289" s="8">
        <f t="shared" ca="1" si="62"/>
        <v>0</v>
      </c>
      <c r="M289" s="8">
        <f t="shared" ca="1" si="62"/>
        <v>0</v>
      </c>
      <c r="N289" s="8">
        <f t="shared" ca="1" si="62"/>
        <v>0</v>
      </c>
      <c r="O289" s="8">
        <f t="shared" ca="1" si="62"/>
        <v>0</v>
      </c>
    </row>
    <row r="290" spans="3:15" s="327" customFormat="1" outlineLevel="1" x14ac:dyDescent="0.2">
      <c r="D290" s="660" t="str">
        <f>Screen_LU!D28</f>
        <v>Muchinga</v>
      </c>
      <c r="H290" s="660" t="str">
        <f>Screen_BA!G$10</f>
        <v>VIA</v>
      </c>
      <c r="J290" s="8">
        <f t="shared" ca="1" si="62"/>
        <v>0</v>
      </c>
      <c r="K290" s="8">
        <f t="shared" ca="1" si="62"/>
        <v>0</v>
      </c>
      <c r="L290" s="8">
        <f t="shared" ca="1" si="62"/>
        <v>0</v>
      </c>
      <c r="M290" s="8">
        <f t="shared" ca="1" si="62"/>
        <v>0</v>
      </c>
      <c r="N290" s="8">
        <f t="shared" ca="1" si="62"/>
        <v>0</v>
      </c>
      <c r="O290" s="8">
        <f t="shared" ca="1" si="62"/>
        <v>0</v>
      </c>
    </row>
    <row r="291" spans="3:15" s="327" customFormat="1" outlineLevel="1" x14ac:dyDescent="0.2">
      <c r="D291" s="660" t="str">
        <f>Screen_LU!D29</f>
        <v>Northern</v>
      </c>
      <c r="H291" s="660" t="str">
        <f>Screen_BA!G$10</f>
        <v>VIA</v>
      </c>
      <c r="J291" s="8">
        <f t="shared" ca="1" si="62"/>
        <v>0</v>
      </c>
      <c r="K291" s="8">
        <f t="shared" ca="1" si="62"/>
        <v>0</v>
      </c>
      <c r="L291" s="8">
        <f t="shared" ca="1" si="62"/>
        <v>0</v>
      </c>
      <c r="M291" s="8">
        <f t="shared" ca="1" si="62"/>
        <v>0</v>
      </c>
      <c r="N291" s="8">
        <f t="shared" ca="1" si="62"/>
        <v>0</v>
      </c>
      <c r="O291" s="8">
        <f t="shared" ca="1" si="62"/>
        <v>0</v>
      </c>
    </row>
    <row r="292" spans="3:15" s="327" customFormat="1" outlineLevel="1" x14ac:dyDescent="0.2">
      <c r="D292" s="660" t="str">
        <f>Screen_LU!D30</f>
        <v>North-Western</v>
      </c>
      <c r="H292" s="660" t="str">
        <f>Screen_BA!G$10</f>
        <v>VIA</v>
      </c>
      <c r="J292" s="8">
        <f t="shared" ca="1" si="62"/>
        <v>0</v>
      </c>
      <c r="K292" s="8">
        <f t="shared" ca="1" si="62"/>
        <v>0</v>
      </c>
      <c r="L292" s="8">
        <f t="shared" ca="1" si="62"/>
        <v>0</v>
      </c>
      <c r="M292" s="8">
        <f t="shared" ca="1" si="62"/>
        <v>0</v>
      </c>
      <c r="N292" s="8">
        <f t="shared" ca="1" si="62"/>
        <v>0</v>
      </c>
      <c r="O292" s="8">
        <f t="shared" ca="1" si="62"/>
        <v>0</v>
      </c>
    </row>
    <row r="293" spans="3:15" s="327" customFormat="1" outlineLevel="1" x14ac:dyDescent="0.2">
      <c r="D293" s="660" t="str">
        <f>Screen_LU!D31</f>
        <v>Southern</v>
      </c>
      <c r="H293" s="660" t="str">
        <f>Screen_BA!G$10</f>
        <v>VIA</v>
      </c>
      <c r="J293" s="8">
        <f t="shared" ca="1" si="62"/>
        <v>0</v>
      </c>
      <c r="K293" s="8">
        <f t="shared" ca="1" si="62"/>
        <v>0</v>
      </c>
      <c r="L293" s="8">
        <f t="shared" ca="1" si="62"/>
        <v>0</v>
      </c>
      <c r="M293" s="8">
        <f t="shared" ca="1" si="62"/>
        <v>0</v>
      </c>
      <c r="N293" s="8">
        <f t="shared" ca="1" si="62"/>
        <v>0</v>
      </c>
      <c r="O293" s="8">
        <f t="shared" ca="1" si="62"/>
        <v>0</v>
      </c>
    </row>
    <row r="294" spans="3:15" s="327" customFormat="1" outlineLevel="1" x14ac:dyDescent="0.2">
      <c r="D294" s="660" t="str">
        <f>Screen_LU!D32</f>
        <v>Western</v>
      </c>
      <c r="H294" s="660" t="str">
        <f>Screen_BA!G$10</f>
        <v>VIA</v>
      </c>
      <c r="J294" s="15">
        <f t="shared" ca="1" si="62"/>
        <v>0</v>
      </c>
      <c r="K294" s="15">
        <f t="shared" ca="1" si="62"/>
        <v>0</v>
      </c>
      <c r="L294" s="15">
        <f t="shared" ca="1" si="62"/>
        <v>0</v>
      </c>
      <c r="M294" s="15">
        <f t="shared" ca="1" si="62"/>
        <v>0</v>
      </c>
      <c r="N294" s="15">
        <f t="shared" ca="1" si="62"/>
        <v>0</v>
      </c>
      <c r="O294" s="15">
        <f t="shared" ca="1" si="62"/>
        <v>0</v>
      </c>
    </row>
    <row r="295" spans="3:15" s="327" customFormat="1" ht="15" x14ac:dyDescent="0.2">
      <c r="D295" s="659" t="str">
        <f>"Total "&amp;D284</f>
        <v>Total Excess Capacity</v>
      </c>
      <c r="H295" s="646" t="str">
        <f>Screen_BA!G10</f>
        <v>VIA</v>
      </c>
      <c r="J295" s="5">
        <f t="shared" ref="J295:O295" ca="1" si="63">SUM(J285:J294)</f>
        <v>0</v>
      </c>
      <c r="K295" s="5">
        <f t="shared" ca="1" si="63"/>
        <v>0</v>
      </c>
      <c r="L295" s="5">
        <f t="shared" ca="1" si="63"/>
        <v>0</v>
      </c>
      <c r="M295" s="5">
        <f t="shared" ca="1" si="63"/>
        <v>0</v>
      </c>
      <c r="N295" s="5">
        <f t="shared" ca="1" si="63"/>
        <v>0</v>
      </c>
      <c r="O295" s="5">
        <f t="shared" ca="1" si="63"/>
        <v>0</v>
      </c>
    </row>
    <row r="296" spans="3:15" s="327" customFormat="1" x14ac:dyDescent="0.2"/>
    <row r="297" spans="3:15" s="327" customFormat="1" ht="15.75" x14ac:dyDescent="0.2">
      <c r="C297" s="26" t="str">
        <f>"Expected Costs ("&amp;INDEX(LU_Screen_Denom,DD_TS_Denom)&amp;")"</f>
        <v>Expected Costs (USD)</v>
      </c>
    </row>
    <row r="298" spans="3:15" s="327" customFormat="1" outlineLevel="2" x14ac:dyDescent="0.2"/>
    <row r="299" spans="3:15" s="327" customFormat="1" ht="15" outlineLevel="2" x14ac:dyDescent="0.2">
      <c r="D299" s="658" t="s">
        <v>288</v>
      </c>
    </row>
    <row r="300" spans="3:15" s="327" customFormat="1" outlineLevel="2" x14ac:dyDescent="0.2">
      <c r="D300" s="660" t="str">
        <f>Screen_LU!D23</f>
        <v>Central</v>
      </c>
      <c r="J300" s="5">
        <f ca="1">Screen_BA!$N$66*J273*J188/TS_Denom_Conv_Fact</f>
        <v>2148.7761096605736</v>
      </c>
      <c r="K300" s="5">
        <f ca="1">Screen_BA!$N$66*K273*K188/TS_Denom_Conv_Fact</f>
        <v>2148.7761096605736</v>
      </c>
      <c r="L300" s="5">
        <f ca="1">Screen_BA!$N$66*L273*L188/TS_Denom_Conv_Fact</f>
        <v>2148.7761096605736</v>
      </c>
      <c r="M300" s="5">
        <f ca="1">Screen_BA!$N$66*M273*M188/TS_Denom_Conv_Fact</f>
        <v>2148.7761096605736</v>
      </c>
      <c r="N300" s="5">
        <f ca="1">Screen_BA!$N$66*N273*N188/TS_Denom_Conv_Fact</f>
        <v>2148.7761096605736</v>
      </c>
      <c r="O300" s="5">
        <f ca="1">Screen_BA!$N$66*O273*O188/TS_Denom_Conv_Fact</f>
        <v>2148.7761096605736</v>
      </c>
    </row>
    <row r="301" spans="3:15" s="327" customFormat="1" outlineLevel="2" x14ac:dyDescent="0.2">
      <c r="D301" s="660" t="str">
        <f>Screen_LU!D24</f>
        <v>Copperbelt</v>
      </c>
      <c r="J301" s="5">
        <f ca="1">Screen_BA!$N$66*J274*J189/TS_Denom_Conv_Fact</f>
        <v>7241.9843342036538</v>
      </c>
      <c r="K301" s="5">
        <f ca="1">Screen_BA!$N$66*K274*K189/TS_Denom_Conv_Fact</f>
        <v>7241.9843342036538</v>
      </c>
      <c r="L301" s="5">
        <f ca="1">Screen_BA!$N$66*L274*L189/TS_Denom_Conv_Fact</f>
        <v>7241.9843342036538</v>
      </c>
      <c r="M301" s="5">
        <f ca="1">Screen_BA!$N$66*M274*M189/TS_Denom_Conv_Fact</f>
        <v>7241.9843342036538</v>
      </c>
      <c r="N301" s="5">
        <f ca="1">Screen_BA!$N$66*N274*N189/TS_Denom_Conv_Fact</f>
        <v>7241.9843342036538</v>
      </c>
      <c r="O301" s="5">
        <f ca="1">Screen_BA!$N$66*O274*O189/TS_Denom_Conv_Fact</f>
        <v>7241.9843342036538</v>
      </c>
    </row>
    <row r="302" spans="3:15" s="327" customFormat="1" outlineLevel="2" x14ac:dyDescent="0.2">
      <c r="D302" s="660" t="str">
        <f>Screen_LU!D25</f>
        <v>Eastern</v>
      </c>
      <c r="J302" s="5">
        <f ca="1">Screen_BA!$N$66*J275*J190/TS_Denom_Conv_Fact</f>
        <v>7772.4216710182745</v>
      </c>
      <c r="K302" s="5">
        <f ca="1">Screen_BA!$N$66*K275*K190/TS_Denom_Conv_Fact</f>
        <v>7772.4216710182745</v>
      </c>
      <c r="L302" s="5">
        <f ca="1">Screen_BA!$N$66*L275*L190/TS_Denom_Conv_Fact</f>
        <v>7772.4216710182745</v>
      </c>
      <c r="M302" s="5">
        <f ca="1">Screen_BA!$N$66*M275*M190/TS_Denom_Conv_Fact</f>
        <v>7772.4216710182745</v>
      </c>
      <c r="N302" s="5">
        <f ca="1">Screen_BA!$N$66*N275*N190/TS_Denom_Conv_Fact</f>
        <v>7772.4216710182745</v>
      </c>
      <c r="O302" s="5">
        <f ca="1">Screen_BA!$N$66*O275*O190/TS_Denom_Conv_Fact</f>
        <v>7772.4216710182745</v>
      </c>
    </row>
    <row r="303" spans="3:15" s="327" customFormat="1" outlineLevel="2" x14ac:dyDescent="0.2">
      <c r="D303" s="660" t="str">
        <f>Screen_LU!D26</f>
        <v>Luapula</v>
      </c>
      <c r="J303" s="5">
        <f ca="1">Screen_BA!$N$66*J276*J191/TS_Denom_Conv_Fact</f>
        <v>7241.9843342036538</v>
      </c>
      <c r="K303" s="5">
        <f ca="1">Screen_BA!$N$66*K276*K191/TS_Denom_Conv_Fact</f>
        <v>7241.9843342036538</v>
      </c>
      <c r="L303" s="5">
        <f ca="1">Screen_BA!$N$66*L276*L191/TS_Denom_Conv_Fact</f>
        <v>7241.9843342036538</v>
      </c>
      <c r="M303" s="5">
        <f ca="1">Screen_BA!$N$66*M276*M191/TS_Denom_Conv_Fact</f>
        <v>7241.9843342036538</v>
      </c>
      <c r="N303" s="5">
        <f ca="1">Screen_BA!$N$66*N276*N191/TS_Denom_Conv_Fact</f>
        <v>7241.9843342036538</v>
      </c>
      <c r="O303" s="5">
        <f ca="1">Screen_BA!$N$66*O276*O191/TS_Denom_Conv_Fact</f>
        <v>7241.9843342036538</v>
      </c>
    </row>
    <row r="304" spans="3:15" s="327" customFormat="1" outlineLevel="2" x14ac:dyDescent="0.2">
      <c r="D304" s="660" t="str">
        <f>Screen_LU!D27</f>
        <v>Lusaka</v>
      </c>
      <c r="J304" s="5">
        <f ca="1">Screen_BA!$N$66*J277*J192/TS_Denom_Conv_Fact</f>
        <v>3095.985639686683</v>
      </c>
      <c r="K304" s="5">
        <f ca="1">Screen_BA!$N$66*K277*K192/TS_Denom_Conv_Fact</f>
        <v>3095.985639686683</v>
      </c>
      <c r="L304" s="5">
        <f ca="1">Screen_BA!$N$66*L277*L192/TS_Denom_Conv_Fact</f>
        <v>3095.985639686683</v>
      </c>
      <c r="M304" s="5">
        <f ca="1">Screen_BA!$N$66*M277*M192/TS_Denom_Conv_Fact</f>
        <v>3095.985639686683</v>
      </c>
      <c r="N304" s="5">
        <f ca="1">Screen_BA!$N$66*N277*N192/TS_Denom_Conv_Fact</f>
        <v>3095.985639686683</v>
      </c>
      <c r="O304" s="5">
        <f ca="1">Screen_BA!$N$66*O277*O192/TS_Denom_Conv_Fact</f>
        <v>3095.985639686683</v>
      </c>
    </row>
    <row r="305" spans="4:15" s="327" customFormat="1" outlineLevel="2" x14ac:dyDescent="0.2">
      <c r="D305" s="660" t="str">
        <f>Screen_LU!D28</f>
        <v>Muchinga</v>
      </c>
      <c r="J305" s="5">
        <f ca="1">Screen_BA!$N$66*J278*J193/TS_Denom_Conv_Fact</f>
        <v>0</v>
      </c>
      <c r="K305" s="5">
        <f ca="1">Screen_BA!$N$66*K278*K193/TS_Denom_Conv_Fact</f>
        <v>0</v>
      </c>
      <c r="L305" s="5">
        <f ca="1">Screen_BA!$N$66*L278*L193/TS_Denom_Conv_Fact</f>
        <v>0</v>
      </c>
      <c r="M305" s="5">
        <f ca="1">Screen_BA!$N$66*M278*M193/TS_Denom_Conv_Fact</f>
        <v>0</v>
      </c>
      <c r="N305" s="5">
        <f ca="1">Screen_BA!$N$66*N278*N193/TS_Denom_Conv_Fact</f>
        <v>0</v>
      </c>
      <c r="O305" s="5">
        <f ca="1">Screen_BA!$N$66*O278*O193/TS_Denom_Conv_Fact</f>
        <v>0</v>
      </c>
    </row>
    <row r="306" spans="4:15" s="327" customFormat="1" outlineLevel="2" x14ac:dyDescent="0.2">
      <c r="D306" s="660" t="str">
        <f>Screen_LU!D29</f>
        <v>Northern</v>
      </c>
      <c r="J306" s="5">
        <f ca="1">Screen_BA!$N$66*J279*J194/TS_Denom_Conv_Fact</f>
        <v>2148.7761096605736</v>
      </c>
      <c r="K306" s="5">
        <f ca="1">Screen_BA!$N$66*K279*K194/TS_Denom_Conv_Fact</f>
        <v>2148.7761096605736</v>
      </c>
      <c r="L306" s="5">
        <f ca="1">Screen_BA!$N$66*L279*L194/TS_Denom_Conv_Fact</f>
        <v>2148.7761096605736</v>
      </c>
      <c r="M306" s="5">
        <f ca="1">Screen_BA!$N$66*M279*M194/TS_Denom_Conv_Fact</f>
        <v>2148.7761096605736</v>
      </c>
      <c r="N306" s="5">
        <f ca="1">Screen_BA!$N$66*N279*N194/TS_Denom_Conv_Fact</f>
        <v>2148.7761096605736</v>
      </c>
      <c r="O306" s="5">
        <f ca="1">Screen_BA!$N$66*O279*O194/TS_Denom_Conv_Fact</f>
        <v>2148.7761096605736</v>
      </c>
    </row>
    <row r="307" spans="4:15" s="327" customFormat="1" outlineLevel="2" x14ac:dyDescent="0.2">
      <c r="D307" s="660" t="str">
        <f>Screen_LU!D30</f>
        <v>North-Western</v>
      </c>
      <c r="J307" s="5">
        <f ca="1">Screen_BA!$N$66*J280*J195/TS_Denom_Conv_Fact</f>
        <v>1706.7449956483892</v>
      </c>
      <c r="K307" s="5">
        <f ca="1">Screen_BA!$N$66*K280*K195/TS_Denom_Conv_Fact</f>
        <v>1706.7449956483892</v>
      </c>
      <c r="L307" s="5">
        <f ca="1">Screen_BA!$N$66*L280*L195/TS_Denom_Conv_Fact</f>
        <v>1706.7449956483892</v>
      </c>
      <c r="M307" s="5">
        <f ca="1">Screen_BA!$N$66*M280*M195/TS_Denom_Conv_Fact</f>
        <v>1706.7449956483892</v>
      </c>
      <c r="N307" s="5">
        <f ca="1">Screen_BA!$N$66*N280*N195/TS_Denom_Conv_Fact</f>
        <v>1706.7449956483892</v>
      </c>
      <c r="O307" s="5">
        <f ca="1">Screen_BA!$N$66*O280*O195/TS_Denom_Conv_Fact</f>
        <v>1706.7449956483892</v>
      </c>
    </row>
    <row r="308" spans="4:15" s="327" customFormat="1" outlineLevel="2" x14ac:dyDescent="0.2">
      <c r="D308" s="660" t="str">
        <f>Screen_LU!D31</f>
        <v>Southern</v>
      </c>
      <c r="J308" s="5">
        <f ca="1">Screen_BA!$N$66*J281*J196/TS_Denom_Conv_Fact</f>
        <v>4827.9895561357689</v>
      </c>
      <c r="K308" s="5">
        <f ca="1">Screen_BA!$N$66*K281*K196/TS_Denom_Conv_Fact</f>
        <v>4827.9895561357689</v>
      </c>
      <c r="L308" s="5">
        <f ca="1">Screen_BA!$N$66*L281*L196/TS_Denom_Conv_Fact</f>
        <v>4827.9895561357689</v>
      </c>
      <c r="M308" s="5">
        <f ca="1">Screen_BA!$N$66*M281*M196/TS_Denom_Conv_Fact</f>
        <v>4827.9895561357689</v>
      </c>
      <c r="N308" s="5">
        <f ca="1">Screen_BA!$N$66*N281*N196/TS_Denom_Conv_Fact</f>
        <v>4827.9895561357689</v>
      </c>
      <c r="O308" s="5">
        <f ca="1">Screen_BA!$N$66*O281*O196/TS_Denom_Conv_Fact</f>
        <v>4827.9895561357689</v>
      </c>
    </row>
    <row r="309" spans="4:15" s="327" customFormat="1" outlineLevel="2" x14ac:dyDescent="0.2">
      <c r="D309" s="660" t="str">
        <f>Screen_LU!D32</f>
        <v>Western</v>
      </c>
      <c r="J309" s="5">
        <f ca="1">Screen_BA!$N$66*J282*J197/TS_Denom_Conv_Fact</f>
        <v>7241.9843342036538</v>
      </c>
      <c r="K309" s="5">
        <f ca="1">Screen_BA!$N$66*K282*K197/TS_Denom_Conv_Fact</f>
        <v>7241.9843342036538</v>
      </c>
      <c r="L309" s="5">
        <f ca="1">Screen_BA!$N$66*L282*L197/TS_Denom_Conv_Fact</f>
        <v>7241.9843342036538</v>
      </c>
      <c r="M309" s="5">
        <f ca="1">Screen_BA!$N$66*M282*M197/TS_Denom_Conv_Fact</f>
        <v>7241.9843342036538</v>
      </c>
      <c r="N309" s="5">
        <f ca="1">Screen_BA!$N$66*N282*N197/TS_Denom_Conv_Fact</f>
        <v>7241.9843342036538</v>
      </c>
      <c r="O309" s="5">
        <f ca="1">Screen_BA!$N$66*O282*O197/TS_Denom_Conv_Fact</f>
        <v>7241.9843342036538</v>
      </c>
    </row>
    <row r="310" spans="4:15" s="327" customFormat="1" ht="15" x14ac:dyDescent="0.2">
      <c r="D310" s="659" t="str">
        <f>"Total "&amp;D299&amp;" ("&amp;INDEX(LU_Screen_Denom,DD_TS_Denom)&amp;")"</f>
        <v>Total Personnel Costs (Hospital) (USD)</v>
      </c>
      <c r="H310" s="646" t="str">
        <f>Screen_BA!G10</f>
        <v>VIA</v>
      </c>
      <c r="J310" s="5">
        <f t="shared" ref="J310:O310" ca="1" si="64">SUM(J300:J309)</f>
        <v>43426.647084421224</v>
      </c>
      <c r="K310" s="5">
        <f t="shared" ca="1" si="64"/>
        <v>43426.647084421224</v>
      </c>
      <c r="L310" s="5">
        <f t="shared" ca="1" si="64"/>
        <v>43426.647084421224</v>
      </c>
      <c r="M310" s="5">
        <f t="shared" ca="1" si="64"/>
        <v>43426.647084421224</v>
      </c>
      <c r="N310" s="5">
        <f t="shared" ca="1" si="64"/>
        <v>43426.647084421224</v>
      </c>
      <c r="O310" s="5">
        <f t="shared" ca="1" si="64"/>
        <v>43426.647084421224</v>
      </c>
    </row>
    <row r="311" spans="4:15" s="327" customFormat="1" outlineLevel="2" x14ac:dyDescent="0.2"/>
    <row r="312" spans="4:15" s="327" customFormat="1" ht="15" outlineLevel="2" x14ac:dyDescent="0.2">
      <c r="D312" s="658" t="s">
        <v>768</v>
      </c>
    </row>
    <row r="313" spans="4:15" s="327" customFormat="1" outlineLevel="2" x14ac:dyDescent="0.2">
      <c r="D313" s="660" t="str">
        <f>Screen_LU!D23</f>
        <v>Central</v>
      </c>
      <c r="J313" s="5">
        <f ca="1">Screen_BA!$N$77*J273*(1-J188)/TS_Denom_Conv_Fact</f>
        <v>6446.3283289817209</v>
      </c>
      <c r="K313" s="5">
        <f ca="1">Screen_BA!$N$77*K273*(1-K188)/TS_Denom_Conv_Fact</f>
        <v>6446.3283289817209</v>
      </c>
      <c r="L313" s="5">
        <f ca="1">Screen_BA!$N$77*L273*(1-L188)/TS_Denom_Conv_Fact</f>
        <v>6446.3283289817209</v>
      </c>
      <c r="M313" s="5">
        <f ca="1">Screen_BA!$N$77*M273*(1-M188)/TS_Denom_Conv_Fact</f>
        <v>6446.3283289817209</v>
      </c>
      <c r="N313" s="5">
        <f ca="1">Screen_BA!$N$77*N273*(1-N188)/TS_Denom_Conv_Fact</f>
        <v>6446.3283289817209</v>
      </c>
      <c r="O313" s="5">
        <f ca="1">Screen_BA!$N$77*O273*(1-O188)/TS_Denom_Conv_Fact</f>
        <v>6446.3283289817209</v>
      </c>
    </row>
    <row r="314" spans="4:15" s="327" customFormat="1" outlineLevel="2" x14ac:dyDescent="0.2">
      <c r="D314" s="660" t="str">
        <f>Screen_LU!D24</f>
        <v>Copperbelt</v>
      </c>
      <c r="J314" s="5">
        <f ca="1">Screen_BA!$N$77*J274*(1-J189)/TS_Denom_Conv_Fact</f>
        <v>4827.9895561357689</v>
      </c>
      <c r="K314" s="5">
        <f ca="1">Screen_BA!$N$77*K274*(1-K189)/TS_Denom_Conv_Fact</f>
        <v>4827.9895561357689</v>
      </c>
      <c r="L314" s="5">
        <f ca="1">Screen_BA!$N$77*L274*(1-L189)/TS_Denom_Conv_Fact</f>
        <v>4827.9895561357689</v>
      </c>
      <c r="M314" s="5">
        <f ca="1">Screen_BA!$N$77*M274*(1-M189)/TS_Denom_Conv_Fact</f>
        <v>4827.9895561357689</v>
      </c>
      <c r="N314" s="5">
        <f ca="1">Screen_BA!$N$77*N274*(1-N189)/TS_Denom_Conv_Fact</f>
        <v>4827.9895561357689</v>
      </c>
      <c r="O314" s="5">
        <f ca="1">Screen_BA!$N$77*O274*(1-O189)/TS_Denom_Conv_Fact</f>
        <v>4827.9895561357689</v>
      </c>
    </row>
    <row r="315" spans="4:15" s="327" customFormat="1" outlineLevel="2" x14ac:dyDescent="0.2">
      <c r="D315" s="660" t="str">
        <f>Screen_LU!D25</f>
        <v>Eastern</v>
      </c>
      <c r="J315" s="5">
        <f ca="1">Screen_BA!$N$77*J275*(1-J190)/TS_Denom_Conv_Fact</f>
        <v>7772.4216710182745</v>
      </c>
      <c r="K315" s="5">
        <f ca="1">Screen_BA!$N$77*K275*(1-K190)/TS_Denom_Conv_Fact</f>
        <v>7772.4216710182745</v>
      </c>
      <c r="L315" s="5">
        <f ca="1">Screen_BA!$N$77*L275*(1-L190)/TS_Denom_Conv_Fact</f>
        <v>7772.4216710182745</v>
      </c>
      <c r="M315" s="5">
        <f ca="1">Screen_BA!$N$77*M275*(1-M190)/TS_Denom_Conv_Fact</f>
        <v>7772.4216710182745</v>
      </c>
      <c r="N315" s="5">
        <f ca="1">Screen_BA!$N$77*N275*(1-N190)/TS_Denom_Conv_Fact</f>
        <v>7772.4216710182745</v>
      </c>
      <c r="O315" s="5">
        <f ca="1">Screen_BA!$N$77*O275*(1-O190)/TS_Denom_Conv_Fact</f>
        <v>7772.4216710182745</v>
      </c>
    </row>
    <row r="316" spans="4:15" s="327" customFormat="1" outlineLevel="2" x14ac:dyDescent="0.2">
      <c r="D316" s="660" t="str">
        <f>Screen_LU!D26</f>
        <v>Luapula</v>
      </c>
      <c r="J316" s="5">
        <f ca="1">Screen_BA!$N$77*J276*(1-J191)/TS_Denom_Conv_Fact</f>
        <v>4827.9895561357689</v>
      </c>
      <c r="K316" s="5">
        <f ca="1">Screen_BA!$N$77*K276*(1-K191)/TS_Denom_Conv_Fact</f>
        <v>4827.9895561357689</v>
      </c>
      <c r="L316" s="5">
        <f ca="1">Screen_BA!$N$77*L276*(1-L191)/TS_Denom_Conv_Fact</f>
        <v>4827.9895561357689</v>
      </c>
      <c r="M316" s="5">
        <f ca="1">Screen_BA!$N$77*M276*(1-M191)/TS_Denom_Conv_Fact</f>
        <v>4827.9895561357689</v>
      </c>
      <c r="N316" s="5">
        <f ca="1">Screen_BA!$N$77*N276*(1-N191)/TS_Denom_Conv_Fact</f>
        <v>4827.9895561357689</v>
      </c>
      <c r="O316" s="5">
        <f ca="1">Screen_BA!$N$77*O276*(1-O191)/TS_Denom_Conv_Fact</f>
        <v>4827.9895561357689</v>
      </c>
    </row>
    <row r="317" spans="4:15" s="327" customFormat="1" outlineLevel="2" x14ac:dyDescent="0.2">
      <c r="D317" s="660" t="str">
        <f>Screen_LU!D27</f>
        <v>Lusaka</v>
      </c>
      <c r="J317" s="5">
        <f ca="1">Screen_BA!$N$77*J277*(1-J192)/TS_Denom_Conv_Fact</f>
        <v>40247.813315926884</v>
      </c>
      <c r="K317" s="5">
        <f ca="1">Screen_BA!$N$77*K277*(1-K192)/TS_Denom_Conv_Fact</f>
        <v>40247.813315926884</v>
      </c>
      <c r="L317" s="5">
        <f ca="1">Screen_BA!$N$77*L277*(1-L192)/TS_Denom_Conv_Fact</f>
        <v>40247.813315926884</v>
      </c>
      <c r="M317" s="5">
        <f ca="1">Screen_BA!$N$77*M277*(1-M192)/TS_Denom_Conv_Fact</f>
        <v>40247.813315926884</v>
      </c>
      <c r="N317" s="5">
        <f ca="1">Screen_BA!$N$77*N277*(1-N192)/TS_Denom_Conv_Fact</f>
        <v>40247.813315926884</v>
      </c>
      <c r="O317" s="5">
        <f ca="1">Screen_BA!$N$77*O277*(1-O192)/TS_Denom_Conv_Fact</f>
        <v>40247.813315926884</v>
      </c>
    </row>
    <row r="318" spans="4:15" s="327" customFormat="1" outlineLevel="2" x14ac:dyDescent="0.2">
      <c r="D318" s="660" t="str">
        <f>Screen_LU!D28</f>
        <v>Muchinga</v>
      </c>
      <c r="J318" s="5">
        <f ca="1">Screen_BA!$N$77*J278*(1-J193)/TS_Denom_Conv_Fact</f>
        <v>822.6827676240207</v>
      </c>
      <c r="K318" s="5">
        <f ca="1">Screen_BA!$N$77*K278*(1-K193)/TS_Denom_Conv_Fact</f>
        <v>822.6827676240207</v>
      </c>
      <c r="L318" s="5">
        <f ca="1">Screen_BA!$N$77*L278*(1-L193)/TS_Denom_Conv_Fact</f>
        <v>822.6827676240207</v>
      </c>
      <c r="M318" s="5">
        <f ca="1">Screen_BA!$N$77*M278*(1-M193)/TS_Denom_Conv_Fact</f>
        <v>822.6827676240207</v>
      </c>
      <c r="N318" s="5">
        <f ca="1">Screen_BA!$N$77*N278*(1-N193)/TS_Denom_Conv_Fact</f>
        <v>822.6827676240207</v>
      </c>
      <c r="O318" s="5">
        <f ca="1">Screen_BA!$N$77*O278*(1-O193)/TS_Denom_Conv_Fact</f>
        <v>822.6827676240207</v>
      </c>
    </row>
    <row r="319" spans="4:15" s="327" customFormat="1" outlineLevel="2" x14ac:dyDescent="0.2">
      <c r="D319" s="660" t="str">
        <f>Screen_LU!D29</f>
        <v>Northern</v>
      </c>
      <c r="J319" s="5">
        <f ca="1">Screen_BA!$N$77*J279*(1-J194)/TS_Denom_Conv_Fact</f>
        <v>2148.7761096605736</v>
      </c>
      <c r="K319" s="5">
        <f ca="1">Screen_BA!$N$77*K279*(1-K194)/TS_Denom_Conv_Fact</f>
        <v>2148.7761096605736</v>
      </c>
      <c r="L319" s="5">
        <f ca="1">Screen_BA!$N$77*L279*(1-L194)/TS_Denom_Conv_Fact</f>
        <v>2148.7761096605736</v>
      </c>
      <c r="M319" s="5">
        <f ca="1">Screen_BA!$N$77*M279*(1-M194)/TS_Denom_Conv_Fact</f>
        <v>2148.7761096605736</v>
      </c>
      <c r="N319" s="5">
        <f ca="1">Screen_BA!$N$77*N279*(1-N194)/TS_Denom_Conv_Fact</f>
        <v>2148.7761096605736</v>
      </c>
      <c r="O319" s="5">
        <f ca="1">Screen_BA!$N$77*O279*(1-O194)/TS_Denom_Conv_Fact</f>
        <v>2148.7761096605736</v>
      </c>
    </row>
    <row r="320" spans="4:15" s="327" customFormat="1" outlineLevel="2" x14ac:dyDescent="0.2">
      <c r="D320" s="660" t="str">
        <f>Screen_LU!D30</f>
        <v>North-Western</v>
      </c>
      <c r="J320" s="5">
        <f ca="1">Screen_BA!$N$77*J280*(1-J195)/TS_Denom_Conv_Fact</f>
        <v>3413.4899912967794</v>
      </c>
      <c r="K320" s="5">
        <f ca="1">Screen_BA!$N$77*K280*(1-K195)/TS_Denom_Conv_Fact</f>
        <v>3413.4899912967794</v>
      </c>
      <c r="L320" s="5">
        <f ca="1">Screen_BA!$N$77*L280*(1-L195)/TS_Denom_Conv_Fact</f>
        <v>3413.4899912967794</v>
      </c>
      <c r="M320" s="5">
        <f ca="1">Screen_BA!$N$77*M280*(1-M195)/TS_Denom_Conv_Fact</f>
        <v>3413.4899912967794</v>
      </c>
      <c r="N320" s="5">
        <f ca="1">Screen_BA!$N$77*N280*(1-N195)/TS_Denom_Conv_Fact</f>
        <v>3413.4899912967794</v>
      </c>
      <c r="O320" s="5">
        <f ca="1">Screen_BA!$N$77*O280*(1-O195)/TS_Denom_Conv_Fact</f>
        <v>3413.4899912967794</v>
      </c>
    </row>
    <row r="321" spans="4:15" s="327" customFormat="1" outlineLevel="2" x14ac:dyDescent="0.2">
      <c r="D321" s="660" t="str">
        <f>Screen_LU!D31</f>
        <v>Southern</v>
      </c>
      <c r="J321" s="5">
        <f ca="1">Screen_BA!$N$77*J281*(1-J196)/TS_Denom_Conv_Fact</f>
        <v>7241.9843342036538</v>
      </c>
      <c r="K321" s="5">
        <f ca="1">Screen_BA!$N$77*K281*(1-K196)/TS_Denom_Conv_Fact</f>
        <v>7241.9843342036538</v>
      </c>
      <c r="L321" s="5">
        <f ca="1">Screen_BA!$N$77*L281*(1-L196)/TS_Denom_Conv_Fact</f>
        <v>7241.9843342036538</v>
      </c>
      <c r="M321" s="5">
        <f ca="1">Screen_BA!$N$77*M281*(1-M196)/TS_Denom_Conv_Fact</f>
        <v>7241.9843342036538</v>
      </c>
      <c r="N321" s="5">
        <f ca="1">Screen_BA!$N$77*N281*(1-N196)/TS_Denom_Conv_Fact</f>
        <v>7241.9843342036538</v>
      </c>
      <c r="O321" s="5">
        <f ca="1">Screen_BA!$N$77*O281*(1-O196)/TS_Denom_Conv_Fact</f>
        <v>7241.9843342036538</v>
      </c>
    </row>
    <row r="322" spans="4:15" s="327" customFormat="1" outlineLevel="2" x14ac:dyDescent="0.2">
      <c r="D322" s="660" t="str">
        <f>Screen_LU!D32</f>
        <v>Western</v>
      </c>
      <c r="J322" s="5">
        <f ca="1">Screen_BA!$N$77*J282*(1-J197)/TS_Denom_Conv_Fact</f>
        <v>4827.9895561357689</v>
      </c>
      <c r="K322" s="5">
        <f ca="1">Screen_BA!$N$77*K282*(1-K197)/TS_Denom_Conv_Fact</f>
        <v>4827.9895561357689</v>
      </c>
      <c r="L322" s="5">
        <f ca="1">Screen_BA!$N$77*L282*(1-L197)/TS_Denom_Conv_Fact</f>
        <v>4827.9895561357689</v>
      </c>
      <c r="M322" s="5">
        <f ca="1">Screen_BA!$N$77*M282*(1-M197)/TS_Denom_Conv_Fact</f>
        <v>4827.9895561357689</v>
      </c>
      <c r="N322" s="5">
        <f ca="1">Screen_BA!$N$77*N282*(1-N197)/TS_Denom_Conv_Fact</f>
        <v>4827.9895561357689</v>
      </c>
      <c r="O322" s="5">
        <f ca="1">Screen_BA!$N$77*O282*(1-O197)/TS_Denom_Conv_Fact</f>
        <v>4827.9895561357689</v>
      </c>
    </row>
    <row r="323" spans="4:15" s="327" customFormat="1" ht="15" x14ac:dyDescent="0.2">
      <c r="D323" s="659" t="str">
        <f>"Total "&amp;D312&amp;" ("&amp;INDEX(LU_Screen_Denom,DD_TS_Denom)&amp;")"</f>
        <v>Total Personnel Costs (Non-Hospital) (USD)</v>
      </c>
      <c r="H323" s="646" t="str">
        <f>Screen_BA!G10</f>
        <v>VIA</v>
      </c>
      <c r="J323" s="5">
        <f t="shared" ref="J323:O323" ca="1" si="65">SUM(J313:J322)</f>
        <v>82577.465187119204</v>
      </c>
      <c r="K323" s="5">
        <f t="shared" ca="1" si="65"/>
        <v>82577.465187119204</v>
      </c>
      <c r="L323" s="5">
        <f t="shared" ca="1" si="65"/>
        <v>82577.465187119204</v>
      </c>
      <c r="M323" s="5">
        <f t="shared" ca="1" si="65"/>
        <v>82577.465187119204</v>
      </c>
      <c r="N323" s="5">
        <f t="shared" ca="1" si="65"/>
        <v>82577.465187119204</v>
      </c>
      <c r="O323" s="5">
        <f t="shared" ca="1" si="65"/>
        <v>82577.465187119204</v>
      </c>
    </row>
    <row r="324" spans="4:15" s="327" customFormat="1" x14ac:dyDescent="0.2"/>
    <row r="325" spans="4:15" s="327" customFormat="1" ht="15" outlineLevel="2" x14ac:dyDescent="0.2">
      <c r="D325" s="658" t="s">
        <v>105</v>
      </c>
    </row>
    <row r="326" spans="4:15" s="327" customFormat="1" ht="12.95" customHeight="1" outlineLevel="2" x14ac:dyDescent="0.2">
      <c r="D326" s="660" t="str">
        <f>Screen_LU!D23</f>
        <v>Central</v>
      </c>
      <c r="J326" s="5">
        <f ca="1">J273*Screen_BA!$L$100/TS_Denom_Conv_Fact</f>
        <v>3915.2614605600011</v>
      </c>
      <c r="K326" s="5">
        <f ca="1">K273*Screen_BA!$L$100/TS_Denom_Conv_Fact</f>
        <v>3915.2614605600011</v>
      </c>
      <c r="L326" s="5">
        <f ca="1">L273*Screen_BA!$L$100/TS_Denom_Conv_Fact</f>
        <v>3915.2614605600011</v>
      </c>
      <c r="M326" s="5">
        <f ca="1">M273*Screen_BA!$L$100/TS_Denom_Conv_Fact</f>
        <v>3915.2614605600011</v>
      </c>
      <c r="N326" s="5">
        <f ca="1">N273*Screen_BA!$L$100/TS_Denom_Conv_Fact</f>
        <v>3915.2614605600011</v>
      </c>
      <c r="O326" s="5">
        <f ca="1">O273*Screen_BA!$L$100/TS_Denom_Conv_Fact</f>
        <v>3915.2614605600011</v>
      </c>
    </row>
    <row r="327" spans="4:15" s="327" customFormat="1" ht="12.95" customHeight="1" outlineLevel="2" x14ac:dyDescent="0.2">
      <c r="D327" s="660" t="str">
        <f>Screen_LU!D24</f>
        <v>Copperbelt</v>
      </c>
      <c r="J327" s="5">
        <f ca="1">J274*Screen_BA!$L$100/TS_Denom_Conv_Fact</f>
        <v>5498.1418713600015</v>
      </c>
      <c r="K327" s="5">
        <f ca="1">K274*Screen_BA!$L$100/TS_Denom_Conv_Fact</f>
        <v>5498.1418713600015</v>
      </c>
      <c r="L327" s="5">
        <f ca="1">L274*Screen_BA!$L$100/TS_Denom_Conv_Fact</f>
        <v>5498.1418713600015</v>
      </c>
      <c r="M327" s="5">
        <f ca="1">M274*Screen_BA!$L$100/TS_Denom_Conv_Fact</f>
        <v>5498.1418713600015</v>
      </c>
      <c r="N327" s="5">
        <f ca="1">N274*Screen_BA!$L$100/TS_Denom_Conv_Fact</f>
        <v>5498.1418713600015</v>
      </c>
      <c r="O327" s="5">
        <f ca="1">O274*Screen_BA!$L$100/TS_Denom_Conv_Fact</f>
        <v>5498.1418713600015</v>
      </c>
    </row>
    <row r="328" spans="4:15" s="327" customFormat="1" ht="12.95" customHeight="1" outlineLevel="2" x14ac:dyDescent="0.2">
      <c r="D328" s="660" t="str">
        <f>Screen_LU!D25</f>
        <v>Eastern</v>
      </c>
      <c r="J328" s="5">
        <f ca="1">J275*Screen_BA!$L$100/TS_Denom_Conv_Fact</f>
        <v>7081.0222821600019</v>
      </c>
      <c r="K328" s="5">
        <f ca="1">K275*Screen_BA!$L$100/TS_Denom_Conv_Fact</f>
        <v>7081.0222821600019</v>
      </c>
      <c r="L328" s="5">
        <f ca="1">L275*Screen_BA!$L$100/TS_Denom_Conv_Fact</f>
        <v>7081.0222821600019</v>
      </c>
      <c r="M328" s="5">
        <f ca="1">M275*Screen_BA!$L$100/TS_Denom_Conv_Fact</f>
        <v>7081.0222821600019</v>
      </c>
      <c r="N328" s="5">
        <f ca="1">N275*Screen_BA!$L$100/TS_Denom_Conv_Fact</f>
        <v>7081.0222821600019</v>
      </c>
      <c r="O328" s="5">
        <f ca="1">O275*Screen_BA!$L$100/TS_Denom_Conv_Fact</f>
        <v>7081.0222821600019</v>
      </c>
    </row>
    <row r="329" spans="4:15" s="327" customFormat="1" ht="12.95" customHeight="1" outlineLevel="2" x14ac:dyDescent="0.2">
      <c r="D329" s="660" t="str">
        <f>Screen_LU!D26</f>
        <v>Luapula</v>
      </c>
      <c r="J329" s="5">
        <f ca="1">J276*Screen_BA!$L$100/TS_Denom_Conv_Fact</f>
        <v>5498.1418713600015</v>
      </c>
      <c r="K329" s="5">
        <f ca="1">K276*Screen_BA!$L$100/TS_Denom_Conv_Fact</f>
        <v>5498.1418713600015</v>
      </c>
      <c r="L329" s="5">
        <f ca="1">L276*Screen_BA!$L$100/TS_Denom_Conv_Fact</f>
        <v>5498.1418713600015</v>
      </c>
      <c r="M329" s="5">
        <f ca="1">M276*Screen_BA!$L$100/TS_Denom_Conv_Fact</f>
        <v>5498.1418713600015</v>
      </c>
      <c r="N329" s="5">
        <f ca="1">N276*Screen_BA!$L$100/TS_Denom_Conv_Fact</f>
        <v>5498.1418713600015</v>
      </c>
      <c r="O329" s="5">
        <f ca="1">O276*Screen_BA!$L$100/TS_Denom_Conv_Fact</f>
        <v>5498.1418713600015</v>
      </c>
    </row>
    <row r="330" spans="4:15" s="327" customFormat="1" ht="12.95" customHeight="1" outlineLevel="2" x14ac:dyDescent="0.2">
      <c r="D330" s="660" t="str">
        <f>Screen_LU!D27</f>
        <v>Lusaka</v>
      </c>
      <c r="J330" s="5">
        <f ca="1">J277*Screen_BA!$L$100/TS_Denom_Conv_Fact</f>
        <v>19744.065568560003</v>
      </c>
      <c r="K330" s="5">
        <f ca="1">K277*Screen_BA!$L$100/TS_Denom_Conv_Fact</f>
        <v>19744.065568560003</v>
      </c>
      <c r="L330" s="5">
        <f ca="1">L277*Screen_BA!$L$100/TS_Denom_Conv_Fact</f>
        <v>19744.065568560003</v>
      </c>
      <c r="M330" s="5">
        <f ca="1">M277*Screen_BA!$L$100/TS_Denom_Conv_Fact</f>
        <v>19744.065568560003</v>
      </c>
      <c r="N330" s="5">
        <f ca="1">N277*Screen_BA!$L$100/TS_Denom_Conv_Fact</f>
        <v>19744.065568560003</v>
      </c>
      <c r="O330" s="5">
        <f ca="1">O277*Screen_BA!$L$100/TS_Denom_Conv_Fact</f>
        <v>19744.065568560003</v>
      </c>
    </row>
    <row r="331" spans="4:15" s="327" customFormat="1" ht="12.75" customHeight="1" outlineLevel="2" x14ac:dyDescent="0.2">
      <c r="D331" s="660" t="str">
        <f>Screen_LU!D28</f>
        <v>Muchinga</v>
      </c>
      <c r="J331" s="5">
        <f ca="1">J278*Screen_BA!$L$100/TS_Denom_Conv_Fact</f>
        <v>374.75031948000009</v>
      </c>
      <c r="K331" s="5">
        <f ca="1">K278*Screen_BA!$L$100/TS_Denom_Conv_Fact</f>
        <v>374.75031948000009</v>
      </c>
      <c r="L331" s="5">
        <f ca="1">L278*Screen_BA!$L$100/TS_Denom_Conv_Fact</f>
        <v>374.75031948000009</v>
      </c>
      <c r="M331" s="5">
        <f ca="1">M278*Screen_BA!$L$100/TS_Denom_Conv_Fact</f>
        <v>374.75031948000009</v>
      </c>
      <c r="N331" s="5">
        <f ca="1">N278*Screen_BA!$L$100/TS_Denom_Conv_Fact</f>
        <v>374.75031948000009</v>
      </c>
      <c r="O331" s="5">
        <f ca="1">O278*Screen_BA!$L$100/TS_Denom_Conv_Fact</f>
        <v>374.75031948000009</v>
      </c>
    </row>
    <row r="332" spans="4:15" s="327" customFormat="1" ht="12.75" customHeight="1" outlineLevel="2" x14ac:dyDescent="0.2">
      <c r="D332" s="660" t="str">
        <f>Screen_LU!D29</f>
        <v>Northern</v>
      </c>
      <c r="J332" s="5">
        <f ca="1">J279*Screen_BA!$L$100/TS_Denom_Conv_Fact</f>
        <v>1957.6307302800005</v>
      </c>
      <c r="K332" s="5">
        <f ca="1">K279*Screen_BA!$L$100/TS_Denom_Conv_Fact</f>
        <v>1957.6307302800005</v>
      </c>
      <c r="L332" s="5">
        <f ca="1">L279*Screen_BA!$L$100/TS_Denom_Conv_Fact</f>
        <v>1957.6307302800005</v>
      </c>
      <c r="M332" s="5">
        <f ca="1">M279*Screen_BA!$L$100/TS_Denom_Conv_Fact</f>
        <v>1957.6307302800005</v>
      </c>
      <c r="N332" s="5">
        <f ca="1">N279*Screen_BA!$L$100/TS_Denom_Conv_Fact</f>
        <v>1957.6307302800005</v>
      </c>
      <c r="O332" s="5">
        <f ca="1">O279*Screen_BA!$L$100/TS_Denom_Conv_Fact</f>
        <v>1957.6307302800005</v>
      </c>
    </row>
    <row r="333" spans="4:15" s="327" customFormat="1" ht="12.75" customHeight="1" outlineLevel="2" x14ac:dyDescent="0.2">
      <c r="D333" s="660" t="str">
        <f>Screen_LU!D30</f>
        <v>North-Western</v>
      </c>
      <c r="J333" s="5">
        <f ca="1">J280*Screen_BA!$L$100/TS_Denom_Conv_Fact</f>
        <v>2332.3810497600007</v>
      </c>
      <c r="K333" s="5">
        <f ca="1">K280*Screen_BA!$L$100/TS_Denom_Conv_Fact</f>
        <v>2332.3810497600007</v>
      </c>
      <c r="L333" s="5">
        <f ca="1">L280*Screen_BA!$L$100/TS_Denom_Conv_Fact</f>
        <v>2332.3810497600007</v>
      </c>
      <c r="M333" s="5">
        <f ca="1">M280*Screen_BA!$L$100/TS_Denom_Conv_Fact</f>
        <v>2332.3810497600007</v>
      </c>
      <c r="N333" s="5">
        <f ca="1">N280*Screen_BA!$L$100/TS_Denom_Conv_Fact</f>
        <v>2332.3810497600007</v>
      </c>
      <c r="O333" s="5">
        <f ca="1">O280*Screen_BA!$L$100/TS_Denom_Conv_Fact</f>
        <v>2332.3810497600007</v>
      </c>
    </row>
    <row r="334" spans="4:15" s="327" customFormat="1" ht="12.75" customHeight="1" outlineLevel="2" x14ac:dyDescent="0.2">
      <c r="D334" s="660" t="str">
        <f>Screen_LU!D31</f>
        <v>Southern</v>
      </c>
      <c r="J334" s="5">
        <f ca="1">J281*Screen_BA!$L$100/TS_Denom_Conv_Fact</f>
        <v>5498.1418713600015</v>
      </c>
      <c r="K334" s="5">
        <f ca="1">K281*Screen_BA!$L$100/TS_Denom_Conv_Fact</f>
        <v>5498.1418713600015</v>
      </c>
      <c r="L334" s="5">
        <f ca="1">L281*Screen_BA!$L$100/TS_Denom_Conv_Fact</f>
        <v>5498.1418713600015</v>
      </c>
      <c r="M334" s="5">
        <f ca="1">M281*Screen_BA!$L$100/TS_Denom_Conv_Fact</f>
        <v>5498.1418713600015</v>
      </c>
      <c r="N334" s="5">
        <f ca="1">N281*Screen_BA!$L$100/TS_Denom_Conv_Fact</f>
        <v>5498.1418713600015</v>
      </c>
      <c r="O334" s="5">
        <f ca="1">O281*Screen_BA!$L$100/TS_Denom_Conv_Fact</f>
        <v>5498.1418713600015</v>
      </c>
    </row>
    <row r="335" spans="4:15" s="327" customFormat="1" ht="12.75" customHeight="1" outlineLevel="2" x14ac:dyDescent="0.2">
      <c r="D335" s="660" t="str">
        <f>Screen_LU!D32</f>
        <v>Western</v>
      </c>
      <c r="J335" s="5">
        <f ca="1">J282*Screen_BA!$L$100/TS_Denom_Conv_Fact</f>
        <v>5498.1418713600015</v>
      </c>
      <c r="K335" s="5">
        <f ca="1">K282*Screen_BA!$L$100/TS_Denom_Conv_Fact</f>
        <v>5498.1418713600015</v>
      </c>
      <c r="L335" s="5">
        <f ca="1">L282*Screen_BA!$L$100/TS_Denom_Conv_Fact</f>
        <v>5498.1418713600015</v>
      </c>
      <c r="M335" s="5">
        <f ca="1">M282*Screen_BA!$L$100/TS_Denom_Conv_Fact</f>
        <v>5498.1418713600015</v>
      </c>
      <c r="N335" s="5">
        <f ca="1">N282*Screen_BA!$L$100/TS_Denom_Conv_Fact</f>
        <v>5498.1418713600015</v>
      </c>
      <c r="O335" s="5">
        <f ca="1">O282*Screen_BA!$L$100/TS_Denom_Conv_Fact</f>
        <v>5498.1418713600015</v>
      </c>
    </row>
    <row r="336" spans="4:15" s="327" customFormat="1" ht="15" x14ac:dyDescent="0.2">
      <c r="D336" s="659" t="str">
        <f>"Total "&amp;D325&amp;" ("&amp;INDEX(LU_Screen_Denom,DD_TS_Denom)&amp;")"</f>
        <v>Total Supply Costs (USD)</v>
      </c>
      <c r="H336" s="646" t="str">
        <f>Screen_BA!G10</f>
        <v>VIA</v>
      </c>
      <c r="J336" s="5">
        <f t="shared" ref="J336:O336" ca="1" si="66">SUM(J326:J335)</f>
        <v>57397.678896240002</v>
      </c>
      <c r="K336" s="5">
        <f t="shared" ca="1" si="66"/>
        <v>57397.678896240002</v>
      </c>
      <c r="L336" s="5">
        <f t="shared" ca="1" si="66"/>
        <v>57397.678896240002</v>
      </c>
      <c r="M336" s="5">
        <f t="shared" ca="1" si="66"/>
        <v>57397.678896240002</v>
      </c>
      <c r="N336" s="5">
        <f t="shared" ca="1" si="66"/>
        <v>57397.678896240002</v>
      </c>
      <c r="O336" s="5">
        <f t="shared" ca="1" si="66"/>
        <v>57397.678896240002</v>
      </c>
    </row>
    <row r="337" spans="4:15" s="327" customFormat="1" x14ac:dyDescent="0.2"/>
    <row r="338" spans="4:15" s="327" customFormat="1" x14ac:dyDescent="0.2">
      <c r="D338" s="659" t="str">
        <f>"Financial Costs [excl. Capex] ("&amp;INDEX(LU_Screen_Denom,DD_TS_Denom)&amp;")"</f>
        <v>Financial Costs [excl. Capex] (USD)</v>
      </c>
      <c r="H338" s="660" t="str">
        <f>Screen_BA!G10</f>
        <v>VIA</v>
      </c>
      <c r="J338" s="5">
        <f t="shared" ref="J338:O338" ca="1" si="67">J336</f>
        <v>57397.678896240002</v>
      </c>
      <c r="K338" s="5">
        <f t="shared" ca="1" si="67"/>
        <v>57397.678896240002</v>
      </c>
      <c r="L338" s="5">
        <f t="shared" ca="1" si="67"/>
        <v>57397.678896240002</v>
      </c>
      <c r="M338" s="5">
        <f t="shared" ca="1" si="67"/>
        <v>57397.678896240002</v>
      </c>
      <c r="N338" s="5">
        <f t="shared" ca="1" si="67"/>
        <v>57397.678896240002</v>
      </c>
      <c r="O338" s="5">
        <f t="shared" ca="1" si="67"/>
        <v>57397.678896240002</v>
      </c>
    </row>
    <row r="339" spans="4:15" s="327" customFormat="1" x14ac:dyDescent="0.2">
      <c r="D339" s="659" t="str">
        <f>"Economic Costs [excl. Capex] ("&amp;INDEX(LU_Screen_Denom,DD_TS_Denom)&amp;")"</f>
        <v>Economic Costs [excl. Capex] (USD)</v>
      </c>
      <c r="H339" s="660" t="str">
        <f>Screen_BA!G10</f>
        <v>VIA</v>
      </c>
      <c r="J339" s="5">
        <f t="shared" ref="J339:O339" ca="1" si="68">J336+J310+J323</f>
        <v>183401.79116778044</v>
      </c>
      <c r="K339" s="5">
        <f t="shared" ca="1" si="68"/>
        <v>183401.79116778044</v>
      </c>
      <c r="L339" s="5">
        <f t="shared" ca="1" si="68"/>
        <v>183401.79116778044</v>
      </c>
      <c r="M339" s="5">
        <f t="shared" ca="1" si="68"/>
        <v>183401.79116778044</v>
      </c>
      <c r="N339" s="5">
        <f t="shared" ca="1" si="68"/>
        <v>183401.79116778044</v>
      </c>
      <c r="O339" s="5">
        <f t="shared" ca="1" si="68"/>
        <v>183401.79116778044</v>
      </c>
    </row>
    <row r="340" spans="4:15" s="327" customFormat="1" x14ac:dyDescent="0.2"/>
    <row r="341" spans="4:15" s="327" customFormat="1" ht="15" outlineLevel="1" x14ac:dyDescent="0.2">
      <c r="D341" s="658" t="s">
        <v>1933</v>
      </c>
    </row>
    <row r="342" spans="4:15" s="327" customFormat="1" outlineLevel="1" x14ac:dyDescent="0.2">
      <c r="D342" s="660" t="str">
        <f>Screen_LU!D23</f>
        <v>Central</v>
      </c>
      <c r="J342" s="8">
        <f>(J173-I173)*Screen_BA!$L$122/TS_Denom_Conv_Fact</f>
        <v>0</v>
      </c>
      <c r="K342" s="8">
        <f>(K173-J173)*Screen_BA!$L$122/TS_Denom_Conv_Fact</f>
        <v>0</v>
      </c>
      <c r="L342" s="8">
        <f>(L173-K173)*Screen_BA!$L$122/TS_Denom_Conv_Fact</f>
        <v>0</v>
      </c>
      <c r="M342" s="8">
        <f>(M173-L173)*Screen_BA!$L$122/TS_Denom_Conv_Fact</f>
        <v>0</v>
      </c>
      <c r="N342" s="8">
        <f>(N173-M173)*Screen_BA!$L$122/TS_Denom_Conv_Fact</f>
        <v>0</v>
      </c>
      <c r="O342" s="8">
        <f>(O173-N173)*Screen_BA!$L$122/TS_Denom_Conv_Fact</f>
        <v>0</v>
      </c>
    </row>
    <row r="343" spans="4:15" s="327" customFormat="1" outlineLevel="1" x14ac:dyDescent="0.2">
      <c r="D343" s="660" t="str">
        <f>Screen_LU!D24</f>
        <v>Copperbelt</v>
      </c>
      <c r="J343" s="8">
        <f>(J174-I174)*Screen_BA!$L$122/TS_Denom_Conv_Fact</f>
        <v>0</v>
      </c>
      <c r="K343" s="8">
        <f>(K174-J174)*Screen_BA!$L$122/TS_Denom_Conv_Fact</f>
        <v>0</v>
      </c>
      <c r="L343" s="8">
        <f>(L174-K174)*Screen_BA!$L$122/TS_Denom_Conv_Fact</f>
        <v>0</v>
      </c>
      <c r="M343" s="8">
        <f>(M174-L174)*Screen_BA!$L$122/TS_Denom_Conv_Fact</f>
        <v>0</v>
      </c>
      <c r="N343" s="8">
        <f>(N174-M174)*Screen_BA!$L$122/TS_Denom_Conv_Fact</f>
        <v>0</v>
      </c>
      <c r="O343" s="8">
        <f>(O174-N174)*Screen_BA!$L$122/TS_Denom_Conv_Fact</f>
        <v>0</v>
      </c>
    </row>
    <row r="344" spans="4:15" s="327" customFormat="1" outlineLevel="1" x14ac:dyDescent="0.2">
      <c r="D344" s="660" t="str">
        <f>Screen_LU!D25</f>
        <v>Eastern</v>
      </c>
      <c r="J344" s="8">
        <f>(J175-I175)*Screen_BA!$L$122/TS_Denom_Conv_Fact</f>
        <v>0</v>
      </c>
      <c r="K344" s="8">
        <f>(K175-J175)*Screen_BA!$L$122/TS_Denom_Conv_Fact</f>
        <v>0</v>
      </c>
      <c r="L344" s="8">
        <f>(L175-K175)*Screen_BA!$L$122/TS_Denom_Conv_Fact</f>
        <v>0</v>
      </c>
      <c r="M344" s="8">
        <f>(M175-L175)*Screen_BA!$L$122/TS_Denom_Conv_Fact</f>
        <v>0</v>
      </c>
      <c r="N344" s="8">
        <f>(N175-M175)*Screen_BA!$L$122/TS_Denom_Conv_Fact</f>
        <v>0</v>
      </c>
      <c r="O344" s="8">
        <f>(O175-N175)*Screen_BA!$L$122/TS_Denom_Conv_Fact</f>
        <v>0</v>
      </c>
    </row>
    <row r="345" spans="4:15" s="327" customFormat="1" outlineLevel="1" x14ac:dyDescent="0.2">
      <c r="D345" s="660" t="str">
        <f>Screen_LU!D26</f>
        <v>Luapula</v>
      </c>
      <c r="J345" s="8">
        <f>(J176-I176)*Screen_BA!$L$122/TS_Denom_Conv_Fact</f>
        <v>0</v>
      </c>
      <c r="K345" s="8">
        <f>(K176-J176)*Screen_BA!$L$122/TS_Denom_Conv_Fact</f>
        <v>0</v>
      </c>
      <c r="L345" s="8">
        <f>(L176-K176)*Screen_BA!$L$122/TS_Denom_Conv_Fact</f>
        <v>0</v>
      </c>
      <c r="M345" s="8">
        <f>(M176-L176)*Screen_BA!$L$122/TS_Denom_Conv_Fact</f>
        <v>0</v>
      </c>
      <c r="N345" s="8">
        <f>(N176-M176)*Screen_BA!$L$122/TS_Denom_Conv_Fact</f>
        <v>0</v>
      </c>
      <c r="O345" s="8">
        <f>(O176-N176)*Screen_BA!$L$122/TS_Denom_Conv_Fact</f>
        <v>0</v>
      </c>
    </row>
    <row r="346" spans="4:15" s="327" customFormat="1" outlineLevel="1" x14ac:dyDescent="0.2">
      <c r="D346" s="660" t="str">
        <f>Screen_LU!D27</f>
        <v>Lusaka</v>
      </c>
      <c r="J346" s="8">
        <f>(J177-I177)*Screen_BA!$L$122/TS_Denom_Conv_Fact</f>
        <v>0</v>
      </c>
      <c r="K346" s="8">
        <f>(K177-J177)*Screen_BA!$L$122/TS_Denom_Conv_Fact</f>
        <v>0</v>
      </c>
      <c r="L346" s="8">
        <f>(L177-K177)*Screen_BA!$L$122/TS_Denom_Conv_Fact</f>
        <v>0</v>
      </c>
      <c r="M346" s="8">
        <f>(M177-L177)*Screen_BA!$L$122/TS_Denom_Conv_Fact</f>
        <v>0</v>
      </c>
      <c r="N346" s="8">
        <f>(N177-M177)*Screen_BA!$L$122/TS_Denom_Conv_Fact</f>
        <v>0</v>
      </c>
      <c r="O346" s="8">
        <f>(O177-N177)*Screen_BA!$L$122/TS_Denom_Conv_Fact</f>
        <v>0</v>
      </c>
    </row>
    <row r="347" spans="4:15" s="327" customFormat="1" outlineLevel="1" x14ac:dyDescent="0.2">
      <c r="D347" s="660" t="str">
        <f>Screen_LU!D28</f>
        <v>Muchinga</v>
      </c>
      <c r="J347" s="8">
        <f>(J178-I178)*Screen_BA!$L$122/TS_Denom_Conv_Fact</f>
        <v>0</v>
      </c>
      <c r="K347" s="8">
        <f>(K178-J178)*Screen_BA!$L$122/TS_Denom_Conv_Fact</f>
        <v>0</v>
      </c>
      <c r="L347" s="8">
        <f>(L178-K178)*Screen_BA!$L$122/TS_Denom_Conv_Fact</f>
        <v>0</v>
      </c>
      <c r="M347" s="8">
        <f>(M178-L178)*Screen_BA!$L$122/TS_Denom_Conv_Fact</f>
        <v>0</v>
      </c>
      <c r="N347" s="8">
        <f>(N178-M178)*Screen_BA!$L$122/TS_Denom_Conv_Fact</f>
        <v>0</v>
      </c>
      <c r="O347" s="8">
        <f>(O178-N178)*Screen_BA!$L$122/TS_Denom_Conv_Fact</f>
        <v>0</v>
      </c>
    </row>
    <row r="348" spans="4:15" s="327" customFormat="1" outlineLevel="1" x14ac:dyDescent="0.2">
      <c r="D348" s="660" t="str">
        <f>Screen_LU!D29</f>
        <v>Northern</v>
      </c>
      <c r="J348" s="8">
        <f>(J179-I179)*Screen_BA!$L$122/TS_Denom_Conv_Fact</f>
        <v>0</v>
      </c>
      <c r="K348" s="8">
        <f>(K179-J179)*Screen_BA!$L$122/TS_Denom_Conv_Fact</f>
        <v>0</v>
      </c>
      <c r="L348" s="8">
        <f>(L179-K179)*Screen_BA!$L$122/TS_Denom_Conv_Fact</f>
        <v>0</v>
      </c>
      <c r="M348" s="8">
        <f>(M179-L179)*Screen_BA!$L$122/TS_Denom_Conv_Fact</f>
        <v>0</v>
      </c>
      <c r="N348" s="8">
        <f>(N179-M179)*Screen_BA!$L$122/TS_Denom_Conv_Fact</f>
        <v>0</v>
      </c>
      <c r="O348" s="8">
        <f>(O179-N179)*Screen_BA!$L$122/TS_Denom_Conv_Fact</f>
        <v>0</v>
      </c>
    </row>
    <row r="349" spans="4:15" s="327" customFormat="1" outlineLevel="1" x14ac:dyDescent="0.2">
      <c r="D349" s="660" t="str">
        <f>Screen_LU!D30</f>
        <v>North-Western</v>
      </c>
      <c r="J349" s="8">
        <f>(J180-I180)*Screen_BA!$L$122/TS_Denom_Conv_Fact</f>
        <v>0</v>
      </c>
      <c r="K349" s="8">
        <f>(K180-J180)*Screen_BA!$L$122/TS_Denom_Conv_Fact</f>
        <v>0</v>
      </c>
      <c r="L349" s="8">
        <f>(L180-K180)*Screen_BA!$L$122/TS_Denom_Conv_Fact</f>
        <v>0</v>
      </c>
      <c r="M349" s="8">
        <f>(M180-L180)*Screen_BA!$L$122/TS_Denom_Conv_Fact</f>
        <v>0</v>
      </c>
      <c r="N349" s="8">
        <f>(N180-M180)*Screen_BA!$L$122/TS_Denom_Conv_Fact</f>
        <v>0</v>
      </c>
      <c r="O349" s="8">
        <f>(O180-N180)*Screen_BA!$L$122/TS_Denom_Conv_Fact</f>
        <v>0</v>
      </c>
    </row>
    <row r="350" spans="4:15" s="327" customFormat="1" outlineLevel="1" x14ac:dyDescent="0.2">
      <c r="D350" s="660" t="str">
        <f>Screen_LU!D31</f>
        <v>Southern</v>
      </c>
      <c r="J350" s="8">
        <f>(J181-I181)*Screen_BA!$L$122/TS_Denom_Conv_Fact</f>
        <v>0</v>
      </c>
      <c r="K350" s="8">
        <f>(K181-J181)*Screen_BA!$L$122/TS_Denom_Conv_Fact</f>
        <v>0</v>
      </c>
      <c r="L350" s="8">
        <f>(L181-K181)*Screen_BA!$L$122/TS_Denom_Conv_Fact</f>
        <v>0</v>
      </c>
      <c r="M350" s="8">
        <f>(M181-L181)*Screen_BA!$L$122/TS_Denom_Conv_Fact</f>
        <v>0</v>
      </c>
      <c r="N350" s="8">
        <f>(N181-M181)*Screen_BA!$L$122/TS_Denom_Conv_Fact</f>
        <v>0</v>
      </c>
      <c r="O350" s="8">
        <f>(O181-N181)*Screen_BA!$L$122/TS_Denom_Conv_Fact</f>
        <v>0</v>
      </c>
    </row>
    <row r="351" spans="4:15" s="327" customFormat="1" outlineLevel="1" x14ac:dyDescent="0.2">
      <c r="D351" s="660" t="str">
        <f>Screen_LU!D32</f>
        <v>Western</v>
      </c>
      <c r="J351" s="9">
        <f>(J182-I182)*Screen_BA!$L$122/TS_Denom_Conv_Fact</f>
        <v>0</v>
      </c>
      <c r="K351" s="9">
        <f>(K182-J182)*Screen_BA!$L$122/TS_Denom_Conv_Fact</f>
        <v>0</v>
      </c>
      <c r="L351" s="9">
        <f>(L182-K182)*Screen_BA!$L$122/TS_Denom_Conv_Fact</f>
        <v>0</v>
      </c>
      <c r="M351" s="9">
        <f>(M182-L182)*Screen_BA!$L$122/TS_Denom_Conv_Fact</f>
        <v>0</v>
      </c>
      <c r="N351" s="9">
        <f>(N182-M182)*Screen_BA!$L$122/TS_Denom_Conv_Fact</f>
        <v>0</v>
      </c>
      <c r="O351" s="9">
        <f>(O182-N182)*Screen_BA!$L$122/TS_Denom_Conv_Fact</f>
        <v>0</v>
      </c>
    </row>
    <row r="352" spans="4:15" s="327" customFormat="1" ht="15" x14ac:dyDescent="0.2">
      <c r="D352" s="679" t="str">
        <f>D341&amp;" ("&amp;INDEX(LU_Screen_Denom,DD_TS_Denom)&amp;")"</f>
        <v>Capex (Equip) NonAnnualized (Fin) (USD)</v>
      </c>
      <c r="H352" s="646" t="str">
        <f>Screen_BA!G10</f>
        <v>VIA</v>
      </c>
      <c r="J352" s="5">
        <f t="shared" ref="J352:O352" si="69">SUM(J342:J351)</f>
        <v>0</v>
      </c>
      <c r="K352" s="5">
        <f t="shared" si="69"/>
        <v>0</v>
      </c>
      <c r="L352" s="5">
        <f t="shared" si="69"/>
        <v>0</v>
      </c>
      <c r="M352" s="5">
        <f t="shared" si="69"/>
        <v>0</v>
      </c>
      <c r="N352" s="5">
        <f t="shared" si="69"/>
        <v>0</v>
      </c>
      <c r="O352" s="5">
        <f t="shared" si="69"/>
        <v>0</v>
      </c>
    </row>
    <row r="353" spans="4:15" s="327" customFormat="1" x14ac:dyDescent="0.2"/>
    <row r="354" spans="4:15" s="327" customFormat="1" ht="15" outlineLevel="1" x14ac:dyDescent="0.2">
      <c r="D354" s="658" t="s">
        <v>1934</v>
      </c>
    </row>
    <row r="355" spans="4:15" s="327" customFormat="1" outlineLevel="1" x14ac:dyDescent="0.2">
      <c r="D355" s="660" t="str">
        <f>Screen_LU!D23</f>
        <v>Central</v>
      </c>
      <c r="J355" s="5">
        <f>J173*Screen_BA!$M$124/TS_Denom_Conv_Fact</f>
        <v>2075.06</v>
      </c>
      <c r="K355" s="5">
        <f>K173*Screen_BA!$M$124/TS_Denom_Conv_Fact</f>
        <v>2075.06</v>
      </c>
      <c r="L355" s="5">
        <f>L173*Screen_BA!$M$124/TS_Denom_Conv_Fact</f>
        <v>2075.06</v>
      </c>
      <c r="M355" s="5">
        <f>M173*Screen_BA!$M$124/TS_Denom_Conv_Fact</f>
        <v>2075.06</v>
      </c>
      <c r="N355" s="5">
        <f>N173*Screen_BA!$M$124/TS_Denom_Conv_Fact</f>
        <v>2075.06</v>
      </c>
      <c r="O355" s="5">
        <f>O173*Screen_BA!$M$124/TS_Denom_Conv_Fact</f>
        <v>2075.06</v>
      </c>
    </row>
    <row r="356" spans="4:15" s="327" customFormat="1" outlineLevel="1" x14ac:dyDescent="0.2">
      <c r="D356" s="660" t="str">
        <f>Screen_LU!D24</f>
        <v>Copperbelt</v>
      </c>
      <c r="J356" s="5">
        <f>J174*Screen_BA!$M$124/TS_Denom_Conv_Fact</f>
        <v>2593.8249999999998</v>
      </c>
      <c r="K356" s="5">
        <f>K174*Screen_BA!$M$124/TS_Denom_Conv_Fact</f>
        <v>2593.8249999999998</v>
      </c>
      <c r="L356" s="5">
        <f>L174*Screen_BA!$M$124/TS_Denom_Conv_Fact</f>
        <v>2593.8249999999998</v>
      </c>
      <c r="M356" s="5">
        <f>M174*Screen_BA!$M$124/TS_Denom_Conv_Fact</f>
        <v>2593.8249999999998</v>
      </c>
      <c r="N356" s="5">
        <f>N174*Screen_BA!$M$124/TS_Denom_Conv_Fact</f>
        <v>2593.8249999999998</v>
      </c>
      <c r="O356" s="5">
        <f>O174*Screen_BA!$M$124/TS_Denom_Conv_Fact</f>
        <v>2593.8249999999998</v>
      </c>
    </row>
    <row r="357" spans="4:15" s="327" customFormat="1" outlineLevel="1" x14ac:dyDescent="0.2">
      <c r="D357" s="660" t="str">
        <f>Screen_LU!D25</f>
        <v>Eastern</v>
      </c>
      <c r="J357" s="5">
        <f>J175*Screen_BA!$M$124/TS_Denom_Conv_Fact</f>
        <v>3112.59</v>
      </c>
      <c r="K357" s="5">
        <f>K175*Screen_BA!$M$124/TS_Denom_Conv_Fact</f>
        <v>3112.59</v>
      </c>
      <c r="L357" s="5">
        <f>L175*Screen_BA!$M$124/TS_Denom_Conv_Fact</f>
        <v>3112.59</v>
      </c>
      <c r="M357" s="5">
        <f>M175*Screen_BA!$M$124/TS_Denom_Conv_Fact</f>
        <v>3112.59</v>
      </c>
      <c r="N357" s="5">
        <f>N175*Screen_BA!$M$124/TS_Denom_Conv_Fact</f>
        <v>3112.59</v>
      </c>
      <c r="O357" s="5">
        <f>O175*Screen_BA!$M$124/TS_Denom_Conv_Fact</f>
        <v>3112.59</v>
      </c>
    </row>
    <row r="358" spans="4:15" s="327" customFormat="1" outlineLevel="1" x14ac:dyDescent="0.2">
      <c r="D358" s="660" t="str">
        <f>Screen_LU!D26</f>
        <v>Luapula</v>
      </c>
      <c r="J358" s="5">
        <f>J176*Screen_BA!$M$124/TS_Denom_Conv_Fact</f>
        <v>2593.8249999999998</v>
      </c>
      <c r="K358" s="5">
        <f>K176*Screen_BA!$M$124/TS_Denom_Conv_Fact</f>
        <v>2593.8249999999998</v>
      </c>
      <c r="L358" s="5">
        <f>L176*Screen_BA!$M$124/TS_Denom_Conv_Fact</f>
        <v>2593.8249999999998</v>
      </c>
      <c r="M358" s="5">
        <f>M176*Screen_BA!$M$124/TS_Denom_Conv_Fact</f>
        <v>2593.8249999999998</v>
      </c>
      <c r="N358" s="5">
        <f>N176*Screen_BA!$M$124/TS_Denom_Conv_Fact</f>
        <v>2593.8249999999998</v>
      </c>
      <c r="O358" s="5">
        <f>O176*Screen_BA!$M$124/TS_Denom_Conv_Fact</f>
        <v>2593.8249999999998</v>
      </c>
    </row>
    <row r="359" spans="4:15" s="327" customFormat="1" outlineLevel="1" x14ac:dyDescent="0.2">
      <c r="D359" s="660" t="str">
        <f>Screen_LU!D27</f>
        <v>Lusaka</v>
      </c>
      <c r="J359" s="5">
        <f>J177*Screen_BA!$M$124/TS_Denom_Conv_Fact</f>
        <v>7262.71</v>
      </c>
      <c r="K359" s="5">
        <f>K177*Screen_BA!$M$124/TS_Denom_Conv_Fact</f>
        <v>7262.71</v>
      </c>
      <c r="L359" s="5">
        <f>L177*Screen_BA!$M$124/TS_Denom_Conv_Fact</f>
        <v>7262.71</v>
      </c>
      <c r="M359" s="5">
        <f>M177*Screen_BA!$M$124/TS_Denom_Conv_Fact</f>
        <v>7262.71</v>
      </c>
      <c r="N359" s="5">
        <f>N177*Screen_BA!$M$124/TS_Denom_Conv_Fact</f>
        <v>7262.71</v>
      </c>
      <c r="O359" s="5">
        <f>O177*Screen_BA!$M$124/TS_Denom_Conv_Fact</f>
        <v>7262.71</v>
      </c>
    </row>
    <row r="360" spans="4:15" s="327" customFormat="1" outlineLevel="1" x14ac:dyDescent="0.2">
      <c r="D360" s="660" t="str">
        <f>Screen_LU!D28</f>
        <v>Muchinga</v>
      </c>
      <c r="J360" s="5">
        <f>J178*Screen_BA!$M$124/TS_Denom_Conv_Fact</f>
        <v>518.76499999999999</v>
      </c>
      <c r="K360" s="5">
        <f>K178*Screen_BA!$M$124/TS_Denom_Conv_Fact</f>
        <v>518.76499999999999</v>
      </c>
      <c r="L360" s="5">
        <f>L178*Screen_BA!$M$124/TS_Denom_Conv_Fact</f>
        <v>518.76499999999999</v>
      </c>
      <c r="M360" s="5">
        <f>M178*Screen_BA!$M$124/TS_Denom_Conv_Fact</f>
        <v>518.76499999999999</v>
      </c>
      <c r="N360" s="5">
        <f>N178*Screen_BA!$M$124/TS_Denom_Conv_Fact</f>
        <v>518.76499999999999</v>
      </c>
      <c r="O360" s="5">
        <f>O178*Screen_BA!$M$124/TS_Denom_Conv_Fact</f>
        <v>518.76499999999999</v>
      </c>
    </row>
    <row r="361" spans="4:15" s="327" customFormat="1" outlineLevel="1" x14ac:dyDescent="0.2">
      <c r="D361" s="660" t="str">
        <f>Screen_LU!D29</f>
        <v>Northern</v>
      </c>
      <c r="J361" s="5">
        <f>J179*Screen_BA!$M$124/TS_Denom_Conv_Fact</f>
        <v>1037.53</v>
      </c>
      <c r="K361" s="5">
        <f>K179*Screen_BA!$M$124/TS_Denom_Conv_Fact</f>
        <v>1037.53</v>
      </c>
      <c r="L361" s="5">
        <f>L179*Screen_BA!$M$124/TS_Denom_Conv_Fact</f>
        <v>1037.53</v>
      </c>
      <c r="M361" s="5">
        <f>M179*Screen_BA!$M$124/TS_Denom_Conv_Fact</f>
        <v>1037.53</v>
      </c>
      <c r="N361" s="5">
        <f>N179*Screen_BA!$M$124/TS_Denom_Conv_Fact</f>
        <v>1037.53</v>
      </c>
      <c r="O361" s="5">
        <f>O179*Screen_BA!$M$124/TS_Denom_Conv_Fact</f>
        <v>1037.53</v>
      </c>
    </row>
    <row r="362" spans="4:15" s="327" customFormat="1" outlineLevel="1" x14ac:dyDescent="0.2">
      <c r="D362" s="660" t="str">
        <f>Screen_LU!D30</f>
        <v>North-Western</v>
      </c>
      <c r="J362" s="5">
        <f>J180*Screen_BA!$M$124/TS_Denom_Conv_Fact</f>
        <v>1556.2950000000001</v>
      </c>
      <c r="K362" s="5">
        <f>K180*Screen_BA!$M$124/TS_Denom_Conv_Fact</f>
        <v>1556.2950000000001</v>
      </c>
      <c r="L362" s="5">
        <f>L180*Screen_BA!$M$124/TS_Denom_Conv_Fact</f>
        <v>1556.2950000000001</v>
      </c>
      <c r="M362" s="5">
        <f>M180*Screen_BA!$M$124/TS_Denom_Conv_Fact</f>
        <v>1556.2950000000001</v>
      </c>
      <c r="N362" s="5">
        <f>N180*Screen_BA!$M$124/TS_Denom_Conv_Fact</f>
        <v>1556.2950000000001</v>
      </c>
      <c r="O362" s="5">
        <f>O180*Screen_BA!$M$124/TS_Denom_Conv_Fact</f>
        <v>1556.2950000000001</v>
      </c>
    </row>
    <row r="363" spans="4:15" s="327" customFormat="1" outlineLevel="1" x14ac:dyDescent="0.2">
      <c r="D363" s="660" t="str">
        <f>Screen_LU!D31</f>
        <v>Southern</v>
      </c>
      <c r="J363" s="5">
        <f>J181*Screen_BA!$M$124/TS_Denom_Conv_Fact</f>
        <v>2593.8249999999998</v>
      </c>
      <c r="K363" s="5">
        <f>K181*Screen_BA!$M$124/TS_Denom_Conv_Fact</f>
        <v>2593.8249999999998</v>
      </c>
      <c r="L363" s="5">
        <f>L181*Screen_BA!$M$124/TS_Denom_Conv_Fact</f>
        <v>2593.8249999999998</v>
      </c>
      <c r="M363" s="5">
        <f>M181*Screen_BA!$M$124/TS_Denom_Conv_Fact</f>
        <v>2593.8249999999998</v>
      </c>
      <c r="N363" s="5">
        <f>N181*Screen_BA!$M$124/TS_Denom_Conv_Fact</f>
        <v>2593.8249999999998</v>
      </c>
      <c r="O363" s="5">
        <f>O181*Screen_BA!$M$124/TS_Denom_Conv_Fact</f>
        <v>2593.8249999999998</v>
      </c>
    </row>
    <row r="364" spans="4:15" s="327" customFormat="1" outlineLevel="1" x14ac:dyDescent="0.2">
      <c r="D364" s="660" t="str">
        <f>Screen_LU!D32</f>
        <v>Western</v>
      </c>
      <c r="J364" s="5">
        <f>J182*Screen_BA!$M$124/TS_Denom_Conv_Fact</f>
        <v>2593.8249999999998</v>
      </c>
      <c r="K364" s="5">
        <f>K182*Screen_BA!$M$124/TS_Denom_Conv_Fact</f>
        <v>2593.8249999999998</v>
      </c>
      <c r="L364" s="5">
        <f>L182*Screen_BA!$M$124/TS_Denom_Conv_Fact</f>
        <v>2593.8249999999998</v>
      </c>
      <c r="M364" s="5">
        <f>M182*Screen_BA!$M$124/TS_Denom_Conv_Fact</f>
        <v>2593.8249999999998</v>
      </c>
      <c r="N364" s="5">
        <f>N182*Screen_BA!$M$124/TS_Denom_Conv_Fact</f>
        <v>2593.8249999999998</v>
      </c>
      <c r="O364" s="5">
        <f>O182*Screen_BA!$M$124/TS_Denom_Conv_Fact</f>
        <v>2593.8249999999998</v>
      </c>
    </row>
    <row r="365" spans="4:15" s="327" customFormat="1" ht="15" x14ac:dyDescent="0.2">
      <c r="D365" s="659" t="str">
        <f>D354&amp;" ("&amp;INDEX(LU_Screen_Denom,DD_TS_Denom)&amp;")"</f>
        <v>Capex (Equip) Annualized (Fin) (USD)</v>
      </c>
      <c r="H365" s="646" t="str">
        <f>Screen_BA!G10</f>
        <v>VIA</v>
      </c>
      <c r="J365" s="5">
        <f t="shared" ref="J365:O365" si="70">SUM(J355:J364)</f>
        <v>25938.25</v>
      </c>
      <c r="K365" s="5">
        <f t="shared" si="70"/>
        <v>25938.25</v>
      </c>
      <c r="L365" s="5">
        <f t="shared" si="70"/>
        <v>25938.25</v>
      </c>
      <c r="M365" s="5">
        <f t="shared" si="70"/>
        <v>25938.25</v>
      </c>
      <c r="N365" s="5">
        <f t="shared" si="70"/>
        <v>25938.25</v>
      </c>
      <c r="O365" s="5">
        <f t="shared" si="70"/>
        <v>25938.25</v>
      </c>
    </row>
    <row r="366" spans="4:15" s="327" customFormat="1" x14ac:dyDescent="0.2"/>
    <row r="367" spans="4:15" s="327" customFormat="1" ht="15" outlineLevel="1" x14ac:dyDescent="0.2">
      <c r="D367" s="658" t="s">
        <v>1935</v>
      </c>
    </row>
    <row r="368" spans="4:15" s="327" customFormat="1" outlineLevel="1" x14ac:dyDescent="0.2">
      <c r="D368" s="660" t="str">
        <f>Screen_LU!D23</f>
        <v>Central</v>
      </c>
      <c r="J368" s="5">
        <f>(J173-I173)*Screen_BA!$L$122/TS_Denom_Conv_Fact</f>
        <v>0</v>
      </c>
      <c r="K368" s="5">
        <f>(K173-J173)*Screen_BA!$L$122/TS_Denom_Conv_Fact</f>
        <v>0</v>
      </c>
      <c r="L368" s="5">
        <f>(L173-K173)*Screen_BA!$L$122/TS_Denom_Conv_Fact</f>
        <v>0</v>
      </c>
      <c r="M368" s="5">
        <f>(M173-L173)*Screen_BA!$L$122/TS_Denom_Conv_Fact</f>
        <v>0</v>
      </c>
      <c r="N368" s="5">
        <f>(N173-M173)*Screen_BA!$L$122/TS_Denom_Conv_Fact</f>
        <v>0</v>
      </c>
      <c r="O368" s="5">
        <f>(O173-N173)*Screen_BA!$L$122/TS_Denom_Conv_Fact</f>
        <v>0</v>
      </c>
    </row>
    <row r="369" spans="4:15" s="327" customFormat="1" outlineLevel="1" x14ac:dyDescent="0.2">
      <c r="D369" s="660" t="str">
        <f>Screen_LU!D24</f>
        <v>Copperbelt</v>
      </c>
      <c r="J369" s="5">
        <f>(J174-I174)*Screen_BA!$L$122/TS_Denom_Conv_Fact</f>
        <v>0</v>
      </c>
      <c r="K369" s="5">
        <f>(K174-J174)*Screen_BA!$L$122/TS_Denom_Conv_Fact</f>
        <v>0</v>
      </c>
      <c r="L369" s="5">
        <f>(L174-K174)*Screen_BA!$L$122/TS_Denom_Conv_Fact</f>
        <v>0</v>
      </c>
      <c r="M369" s="5">
        <f>(M174-L174)*Screen_BA!$L$122/TS_Denom_Conv_Fact</f>
        <v>0</v>
      </c>
      <c r="N369" s="5">
        <f>(N174-M174)*Screen_BA!$L$122/TS_Denom_Conv_Fact</f>
        <v>0</v>
      </c>
      <c r="O369" s="5">
        <f>(O174-N174)*Screen_BA!$L$122/TS_Denom_Conv_Fact</f>
        <v>0</v>
      </c>
    </row>
    <row r="370" spans="4:15" s="327" customFormat="1" outlineLevel="1" x14ac:dyDescent="0.2">
      <c r="D370" s="660" t="str">
        <f>Screen_LU!D25</f>
        <v>Eastern</v>
      </c>
      <c r="J370" s="5">
        <f>(J175-I175)*Screen_BA!$L$122/TS_Denom_Conv_Fact</f>
        <v>0</v>
      </c>
      <c r="K370" s="5">
        <f>(K175-J175)*Screen_BA!$L$122/TS_Denom_Conv_Fact</f>
        <v>0</v>
      </c>
      <c r="L370" s="5">
        <f>(L175-K175)*Screen_BA!$L$122/TS_Denom_Conv_Fact</f>
        <v>0</v>
      </c>
      <c r="M370" s="5">
        <f>(M175-L175)*Screen_BA!$L$122/TS_Denom_Conv_Fact</f>
        <v>0</v>
      </c>
      <c r="N370" s="5">
        <f>(N175-M175)*Screen_BA!$L$122/TS_Denom_Conv_Fact</f>
        <v>0</v>
      </c>
      <c r="O370" s="5">
        <f>(O175-N175)*Screen_BA!$L$122/TS_Denom_Conv_Fact</f>
        <v>0</v>
      </c>
    </row>
    <row r="371" spans="4:15" s="327" customFormat="1" outlineLevel="1" x14ac:dyDescent="0.2">
      <c r="D371" s="660" t="str">
        <f>Screen_LU!D26</f>
        <v>Luapula</v>
      </c>
      <c r="J371" s="5">
        <f>(J176-I176)*Screen_BA!$L$122/TS_Denom_Conv_Fact</f>
        <v>0</v>
      </c>
      <c r="K371" s="5">
        <f>(K176-J176)*Screen_BA!$L$122/TS_Denom_Conv_Fact</f>
        <v>0</v>
      </c>
      <c r="L371" s="5">
        <f>(L176-K176)*Screen_BA!$L$122/TS_Denom_Conv_Fact</f>
        <v>0</v>
      </c>
      <c r="M371" s="5">
        <f>(M176-L176)*Screen_BA!$L$122/TS_Denom_Conv_Fact</f>
        <v>0</v>
      </c>
      <c r="N371" s="5">
        <f>(N176-M176)*Screen_BA!$L$122/TS_Denom_Conv_Fact</f>
        <v>0</v>
      </c>
      <c r="O371" s="5">
        <f>(O176-N176)*Screen_BA!$L$122/TS_Denom_Conv_Fact</f>
        <v>0</v>
      </c>
    </row>
    <row r="372" spans="4:15" s="327" customFormat="1" outlineLevel="1" x14ac:dyDescent="0.2">
      <c r="D372" s="660" t="str">
        <f>Screen_LU!D27</f>
        <v>Lusaka</v>
      </c>
      <c r="J372" s="5">
        <f>(J177-I177)*Screen_BA!$L$122/TS_Denom_Conv_Fact</f>
        <v>0</v>
      </c>
      <c r="K372" s="5">
        <f>(K177-J177)*Screen_BA!$L$122/TS_Denom_Conv_Fact</f>
        <v>0</v>
      </c>
      <c r="L372" s="5">
        <f>(L177-K177)*Screen_BA!$L$122/TS_Denom_Conv_Fact</f>
        <v>0</v>
      </c>
      <c r="M372" s="5">
        <f>(M177-L177)*Screen_BA!$L$122/TS_Denom_Conv_Fact</f>
        <v>0</v>
      </c>
      <c r="N372" s="5">
        <f>(N177-M177)*Screen_BA!$L$122/TS_Denom_Conv_Fact</f>
        <v>0</v>
      </c>
      <c r="O372" s="5">
        <f>(O177-N177)*Screen_BA!$L$122/TS_Denom_Conv_Fact</f>
        <v>0</v>
      </c>
    </row>
    <row r="373" spans="4:15" s="327" customFormat="1" outlineLevel="1" x14ac:dyDescent="0.2">
      <c r="D373" s="660" t="str">
        <f>Screen_LU!D28</f>
        <v>Muchinga</v>
      </c>
      <c r="J373" s="5">
        <f>(J178-I178)*Screen_BA!$L$122/TS_Denom_Conv_Fact</f>
        <v>0</v>
      </c>
      <c r="K373" s="5">
        <f>(K178-J178)*Screen_BA!$L$122/TS_Denom_Conv_Fact</f>
        <v>0</v>
      </c>
      <c r="L373" s="5">
        <f>(L178-K178)*Screen_BA!$L$122/TS_Denom_Conv_Fact</f>
        <v>0</v>
      </c>
      <c r="M373" s="5">
        <f>(M178-L178)*Screen_BA!$L$122/TS_Denom_Conv_Fact</f>
        <v>0</v>
      </c>
      <c r="N373" s="5">
        <f>(N178-M178)*Screen_BA!$L$122/TS_Denom_Conv_Fact</f>
        <v>0</v>
      </c>
      <c r="O373" s="5">
        <f>(O178-N178)*Screen_BA!$L$122/TS_Denom_Conv_Fact</f>
        <v>0</v>
      </c>
    </row>
    <row r="374" spans="4:15" s="327" customFormat="1" outlineLevel="1" x14ac:dyDescent="0.2">
      <c r="D374" s="660" t="str">
        <f>Screen_LU!D29</f>
        <v>Northern</v>
      </c>
      <c r="J374" s="5">
        <f>(J179-I179)*Screen_BA!$L$122/TS_Denom_Conv_Fact</f>
        <v>0</v>
      </c>
      <c r="K374" s="5">
        <f>(K179-J179)*Screen_BA!$L$122/TS_Denom_Conv_Fact</f>
        <v>0</v>
      </c>
      <c r="L374" s="5">
        <f>(L179-K179)*Screen_BA!$L$122/TS_Denom_Conv_Fact</f>
        <v>0</v>
      </c>
      <c r="M374" s="5">
        <f>(M179-L179)*Screen_BA!$L$122/TS_Denom_Conv_Fact</f>
        <v>0</v>
      </c>
      <c r="N374" s="5">
        <f>(N179-M179)*Screen_BA!$L$122/TS_Denom_Conv_Fact</f>
        <v>0</v>
      </c>
      <c r="O374" s="5">
        <f>(O179-N179)*Screen_BA!$L$122/TS_Denom_Conv_Fact</f>
        <v>0</v>
      </c>
    </row>
    <row r="375" spans="4:15" s="327" customFormat="1" outlineLevel="1" x14ac:dyDescent="0.2">
      <c r="D375" s="660" t="str">
        <f>Screen_LU!D30</f>
        <v>North-Western</v>
      </c>
      <c r="J375" s="5">
        <f>(J180-I180)*Screen_BA!$L$122/TS_Denom_Conv_Fact</f>
        <v>0</v>
      </c>
      <c r="K375" s="5">
        <f>(K180-J180)*Screen_BA!$L$122/TS_Denom_Conv_Fact</f>
        <v>0</v>
      </c>
      <c r="L375" s="5">
        <f>(L180-K180)*Screen_BA!$L$122/TS_Denom_Conv_Fact</f>
        <v>0</v>
      </c>
      <c r="M375" s="5">
        <f>(M180-L180)*Screen_BA!$L$122/TS_Denom_Conv_Fact</f>
        <v>0</v>
      </c>
      <c r="N375" s="5">
        <f>(N180-M180)*Screen_BA!$L$122/TS_Denom_Conv_Fact</f>
        <v>0</v>
      </c>
      <c r="O375" s="5">
        <f>(O180-N180)*Screen_BA!$L$122/TS_Denom_Conv_Fact</f>
        <v>0</v>
      </c>
    </row>
    <row r="376" spans="4:15" s="327" customFormat="1" outlineLevel="1" x14ac:dyDescent="0.2">
      <c r="D376" s="660" t="str">
        <f>Screen_LU!D31</f>
        <v>Southern</v>
      </c>
      <c r="J376" s="5">
        <f>(J181-I181)*Screen_BA!$L$122/TS_Denom_Conv_Fact</f>
        <v>0</v>
      </c>
      <c r="K376" s="5">
        <f>(K181-J181)*Screen_BA!$L$122/TS_Denom_Conv_Fact</f>
        <v>0</v>
      </c>
      <c r="L376" s="5">
        <f>(L181-K181)*Screen_BA!$L$122/TS_Denom_Conv_Fact</f>
        <v>0</v>
      </c>
      <c r="M376" s="5">
        <f>(M181-L181)*Screen_BA!$L$122/TS_Denom_Conv_Fact</f>
        <v>0</v>
      </c>
      <c r="N376" s="5">
        <f>(N181-M181)*Screen_BA!$L$122/TS_Denom_Conv_Fact</f>
        <v>0</v>
      </c>
      <c r="O376" s="5">
        <f>(O181-N181)*Screen_BA!$L$122/TS_Denom_Conv_Fact</f>
        <v>0</v>
      </c>
    </row>
    <row r="377" spans="4:15" s="327" customFormat="1" outlineLevel="1" x14ac:dyDescent="0.2">
      <c r="D377" s="660" t="str">
        <f>Screen_LU!D32</f>
        <v>Western</v>
      </c>
      <c r="J377" s="5">
        <f>(J182-I182)*Screen_BA!$L$122/TS_Denom_Conv_Fact</f>
        <v>0</v>
      </c>
      <c r="K377" s="5">
        <f>(K182-J182)*Screen_BA!$L$122/TS_Denom_Conv_Fact</f>
        <v>0</v>
      </c>
      <c r="L377" s="5">
        <f>(L182-K182)*Screen_BA!$L$122/TS_Denom_Conv_Fact</f>
        <v>0</v>
      </c>
      <c r="M377" s="5">
        <f>(M182-L182)*Screen_BA!$L$122/TS_Denom_Conv_Fact</f>
        <v>0</v>
      </c>
      <c r="N377" s="5">
        <f>(N182-M182)*Screen_BA!$L$122/TS_Denom_Conv_Fact</f>
        <v>0</v>
      </c>
      <c r="O377" s="5">
        <f>(O182-N182)*Screen_BA!$L$122/TS_Denom_Conv_Fact</f>
        <v>0</v>
      </c>
    </row>
    <row r="378" spans="4:15" s="327" customFormat="1" ht="15" x14ac:dyDescent="0.2">
      <c r="D378" s="679" t="str">
        <f>D367&amp;" ("&amp;INDEX(LU_Screen_Denom,DD_TS_Denom)&amp;")"</f>
        <v>Capex (Equip) NonAnnualized (Econ) (USD)</v>
      </c>
      <c r="H378" s="646" t="str">
        <f>Screen_BA!G10</f>
        <v>VIA</v>
      </c>
      <c r="J378" s="5">
        <f t="shared" ref="J378:O378" si="71">SUM(J368:J377)</f>
        <v>0</v>
      </c>
      <c r="K378" s="5">
        <f t="shared" si="71"/>
        <v>0</v>
      </c>
      <c r="L378" s="5">
        <f t="shared" si="71"/>
        <v>0</v>
      </c>
      <c r="M378" s="5">
        <f t="shared" si="71"/>
        <v>0</v>
      </c>
      <c r="N378" s="5">
        <f t="shared" si="71"/>
        <v>0</v>
      </c>
      <c r="O378" s="5">
        <f t="shared" si="71"/>
        <v>0</v>
      </c>
    </row>
    <row r="379" spans="4:15" s="327" customFormat="1" x14ac:dyDescent="0.2"/>
    <row r="380" spans="4:15" s="327" customFormat="1" ht="15" outlineLevel="2" x14ac:dyDescent="0.2">
      <c r="D380" s="658" t="s">
        <v>1936</v>
      </c>
    </row>
    <row r="381" spans="4:15" s="327" customFormat="1" outlineLevel="2" x14ac:dyDescent="0.2">
      <c r="D381" s="660" t="str">
        <f>Screen_LU!D23</f>
        <v>Central</v>
      </c>
      <c r="J381" s="5">
        <f>J173*Screen_BA!$N$124/TS_Denom_Conv_Fact</f>
        <v>2292.691596705949</v>
      </c>
      <c r="K381" s="5">
        <f>K173*Screen_BA!$N$124/TS_Denom_Conv_Fact</f>
        <v>2292.691596705949</v>
      </c>
      <c r="L381" s="5">
        <f>L173*Screen_BA!$N$124/TS_Denom_Conv_Fact</f>
        <v>2292.691596705949</v>
      </c>
      <c r="M381" s="5">
        <f>M173*Screen_BA!$N$124/TS_Denom_Conv_Fact</f>
        <v>2292.691596705949</v>
      </c>
      <c r="N381" s="5">
        <f>N173*Screen_BA!$N$124/TS_Denom_Conv_Fact</f>
        <v>2292.691596705949</v>
      </c>
      <c r="O381" s="5">
        <f>O173*Screen_BA!$N$124/TS_Denom_Conv_Fact</f>
        <v>2292.691596705949</v>
      </c>
    </row>
    <row r="382" spans="4:15" s="327" customFormat="1" outlineLevel="2" x14ac:dyDescent="0.2">
      <c r="D382" s="660" t="str">
        <f>Screen_LU!D24</f>
        <v>Copperbelt</v>
      </c>
      <c r="J382" s="5">
        <f>J174*Screen_BA!$N$124/TS_Denom_Conv_Fact</f>
        <v>2865.8644958824361</v>
      </c>
      <c r="K382" s="5">
        <f>K174*Screen_BA!$N$124/TS_Denom_Conv_Fact</f>
        <v>2865.8644958824361</v>
      </c>
      <c r="L382" s="5">
        <f>L174*Screen_BA!$N$124/TS_Denom_Conv_Fact</f>
        <v>2865.8644958824361</v>
      </c>
      <c r="M382" s="5">
        <f>M174*Screen_BA!$N$124/TS_Denom_Conv_Fact</f>
        <v>2865.8644958824361</v>
      </c>
      <c r="N382" s="5">
        <f>N174*Screen_BA!$N$124/TS_Denom_Conv_Fact</f>
        <v>2865.8644958824361</v>
      </c>
      <c r="O382" s="5">
        <f>O174*Screen_BA!$N$124/TS_Denom_Conv_Fact</f>
        <v>2865.8644958824361</v>
      </c>
    </row>
    <row r="383" spans="4:15" s="327" customFormat="1" outlineLevel="2" x14ac:dyDescent="0.2">
      <c r="D383" s="660" t="str">
        <f>Screen_LU!D25</f>
        <v>Eastern</v>
      </c>
      <c r="J383" s="5">
        <f>J175*Screen_BA!$N$124/TS_Denom_Conv_Fact</f>
        <v>3439.0373950589237</v>
      </c>
      <c r="K383" s="5">
        <f>K175*Screen_BA!$N$124/TS_Denom_Conv_Fact</f>
        <v>3439.0373950589237</v>
      </c>
      <c r="L383" s="5">
        <f>L175*Screen_BA!$N$124/TS_Denom_Conv_Fact</f>
        <v>3439.0373950589237</v>
      </c>
      <c r="M383" s="5">
        <f>M175*Screen_BA!$N$124/TS_Denom_Conv_Fact</f>
        <v>3439.0373950589237</v>
      </c>
      <c r="N383" s="5">
        <f>N175*Screen_BA!$N$124/TS_Denom_Conv_Fact</f>
        <v>3439.0373950589237</v>
      </c>
      <c r="O383" s="5">
        <f>O175*Screen_BA!$N$124/TS_Denom_Conv_Fact</f>
        <v>3439.0373950589237</v>
      </c>
    </row>
    <row r="384" spans="4:15" s="327" customFormat="1" outlineLevel="2" x14ac:dyDescent="0.2">
      <c r="D384" s="660" t="str">
        <f>Screen_LU!D26</f>
        <v>Luapula</v>
      </c>
      <c r="J384" s="5">
        <f>J176*Screen_BA!$N$124/TS_Denom_Conv_Fact</f>
        <v>2865.8644958824361</v>
      </c>
      <c r="K384" s="5">
        <f>K176*Screen_BA!$N$124/TS_Denom_Conv_Fact</f>
        <v>2865.8644958824361</v>
      </c>
      <c r="L384" s="5">
        <f>L176*Screen_BA!$N$124/TS_Denom_Conv_Fact</f>
        <v>2865.8644958824361</v>
      </c>
      <c r="M384" s="5">
        <f>M176*Screen_BA!$N$124/TS_Denom_Conv_Fact</f>
        <v>2865.8644958824361</v>
      </c>
      <c r="N384" s="5">
        <f>N176*Screen_BA!$N$124/TS_Denom_Conv_Fact</f>
        <v>2865.8644958824361</v>
      </c>
      <c r="O384" s="5">
        <f>O176*Screen_BA!$N$124/TS_Denom_Conv_Fact</f>
        <v>2865.8644958824361</v>
      </c>
    </row>
    <row r="385" spans="3:15" s="327" customFormat="1" outlineLevel="2" x14ac:dyDescent="0.2">
      <c r="D385" s="660" t="str">
        <f>Screen_LU!D27</f>
        <v>Lusaka</v>
      </c>
      <c r="J385" s="5">
        <f>J177*Screen_BA!$N$124/TS_Denom_Conv_Fact</f>
        <v>8024.4205884708217</v>
      </c>
      <c r="K385" s="5">
        <f>K177*Screen_BA!$N$124/TS_Denom_Conv_Fact</f>
        <v>8024.4205884708217</v>
      </c>
      <c r="L385" s="5">
        <f>L177*Screen_BA!$N$124/TS_Denom_Conv_Fact</f>
        <v>8024.4205884708217</v>
      </c>
      <c r="M385" s="5">
        <f>M177*Screen_BA!$N$124/TS_Denom_Conv_Fact</f>
        <v>8024.4205884708217</v>
      </c>
      <c r="N385" s="5">
        <f>N177*Screen_BA!$N$124/TS_Denom_Conv_Fact</f>
        <v>8024.4205884708217</v>
      </c>
      <c r="O385" s="5">
        <f>O177*Screen_BA!$N$124/TS_Denom_Conv_Fact</f>
        <v>8024.4205884708217</v>
      </c>
    </row>
    <row r="386" spans="3:15" s="327" customFormat="1" outlineLevel="2" x14ac:dyDescent="0.2">
      <c r="D386" s="660" t="str">
        <f>Screen_LU!D28</f>
        <v>Muchinga</v>
      </c>
      <c r="J386" s="5">
        <f>J178*Screen_BA!$N$124/TS_Denom_Conv_Fact</f>
        <v>573.17289917648725</v>
      </c>
      <c r="K386" s="5">
        <f>K178*Screen_BA!$N$124/TS_Denom_Conv_Fact</f>
        <v>573.17289917648725</v>
      </c>
      <c r="L386" s="5">
        <f>L178*Screen_BA!$N$124/TS_Denom_Conv_Fact</f>
        <v>573.17289917648725</v>
      </c>
      <c r="M386" s="5">
        <f>M178*Screen_BA!$N$124/TS_Denom_Conv_Fact</f>
        <v>573.17289917648725</v>
      </c>
      <c r="N386" s="5">
        <f>N178*Screen_BA!$N$124/TS_Denom_Conv_Fact</f>
        <v>573.17289917648725</v>
      </c>
      <c r="O386" s="5">
        <f>O178*Screen_BA!$N$124/TS_Denom_Conv_Fact</f>
        <v>573.17289917648725</v>
      </c>
    </row>
    <row r="387" spans="3:15" s="327" customFormat="1" outlineLevel="2" x14ac:dyDescent="0.2">
      <c r="D387" s="660" t="str">
        <f>Screen_LU!D29</f>
        <v>Northern</v>
      </c>
      <c r="J387" s="5">
        <f>J179*Screen_BA!$N$124/TS_Denom_Conv_Fact</f>
        <v>1146.3457983529745</v>
      </c>
      <c r="K387" s="5">
        <f>K179*Screen_BA!$N$124/TS_Denom_Conv_Fact</f>
        <v>1146.3457983529745</v>
      </c>
      <c r="L387" s="5">
        <f>L179*Screen_BA!$N$124/TS_Denom_Conv_Fact</f>
        <v>1146.3457983529745</v>
      </c>
      <c r="M387" s="5">
        <f>M179*Screen_BA!$N$124/TS_Denom_Conv_Fact</f>
        <v>1146.3457983529745</v>
      </c>
      <c r="N387" s="5">
        <f>N179*Screen_BA!$N$124/TS_Denom_Conv_Fact</f>
        <v>1146.3457983529745</v>
      </c>
      <c r="O387" s="5">
        <f>O179*Screen_BA!$N$124/TS_Denom_Conv_Fact</f>
        <v>1146.3457983529745</v>
      </c>
    </row>
    <row r="388" spans="3:15" s="327" customFormat="1" outlineLevel="2" x14ac:dyDescent="0.2">
      <c r="D388" s="660" t="str">
        <f>Screen_LU!D30</f>
        <v>North-Western</v>
      </c>
      <c r="J388" s="5">
        <f>J180*Screen_BA!$N$124/TS_Denom_Conv_Fact</f>
        <v>1719.5186975294619</v>
      </c>
      <c r="K388" s="5">
        <f>K180*Screen_BA!$N$124/TS_Denom_Conv_Fact</f>
        <v>1719.5186975294619</v>
      </c>
      <c r="L388" s="5">
        <f>L180*Screen_BA!$N$124/TS_Denom_Conv_Fact</f>
        <v>1719.5186975294619</v>
      </c>
      <c r="M388" s="5">
        <f>M180*Screen_BA!$N$124/TS_Denom_Conv_Fact</f>
        <v>1719.5186975294619</v>
      </c>
      <c r="N388" s="5">
        <f>N180*Screen_BA!$N$124/TS_Denom_Conv_Fact</f>
        <v>1719.5186975294619</v>
      </c>
      <c r="O388" s="5">
        <f>O180*Screen_BA!$N$124/TS_Denom_Conv_Fact</f>
        <v>1719.5186975294619</v>
      </c>
    </row>
    <row r="389" spans="3:15" s="327" customFormat="1" outlineLevel="2" x14ac:dyDescent="0.2">
      <c r="D389" s="660" t="str">
        <f>Screen_LU!D31</f>
        <v>Southern</v>
      </c>
      <c r="J389" s="5">
        <f>J181*Screen_BA!$N$124/TS_Denom_Conv_Fact</f>
        <v>2865.8644958824361</v>
      </c>
      <c r="K389" s="5">
        <f>K181*Screen_BA!$N$124/TS_Denom_Conv_Fact</f>
        <v>2865.8644958824361</v>
      </c>
      <c r="L389" s="5">
        <f>L181*Screen_BA!$N$124/TS_Denom_Conv_Fact</f>
        <v>2865.8644958824361</v>
      </c>
      <c r="M389" s="5">
        <f>M181*Screen_BA!$N$124/TS_Denom_Conv_Fact</f>
        <v>2865.8644958824361</v>
      </c>
      <c r="N389" s="5">
        <f>N181*Screen_BA!$N$124/TS_Denom_Conv_Fact</f>
        <v>2865.8644958824361</v>
      </c>
      <c r="O389" s="5">
        <f>O181*Screen_BA!$N$124/TS_Denom_Conv_Fact</f>
        <v>2865.8644958824361</v>
      </c>
    </row>
    <row r="390" spans="3:15" s="327" customFormat="1" outlineLevel="2" x14ac:dyDescent="0.2">
      <c r="D390" s="660" t="str">
        <f>Screen_LU!D32</f>
        <v>Western</v>
      </c>
      <c r="J390" s="5">
        <f>J182*Screen_BA!$N$124/TS_Denom_Conv_Fact</f>
        <v>2865.8644958824361</v>
      </c>
      <c r="K390" s="5">
        <f>K182*Screen_BA!$N$124/TS_Denom_Conv_Fact</f>
        <v>2865.8644958824361</v>
      </c>
      <c r="L390" s="5">
        <f>L182*Screen_BA!$N$124/TS_Denom_Conv_Fact</f>
        <v>2865.8644958824361</v>
      </c>
      <c r="M390" s="5">
        <f>M182*Screen_BA!$N$124/TS_Denom_Conv_Fact</f>
        <v>2865.8644958824361</v>
      </c>
      <c r="N390" s="5">
        <f>N182*Screen_BA!$N$124/TS_Denom_Conv_Fact</f>
        <v>2865.8644958824361</v>
      </c>
      <c r="O390" s="5">
        <f>O182*Screen_BA!$N$124/TS_Denom_Conv_Fact</f>
        <v>2865.8644958824361</v>
      </c>
    </row>
    <row r="391" spans="3:15" s="327" customFormat="1" ht="15" x14ac:dyDescent="0.2">
      <c r="D391" s="659" t="str">
        <f>D380&amp;" ("&amp;INDEX(LU_Screen_Denom,DD_TS_Denom)&amp;")"</f>
        <v>Capex (Equip) Annualized (Econ) (USD)</v>
      </c>
      <c r="H391" s="646" t="str">
        <f>Screen_BA!G10</f>
        <v>VIA</v>
      </c>
      <c r="J391" s="5">
        <f t="shared" ref="J391:O391" si="72">SUM(J381:J390)</f>
        <v>28658.644958824363</v>
      </c>
      <c r="K391" s="5">
        <f t="shared" si="72"/>
        <v>28658.644958824363</v>
      </c>
      <c r="L391" s="5">
        <f t="shared" si="72"/>
        <v>28658.644958824363</v>
      </c>
      <c r="M391" s="5">
        <f t="shared" si="72"/>
        <v>28658.644958824363</v>
      </c>
      <c r="N391" s="5">
        <f t="shared" si="72"/>
        <v>28658.644958824363</v>
      </c>
      <c r="O391" s="5">
        <f t="shared" si="72"/>
        <v>28658.644958824363</v>
      </c>
    </row>
    <row r="392" spans="3:15" s="327" customFormat="1" x14ac:dyDescent="0.2"/>
    <row r="393" spans="3:15" s="327" customFormat="1" x14ac:dyDescent="0.2">
      <c r="D393" s="659" t="str">
        <f>"Tot Fin Costs [incl Capex]- Ann ("&amp;INDEX(LU_Screen_Denom,DD_TS_Denom)&amp;")"</f>
        <v>Tot Fin Costs [incl Capex]- Ann (USD)</v>
      </c>
      <c r="H393" s="660" t="str">
        <f>Screen_BA!G10</f>
        <v>VIA</v>
      </c>
      <c r="J393" s="5">
        <f t="shared" ref="J393:O393" ca="1" si="73">J338+J365</f>
        <v>83335.928896240002</v>
      </c>
      <c r="K393" s="5">
        <f t="shared" ca="1" si="73"/>
        <v>83335.928896240002</v>
      </c>
      <c r="L393" s="5">
        <f t="shared" ca="1" si="73"/>
        <v>83335.928896240002</v>
      </c>
      <c r="M393" s="5">
        <f t="shared" ca="1" si="73"/>
        <v>83335.928896240002</v>
      </c>
      <c r="N393" s="5">
        <f t="shared" ca="1" si="73"/>
        <v>83335.928896240002</v>
      </c>
      <c r="O393" s="5">
        <f t="shared" ca="1" si="73"/>
        <v>83335.928896240002</v>
      </c>
    </row>
    <row r="394" spans="3:15" s="327" customFormat="1" x14ac:dyDescent="0.2">
      <c r="D394" s="659" t="str">
        <f>"Tot Econ Costs [incl Capex] - Ann ( "&amp;INDEX(LU_Screen_Denom,DD_TS_Denom)&amp;")"</f>
        <v>Tot Econ Costs [incl Capex] - Ann ( USD)</v>
      </c>
      <c r="H394" s="660" t="str">
        <f>Screen_BA!G10</f>
        <v>VIA</v>
      </c>
      <c r="J394" s="5">
        <f t="shared" ref="J394:O394" ca="1" si="74">J339+J391</f>
        <v>212060.43612660479</v>
      </c>
      <c r="K394" s="5">
        <f t="shared" ca="1" si="74"/>
        <v>212060.43612660479</v>
      </c>
      <c r="L394" s="5">
        <f t="shared" ca="1" si="74"/>
        <v>212060.43612660479</v>
      </c>
      <c r="M394" s="5">
        <f t="shared" ca="1" si="74"/>
        <v>212060.43612660479</v>
      </c>
      <c r="N394" s="5">
        <f t="shared" ca="1" si="74"/>
        <v>212060.43612660479</v>
      </c>
      <c r="O394" s="5">
        <f t="shared" ca="1" si="74"/>
        <v>212060.43612660479</v>
      </c>
    </row>
    <row r="395" spans="3:15" s="327" customFormat="1" x14ac:dyDescent="0.2"/>
    <row r="396" spans="3:15" s="327" customFormat="1" x14ac:dyDescent="0.2">
      <c r="C396" s="716" t="str">
        <f>"Go to "&amp;HL_Screen_Ass</f>
        <v>Go to Visual Inspection with Acetic Acid - Assumptions</v>
      </c>
      <c r="D396" s="716"/>
      <c r="E396" s="716"/>
      <c r="F396" s="716"/>
      <c r="G396" s="716"/>
      <c r="H396" s="716"/>
      <c r="I396" s="716"/>
    </row>
    <row r="397" spans="3:15" s="327" customFormat="1" x14ac:dyDescent="0.2">
      <c r="C397" s="716" t="str">
        <f>"Go to "&amp;HL_Screen_Ann_Ass</f>
        <v>Go to Visual Inspection with Acetic Acid - Assumptions  Facilities</v>
      </c>
      <c r="D397" s="716"/>
      <c r="E397" s="716"/>
      <c r="F397" s="716"/>
      <c r="G397" s="716"/>
      <c r="H397" s="716"/>
      <c r="I397" s="716"/>
    </row>
  </sheetData>
  <sheetProtection password="F0F4" sheet="1" scenarios="1"/>
  <mergeCells count="3">
    <mergeCell ref="B3:F3"/>
    <mergeCell ref="C396:I396"/>
    <mergeCell ref="C397:I397"/>
  </mergeCells>
  <hyperlinks>
    <hyperlink ref="A4" location="$A$10" tooltip="Go to Top of Sheet" display="$A$10"/>
    <hyperlink ref="C396:I396" location="HL_Screen_Ass" tooltip="Click to follow hyperlink." display="HL_Screen_Ass"/>
    <hyperlink ref="C397:I397" location="HL_Screen_Ann_Ass" tooltip="Click to follow hyperlink." display="HL_Screen_Ann_Ass"/>
    <hyperlink ref="D257" location="HL_Screen_Distribute1" tooltip="Click to follow hyperlink." display="HL_Screen_Distribute1"/>
    <hyperlink ref="C4" location="HL_Sheet_Main_24" tooltip="Go to Next Sheet" display="HL_Sheet_Main_24"/>
    <hyperlink ref="B4" location="HL_Sheet_Main_17" tooltip="Go to Previous Sheet" display="HL_Sheet_Main_17"/>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indexed="60"/>
    <pageSetUpPr autoPageBreaks="0"/>
  </sheetPr>
  <dimension ref="A1:O404"/>
  <sheetViews>
    <sheetView showGridLines="0" zoomScaleNormal="100" workbookViewId="0">
      <pane ySplit="9" topLeftCell="A337" activePane="bottomLeft" state="frozen"/>
      <selection activeCell="F4" sqref="F4"/>
      <selection pane="bottomLeft" activeCell="S357" sqref="S357"/>
    </sheetView>
  </sheetViews>
  <sheetFormatPr defaultColWidth="11.7109375" defaultRowHeight="12.75" outlineLevelRow="2" outlineLevelCol="1" x14ac:dyDescent="0.2"/>
  <cols>
    <col min="1" max="1" width="3.7109375" style="49" customWidth="1"/>
    <col min="2" max="2" width="5.85546875" style="49" customWidth="1"/>
    <col min="3" max="4" width="3.85546875" style="49" customWidth="1"/>
    <col min="5" max="5" width="3.7109375" style="49" customWidth="1"/>
    <col min="6" max="6" width="11.7109375" style="49"/>
    <col min="7" max="7" width="14.7109375" style="49" customWidth="1"/>
    <col min="8" max="8" width="15.7109375" style="49" customWidth="1"/>
    <col min="9" max="9" width="11.7109375" style="49" customWidth="1"/>
    <col min="10" max="10" width="12.42578125" style="49" customWidth="1" outlineLevel="1"/>
    <col min="11" max="11" width="12.5703125" style="49" customWidth="1" outlineLevel="1"/>
    <col min="12" max="14" width="13.5703125" style="49" customWidth="1" outlineLevel="1"/>
    <col min="15" max="15" width="11.7109375" style="49" outlineLevel="1"/>
    <col min="16" max="16384" width="11.7109375" style="49"/>
  </cols>
  <sheetData>
    <row r="1" spans="1:15" ht="23.25" x14ac:dyDescent="0.2">
      <c r="A1" s="422"/>
      <c r="B1" s="100" t="s">
        <v>598</v>
      </c>
    </row>
    <row r="2" spans="1:15" ht="18.75" x14ac:dyDescent="0.2">
      <c r="B2" s="101" t="str">
        <f>Model_Name</f>
        <v>Zambia C4P* - Screening &amp; Treatment Tool</v>
      </c>
    </row>
    <row r="3" spans="1:15" x14ac:dyDescent="0.2">
      <c r="B3" s="716" t="s">
        <v>2</v>
      </c>
      <c r="C3" s="716"/>
      <c r="D3" s="716"/>
      <c r="E3" s="716"/>
      <c r="F3" s="716"/>
    </row>
    <row r="4" spans="1:15" x14ac:dyDescent="0.2">
      <c r="A4" s="102" t="s">
        <v>4</v>
      </c>
      <c r="B4" s="343" t="s">
        <v>6</v>
      </c>
      <c r="C4" s="344" t="s">
        <v>7</v>
      </c>
      <c r="D4" s="345" t="s">
        <v>27</v>
      </c>
      <c r="E4" s="346" t="s">
        <v>28</v>
      </c>
      <c r="F4" s="347" t="s">
        <v>29</v>
      </c>
    </row>
    <row r="5" spans="1:15" s="327" customFormat="1" x14ac:dyDescent="0.2">
      <c r="B5" s="199" t="str">
        <f>"Year Ending "&amp;INDEX(LU_TS_Mth_Names,DD_TS_Fin_Yr_End_Mth)</f>
        <v>Year Ending December</v>
      </c>
      <c r="C5" s="231"/>
      <c r="D5" s="231"/>
      <c r="E5" s="231"/>
      <c r="F5" s="231"/>
      <c r="G5" s="231"/>
      <c r="H5" s="231"/>
      <c r="I5" s="231"/>
      <c r="J5" s="454">
        <f t="shared" ref="J5:O5" si="0">J9</f>
        <v>2015</v>
      </c>
      <c r="K5" s="454">
        <f t="shared" si="0"/>
        <v>2016</v>
      </c>
      <c r="L5" s="454">
        <f t="shared" si="0"/>
        <v>2017</v>
      </c>
      <c r="M5" s="454">
        <f t="shared" si="0"/>
        <v>2018</v>
      </c>
      <c r="N5" s="454">
        <f t="shared" si="0"/>
        <v>2019</v>
      </c>
      <c r="O5" s="454">
        <f t="shared" si="0"/>
        <v>2020</v>
      </c>
    </row>
    <row r="6" spans="1:15" s="327" customFormat="1" outlineLevel="2" x14ac:dyDescent="0.2">
      <c r="B6" s="518"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outlineLevel="2" x14ac:dyDescent="0.2">
      <c r="B7" s="518" t="s">
        <v>71</v>
      </c>
      <c r="J7" s="4">
        <f t="shared" ref="J7:O7" si="2">EDATE(J6,TS_Mths_In_Yr)-1</f>
        <v>42369</v>
      </c>
      <c r="K7" s="4">
        <f t="shared" si="2"/>
        <v>42735</v>
      </c>
      <c r="L7" s="4">
        <f t="shared" si="2"/>
        <v>43100</v>
      </c>
      <c r="M7" s="4">
        <f t="shared" si="2"/>
        <v>43465</v>
      </c>
      <c r="N7" s="4">
        <f t="shared" si="2"/>
        <v>43830</v>
      </c>
      <c r="O7" s="4">
        <f t="shared" si="2"/>
        <v>44196</v>
      </c>
    </row>
    <row r="8" spans="1:15" s="327" customFormat="1" outlineLevel="2" x14ac:dyDescent="0.2">
      <c r="B8" s="518" t="s">
        <v>72</v>
      </c>
      <c r="J8" s="5">
        <f>COLUMNS($J8:J8)</f>
        <v>1</v>
      </c>
      <c r="K8" s="5">
        <f>COLUMNS($J8:K8)</f>
        <v>2</v>
      </c>
      <c r="L8" s="5">
        <f>COLUMNS($J8:L8)</f>
        <v>3</v>
      </c>
      <c r="M8" s="5">
        <f>COLUMNS($J8:M8)</f>
        <v>4</v>
      </c>
      <c r="N8" s="5">
        <f>COLUMNS($J8:N8)</f>
        <v>5</v>
      </c>
      <c r="O8" s="5">
        <f>COLUMNS($J8:O8)</f>
        <v>6</v>
      </c>
    </row>
    <row r="9" spans="1:15" s="327" customFormat="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x14ac:dyDescent="0.2"/>
    <row r="11" spans="1:15" s="327" customFormat="1" x14ac:dyDescent="0.2"/>
    <row r="12" spans="1:15" s="327" customFormat="1" ht="18.75" x14ac:dyDescent="0.2">
      <c r="B12" s="426" t="s">
        <v>137</v>
      </c>
    </row>
    <row r="13" spans="1:15" s="327" customFormat="1" x14ac:dyDescent="0.2"/>
    <row r="14" spans="1:15" s="327" customFormat="1" ht="15.75" outlineLevel="1" x14ac:dyDescent="0.2">
      <c r="C14" s="18" t="str">
        <f>Diag_BA!D27</f>
        <v>Central Referral Hospital</v>
      </c>
    </row>
    <row r="15" spans="1:15" s="327" customFormat="1" outlineLevel="1" x14ac:dyDescent="0.2"/>
    <row r="16" spans="1:15" s="327" customFormat="1" outlineLevel="1" x14ac:dyDescent="0.2">
      <c r="D16" s="680" t="s">
        <v>82</v>
      </c>
      <c r="H16" s="27">
        <v>0</v>
      </c>
    </row>
    <row r="17" spans="3:15" s="327" customFormat="1" outlineLevel="1" x14ac:dyDescent="0.2"/>
    <row r="18" spans="3:15" s="327" customFormat="1" outlineLevel="1" x14ac:dyDescent="0.2"/>
    <row r="19" spans="3:15" s="327" customFormat="1" outlineLevel="1" x14ac:dyDescent="0.2">
      <c r="D19" s="660" t="str">
        <f>Plac_Start_Facs_BA!C10</f>
        <v>Central</v>
      </c>
      <c r="J19" s="8">
        <f>Diag_Ann_TA!J21</f>
        <v>0</v>
      </c>
      <c r="K19" s="8">
        <f>Diag_Ann_TA!K21</f>
        <v>0</v>
      </c>
      <c r="L19" s="8">
        <f>Diag_Ann_TA!L21</f>
        <v>0</v>
      </c>
      <c r="M19" s="8">
        <f>Diag_Ann_TA!M21</f>
        <v>0</v>
      </c>
      <c r="N19" s="8">
        <f>Diag_Ann_TA!N21</f>
        <v>0</v>
      </c>
      <c r="O19" s="8">
        <f>Diag_Ann_TA!O21</f>
        <v>0</v>
      </c>
    </row>
    <row r="20" spans="3:15" s="327" customFormat="1" outlineLevel="1" x14ac:dyDescent="0.2">
      <c r="D20" s="660" t="str">
        <f>Plac_Start_Facs_BA!C11</f>
        <v>Copperbelt</v>
      </c>
      <c r="J20" s="8">
        <f>Diag_Ann_TA!J22</f>
        <v>3</v>
      </c>
      <c r="K20" s="8">
        <f>Diag_Ann_TA!K22</f>
        <v>3</v>
      </c>
      <c r="L20" s="8">
        <f>Diag_Ann_TA!L22</f>
        <v>3</v>
      </c>
      <c r="M20" s="8">
        <f>Diag_Ann_TA!M22</f>
        <v>3</v>
      </c>
      <c r="N20" s="8">
        <f>Diag_Ann_TA!N22</f>
        <v>3</v>
      </c>
      <c r="O20" s="8">
        <f>Diag_Ann_TA!O22</f>
        <v>3</v>
      </c>
    </row>
    <row r="21" spans="3:15" s="327" customFormat="1" outlineLevel="1" x14ac:dyDescent="0.2">
      <c r="D21" s="660" t="str">
        <f>Plac_Start_Facs_BA!C12</f>
        <v>Eastern</v>
      </c>
      <c r="J21" s="8">
        <f>Diag_Ann_TA!J23</f>
        <v>0</v>
      </c>
      <c r="K21" s="8">
        <f>Diag_Ann_TA!K23</f>
        <v>0</v>
      </c>
      <c r="L21" s="8">
        <f>Diag_Ann_TA!L23</f>
        <v>0</v>
      </c>
      <c r="M21" s="8">
        <f>Diag_Ann_TA!M23</f>
        <v>0</v>
      </c>
      <c r="N21" s="8">
        <f>Diag_Ann_TA!N23</f>
        <v>0</v>
      </c>
      <c r="O21" s="8">
        <f>Diag_Ann_TA!O23</f>
        <v>0</v>
      </c>
    </row>
    <row r="22" spans="3:15" s="327" customFormat="1" outlineLevel="1" x14ac:dyDescent="0.2">
      <c r="D22" s="660" t="str">
        <f>Plac_Start_Facs_BA!C13</f>
        <v>Luapula</v>
      </c>
      <c r="J22" s="8">
        <f>Diag_Ann_TA!J24</f>
        <v>0</v>
      </c>
      <c r="K22" s="8">
        <f>Diag_Ann_TA!K24</f>
        <v>0</v>
      </c>
      <c r="L22" s="8">
        <f>Diag_Ann_TA!L24</f>
        <v>0</v>
      </c>
      <c r="M22" s="8">
        <f>Diag_Ann_TA!M24</f>
        <v>0</v>
      </c>
      <c r="N22" s="8">
        <f>Diag_Ann_TA!N24</f>
        <v>0</v>
      </c>
      <c r="O22" s="8">
        <f>Diag_Ann_TA!O24</f>
        <v>0</v>
      </c>
    </row>
    <row r="23" spans="3:15" s="327" customFormat="1" outlineLevel="1" x14ac:dyDescent="0.2">
      <c r="D23" s="660" t="str">
        <f>Plac_Start_Facs_BA!C14</f>
        <v>Lusaka</v>
      </c>
      <c r="J23" s="8">
        <f>Diag_Ann_TA!J25</f>
        <v>1</v>
      </c>
      <c r="K23" s="8">
        <f>Diag_Ann_TA!K25</f>
        <v>1</v>
      </c>
      <c r="L23" s="8">
        <f>Diag_Ann_TA!L25</f>
        <v>1</v>
      </c>
      <c r="M23" s="8">
        <f>Diag_Ann_TA!M25</f>
        <v>1</v>
      </c>
      <c r="N23" s="8">
        <f>Diag_Ann_TA!N25</f>
        <v>1</v>
      </c>
      <c r="O23" s="8">
        <f>Diag_Ann_TA!O25</f>
        <v>1</v>
      </c>
    </row>
    <row r="24" spans="3:15" s="327" customFormat="1" outlineLevel="1" x14ac:dyDescent="0.2">
      <c r="D24" s="660" t="str">
        <f>Plac_Start_Facs_BA!C15</f>
        <v>Muchinga</v>
      </c>
      <c r="J24" s="8">
        <f>Diag_Ann_TA!J26</f>
        <v>0</v>
      </c>
      <c r="K24" s="8">
        <f>Diag_Ann_TA!K26</f>
        <v>0</v>
      </c>
      <c r="L24" s="8">
        <f>Diag_Ann_TA!L26</f>
        <v>0</v>
      </c>
      <c r="M24" s="8">
        <f>Diag_Ann_TA!M26</f>
        <v>0</v>
      </c>
      <c r="N24" s="8">
        <f>Diag_Ann_TA!N26</f>
        <v>0</v>
      </c>
      <c r="O24" s="8">
        <f>Diag_Ann_TA!O26</f>
        <v>0</v>
      </c>
    </row>
    <row r="25" spans="3:15" s="327" customFormat="1" outlineLevel="1" x14ac:dyDescent="0.2">
      <c r="D25" s="660" t="str">
        <f>Plac_Start_Facs_BA!C16</f>
        <v>Northern</v>
      </c>
      <c r="J25" s="8">
        <f>Diag_Ann_TA!J27</f>
        <v>0</v>
      </c>
      <c r="K25" s="8">
        <f>Diag_Ann_TA!K27</f>
        <v>0</v>
      </c>
      <c r="L25" s="8">
        <f>Diag_Ann_TA!L27</f>
        <v>0</v>
      </c>
      <c r="M25" s="8">
        <f>Diag_Ann_TA!M27</f>
        <v>0</v>
      </c>
      <c r="N25" s="8">
        <f>Diag_Ann_TA!N27</f>
        <v>0</v>
      </c>
      <c r="O25" s="8">
        <f>Diag_Ann_TA!O27</f>
        <v>0</v>
      </c>
    </row>
    <row r="26" spans="3:15" s="327" customFormat="1" outlineLevel="1" x14ac:dyDescent="0.2">
      <c r="D26" s="660" t="str">
        <f>Plac_Start_Facs_BA!C17</f>
        <v>North-Western</v>
      </c>
      <c r="J26" s="8">
        <f>Diag_Ann_TA!J28</f>
        <v>0</v>
      </c>
      <c r="K26" s="8">
        <f>Diag_Ann_TA!K28</f>
        <v>0</v>
      </c>
      <c r="L26" s="8">
        <f>Diag_Ann_TA!L28</f>
        <v>0</v>
      </c>
      <c r="M26" s="8">
        <f>Diag_Ann_TA!M28</f>
        <v>0</v>
      </c>
      <c r="N26" s="8">
        <f>Diag_Ann_TA!N28</f>
        <v>0</v>
      </c>
      <c r="O26" s="8">
        <f>Diag_Ann_TA!O28</f>
        <v>0</v>
      </c>
    </row>
    <row r="27" spans="3:15" s="327" customFormat="1" outlineLevel="1" x14ac:dyDescent="0.2">
      <c r="D27" s="660" t="str">
        <f>Plac_Start_Facs_BA!C18</f>
        <v>Southern</v>
      </c>
      <c r="J27" s="8">
        <f>Diag_Ann_TA!J29</f>
        <v>0</v>
      </c>
      <c r="K27" s="8">
        <f>Diag_Ann_TA!K29</f>
        <v>0</v>
      </c>
      <c r="L27" s="8">
        <f>Diag_Ann_TA!L29</f>
        <v>0</v>
      </c>
      <c r="M27" s="8">
        <f>Diag_Ann_TA!M29</f>
        <v>0</v>
      </c>
      <c r="N27" s="8">
        <f>Diag_Ann_TA!N29</f>
        <v>0</v>
      </c>
      <c r="O27" s="8">
        <f>Diag_Ann_TA!O29</f>
        <v>0</v>
      </c>
    </row>
    <row r="28" spans="3:15" s="327" customFormat="1" outlineLevel="1" x14ac:dyDescent="0.2">
      <c r="D28" s="660" t="str">
        <f>Plac_Start_Facs_BA!C19</f>
        <v>Western</v>
      </c>
      <c r="J28" s="9">
        <f>Diag_Ann_TA!J30</f>
        <v>0</v>
      </c>
      <c r="K28" s="9">
        <f>Diag_Ann_TA!K30</f>
        <v>0</v>
      </c>
      <c r="L28" s="9">
        <f>Diag_Ann_TA!L30</f>
        <v>0</v>
      </c>
      <c r="M28" s="9">
        <f>Diag_Ann_TA!M30</f>
        <v>0</v>
      </c>
      <c r="N28" s="9">
        <f>Diag_Ann_TA!N30</f>
        <v>0</v>
      </c>
      <c r="O28" s="9">
        <f>Diag_Ann_TA!O30</f>
        <v>0</v>
      </c>
    </row>
    <row r="29" spans="3:15" s="327" customFormat="1" x14ac:dyDescent="0.2">
      <c r="D29" s="659" t="str">
        <f>"Total "&amp;C14</f>
        <v>Total Central Referral Hospital</v>
      </c>
      <c r="J29" s="5">
        <f t="shared" ref="J29:O29" si="4">SUM(J19:J28)</f>
        <v>4</v>
      </c>
      <c r="K29" s="5">
        <f t="shared" si="4"/>
        <v>4</v>
      </c>
      <c r="L29" s="5">
        <f t="shared" si="4"/>
        <v>4</v>
      </c>
      <c r="M29" s="5">
        <f t="shared" si="4"/>
        <v>4</v>
      </c>
      <c r="N29" s="5">
        <f t="shared" si="4"/>
        <v>4</v>
      </c>
      <c r="O29" s="5">
        <f t="shared" si="4"/>
        <v>4</v>
      </c>
    </row>
    <row r="30" spans="3:15" s="327" customFormat="1" outlineLevel="1" x14ac:dyDescent="0.2"/>
    <row r="31" spans="3:15" s="327" customFormat="1" ht="15.75" outlineLevel="1" x14ac:dyDescent="0.2">
      <c r="C31" s="18" t="str">
        <f>Diag_BA!D28</f>
        <v>Provincial Hospital</v>
      </c>
    </row>
    <row r="32" spans="3:15" s="327" customFormat="1" outlineLevel="1" x14ac:dyDescent="0.2"/>
    <row r="33" spans="3:15" s="327" customFormat="1" outlineLevel="1" x14ac:dyDescent="0.2">
      <c r="D33" s="680" t="s">
        <v>82</v>
      </c>
      <c r="H33" s="27">
        <v>1</v>
      </c>
    </row>
    <row r="34" spans="3:15" s="327" customFormat="1" outlineLevel="1" x14ac:dyDescent="0.2"/>
    <row r="35" spans="3:15" s="327" customFormat="1" ht="15" outlineLevel="1" x14ac:dyDescent="0.2">
      <c r="D35" s="646" t="str">
        <f>Plac_Start_Facs_BA!C20</f>
        <v>Total</v>
      </c>
    </row>
    <row r="36" spans="3:15" s="327" customFormat="1" outlineLevel="1" x14ac:dyDescent="0.2">
      <c r="D36" s="660" t="str">
        <f>Plac_Start_Facs_BA!C10</f>
        <v>Central</v>
      </c>
      <c r="J36" s="8">
        <f>-Diag_Ann_TA!J39</f>
        <v>0</v>
      </c>
      <c r="K36" s="8">
        <f>-Diag_Ann_TA!K39</f>
        <v>0</v>
      </c>
      <c r="L36" s="8">
        <f>-Diag_Ann_TA!L39</f>
        <v>0</v>
      </c>
      <c r="M36" s="8">
        <f>-Diag_Ann_TA!M39</f>
        <v>0</v>
      </c>
      <c r="N36" s="8">
        <f>-Diag_Ann_TA!N39</f>
        <v>0</v>
      </c>
      <c r="O36" s="8">
        <f>-Diag_Ann_TA!O39</f>
        <v>0</v>
      </c>
    </row>
    <row r="37" spans="3:15" s="327" customFormat="1" outlineLevel="1" x14ac:dyDescent="0.2">
      <c r="D37" s="660" t="str">
        <f>Plac_Start_Facs_BA!C11</f>
        <v>Copperbelt</v>
      </c>
      <c r="J37" s="8">
        <f>-Diag_Ann_TA!J40</f>
        <v>0</v>
      </c>
      <c r="K37" s="8">
        <f>-Diag_Ann_TA!K40</f>
        <v>0</v>
      </c>
      <c r="L37" s="8">
        <f>-Diag_Ann_TA!L40</f>
        <v>0</v>
      </c>
      <c r="M37" s="8">
        <f>-Diag_Ann_TA!M40</f>
        <v>0</v>
      </c>
      <c r="N37" s="8">
        <f>-Diag_Ann_TA!N40</f>
        <v>0</v>
      </c>
      <c r="O37" s="8">
        <f>-Diag_Ann_TA!O40</f>
        <v>0</v>
      </c>
    </row>
    <row r="38" spans="3:15" s="327" customFormat="1" outlineLevel="1" x14ac:dyDescent="0.2">
      <c r="D38" s="660" t="str">
        <f>Plac_Start_Facs_BA!C12</f>
        <v>Eastern</v>
      </c>
      <c r="J38" s="8">
        <f>-Diag_Ann_TA!J41</f>
        <v>0</v>
      </c>
      <c r="K38" s="8">
        <f>-Diag_Ann_TA!K41</f>
        <v>0</v>
      </c>
      <c r="L38" s="8">
        <f>-Diag_Ann_TA!L41</f>
        <v>0</v>
      </c>
      <c r="M38" s="8">
        <f>-Diag_Ann_TA!M41</f>
        <v>0</v>
      </c>
      <c r="N38" s="8">
        <f>-Diag_Ann_TA!N41</f>
        <v>0</v>
      </c>
      <c r="O38" s="8">
        <f>-Diag_Ann_TA!O41</f>
        <v>0</v>
      </c>
    </row>
    <row r="39" spans="3:15" s="327" customFormat="1" outlineLevel="1" x14ac:dyDescent="0.2">
      <c r="D39" s="660" t="str">
        <f>Plac_Start_Facs_BA!C13</f>
        <v>Luapula</v>
      </c>
      <c r="J39" s="8">
        <f>-Diag_Ann_TA!J42</f>
        <v>0</v>
      </c>
      <c r="K39" s="8">
        <f>-Diag_Ann_TA!K42</f>
        <v>0</v>
      </c>
      <c r="L39" s="8">
        <f>-Diag_Ann_TA!L42</f>
        <v>0</v>
      </c>
      <c r="M39" s="8">
        <f>-Diag_Ann_TA!M42</f>
        <v>0</v>
      </c>
      <c r="N39" s="8">
        <f>-Diag_Ann_TA!N42</f>
        <v>0</v>
      </c>
      <c r="O39" s="8">
        <f>-Diag_Ann_TA!O42</f>
        <v>0</v>
      </c>
    </row>
    <row r="40" spans="3:15" s="327" customFormat="1" outlineLevel="1" x14ac:dyDescent="0.2">
      <c r="D40" s="660" t="str">
        <f>Plac_Start_Facs_BA!C14</f>
        <v>Lusaka</v>
      </c>
      <c r="J40" s="8">
        <f>-Diag_Ann_TA!J43</f>
        <v>0</v>
      </c>
      <c r="K40" s="8">
        <f>-Diag_Ann_TA!K43</f>
        <v>0</v>
      </c>
      <c r="L40" s="8">
        <f>-Diag_Ann_TA!L43</f>
        <v>0</v>
      </c>
      <c r="M40" s="8">
        <f>-Diag_Ann_TA!M43</f>
        <v>0</v>
      </c>
      <c r="N40" s="8">
        <f>-Diag_Ann_TA!N43</f>
        <v>0</v>
      </c>
      <c r="O40" s="8">
        <f>-Diag_Ann_TA!O43</f>
        <v>0</v>
      </c>
    </row>
    <row r="41" spans="3:15" s="327" customFormat="1" outlineLevel="1" x14ac:dyDescent="0.2">
      <c r="D41" s="660" t="str">
        <f>Plac_Start_Facs_BA!C15</f>
        <v>Muchinga</v>
      </c>
      <c r="J41" s="8">
        <f>-Diag_Ann_TA!J44</f>
        <v>0</v>
      </c>
      <c r="K41" s="8">
        <f>-Diag_Ann_TA!K44</f>
        <v>0</v>
      </c>
      <c r="L41" s="8">
        <f>-Diag_Ann_TA!L44</f>
        <v>0</v>
      </c>
      <c r="M41" s="8">
        <f>-Diag_Ann_TA!M44</f>
        <v>0</v>
      </c>
      <c r="N41" s="8">
        <f>-Diag_Ann_TA!N44</f>
        <v>0</v>
      </c>
      <c r="O41" s="8">
        <f>-Diag_Ann_TA!O44</f>
        <v>0</v>
      </c>
    </row>
    <row r="42" spans="3:15" s="327" customFormat="1" outlineLevel="1" x14ac:dyDescent="0.2">
      <c r="D42" s="660" t="str">
        <f>Plac_Start_Facs_BA!C16</f>
        <v>Northern</v>
      </c>
      <c r="J42" s="8">
        <f>-Diag_Ann_TA!J45</f>
        <v>0</v>
      </c>
      <c r="K42" s="8">
        <f>-Diag_Ann_TA!K45</f>
        <v>0</v>
      </c>
      <c r="L42" s="8">
        <f>-Diag_Ann_TA!L45</f>
        <v>0</v>
      </c>
      <c r="M42" s="8">
        <f>-Diag_Ann_TA!M45</f>
        <v>0</v>
      </c>
      <c r="N42" s="8">
        <f>-Diag_Ann_TA!N45</f>
        <v>0</v>
      </c>
      <c r="O42" s="8">
        <f>-Diag_Ann_TA!O45</f>
        <v>0</v>
      </c>
    </row>
    <row r="43" spans="3:15" s="327" customFormat="1" outlineLevel="1" x14ac:dyDescent="0.2">
      <c r="D43" s="660" t="str">
        <f>Plac_Start_Facs_BA!C17</f>
        <v>North-Western</v>
      </c>
      <c r="J43" s="8">
        <f>-Diag_Ann_TA!J46</f>
        <v>0</v>
      </c>
      <c r="K43" s="8">
        <f>-Diag_Ann_TA!K46</f>
        <v>0</v>
      </c>
      <c r="L43" s="8">
        <f>-Diag_Ann_TA!L46</f>
        <v>0</v>
      </c>
      <c r="M43" s="8">
        <f>-Diag_Ann_TA!M46</f>
        <v>0</v>
      </c>
      <c r="N43" s="8">
        <f>-Diag_Ann_TA!N46</f>
        <v>0</v>
      </c>
      <c r="O43" s="8">
        <f>-Diag_Ann_TA!O46</f>
        <v>0</v>
      </c>
    </row>
    <row r="44" spans="3:15" s="327" customFormat="1" outlineLevel="1" x14ac:dyDescent="0.2">
      <c r="D44" s="660" t="str">
        <f>Plac_Start_Facs_BA!C18</f>
        <v>Southern</v>
      </c>
      <c r="J44" s="8">
        <f>-Diag_Ann_TA!J47</f>
        <v>0</v>
      </c>
      <c r="K44" s="8">
        <f>-Diag_Ann_TA!K47</f>
        <v>0</v>
      </c>
      <c r="L44" s="8">
        <f>-Diag_Ann_TA!L47</f>
        <v>0</v>
      </c>
      <c r="M44" s="8">
        <f>-Diag_Ann_TA!M47</f>
        <v>0</v>
      </c>
      <c r="N44" s="8">
        <f>-Diag_Ann_TA!N47</f>
        <v>0</v>
      </c>
      <c r="O44" s="8">
        <f>-Diag_Ann_TA!O47</f>
        <v>0</v>
      </c>
    </row>
    <row r="45" spans="3:15" s="327" customFormat="1" outlineLevel="1" x14ac:dyDescent="0.2">
      <c r="D45" s="660" t="str">
        <f>Plac_Start_Facs_BA!C19</f>
        <v>Western</v>
      </c>
      <c r="J45" s="9">
        <f>-Diag_Ann_TA!J48</f>
        <v>0</v>
      </c>
      <c r="K45" s="9">
        <f>-Diag_Ann_TA!K48</f>
        <v>0</v>
      </c>
      <c r="L45" s="9">
        <f>-Diag_Ann_TA!L48</f>
        <v>0</v>
      </c>
      <c r="M45" s="9">
        <f>-Diag_Ann_TA!M48</f>
        <v>0</v>
      </c>
      <c r="N45" s="9">
        <f>-Diag_Ann_TA!N48</f>
        <v>0</v>
      </c>
      <c r="O45" s="9">
        <f>-Diag_Ann_TA!O48</f>
        <v>0</v>
      </c>
    </row>
    <row r="46" spans="3:15" s="327" customFormat="1" x14ac:dyDescent="0.2">
      <c r="D46" s="659" t="str">
        <f>"Total "&amp;C31</f>
        <v>Total Provincial Hospital</v>
      </c>
      <c r="J46" s="5">
        <f t="shared" ref="J46:O46" si="5">SUM(J36:J45)</f>
        <v>0</v>
      </c>
      <c r="K46" s="5">
        <f t="shared" si="5"/>
        <v>0</v>
      </c>
      <c r="L46" s="5">
        <f t="shared" si="5"/>
        <v>0</v>
      </c>
      <c r="M46" s="5">
        <f t="shared" si="5"/>
        <v>0</v>
      </c>
      <c r="N46" s="5">
        <f t="shared" si="5"/>
        <v>0</v>
      </c>
      <c r="O46" s="5">
        <f t="shared" si="5"/>
        <v>0</v>
      </c>
    </row>
    <row r="47" spans="3:15" s="327" customFormat="1" outlineLevel="1" x14ac:dyDescent="0.2"/>
    <row r="48" spans="3:15" s="327" customFormat="1" ht="15.75" outlineLevel="1" x14ac:dyDescent="0.2">
      <c r="C48" s="18" t="str">
        <f>Diag_BA!D29</f>
        <v>District Hospital</v>
      </c>
    </row>
    <row r="49" spans="4:15" s="327" customFormat="1" outlineLevel="1" x14ac:dyDescent="0.2"/>
    <row r="50" spans="4:15" s="327" customFormat="1" outlineLevel="1" x14ac:dyDescent="0.2">
      <c r="D50" s="680" t="s">
        <v>82</v>
      </c>
      <c r="H50" s="27">
        <v>2</v>
      </c>
    </row>
    <row r="51" spans="4:15" s="327" customFormat="1" outlineLevel="1" x14ac:dyDescent="0.2"/>
    <row r="52" spans="4:15" s="327" customFormat="1" ht="15" outlineLevel="1" x14ac:dyDescent="0.2">
      <c r="D52" s="646" t="str">
        <f>Plac_Start_Facs_BA!C20</f>
        <v>Total</v>
      </c>
    </row>
    <row r="53" spans="4:15" s="327" customFormat="1" outlineLevel="1" x14ac:dyDescent="0.2">
      <c r="D53" s="660" t="str">
        <f>Plac_Start_Facs_BA!C10</f>
        <v>Central</v>
      </c>
      <c r="J53" s="8">
        <f>Diag_Ann_TA!J57</f>
        <v>0</v>
      </c>
      <c r="K53" s="8">
        <f>Diag_Ann_TA!K57</f>
        <v>0</v>
      </c>
      <c r="L53" s="8">
        <f>Diag_Ann_TA!L57</f>
        <v>0</v>
      </c>
      <c r="M53" s="8">
        <f>Diag_Ann_TA!M57</f>
        <v>0</v>
      </c>
      <c r="N53" s="8">
        <f>Diag_Ann_TA!N57</f>
        <v>0</v>
      </c>
      <c r="O53" s="8">
        <f>Diag_Ann_TA!O57</f>
        <v>0</v>
      </c>
    </row>
    <row r="54" spans="4:15" s="327" customFormat="1" outlineLevel="1" x14ac:dyDescent="0.2">
      <c r="D54" s="660" t="str">
        <f>Plac_Start_Facs_BA!C11</f>
        <v>Copperbelt</v>
      </c>
      <c r="J54" s="8">
        <f>Diag_Ann_TA!J58</f>
        <v>0</v>
      </c>
      <c r="K54" s="8">
        <f>Diag_Ann_TA!K58</f>
        <v>0</v>
      </c>
      <c r="L54" s="8">
        <f>Diag_Ann_TA!L58</f>
        <v>0</v>
      </c>
      <c r="M54" s="8">
        <f>Diag_Ann_TA!M58</f>
        <v>0</v>
      </c>
      <c r="N54" s="8">
        <f>Diag_Ann_TA!N58</f>
        <v>0</v>
      </c>
      <c r="O54" s="8">
        <f>Diag_Ann_TA!O58</f>
        <v>0</v>
      </c>
    </row>
    <row r="55" spans="4:15" s="327" customFormat="1" outlineLevel="1" x14ac:dyDescent="0.2">
      <c r="D55" s="660" t="str">
        <f>Plac_Start_Facs_BA!C12</f>
        <v>Eastern</v>
      </c>
      <c r="J55" s="8">
        <f>Diag_Ann_TA!J59</f>
        <v>0</v>
      </c>
      <c r="K55" s="8">
        <f>Diag_Ann_TA!K59</f>
        <v>0</v>
      </c>
      <c r="L55" s="8">
        <f>Diag_Ann_TA!L59</f>
        <v>0</v>
      </c>
      <c r="M55" s="8">
        <f>Diag_Ann_TA!M59</f>
        <v>0</v>
      </c>
      <c r="N55" s="8">
        <f>Diag_Ann_TA!N59</f>
        <v>0</v>
      </c>
      <c r="O55" s="8">
        <f>Diag_Ann_TA!O59</f>
        <v>0</v>
      </c>
    </row>
    <row r="56" spans="4:15" s="327" customFormat="1" outlineLevel="1" x14ac:dyDescent="0.2">
      <c r="D56" s="660" t="str">
        <f>Plac_Start_Facs_BA!C13</f>
        <v>Luapula</v>
      </c>
      <c r="J56" s="8">
        <f>Diag_Ann_TA!J60</f>
        <v>0</v>
      </c>
      <c r="K56" s="8">
        <f>Diag_Ann_TA!K60</f>
        <v>0</v>
      </c>
      <c r="L56" s="8">
        <f>Diag_Ann_TA!L60</f>
        <v>0</v>
      </c>
      <c r="M56" s="8">
        <f>Diag_Ann_TA!M60</f>
        <v>0</v>
      </c>
      <c r="N56" s="8">
        <f>Diag_Ann_TA!N60</f>
        <v>0</v>
      </c>
      <c r="O56" s="8">
        <f>Diag_Ann_TA!O60</f>
        <v>0</v>
      </c>
    </row>
    <row r="57" spans="4:15" s="327" customFormat="1" outlineLevel="1" x14ac:dyDescent="0.2">
      <c r="D57" s="660" t="str">
        <f>Plac_Start_Facs_BA!C14</f>
        <v>Lusaka</v>
      </c>
      <c r="J57" s="8">
        <f>Diag_Ann_TA!J61</f>
        <v>0</v>
      </c>
      <c r="K57" s="8">
        <f>Diag_Ann_TA!K61</f>
        <v>0</v>
      </c>
      <c r="L57" s="8">
        <f>Diag_Ann_TA!L61</f>
        <v>0</v>
      </c>
      <c r="M57" s="8">
        <f>Diag_Ann_TA!M61</f>
        <v>0</v>
      </c>
      <c r="N57" s="8">
        <f>Diag_Ann_TA!N61</f>
        <v>0</v>
      </c>
      <c r="O57" s="8">
        <f>Diag_Ann_TA!O61</f>
        <v>0</v>
      </c>
    </row>
    <row r="58" spans="4:15" s="327" customFormat="1" outlineLevel="1" x14ac:dyDescent="0.2">
      <c r="D58" s="660" t="str">
        <f>Plac_Start_Facs_BA!C15</f>
        <v>Muchinga</v>
      </c>
      <c r="J58" s="8">
        <f>Diag_Ann_TA!J62</f>
        <v>0</v>
      </c>
      <c r="K58" s="8">
        <f>Diag_Ann_TA!K62</f>
        <v>0</v>
      </c>
      <c r="L58" s="8">
        <f>Diag_Ann_TA!L62</f>
        <v>0</v>
      </c>
      <c r="M58" s="8">
        <f>Diag_Ann_TA!M62</f>
        <v>0</v>
      </c>
      <c r="N58" s="8">
        <f>Diag_Ann_TA!N62</f>
        <v>0</v>
      </c>
      <c r="O58" s="8">
        <f>Diag_Ann_TA!O62</f>
        <v>0</v>
      </c>
    </row>
    <row r="59" spans="4:15" s="327" customFormat="1" outlineLevel="1" x14ac:dyDescent="0.2">
      <c r="D59" s="660" t="str">
        <f>Plac_Start_Facs_BA!C16</f>
        <v>Northern</v>
      </c>
      <c r="J59" s="8">
        <f>Diag_Ann_TA!J63</f>
        <v>0</v>
      </c>
      <c r="K59" s="8">
        <f>Diag_Ann_TA!K63</f>
        <v>0</v>
      </c>
      <c r="L59" s="8">
        <f>Diag_Ann_TA!L63</f>
        <v>0</v>
      </c>
      <c r="M59" s="8">
        <f>Diag_Ann_TA!M63</f>
        <v>0</v>
      </c>
      <c r="N59" s="8">
        <f>Diag_Ann_TA!N63</f>
        <v>0</v>
      </c>
      <c r="O59" s="8">
        <f>Diag_Ann_TA!O63</f>
        <v>0</v>
      </c>
    </row>
    <row r="60" spans="4:15" s="327" customFormat="1" outlineLevel="1" x14ac:dyDescent="0.2">
      <c r="D60" s="660" t="str">
        <f>Plac_Start_Facs_BA!C17</f>
        <v>North-Western</v>
      </c>
      <c r="J60" s="8">
        <f>Diag_Ann_TA!J64</f>
        <v>0</v>
      </c>
      <c r="K60" s="8">
        <f>Diag_Ann_TA!K64</f>
        <v>0</v>
      </c>
      <c r="L60" s="8">
        <f>Diag_Ann_TA!L64</f>
        <v>0</v>
      </c>
      <c r="M60" s="8">
        <f>Diag_Ann_TA!M64</f>
        <v>0</v>
      </c>
      <c r="N60" s="8">
        <f>Diag_Ann_TA!N64</f>
        <v>0</v>
      </c>
      <c r="O60" s="8">
        <f>Diag_Ann_TA!O64</f>
        <v>0</v>
      </c>
    </row>
    <row r="61" spans="4:15" s="327" customFormat="1" outlineLevel="1" x14ac:dyDescent="0.2">
      <c r="D61" s="660" t="str">
        <f>Plac_Start_Facs_BA!C18</f>
        <v>Southern</v>
      </c>
      <c r="J61" s="8">
        <f>Diag_Ann_TA!J65</f>
        <v>0</v>
      </c>
      <c r="K61" s="8">
        <f>Diag_Ann_TA!K65</f>
        <v>0</v>
      </c>
      <c r="L61" s="8">
        <f>Diag_Ann_TA!L65</f>
        <v>0</v>
      </c>
      <c r="M61" s="8">
        <f>Diag_Ann_TA!M65</f>
        <v>0</v>
      </c>
      <c r="N61" s="8">
        <f>Diag_Ann_TA!N65</f>
        <v>0</v>
      </c>
      <c r="O61" s="8">
        <f>Diag_Ann_TA!O65</f>
        <v>0</v>
      </c>
    </row>
    <row r="62" spans="4:15" s="327" customFormat="1" outlineLevel="1" x14ac:dyDescent="0.2">
      <c r="D62" s="660" t="str">
        <f>Plac_Start_Facs_BA!C19</f>
        <v>Western</v>
      </c>
      <c r="J62" s="9">
        <f>Diag_Ann_TA!J66</f>
        <v>0</v>
      </c>
      <c r="K62" s="9">
        <f>Diag_Ann_TA!K66</f>
        <v>0</v>
      </c>
      <c r="L62" s="9">
        <f>Diag_Ann_TA!L66</f>
        <v>0</v>
      </c>
      <c r="M62" s="9">
        <f>Diag_Ann_TA!M66</f>
        <v>0</v>
      </c>
      <c r="N62" s="9">
        <f>Diag_Ann_TA!N66</f>
        <v>0</v>
      </c>
      <c r="O62" s="9">
        <f>Diag_Ann_TA!O66</f>
        <v>0</v>
      </c>
    </row>
    <row r="63" spans="4:15" s="327" customFormat="1" x14ac:dyDescent="0.2">
      <c r="D63" s="659" t="str">
        <f>"Total "&amp;C48</f>
        <v>Total District Hospital</v>
      </c>
      <c r="J63" s="5">
        <f t="shared" ref="J63:O63" si="6">SUM(J53:J62)</f>
        <v>0</v>
      </c>
      <c r="K63" s="5">
        <f t="shared" si="6"/>
        <v>0</v>
      </c>
      <c r="L63" s="5">
        <f t="shared" si="6"/>
        <v>0</v>
      </c>
      <c r="M63" s="5">
        <f t="shared" si="6"/>
        <v>0</v>
      </c>
      <c r="N63" s="5">
        <f t="shared" si="6"/>
        <v>0</v>
      </c>
      <c r="O63" s="5">
        <f t="shared" si="6"/>
        <v>0</v>
      </c>
    </row>
    <row r="64" spans="4:15" s="327" customFormat="1" outlineLevel="1" x14ac:dyDescent="0.2"/>
    <row r="65" spans="3:15" s="327" customFormat="1" ht="15.75" outlineLevel="1" x14ac:dyDescent="0.2">
      <c r="C65" s="18" t="str">
        <f>Diag_BA!D32</f>
        <v>Fixed Health Clinic</v>
      </c>
    </row>
    <row r="66" spans="3:15" s="327" customFormat="1" outlineLevel="1" x14ac:dyDescent="0.2"/>
    <row r="67" spans="3:15" s="327" customFormat="1" outlineLevel="1" x14ac:dyDescent="0.2">
      <c r="D67" s="680" t="s">
        <v>82</v>
      </c>
      <c r="H67" s="27">
        <v>3</v>
      </c>
    </row>
    <row r="68" spans="3:15" s="327" customFormat="1" outlineLevel="1" x14ac:dyDescent="0.2"/>
    <row r="69" spans="3:15" s="327" customFormat="1" ht="15" outlineLevel="1" x14ac:dyDescent="0.2">
      <c r="D69" s="646" t="str">
        <f>Plac_Start_Facs_BA!C20</f>
        <v>Total</v>
      </c>
    </row>
    <row r="70" spans="3:15" s="327" customFormat="1" outlineLevel="1" x14ac:dyDescent="0.2">
      <c r="D70" s="660" t="str">
        <f>Plac_Start_Facs_BA!C10</f>
        <v>Central</v>
      </c>
      <c r="J70" s="8">
        <f>Diag_Ann_TA!J75</f>
        <v>0</v>
      </c>
      <c r="K70" s="8">
        <f>Diag_Ann_TA!K75</f>
        <v>0</v>
      </c>
      <c r="L70" s="8">
        <f>Diag_Ann_TA!L75</f>
        <v>0</v>
      </c>
      <c r="M70" s="8">
        <f>Diag_Ann_TA!M75</f>
        <v>0</v>
      </c>
      <c r="N70" s="8">
        <f>Diag_Ann_TA!N75</f>
        <v>0</v>
      </c>
      <c r="O70" s="8">
        <f>Diag_Ann_TA!O75</f>
        <v>0</v>
      </c>
    </row>
    <row r="71" spans="3:15" s="327" customFormat="1" outlineLevel="1" x14ac:dyDescent="0.2">
      <c r="D71" s="660" t="str">
        <f>Plac_Start_Facs_BA!C11</f>
        <v>Copperbelt</v>
      </c>
      <c r="J71" s="8">
        <f>Diag_Ann_TA!J76</f>
        <v>0</v>
      </c>
      <c r="K71" s="8">
        <f>Diag_Ann_TA!K76</f>
        <v>0</v>
      </c>
      <c r="L71" s="8">
        <f>Diag_Ann_TA!L76</f>
        <v>0</v>
      </c>
      <c r="M71" s="8">
        <f>Diag_Ann_TA!M76</f>
        <v>0</v>
      </c>
      <c r="N71" s="8">
        <f>Diag_Ann_TA!N76</f>
        <v>0</v>
      </c>
      <c r="O71" s="8">
        <f>Diag_Ann_TA!O76</f>
        <v>0</v>
      </c>
    </row>
    <row r="72" spans="3:15" s="327" customFormat="1" outlineLevel="1" x14ac:dyDescent="0.2">
      <c r="D72" s="660" t="str">
        <f>Plac_Start_Facs_BA!C12</f>
        <v>Eastern</v>
      </c>
      <c r="J72" s="8">
        <f>Diag_Ann_TA!J77</f>
        <v>0</v>
      </c>
      <c r="K72" s="8">
        <f>Diag_Ann_TA!K77</f>
        <v>0</v>
      </c>
      <c r="L72" s="8">
        <f>Diag_Ann_TA!L77</f>
        <v>0</v>
      </c>
      <c r="M72" s="8">
        <f>Diag_Ann_TA!M77</f>
        <v>0</v>
      </c>
      <c r="N72" s="8">
        <f>Diag_Ann_TA!N77</f>
        <v>0</v>
      </c>
      <c r="O72" s="8">
        <f>Diag_Ann_TA!O77</f>
        <v>0</v>
      </c>
    </row>
    <row r="73" spans="3:15" s="327" customFormat="1" outlineLevel="1" x14ac:dyDescent="0.2">
      <c r="D73" s="660" t="str">
        <f>Plac_Start_Facs_BA!C13</f>
        <v>Luapula</v>
      </c>
      <c r="J73" s="8">
        <f>Diag_Ann_TA!J78</f>
        <v>0</v>
      </c>
      <c r="K73" s="8">
        <f>Diag_Ann_TA!K78</f>
        <v>0</v>
      </c>
      <c r="L73" s="8">
        <f>Diag_Ann_TA!L78</f>
        <v>0</v>
      </c>
      <c r="M73" s="8">
        <f>Diag_Ann_TA!M78</f>
        <v>0</v>
      </c>
      <c r="N73" s="8">
        <f>Diag_Ann_TA!N78</f>
        <v>0</v>
      </c>
      <c r="O73" s="8">
        <f>Diag_Ann_TA!O78</f>
        <v>0</v>
      </c>
    </row>
    <row r="74" spans="3:15" s="327" customFormat="1" outlineLevel="1" x14ac:dyDescent="0.2">
      <c r="D74" s="660" t="str">
        <f>Plac_Start_Facs_BA!C14</f>
        <v>Lusaka</v>
      </c>
      <c r="J74" s="8">
        <f>Diag_Ann_TA!J79</f>
        <v>0</v>
      </c>
      <c r="K74" s="8">
        <f>Diag_Ann_TA!K79</f>
        <v>0</v>
      </c>
      <c r="L74" s="8">
        <f>Diag_Ann_TA!L79</f>
        <v>0</v>
      </c>
      <c r="M74" s="8">
        <f>Diag_Ann_TA!M79</f>
        <v>0</v>
      </c>
      <c r="N74" s="8">
        <f>Diag_Ann_TA!N79</f>
        <v>0</v>
      </c>
      <c r="O74" s="8">
        <f>Diag_Ann_TA!O79</f>
        <v>0</v>
      </c>
    </row>
    <row r="75" spans="3:15" s="327" customFormat="1" outlineLevel="1" x14ac:dyDescent="0.2">
      <c r="D75" s="660" t="str">
        <f>Plac_Start_Facs_BA!C15</f>
        <v>Muchinga</v>
      </c>
      <c r="J75" s="8">
        <f>Diag_Ann_TA!J80</f>
        <v>0</v>
      </c>
      <c r="K75" s="8">
        <f>Diag_Ann_TA!K80</f>
        <v>0</v>
      </c>
      <c r="L75" s="8">
        <f>Diag_Ann_TA!L80</f>
        <v>0</v>
      </c>
      <c r="M75" s="8">
        <f>Diag_Ann_TA!M80</f>
        <v>0</v>
      </c>
      <c r="N75" s="8">
        <f>Diag_Ann_TA!N80</f>
        <v>0</v>
      </c>
      <c r="O75" s="8">
        <f>Diag_Ann_TA!O80</f>
        <v>0</v>
      </c>
    </row>
    <row r="76" spans="3:15" s="327" customFormat="1" outlineLevel="1" x14ac:dyDescent="0.2">
      <c r="D76" s="660" t="str">
        <f>Plac_Start_Facs_BA!C16</f>
        <v>Northern</v>
      </c>
      <c r="J76" s="8">
        <f>Diag_Ann_TA!J81</f>
        <v>0</v>
      </c>
      <c r="K76" s="8">
        <f>Diag_Ann_TA!K81</f>
        <v>0</v>
      </c>
      <c r="L76" s="8">
        <f>Diag_Ann_TA!L81</f>
        <v>0</v>
      </c>
      <c r="M76" s="8">
        <f>Diag_Ann_TA!M81</f>
        <v>0</v>
      </c>
      <c r="N76" s="8">
        <f>Diag_Ann_TA!N81</f>
        <v>0</v>
      </c>
      <c r="O76" s="8">
        <f>Diag_Ann_TA!O81</f>
        <v>0</v>
      </c>
    </row>
    <row r="77" spans="3:15" s="327" customFormat="1" outlineLevel="1" x14ac:dyDescent="0.2">
      <c r="D77" s="660" t="str">
        <f>Plac_Start_Facs_BA!C17</f>
        <v>North-Western</v>
      </c>
      <c r="J77" s="8">
        <f>Diag_Ann_TA!J82</f>
        <v>0</v>
      </c>
      <c r="K77" s="8">
        <f>Diag_Ann_TA!K82</f>
        <v>0</v>
      </c>
      <c r="L77" s="8">
        <f>Diag_Ann_TA!L82</f>
        <v>0</v>
      </c>
      <c r="M77" s="8">
        <f>Diag_Ann_TA!M82</f>
        <v>0</v>
      </c>
      <c r="N77" s="8">
        <f>Diag_Ann_TA!N82</f>
        <v>0</v>
      </c>
      <c r="O77" s="8">
        <f>Diag_Ann_TA!O82</f>
        <v>0</v>
      </c>
    </row>
    <row r="78" spans="3:15" s="327" customFormat="1" outlineLevel="1" x14ac:dyDescent="0.2">
      <c r="D78" s="660" t="str">
        <f>Plac_Start_Facs_BA!C18</f>
        <v>Southern</v>
      </c>
      <c r="J78" s="8">
        <f>Diag_Ann_TA!J83</f>
        <v>0</v>
      </c>
      <c r="K78" s="8">
        <f>Diag_Ann_TA!K83</f>
        <v>0</v>
      </c>
      <c r="L78" s="8">
        <f>Diag_Ann_TA!L83</f>
        <v>0</v>
      </c>
      <c r="M78" s="8">
        <f>Diag_Ann_TA!M83</f>
        <v>0</v>
      </c>
      <c r="N78" s="8">
        <f>Diag_Ann_TA!N83</f>
        <v>0</v>
      </c>
      <c r="O78" s="8">
        <f>Diag_Ann_TA!O83</f>
        <v>0</v>
      </c>
    </row>
    <row r="79" spans="3:15" s="327" customFormat="1" outlineLevel="1" x14ac:dyDescent="0.2">
      <c r="D79" s="660" t="str">
        <f>Plac_Start_Facs_BA!C19</f>
        <v>Western</v>
      </c>
      <c r="J79" s="9">
        <f>Diag_Ann_TA!J84</f>
        <v>0</v>
      </c>
      <c r="K79" s="9">
        <f>Diag_Ann_TA!K84</f>
        <v>0</v>
      </c>
      <c r="L79" s="9">
        <f>Diag_Ann_TA!L84</f>
        <v>0</v>
      </c>
      <c r="M79" s="9">
        <f>Diag_Ann_TA!M84</f>
        <v>0</v>
      </c>
      <c r="N79" s="9">
        <f>Diag_Ann_TA!N84</f>
        <v>0</v>
      </c>
      <c r="O79" s="9">
        <f>Diag_Ann_TA!O84</f>
        <v>0</v>
      </c>
    </row>
    <row r="80" spans="3:15" s="327" customFormat="1" x14ac:dyDescent="0.2">
      <c r="D80" s="659" t="str">
        <f>"Total "&amp;C65</f>
        <v>Total Fixed Health Clinic</v>
      </c>
      <c r="J80" s="5">
        <f t="shared" ref="J80:O80" si="7">SUM(J70:J79)</f>
        <v>0</v>
      </c>
      <c r="K80" s="5">
        <f t="shared" si="7"/>
        <v>0</v>
      </c>
      <c r="L80" s="5">
        <f t="shared" si="7"/>
        <v>0</v>
      </c>
      <c r="M80" s="5">
        <f t="shared" si="7"/>
        <v>0</v>
      </c>
      <c r="N80" s="5">
        <f t="shared" si="7"/>
        <v>0</v>
      </c>
      <c r="O80" s="5">
        <f t="shared" si="7"/>
        <v>0</v>
      </c>
    </row>
    <row r="81" spans="3:15" s="327" customFormat="1" outlineLevel="1" x14ac:dyDescent="0.2"/>
    <row r="82" spans="3:15" s="327" customFormat="1" ht="15.75" outlineLevel="1" x14ac:dyDescent="0.2">
      <c r="C82" s="18" t="str">
        <f>Diag_BA!D33</f>
        <v>PCI Mobile Health Team</v>
      </c>
    </row>
    <row r="83" spans="3:15" s="327" customFormat="1" outlineLevel="1" x14ac:dyDescent="0.2"/>
    <row r="84" spans="3:15" s="327" customFormat="1" outlineLevel="1" x14ac:dyDescent="0.2">
      <c r="D84" s="680" t="s">
        <v>82</v>
      </c>
      <c r="H84" s="27">
        <v>4</v>
      </c>
    </row>
    <row r="85" spans="3:15" s="327" customFormat="1" outlineLevel="1" x14ac:dyDescent="0.2"/>
    <row r="86" spans="3:15" s="327" customFormat="1" ht="15" outlineLevel="1" x14ac:dyDescent="0.2">
      <c r="D86" s="646" t="str">
        <f>Plac_Start_Facs_BA!C20</f>
        <v>Total</v>
      </c>
    </row>
    <row r="87" spans="3:15" s="327" customFormat="1" outlineLevel="1" x14ac:dyDescent="0.2">
      <c r="D87" s="660" t="str">
        <f>Plac_Start_Facs_BA!C10</f>
        <v>Central</v>
      </c>
      <c r="J87" s="8">
        <f>Diag_Ann_TA!J93</f>
        <v>0</v>
      </c>
      <c r="K87" s="8">
        <f>Diag_Ann_TA!K93</f>
        <v>0</v>
      </c>
      <c r="L87" s="8">
        <f>Diag_Ann_TA!L93</f>
        <v>0</v>
      </c>
      <c r="M87" s="8">
        <f>Diag_Ann_TA!M93</f>
        <v>0</v>
      </c>
      <c r="N87" s="8">
        <f>Diag_Ann_TA!N93</f>
        <v>0</v>
      </c>
      <c r="O87" s="8">
        <f>Diag_Ann_TA!O93</f>
        <v>0</v>
      </c>
    </row>
    <row r="88" spans="3:15" s="327" customFormat="1" outlineLevel="1" x14ac:dyDescent="0.2">
      <c r="D88" s="660" t="str">
        <f>Plac_Start_Facs_BA!C11</f>
        <v>Copperbelt</v>
      </c>
      <c r="J88" s="8">
        <f>Diag_Ann_TA!J94</f>
        <v>0</v>
      </c>
      <c r="K88" s="8">
        <f>Diag_Ann_TA!K94</f>
        <v>0</v>
      </c>
      <c r="L88" s="8">
        <f>Diag_Ann_TA!L94</f>
        <v>0</v>
      </c>
      <c r="M88" s="8">
        <f>Diag_Ann_TA!M94</f>
        <v>0</v>
      </c>
      <c r="N88" s="8">
        <f>Diag_Ann_TA!N94</f>
        <v>0</v>
      </c>
      <c r="O88" s="8">
        <f>Diag_Ann_TA!O94</f>
        <v>0</v>
      </c>
    </row>
    <row r="89" spans="3:15" s="327" customFormat="1" outlineLevel="1" x14ac:dyDescent="0.2">
      <c r="D89" s="660" t="str">
        <f>Plac_Start_Facs_BA!C12</f>
        <v>Eastern</v>
      </c>
      <c r="J89" s="8">
        <f>Diag_Ann_TA!J95</f>
        <v>0</v>
      </c>
      <c r="K89" s="8">
        <f>Diag_Ann_TA!K95</f>
        <v>0</v>
      </c>
      <c r="L89" s="8">
        <f>Diag_Ann_TA!L95</f>
        <v>0</v>
      </c>
      <c r="M89" s="8">
        <f>Diag_Ann_TA!M95</f>
        <v>0</v>
      </c>
      <c r="N89" s="8">
        <f>Diag_Ann_TA!N95</f>
        <v>0</v>
      </c>
      <c r="O89" s="8">
        <f>Diag_Ann_TA!O95</f>
        <v>0</v>
      </c>
    </row>
    <row r="90" spans="3:15" s="327" customFormat="1" outlineLevel="1" x14ac:dyDescent="0.2">
      <c r="D90" s="660" t="str">
        <f>Plac_Start_Facs_BA!C13</f>
        <v>Luapula</v>
      </c>
      <c r="J90" s="8">
        <f>Diag_Ann_TA!J96</f>
        <v>0</v>
      </c>
      <c r="K90" s="8">
        <f>Diag_Ann_TA!K96</f>
        <v>0</v>
      </c>
      <c r="L90" s="8">
        <f>Diag_Ann_TA!L96</f>
        <v>0</v>
      </c>
      <c r="M90" s="8">
        <f>Diag_Ann_TA!M96</f>
        <v>0</v>
      </c>
      <c r="N90" s="8">
        <f>Diag_Ann_TA!N96</f>
        <v>0</v>
      </c>
      <c r="O90" s="8">
        <f>Diag_Ann_TA!O96</f>
        <v>0</v>
      </c>
    </row>
    <row r="91" spans="3:15" s="327" customFormat="1" outlineLevel="1" x14ac:dyDescent="0.2">
      <c r="D91" s="660" t="str">
        <f>Plac_Start_Facs_BA!C14</f>
        <v>Lusaka</v>
      </c>
      <c r="J91" s="8">
        <f>Diag_Ann_TA!J97</f>
        <v>0</v>
      </c>
      <c r="K91" s="8">
        <f>Diag_Ann_TA!K97</f>
        <v>0</v>
      </c>
      <c r="L91" s="8">
        <f>Diag_Ann_TA!L97</f>
        <v>0</v>
      </c>
      <c r="M91" s="8">
        <f>Diag_Ann_TA!M97</f>
        <v>0</v>
      </c>
      <c r="N91" s="8">
        <f>Diag_Ann_TA!N97</f>
        <v>0</v>
      </c>
      <c r="O91" s="8">
        <f>Diag_Ann_TA!O97</f>
        <v>0</v>
      </c>
    </row>
    <row r="92" spans="3:15" s="327" customFormat="1" outlineLevel="1" x14ac:dyDescent="0.2">
      <c r="D92" s="660" t="str">
        <f>Plac_Start_Facs_BA!C15</f>
        <v>Muchinga</v>
      </c>
      <c r="J92" s="8">
        <f>Diag_Ann_TA!J98</f>
        <v>0</v>
      </c>
      <c r="K92" s="8">
        <f>Diag_Ann_TA!K98</f>
        <v>0</v>
      </c>
      <c r="L92" s="8">
        <f>Diag_Ann_TA!L98</f>
        <v>0</v>
      </c>
      <c r="M92" s="8">
        <f>Diag_Ann_TA!M98</f>
        <v>0</v>
      </c>
      <c r="N92" s="8">
        <f>Diag_Ann_TA!N98</f>
        <v>0</v>
      </c>
      <c r="O92" s="8">
        <f>Diag_Ann_TA!O98</f>
        <v>0</v>
      </c>
    </row>
    <row r="93" spans="3:15" s="327" customFormat="1" outlineLevel="1" x14ac:dyDescent="0.2">
      <c r="D93" s="660" t="str">
        <f>Plac_Start_Facs_BA!C16</f>
        <v>Northern</v>
      </c>
      <c r="J93" s="8">
        <f>Diag_Ann_TA!J99</f>
        <v>0</v>
      </c>
      <c r="K93" s="8">
        <f>Diag_Ann_TA!K99</f>
        <v>0</v>
      </c>
      <c r="L93" s="8">
        <f>Diag_Ann_TA!L99</f>
        <v>0</v>
      </c>
      <c r="M93" s="8">
        <f>Diag_Ann_TA!M99</f>
        <v>0</v>
      </c>
      <c r="N93" s="8">
        <f>Diag_Ann_TA!N99</f>
        <v>0</v>
      </c>
      <c r="O93" s="8">
        <f>Diag_Ann_TA!O99</f>
        <v>0</v>
      </c>
    </row>
    <row r="94" spans="3:15" s="327" customFormat="1" outlineLevel="1" x14ac:dyDescent="0.2">
      <c r="D94" s="660" t="str">
        <f>Plac_Start_Facs_BA!C17</f>
        <v>North-Western</v>
      </c>
      <c r="J94" s="8">
        <f>Diag_Ann_TA!J100</f>
        <v>0</v>
      </c>
      <c r="K94" s="8">
        <f>Diag_Ann_TA!K100</f>
        <v>0</v>
      </c>
      <c r="L94" s="8">
        <f>Diag_Ann_TA!L100</f>
        <v>0</v>
      </c>
      <c r="M94" s="8">
        <f>Diag_Ann_TA!M100</f>
        <v>0</v>
      </c>
      <c r="N94" s="8">
        <f>Diag_Ann_TA!N100</f>
        <v>0</v>
      </c>
      <c r="O94" s="8">
        <f>Diag_Ann_TA!O100</f>
        <v>0</v>
      </c>
    </row>
    <row r="95" spans="3:15" s="327" customFormat="1" outlineLevel="1" x14ac:dyDescent="0.2">
      <c r="D95" s="660" t="str">
        <f>Plac_Start_Facs_BA!C18</f>
        <v>Southern</v>
      </c>
      <c r="J95" s="8">
        <f>Diag_Ann_TA!J101</f>
        <v>0</v>
      </c>
      <c r="K95" s="8">
        <f>Diag_Ann_TA!K101</f>
        <v>0</v>
      </c>
      <c r="L95" s="8">
        <f>Diag_Ann_TA!L101</f>
        <v>0</v>
      </c>
      <c r="M95" s="8">
        <f>Diag_Ann_TA!M101</f>
        <v>0</v>
      </c>
      <c r="N95" s="8">
        <f>Diag_Ann_TA!N101</f>
        <v>0</v>
      </c>
      <c r="O95" s="8">
        <f>Diag_Ann_TA!O101</f>
        <v>0</v>
      </c>
    </row>
    <row r="96" spans="3:15" s="327" customFormat="1" outlineLevel="1" x14ac:dyDescent="0.2">
      <c r="D96" s="660" t="str">
        <f>Plac_Start_Facs_BA!C19</f>
        <v>Western</v>
      </c>
      <c r="J96" s="9">
        <f>Diag_Ann_TA!J102</f>
        <v>0</v>
      </c>
      <c r="K96" s="9">
        <f>Diag_Ann_TA!K102</f>
        <v>0</v>
      </c>
      <c r="L96" s="9">
        <f>Diag_Ann_TA!L102</f>
        <v>0</v>
      </c>
      <c r="M96" s="9">
        <f>Diag_Ann_TA!M102</f>
        <v>0</v>
      </c>
      <c r="N96" s="9">
        <f>Diag_Ann_TA!N102</f>
        <v>0</v>
      </c>
      <c r="O96" s="9">
        <f>Diag_Ann_TA!O102</f>
        <v>0</v>
      </c>
    </row>
    <row r="97" spans="3:15" s="327" customFormat="1" x14ac:dyDescent="0.2">
      <c r="D97" s="659" t="str">
        <f>"Total "&amp;C82</f>
        <v>Total PCI Mobile Health Team</v>
      </c>
      <c r="J97" s="5">
        <f t="shared" ref="J97:O97" si="8">SUM(J87:J96)</f>
        <v>0</v>
      </c>
      <c r="K97" s="5">
        <f t="shared" si="8"/>
        <v>0</v>
      </c>
      <c r="L97" s="5">
        <f t="shared" si="8"/>
        <v>0</v>
      </c>
      <c r="M97" s="5">
        <f t="shared" si="8"/>
        <v>0</v>
      </c>
      <c r="N97" s="5">
        <f t="shared" si="8"/>
        <v>0</v>
      </c>
      <c r="O97" s="5">
        <f t="shared" si="8"/>
        <v>0</v>
      </c>
    </row>
    <row r="98" spans="3:15" s="327" customFormat="1" outlineLevel="1" x14ac:dyDescent="0.2"/>
    <row r="99" spans="3:15" s="327" customFormat="1" ht="15.75" outlineLevel="1" x14ac:dyDescent="0.2">
      <c r="C99" s="18" t="str">
        <f>Diag_BA!D34</f>
        <v>Gov't Mobile Health Team (Hospital)</v>
      </c>
    </row>
    <row r="100" spans="3:15" s="327" customFormat="1" outlineLevel="1" x14ac:dyDescent="0.2"/>
    <row r="101" spans="3:15" s="327" customFormat="1" outlineLevel="1" x14ac:dyDescent="0.2">
      <c r="D101" s="680" t="s">
        <v>82</v>
      </c>
      <c r="H101" s="27">
        <v>5</v>
      </c>
    </row>
    <row r="102" spans="3:15" s="327" customFormat="1" outlineLevel="1" x14ac:dyDescent="0.2"/>
    <row r="103" spans="3:15" s="327" customFormat="1" ht="15" outlineLevel="1" x14ac:dyDescent="0.2">
      <c r="D103" s="646" t="str">
        <f>Plac_Start_Facs_BA!C20</f>
        <v>Total</v>
      </c>
    </row>
    <row r="104" spans="3:15" s="327" customFormat="1" outlineLevel="1" x14ac:dyDescent="0.2">
      <c r="D104" s="660" t="str">
        <f>Plac_Start_Facs_BA!C10</f>
        <v>Central</v>
      </c>
      <c r="J104" s="8">
        <f>Diag_Ann_TA!J111</f>
        <v>0</v>
      </c>
      <c r="K104" s="8">
        <f>Diag_Ann_TA!K111</f>
        <v>0</v>
      </c>
      <c r="L104" s="8">
        <f>Diag_Ann_TA!L111</f>
        <v>0</v>
      </c>
      <c r="M104" s="8">
        <f>Diag_Ann_TA!M111</f>
        <v>0</v>
      </c>
      <c r="N104" s="8">
        <f>Diag_Ann_TA!N111</f>
        <v>0</v>
      </c>
      <c r="O104" s="8">
        <f>Diag_Ann_TA!O111</f>
        <v>0</v>
      </c>
    </row>
    <row r="105" spans="3:15" s="327" customFormat="1" outlineLevel="1" x14ac:dyDescent="0.2">
      <c r="D105" s="660" t="str">
        <f>Plac_Start_Facs_BA!C11</f>
        <v>Copperbelt</v>
      </c>
      <c r="J105" s="8">
        <f>Diag_Ann_TA!J112</f>
        <v>0</v>
      </c>
      <c r="K105" s="8">
        <f>Diag_Ann_TA!K112</f>
        <v>0</v>
      </c>
      <c r="L105" s="8">
        <f>Diag_Ann_TA!L112</f>
        <v>0</v>
      </c>
      <c r="M105" s="8">
        <f>Diag_Ann_TA!M112</f>
        <v>0</v>
      </c>
      <c r="N105" s="8">
        <f>Diag_Ann_TA!N112</f>
        <v>0</v>
      </c>
      <c r="O105" s="8">
        <f>Diag_Ann_TA!O112</f>
        <v>0</v>
      </c>
    </row>
    <row r="106" spans="3:15" s="327" customFormat="1" outlineLevel="1" x14ac:dyDescent="0.2">
      <c r="D106" s="660" t="str">
        <f>Plac_Start_Facs_BA!C12</f>
        <v>Eastern</v>
      </c>
      <c r="J106" s="8">
        <f>Diag_Ann_TA!J113</f>
        <v>0</v>
      </c>
      <c r="K106" s="8">
        <f>Diag_Ann_TA!K113</f>
        <v>0</v>
      </c>
      <c r="L106" s="8">
        <f>Diag_Ann_TA!L113</f>
        <v>0</v>
      </c>
      <c r="M106" s="8">
        <f>Diag_Ann_TA!M113</f>
        <v>0</v>
      </c>
      <c r="N106" s="8">
        <f>Diag_Ann_TA!N113</f>
        <v>0</v>
      </c>
      <c r="O106" s="8">
        <f>Diag_Ann_TA!O113</f>
        <v>0</v>
      </c>
    </row>
    <row r="107" spans="3:15" s="327" customFormat="1" outlineLevel="1" x14ac:dyDescent="0.2">
      <c r="D107" s="660" t="str">
        <f>Plac_Start_Facs_BA!C13</f>
        <v>Luapula</v>
      </c>
      <c r="J107" s="8">
        <f>Diag_Ann_TA!J114</f>
        <v>0</v>
      </c>
      <c r="K107" s="8">
        <f>Diag_Ann_TA!K114</f>
        <v>0</v>
      </c>
      <c r="L107" s="8">
        <f>Diag_Ann_TA!L114</f>
        <v>0</v>
      </c>
      <c r="M107" s="8">
        <f>Diag_Ann_TA!M114</f>
        <v>0</v>
      </c>
      <c r="N107" s="8">
        <f>Diag_Ann_TA!N114</f>
        <v>0</v>
      </c>
      <c r="O107" s="8">
        <f>Diag_Ann_TA!O114</f>
        <v>0</v>
      </c>
    </row>
    <row r="108" spans="3:15" s="327" customFormat="1" outlineLevel="1" x14ac:dyDescent="0.2">
      <c r="D108" s="660" t="str">
        <f>Plac_Start_Facs_BA!C14</f>
        <v>Lusaka</v>
      </c>
      <c r="J108" s="8">
        <f>Diag_Ann_TA!J115</f>
        <v>0</v>
      </c>
      <c r="K108" s="8">
        <f>Diag_Ann_TA!K115</f>
        <v>0</v>
      </c>
      <c r="L108" s="8">
        <f>Diag_Ann_TA!L115</f>
        <v>0</v>
      </c>
      <c r="M108" s="8">
        <f>Diag_Ann_TA!M115</f>
        <v>0</v>
      </c>
      <c r="N108" s="8">
        <f>Diag_Ann_TA!N115</f>
        <v>0</v>
      </c>
      <c r="O108" s="8">
        <f>Diag_Ann_TA!O115</f>
        <v>0</v>
      </c>
    </row>
    <row r="109" spans="3:15" s="327" customFormat="1" outlineLevel="1" x14ac:dyDescent="0.2">
      <c r="D109" s="660" t="str">
        <f>Plac_Start_Facs_BA!C15</f>
        <v>Muchinga</v>
      </c>
      <c r="J109" s="8">
        <f>Diag_Ann_TA!J116</f>
        <v>0</v>
      </c>
      <c r="K109" s="8">
        <f>Diag_Ann_TA!K116</f>
        <v>0</v>
      </c>
      <c r="L109" s="8">
        <f>Diag_Ann_TA!L116</f>
        <v>0</v>
      </c>
      <c r="M109" s="8">
        <f>Diag_Ann_TA!M116</f>
        <v>0</v>
      </c>
      <c r="N109" s="8">
        <f>Diag_Ann_TA!N116</f>
        <v>0</v>
      </c>
      <c r="O109" s="8">
        <f>Diag_Ann_TA!O116</f>
        <v>0</v>
      </c>
    </row>
    <row r="110" spans="3:15" s="327" customFormat="1" outlineLevel="1" x14ac:dyDescent="0.2">
      <c r="D110" s="660" t="str">
        <f>Plac_Start_Facs_BA!C16</f>
        <v>Northern</v>
      </c>
      <c r="J110" s="8">
        <f>Diag_Ann_TA!J117</f>
        <v>0</v>
      </c>
      <c r="K110" s="8">
        <f>Diag_Ann_TA!K117</f>
        <v>0</v>
      </c>
      <c r="L110" s="8">
        <f>Diag_Ann_TA!L117</f>
        <v>0</v>
      </c>
      <c r="M110" s="8">
        <f>Diag_Ann_TA!M117</f>
        <v>0</v>
      </c>
      <c r="N110" s="8">
        <f>Diag_Ann_TA!N117</f>
        <v>0</v>
      </c>
      <c r="O110" s="8">
        <f>Diag_Ann_TA!O117</f>
        <v>0</v>
      </c>
    </row>
    <row r="111" spans="3:15" s="327" customFormat="1" outlineLevel="1" x14ac:dyDescent="0.2">
      <c r="D111" s="660" t="str">
        <f>Plac_Start_Facs_BA!C17</f>
        <v>North-Western</v>
      </c>
      <c r="J111" s="8">
        <f>Diag_Ann_TA!J118</f>
        <v>0</v>
      </c>
      <c r="K111" s="8">
        <f>Diag_Ann_TA!K118</f>
        <v>0</v>
      </c>
      <c r="L111" s="8">
        <f>Diag_Ann_TA!L118</f>
        <v>0</v>
      </c>
      <c r="M111" s="8">
        <f>Diag_Ann_TA!M118</f>
        <v>0</v>
      </c>
      <c r="N111" s="8">
        <f>Diag_Ann_TA!N118</f>
        <v>0</v>
      </c>
      <c r="O111" s="8">
        <f>Diag_Ann_TA!O118</f>
        <v>0</v>
      </c>
    </row>
    <row r="112" spans="3:15" s="327" customFormat="1" outlineLevel="1" x14ac:dyDescent="0.2">
      <c r="D112" s="660" t="str">
        <f>Plac_Start_Facs_BA!C18</f>
        <v>Southern</v>
      </c>
      <c r="J112" s="8">
        <f>Diag_Ann_TA!J119</f>
        <v>0</v>
      </c>
      <c r="K112" s="8">
        <f>Diag_Ann_TA!K119</f>
        <v>0</v>
      </c>
      <c r="L112" s="8">
        <f>Diag_Ann_TA!L119</f>
        <v>0</v>
      </c>
      <c r="M112" s="8">
        <f>Diag_Ann_TA!M119</f>
        <v>0</v>
      </c>
      <c r="N112" s="8">
        <f>Diag_Ann_TA!N119</f>
        <v>0</v>
      </c>
      <c r="O112" s="8">
        <f>Diag_Ann_TA!O119</f>
        <v>0</v>
      </c>
    </row>
    <row r="113" spans="3:15" s="327" customFormat="1" outlineLevel="1" x14ac:dyDescent="0.2">
      <c r="D113" s="660" t="str">
        <f>Plac_Start_Facs_BA!C19</f>
        <v>Western</v>
      </c>
      <c r="J113" s="9">
        <f>Diag_Ann_TA!J120</f>
        <v>0</v>
      </c>
      <c r="K113" s="9">
        <f>Diag_Ann_TA!K120</f>
        <v>0</v>
      </c>
      <c r="L113" s="9">
        <f>Diag_Ann_TA!L120</f>
        <v>0</v>
      </c>
      <c r="M113" s="9">
        <f>Diag_Ann_TA!M120</f>
        <v>0</v>
      </c>
      <c r="N113" s="9">
        <f>Diag_Ann_TA!N120</f>
        <v>0</v>
      </c>
      <c r="O113" s="9">
        <f>Diag_Ann_TA!O120</f>
        <v>0</v>
      </c>
    </row>
    <row r="114" spans="3:15" s="327" customFormat="1" x14ac:dyDescent="0.2">
      <c r="D114" s="659" t="str">
        <f>"Total "&amp;C99</f>
        <v>Total Gov't Mobile Health Team (Hospital)</v>
      </c>
      <c r="J114" s="5">
        <f t="shared" ref="J114:O114" si="9">SUM(J104:J113)</f>
        <v>0</v>
      </c>
      <c r="K114" s="5">
        <f t="shared" si="9"/>
        <v>0</v>
      </c>
      <c r="L114" s="5">
        <f t="shared" si="9"/>
        <v>0</v>
      </c>
      <c r="M114" s="5">
        <f t="shared" si="9"/>
        <v>0</v>
      </c>
      <c r="N114" s="5">
        <f t="shared" si="9"/>
        <v>0</v>
      </c>
      <c r="O114" s="5">
        <f t="shared" si="9"/>
        <v>0</v>
      </c>
    </row>
    <row r="115" spans="3:15" s="327" customFormat="1" outlineLevel="2" x14ac:dyDescent="0.2"/>
    <row r="116" spans="3:15" s="327" customFormat="1" ht="15.75" x14ac:dyDescent="0.2">
      <c r="C116" s="18" t="str">
        <f>Diag_BA!D35</f>
        <v>CIDRZ Mobile Health Team</v>
      </c>
    </row>
    <row r="117" spans="3:15" s="327" customFormat="1" x14ac:dyDescent="0.2"/>
    <row r="118" spans="3:15" s="327" customFormat="1" x14ac:dyDescent="0.2">
      <c r="D118" s="680" t="s">
        <v>82</v>
      </c>
      <c r="H118" s="27">
        <v>6</v>
      </c>
    </row>
    <row r="119" spans="3:15" s="327" customFormat="1" x14ac:dyDescent="0.2"/>
    <row r="120" spans="3:15" s="327" customFormat="1" x14ac:dyDescent="0.2">
      <c r="D120" s="660" t="str">
        <f>Plac_Start_Facs_BA!C20</f>
        <v>Total</v>
      </c>
    </row>
    <row r="121" spans="3:15" s="327" customFormat="1" x14ac:dyDescent="0.2">
      <c r="D121" s="660" t="str">
        <f>Plac_Start_Facs_BA!C10</f>
        <v>Central</v>
      </c>
      <c r="J121" s="14">
        <f>Diag_Ann_TA!J129</f>
        <v>0</v>
      </c>
      <c r="K121" s="14">
        <f>Diag_Ann_TA!K129</f>
        <v>0</v>
      </c>
      <c r="L121" s="14">
        <f>Diag_Ann_TA!L129</f>
        <v>0</v>
      </c>
      <c r="M121" s="14">
        <f>Diag_Ann_TA!M129</f>
        <v>0</v>
      </c>
      <c r="N121" s="14">
        <f>Diag_Ann_TA!N129</f>
        <v>0</v>
      </c>
      <c r="O121" s="14">
        <f>Diag_Ann_TA!O129</f>
        <v>0</v>
      </c>
    </row>
    <row r="122" spans="3:15" s="327" customFormat="1" x14ac:dyDescent="0.2">
      <c r="D122" s="660" t="str">
        <f>Plac_Start_Facs_BA!C11</f>
        <v>Copperbelt</v>
      </c>
      <c r="J122" s="14">
        <f>Diag_Ann_TA!J130</f>
        <v>0</v>
      </c>
      <c r="K122" s="14">
        <f>Diag_Ann_TA!K130</f>
        <v>0</v>
      </c>
      <c r="L122" s="14">
        <f>Diag_Ann_TA!L130</f>
        <v>0</v>
      </c>
      <c r="M122" s="14">
        <f>Diag_Ann_TA!M130</f>
        <v>0</v>
      </c>
      <c r="N122" s="14">
        <f>Diag_Ann_TA!N130</f>
        <v>0</v>
      </c>
      <c r="O122" s="14">
        <f>Diag_Ann_TA!O130</f>
        <v>0</v>
      </c>
    </row>
    <row r="123" spans="3:15" s="327" customFormat="1" x14ac:dyDescent="0.2">
      <c r="D123" s="660" t="str">
        <f>Plac_Start_Facs_BA!C12</f>
        <v>Eastern</v>
      </c>
      <c r="J123" s="14">
        <f>Diag_Ann_TA!J131</f>
        <v>0</v>
      </c>
      <c r="K123" s="14">
        <f>Diag_Ann_TA!K131</f>
        <v>0</v>
      </c>
      <c r="L123" s="14">
        <f>Diag_Ann_TA!L131</f>
        <v>0</v>
      </c>
      <c r="M123" s="14">
        <f>Diag_Ann_TA!M131</f>
        <v>0</v>
      </c>
      <c r="N123" s="14">
        <f>Diag_Ann_TA!N131</f>
        <v>0</v>
      </c>
      <c r="O123" s="14">
        <f>Diag_Ann_TA!O131</f>
        <v>0</v>
      </c>
    </row>
    <row r="124" spans="3:15" s="327" customFormat="1" x14ac:dyDescent="0.2">
      <c r="D124" s="660" t="str">
        <f>Plac_Start_Facs_BA!C13</f>
        <v>Luapula</v>
      </c>
      <c r="J124" s="14">
        <f>Diag_Ann_TA!J132</f>
        <v>0</v>
      </c>
      <c r="K124" s="14">
        <f>Diag_Ann_TA!K132</f>
        <v>0</v>
      </c>
      <c r="L124" s="14">
        <f>Diag_Ann_TA!L132</f>
        <v>0</v>
      </c>
      <c r="M124" s="14">
        <f>Diag_Ann_TA!M132</f>
        <v>0</v>
      </c>
      <c r="N124" s="14">
        <f>Diag_Ann_TA!N132</f>
        <v>0</v>
      </c>
      <c r="O124" s="14">
        <f>Diag_Ann_TA!O132</f>
        <v>0</v>
      </c>
    </row>
    <row r="125" spans="3:15" s="327" customFormat="1" x14ac:dyDescent="0.2">
      <c r="D125" s="660" t="str">
        <f>Plac_Start_Facs_BA!C14</f>
        <v>Lusaka</v>
      </c>
      <c r="J125" s="14">
        <f>Diag_Ann_TA!J133</f>
        <v>0</v>
      </c>
      <c r="K125" s="14">
        <f>Diag_Ann_TA!K133</f>
        <v>0</v>
      </c>
      <c r="L125" s="14">
        <f>Diag_Ann_TA!L133</f>
        <v>0</v>
      </c>
      <c r="M125" s="14">
        <f>Diag_Ann_TA!M133</f>
        <v>0</v>
      </c>
      <c r="N125" s="14">
        <f>Diag_Ann_TA!N133</f>
        <v>0</v>
      </c>
      <c r="O125" s="14">
        <f>Diag_Ann_TA!O133</f>
        <v>0</v>
      </c>
    </row>
    <row r="126" spans="3:15" s="327" customFormat="1" x14ac:dyDescent="0.2">
      <c r="D126" s="660" t="str">
        <f>Plac_Start_Facs_BA!C15</f>
        <v>Muchinga</v>
      </c>
      <c r="J126" s="14">
        <f>Diag_Ann_TA!J134</f>
        <v>0</v>
      </c>
      <c r="K126" s="14">
        <f>Diag_Ann_TA!K134</f>
        <v>0</v>
      </c>
      <c r="L126" s="14">
        <f>Diag_Ann_TA!L134</f>
        <v>0</v>
      </c>
      <c r="M126" s="14">
        <f>Diag_Ann_TA!M134</f>
        <v>0</v>
      </c>
      <c r="N126" s="14">
        <f>Diag_Ann_TA!N134</f>
        <v>0</v>
      </c>
      <c r="O126" s="14">
        <f>Diag_Ann_TA!O134</f>
        <v>0</v>
      </c>
    </row>
    <row r="127" spans="3:15" s="327" customFormat="1" x14ac:dyDescent="0.2">
      <c r="D127" s="660" t="str">
        <f>Plac_Start_Facs_BA!C16</f>
        <v>Northern</v>
      </c>
      <c r="J127" s="14">
        <f>Diag_Ann_TA!J135</f>
        <v>0</v>
      </c>
      <c r="K127" s="14">
        <f>Diag_Ann_TA!K135</f>
        <v>0</v>
      </c>
      <c r="L127" s="14">
        <f>Diag_Ann_TA!L135</f>
        <v>0</v>
      </c>
      <c r="M127" s="14">
        <f>Diag_Ann_TA!M135</f>
        <v>0</v>
      </c>
      <c r="N127" s="14">
        <f>Diag_Ann_TA!N135</f>
        <v>0</v>
      </c>
      <c r="O127" s="14">
        <f>Diag_Ann_TA!O135</f>
        <v>0</v>
      </c>
    </row>
    <row r="128" spans="3:15" s="327" customFormat="1" x14ac:dyDescent="0.2">
      <c r="D128" s="660" t="str">
        <f>Plac_Start_Facs_BA!C17</f>
        <v>North-Western</v>
      </c>
      <c r="J128" s="14">
        <f>Diag_Ann_TA!J136</f>
        <v>0</v>
      </c>
      <c r="K128" s="14">
        <f>Diag_Ann_TA!K136</f>
        <v>0</v>
      </c>
      <c r="L128" s="14">
        <f>Diag_Ann_TA!L136</f>
        <v>0</v>
      </c>
      <c r="M128" s="14">
        <f>Diag_Ann_TA!M136</f>
        <v>0</v>
      </c>
      <c r="N128" s="14">
        <f>Diag_Ann_TA!N136</f>
        <v>0</v>
      </c>
      <c r="O128" s="14">
        <f>Diag_Ann_TA!O136</f>
        <v>0</v>
      </c>
    </row>
    <row r="129" spans="3:15" s="327" customFormat="1" x14ac:dyDescent="0.2">
      <c r="D129" s="660" t="str">
        <f>Plac_Start_Facs_BA!C18</f>
        <v>Southern</v>
      </c>
      <c r="J129" s="14">
        <f>Diag_Ann_TA!J137</f>
        <v>0</v>
      </c>
      <c r="K129" s="14">
        <f>Diag_Ann_TA!K137</f>
        <v>0</v>
      </c>
      <c r="L129" s="14">
        <f>Diag_Ann_TA!L137</f>
        <v>0</v>
      </c>
      <c r="M129" s="14">
        <f>Diag_Ann_TA!M137</f>
        <v>0</v>
      </c>
      <c r="N129" s="14">
        <f>Diag_Ann_TA!N137</f>
        <v>0</v>
      </c>
      <c r="O129" s="14">
        <f>Diag_Ann_TA!O137</f>
        <v>0</v>
      </c>
    </row>
    <row r="130" spans="3:15" s="327" customFormat="1" x14ac:dyDescent="0.2">
      <c r="D130" s="660" t="str">
        <f>Plac_Start_Facs_BA!C19</f>
        <v>Western</v>
      </c>
      <c r="J130" s="14">
        <f>Diag_Ann_TA!J138</f>
        <v>0</v>
      </c>
      <c r="K130" s="14">
        <f>Diag_Ann_TA!K138</f>
        <v>0</v>
      </c>
      <c r="L130" s="14">
        <f>Diag_Ann_TA!L138</f>
        <v>0</v>
      </c>
      <c r="M130" s="14">
        <f>Diag_Ann_TA!M138</f>
        <v>0</v>
      </c>
      <c r="N130" s="14">
        <f>Diag_Ann_TA!N138</f>
        <v>0</v>
      </c>
      <c r="O130" s="14">
        <f>Diag_Ann_TA!O138</f>
        <v>0</v>
      </c>
    </row>
    <row r="131" spans="3:15" s="327" customFormat="1" ht="15" x14ac:dyDescent="0.2">
      <c r="D131" s="679" t="str">
        <f>"Total "&amp;C116</f>
        <v>Total CIDRZ Mobile Health Team</v>
      </c>
      <c r="J131" s="14">
        <f t="shared" ref="J131:O131" si="10">SUM(J121:J130)</f>
        <v>0</v>
      </c>
      <c r="K131" s="14">
        <f t="shared" si="10"/>
        <v>0</v>
      </c>
      <c r="L131" s="14">
        <f t="shared" si="10"/>
        <v>0</v>
      </c>
      <c r="M131" s="14">
        <f t="shared" si="10"/>
        <v>0</v>
      </c>
      <c r="N131" s="14">
        <f t="shared" si="10"/>
        <v>0</v>
      </c>
      <c r="O131" s="14">
        <f t="shared" si="10"/>
        <v>0</v>
      </c>
    </row>
    <row r="132" spans="3:15" s="327" customFormat="1" outlineLevel="2" x14ac:dyDescent="0.2"/>
    <row r="133" spans="3:15" s="327" customFormat="1" ht="15.75" x14ac:dyDescent="0.2">
      <c r="C133" s="18" t="str">
        <f>Diag_BA!D36</f>
        <v>Facility Type 8</v>
      </c>
    </row>
    <row r="134" spans="3:15" s="327" customFormat="1" x14ac:dyDescent="0.2"/>
    <row r="135" spans="3:15" s="327" customFormat="1" x14ac:dyDescent="0.2">
      <c r="D135" s="680" t="s">
        <v>82</v>
      </c>
      <c r="H135" s="27">
        <v>7</v>
      </c>
    </row>
    <row r="136" spans="3:15" s="327" customFormat="1" x14ac:dyDescent="0.2"/>
    <row r="137" spans="3:15" s="327" customFormat="1" x14ac:dyDescent="0.2">
      <c r="D137" s="660" t="str">
        <f>Plac_Start_Facs_BA!C20</f>
        <v>Total</v>
      </c>
    </row>
    <row r="138" spans="3:15" s="327" customFormat="1" x14ac:dyDescent="0.2">
      <c r="D138" s="660" t="str">
        <f>Plac_Start_Facs_BA!C10</f>
        <v>Central</v>
      </c>
      <c r="J138" s="14">
        <f>Diag_Ann_TA!J147</f>
        <v>0</v>
      </c>
      <c r="K138" s="14">
        <f>Diag_Ann_TA!K147</f>
        <v>0</v>
      </c>
      <c r="L138" s="14">
        <f>Diag_Ann_TA!L147</f>
        <v>0</v>
      </c>
      <c r="M138" s="14">
        <f>Diag_Ann_TA!M147</f>
        <v>0</v>
      </c>
      <c r="N138" s="14">
        <f>Diag_Ann_TA!N147</f>
        <v>0</v>
      </c>
      <c r="O138" s="14">
        <f>Diag_Ann_TA!O147</f>
        <v>0</v>
      </c>
    </row>
    <row r="139" spans="3:15" s="327" customFormat="1" x14ac:dyDescent="0.2">
      <c r="D139" s="660" t="str">
        <f>Plac_Start_Facs_BA!C11</f>
        <v>Copperbelt</v>
      </c>
      <c r="J139" s="14">
        <f>Diag_Ann_TA!J148</f>
        <v>0</v>
      </c>
      <c r="K139" s="14">
        <f>Diag_Ann_TA!K148</f>
        <v>0</v>
      </c>
      <c r="L139" s="14">
        <f>Diag_Ann_TA!L148</f>
        <v>0</v>
      </c>
      <c r="M139" s="14">
        <f>Diag_Ann_TA!M148</f>
        <v>0</v>
      </c>
      <c r="N139" s="14">
        <f>Diag_Ann_TA!N148</f>
        <v>0</v>
      </c>
      <c r="O139" s="14">
        <f>Diag_Ann_TA!O148</f>
        <v>0</v>
      </c>
    </row>
    <row r="140" spans="3:15" s="327" customFormat="1" x14ac:dyDescent="0.2">
      <c r="D140" s="660" t="str">
        <f>Plac_Start_Facs_BA!C12</f>
        <v>Eastern</v>
      </c>
      <c r="J140" s="14">
        <f>Diag_Ann_TA!J149</f>
        <v>0</v>
      </c>
      <c r="K140" s="14">
        <f>Diag_Ann_TA!K149</f>
        <v>0</v>
      </c>
      <c r="L140" s="14">
        <f>Diag_Ann_TA!L149</f>
        <v>0</v>
      </c>
      <c r="M140" s="14">
        <f>Diag_Ann_TA!M149</f>
        <v>0</v>
      </c>
      <c r="N140" s="14">
        <f>Diag_Ann_TA!N149</f>
        <v>0</v>
      </c>
      <c r="O140" s="14">
        <f>Diag_Ann_TA!O149</f>
        <v>0</v>
      </c>
    </row>
    <row r="141" spans="3:15" s="327" customFormat="1" x14ac:dyDescent="0.2">
      <c r="D141" s="660" t="str">
        <f>Plac_Start_Facs_BA!C13</f>
        <v>Luapula</v>
      </c>
      <c r="J141" s="14">
        <f>Diag_Ann_TA!J150</f>
        <v>0</v>
      </c>
      <c r="K141" s="14">
        <f>Diag_Ann_TA!K150</f>
        <v>0</v>
      </c>
      <c r="L141" s="14">
        <f>Diag_Ann_TA!L150</f>
        <v>0</v>
      </c>
      <c r="M141" s="14">
        <f>Diag_Ann_TA!M150</f>
        <v>0</v>
      </c>
      <c r="N141" s="14">
        <f>Diag_Ann_TA!N150</f>
        <v>0</v>
      </c>
      <c r="O141" s="14">
        <f>Diag_Ann_TA!O150</f>
        <v>0</v>
      </c>
    </row>
    <row r="142" spans="3:15" s="327" customFormat="1" x14ac:dyDescent="0.2">
      <c r="D142" s="660" t="str">
        <f>Plac_Start_Facs_BA!C14</f>
        <v>Lusaka</v>
      </c>
      <c r="J142" s="14">
        <f>Diag_Ann_TA!J151</f>
        <v>0</v>
      </c>
      <c r="K142" s="14">
        <f>Diag_Ann_TA!K151</f>
        <v>0</v>
      </c>
      <c r="L142" s="14">
        <f>Diag_Ann_TA!L151</f>
        <v>0</v>
      </c>
      <c r="M142" s="14">
        <f>Diag_Ann_TA!M151</f>
        <v>0</v>
      </c>
      <c r="N142" s="14">
        <f>Diag_Ann_TA!N151</f>
        <v>0</v>
      </c>
      <c r="O142" s="14">
        <f>Diag_Ann_TA!O151</f>
        <v>0</v>
      </c>
    </row>
    <row r="143" spans="3:15" s="327" customFormat="1" x14ac:dyDescent="0.2">
      <c r="D143" s="660" t="str">
        <f>Plac_Start_Facs_BA!C15</f>
        <v>Muchinga</v>
      </c>
      <c r="J143" s="14">
        <f>Diag_Ann_TA!J152</f>
        <v>0</v>
      </c>
      <c r="K143" s="14">
        <f>Diag_Ann_TA!K152</f>
        <v>0</v>
      </c>
      <c r="L143" s="14">
        <f>Diag_Ann_TA!L152</f>
        <v>0</v>
      </c>
      <c r="M143" s="14">
        <f>Diag_Ann_TA!M152</f>
        <v>0</v>
      </c>
      <c r="N143" s="14">
        <f>Diag_Ann_TA!N152</f>
        <v>0</v>
      </c>
      <c r="O143" s="14">
        <f>Diag_Ann_TA!O152</f>
        <v>0</v>
      </c>
    </row>
    <row r="144" spans="3:15" s="327" customFormat="1" x14ac:dyDescent="0.2">
      <c r="D144" s="660" t="str">
        <f>Plac_Start_Facs_BA!C16</f>
        <v>Northern</v>
      </c>
      <c r="J144" s="14">
        <f>Diag_Ann_TA!J153</f>
        <v>0</v>
      </c>
      <c r="K144" s="14">
        <f>Diag_Ann_TA!K153</f>
        <v>0</v>
      </c>
      <c r="L144" s="14">
        <f>Diag_Ann_TA!L153</f>
        <v>0</v>
      </c>
      <c r="M144" s="14">
        <f>Diag_Ann_TA!M153</f>
        <v>0</v>
      </c>
      <c r="N144" s="14">
        <f>Diag_Ann_TA!N153</f>
        <v>0</v>
      </c>
      <c r="O144" s="14">
        <f>Diag_Ann_TA!O153</f>
        <v>0</v>
      </c>
    </row>
    <row r="145" spans="3:15" s="327" customFormat="1" x14ac:dyDescent="0.2">
      <c r="D145" s="660" t="str">
        <f>Plac_Start_Facs_BA!C17</f>
        <v>North-Western</v>
      </c>
      <c r="J145" s="14">
        <f>Diag_Ann_TA!J154</f>
        <v>0</v>
      </c>
      <c r="K145" s="14">
        <f>Diag_Ann_TA!K154</f>
        <v>0</v>
      </c>
      <c r="L145" s="14">
        <f>Diag_Ann_TA!L154</f>
        <v>0</v>
      </c>
      <c r="M145" s="14">
        <f>Diag_Ann_TA!M154</f>
        <v>0</v>
      </c>
      <c r="N145" s="14">
        <f>Diag_Ann_TA!N154</f>
        <v>0</v>
      </c>
      <c r="O145" s="14">
        <f>Diag_Ann_TA!O154</f>
        <v>0</v>
      </c>
    </row>
    <row r="146" spans="3:15" s="327" customFormat="1" x14ac:dyDescent="0.2">
      <c r="D146" s="660" t="str">
        <f>Plac_Start_Facs_BA!C18</f>
        <v>Southern</v>
      </c>
      <c r="J146" s="14">
        <f>Diag_Ann_TA!J155</f>
        <v>0</v>
      </c>
      <c r="K146" s="14">
        <f>Diag_Ann_TA!K155</f>
        <v>0</v>
      </c>
      <c r="L146" s="14">
        <f>Diag_Ann_TA!L155</f>
        <v>0</v>
      </c>
      <c r="M146" s="14">
        <f>Diag_Ann_TA!M155</f>
        <v>0</v>
      </c>
      <c r="N146" s="14">
        <f>Diag_Ann_TA!N155</f>
        <v>0</v>
      </c>
      <c r="O146" s="14">
        <f>Diag_Ann_TA!O155</f>
        <v>0</v>
      </c>
    </row>
    <row r="147" spans="3:15" s="327" customFormat="1" x14ac:dyDescent="0.2">
      <c r="D147" s="660" t="str">
        <f>Plac_Start_Facs_BA!C19</f>
        <v>Western</v>
      </c>
      <c r="J147" s="14">
        <f>Diag_Ann_TA!J156</f>
        <v>0</v>
      </c>
      <c r="K147" s="14">
        <f>Diag_Ann_TA!K156</f>
        <v>0</v>
      </c>
      <c r="L147" s="14">
        <f>Diag_Ann_TA!L156</f>
        <v>0</v>
      </c>
      <c r="M147" s="14">
        <f>Diag_Ann_TA!M156</f>
        <v>0</v>
      </c>
      <c r="N147" s="14">
        <f>Diag_Ann_TA!N156</f>
        <v>0</v>
      </c>
      <c r="O147" s="14">
        <f>Diag_Ann_TA!O156</f>
        <v>0</v>
      </c>
    </row>
    <row r="148" spans="3:15" s="327" customFormat="1" ht="15" x14ac:dyDescent="0.2">
      <c r="D148" s="679" t="str">
        <f>"Total "&amp;C133</f>
        <v>Total Facility Type 8</v>
      </c>
      <c r="J148" s="14">
        <f t="shared" ref="J148:O148" si="11">SUM(J138:J147)</f>
        <v>0</v>
      </c>
      <c r="K148" s="14">
        <f t="shared" si="11"/>
        <v>0</v>
      </c>
      <c r="L148" s="14">
        <f t="shared" si="11"/>
        <v>0</v>
      </c>
      <c r="M148" s="14">
        <f t="shared" si="11"/>
        <v>0</v>
      </c>
      <c r="N148" s="14">
        <f t="shared" si="11"/>
        <v>0</v>
      </c>
      <c r="O148" s="14">
        <f t="shared" si="11"/>
        <v>0</v>
      </c>
    </row>
    <row r="149" spans="3:15" s="327" customFormat="1" outlineLevel="2" x14ac:dyDescent="0.2"/>
    <row r="150" spans="3:15" s="327" customFormat="1" ht="15.75" x14ac:dyDescent="0.2">
      <c r="C150" s="18" t="str">
        <f>Diag_BA!D37</f>
        <v>Facility Type 9</v>
      </c>
    </row>
    <row r="151" spans="3:15" s="327" customFormat="1" x14ac:dyDescent="0.2"/>
    <row r="152" spans="3:15" s="327" customFormat="1" x14ac:dyDescent="0.2">
      <c r="D152" s="680" t="s">
        <v>82</v>
      </c>
      <c r="H152" s="27">
        <v>8</v>
      </c>
    </row>
    <row r="153" spans="3:15" s="327" customFormat="1" x14ac:dyDescent="0.2"/>
    <row r="154" spans="3:15" s="327" customFormat="1" x14ac:dyDescent="0.2">
      <c r="D154" s="660" t="str">
        <f>Plac_Start_Facs_BA!C20</f>
        <v>Total</v>
      </c>
    </row>
    <row r="155" spans="3:15" s="327" customFormat="1" x14ac:dyDescent="0.2">
      <c r="D155" s="660" t="str">
        <f>Plac_Start_Facs_BA!C10</f>
        <v>Central</v>
      </c>
      <c r="J155" s="14">
        <f>Diag_Ann_TA!J165</f>
        <v>0</v>
      </c>
      <c r="K155" s="14">
        <f>Diag_Ann_TA!K165</f>
        <v>0</v>
      </c>
      <c r="L155" s="14">
        <f>Diag_Ann_TA!L165</f>
        <v>0</v>
      </c>
      <c r="M155" s="14">
        <f>Diag_Ann_TA!M165</f>
        <v>0</v>
      </c>
      <c r="N155" s="14">
        <f>Diag_Ann_TA!N165</f>
        <v>0</v>
      </c>
      <c r="O155" s="14">
        <f>Diag_Ann_TA!O165</f>
        <v>0</v>
      </c>
    </row>
    <row r="156" spans="3:15" s="327" customFormat="1" x14ac:dyDescent="0.2">
      <c r="D156" s="660" t="str">
        <f>Plac_Start_Facs_BA!C11</f>
        <v>Copperbelt</v>
      </c>
      <c r="J156" s="14">
        <f>Diag_Ann_TA!J166</f>
        <v>0</v>
      </c>
      <c r="K156" s="14">
        <f>Diag_Ann_TA!K166</f>
        <v>0</v>
      </c>
      <c r="L156" s="14">
        <f>Diag_Ann_TA!L166</f>
        <v>0</v>
      </c>
      <c r="M156" s="14">
        <f>Diag_Ann_TA!M166</f>
        <v>0</v>
      </c>
      <c r="N156" s="14">
        <f>Diag_Ann_TA!N166</f>
        <v>0</v>
      </c>
      <c r="O156" s="14">
        <f>Diag_Ann_TA!O166</f>
        <v>0</v>
      </c>
    </row>
    <row r="157" spans="3:15" s="327" customFormat="1" x14ac:dyDescent="0.2">
      <c r="D157" s="660" t="str">
        <f>Plac_Start_Facs_BA!C12</f>
        <v>Eastern</v>
      </c>
      <c r="J157" s="14">
        <f>Diag_Ann_TA!J167</f>
        <v>0</v>
      </c>
      <c r="K157" s="14">
        <f>Diag_Ann_TA!K167</f>
        <v>0</v>
      </c>
      <c r="L157" s="14">
        <f>Diag_Ann_TA!L167</f>
        <v>0</v>
      </c>
      <c r="M157" s="14">
        <f>Diag_Ann_TA!M167</f>
        <v>0</v>
      </c>
      <c r="N157" s="14">
        <f>Diag_Ann_TA!N167</f>
        <v>0</v>
      </c>
      <c r="O157" s="14">
        <f>Diag_Ann_TA!O167</f>
        <v>0</v>
      </c>
    </row>
    <row r="158" spans="3:15" s="327" customFormat="1" x14ac:dyDescent="0.2">
      <c r="D158" s="660" t="str">
        <f>Plac_Start_Facs_BA!C13</f>
        <v>Luapula</v>
      </c>
      <c r="J158" s="14">
        <f>Diag_Ann_TA!J168</f>
        <v>0</v>
      </c>
      <c r="K158" s="14">
        <f>Diag_Ann_TA!K168</f>
        <v>0</v>
      </c>
      <c r="L158" s="14">
        <f>Diag_Ann_TA!L168</f>
        <v>0</v>
      </c>
      <c r="M158" s="14">
        <f>Diag_Ann_TA!M168</f>
        <v>0</v>
      </c>
      <c r="N158" s="14">
        <f>Diag_Ann_TA!N168</f>
        <v>0</v>
      </c>
      <c r="O158" s="14">
        <f>Diag_Ann_TA!O168</f>
        <v>0</v>
      </c>
    </row>
    <row r="159" spans="3:15" s="327" customFormat="1" x14ac:dyDescent="0.2">
      <c r="D159" s="660" t="str">
        <f>Plac_Start_Facs_BA!C14</f>
        <v>Lusaka</v>
      </c>
      <c r="J159" s="14">
        <f>Diag_Ann_TA!J169</f>
        <v>0</v>
      </c>
      <c r="K159" s="14">
        <f>Diag_Ann_TA!K169</f>
        <v>0</v>
      </c>
      <c r="L159" s="14">
        <f>Diag_Ann_TA!L169</f>
        <v>0</v>
      </c>
      <c r="M159" s="14">
        <f>Diag_Ann_TA!M169</f>
        <v>0</v>
      </c>
      <c r="N159" s="14">
        <f>Diag_Ann_TA!N169</f>
        <v>0</v>
      </c>
      <c r="O159" s="14">
        <f>Diag_Ann_TA!O169</f>
        <v>0</v>
      </c>
    </row>
    <row r="160" spans="3:15" s="327" customFormat="1" x14ac:dyDescent="0.2">
      <c r="D160" s="660" t="str">
        <f>Plac_Start_Facs_BA!C15</f>
        <v>Muchinga</v>
      </c>
      <c r="J160" s="14">
        <f>Diag_Ann_TA!J170</f>
        <v>0</v>
      </c>
      <c r="K160" s="14">
        <f>Diag_Ann_TA!K170</f>
        <v>0</v>
      </c>
      <c r="L160" s="14">
        <f>Diag_Ann_TA!L170</f>
        <v>0</v>
      </c>
      <c r="M160" s="14">
        <f>Diag_Ann_TA!M170</f>
        <v>0</v>
      </c>
      <c r="N160" s="14">
        <f>Diag_Ann_TA!N170</f>
        <v>0</v>
      </c>
      <c r="O160" s="14">
        <f>Diag_Ann_TA!O170</f>
        <v>0</v>
      </c>
    </row>
    <row r="161" spans="3:15" s="327" customFormat="1" x14ac:dyDescent="0.2">
      <c r="D161" s="660" t="str">
        <f>Plac_Start_Facs_BA!C16</f>
        <v>Northern</v>
      </c>
      <c r="J161" s="14">
        <f>Diag_Ann_TA!J171</f>
        <v>0</v>
      </c>
      <c r="K161" s="14">
        <f>Diag_Ann_TA!K171</f>
        <v>0</v>
      </c>
      <c r="L161" s="14">
        <f>Diag_Ann_TA!L171</f>
        <v>0</v>
      </c>
      <c r="M161" s="14">
        <f>Diag_Ann_TA!M171</f>
        <v>0</v>
      </c>
      <c r="N161" s="14">
        <f>Diag_Ann_TA!N171</f>
        <v>0</v>
      </c>
      <c r="O161" s="14">
        <f>Diag_Ann_TA!O171</f>
        <v>0</v>
      </c>
    </row>
    <row r="162" spans="3:15" s="327" customFormat="1" x14ac:dyDescent="0.2">
      <c r="D162" s="660" t="str">
        <f>Plac_Start_Facs_BA!C17</f>
        <v>North-Western</v>
      </c>
      <c r="J162" s="14">
        <f>Diag_Ann_TA!J172</f>
        <v>0</v>
      </c>
      <c r="K162" s="14">
        <f>Diag_Ann_TA!K172</f>
        <v>0</v>
      </c>
      <c r="L162" s="14">
        <f>Diag_Ann_TA!L172</f>
        <v>0</v>
      </c>
      <c r="M162" s="14">
        <f>Diag_Ann_TA!M172</f>
        <v>0</v>
      </c>
      <c r="N162" s="14">
        <f>Diag_Ann_TA!N172</f>
        <v>0</v>
      </c>
      <c r="O162" s="14">
        <f>Diag_Ann_TA!O172</f>
        <v>0</v>
      </c>
    </row>
    <row r="163" spans="3:15" s="327" customFormat="1" x14ac:dyDescent="0.2">
      <c r="D163" s="660" t="str">
        <f>Plac_Start_Facs_BA!C18</f>
        <v>Southern</v>
      </c>
      <c r="J163" s="14">
        <f>Diag_Ann_TA!J173</f>
        <v>0</v>
      </c>
      <c r="K163" s="14">
        <f>Diag_Ann_TA!K173</f>
        <v>0</v>
      </c>
      <c r="L163" s="14">
        <f>Diag_Ann_TA!L173</f>
        <v>0</v>
      </c>
      <c r="M163" s="14">
        <f>Diag_Ann_TA!M173</f>
        <v>0</v>
      </c>
      <c r="N163" s="14">
        <f>Diag_Ann_TA!N173</f>
        <v>0</v>
      </c>
      <c r="O163" s="14">
        <f>Diag_Ann_TA!O173</f>
        <v>0</v>
      </c>
    </row>
    <row r="164" spans="3:15" s="327" customFormat="1" x14ac:dyDescent="0.2">
      <c r="D164" s="660" t="str">
        <f>Plac_Start_Facs_BA!C19</f>
        <v>Western</v>
      </c>
      <c r="J164" s="14">
        <f>Diag_Ann_TA!J174</f>
        <v>0</v>
      </c>
      <c r="K164" s="14">
        <f>Diag_Ann_TA!K174</f>
        <v>0</v>
      </c>
      <c r="L164" s="14">
        <f>Diag_Ann_TA!L174</f>
        <v>0</v>
      </c>
      <c r="M164" s="14">
        <f>Diag_Ann_TA!M174</f>
        <v>0</v>
      </c>
      <c r="N164" s="14">
        <f>Diag_Ann_TA!N174</f>
        <v>0</v>
      </c>
      <c r="O164" s="14">
        <f>Diag_Ann_TA!O174</f>
        <v>0</v>
      </c>
    </row>
    <row r="165" spans="3:15" s="327" customFormat="1" ht="15" x14ac:dyDescent="0.2">
      <c r="D165" s="679" t="str">
        <f>"Total "&amp;C150</f>
        <v>Total Facility Type 9</v>
      </c>
      <c r="J165" s="14">
        <f t="shared" ref="J165:O165" si="12">SUM(J155:J164)</f>
        <v>0</v>
      </c>
      <c r="K165" s="14">
        <f t="shared" si="12"/>
        <v>0</v>
      </c>
      <c r="L165" s="14">
        <f t="shared" si="12"/>
        <v>0</v>
      </c>
      <c r="M165" s="14">
        <f t="shared" si="12"/>
        <v>0</v>
      </c>
      <c r="N165" s="14">
        <f t="shared" si="12"/>
        <v>0</v>
      </c>
      <c r="O165" s="14">
        <f t="shared" si="12"/>
        <v>0</v>
      </c>
    </row>
    <row r="166" spans="3:15" s="327" customFormat="1" x14ac:dyDescent="0.2"/>
    <row r="167" spans="3:15" s="327" customFormat="1" ht="15.75" x14ac:dyDescent="0.2">
      <c r="C167" s="18" t="str">
        <f>Diag_BA!D38</f>
        <v>Facility Type 10</v>
      </c>
    </row>
    <row r="168" spans="3:15" s="327" customFormat="1" x14ac:dyDescent="0.2"/>
    <row r="169" spans="3:15" s="327" customFormat="1" x14ac:dyDescent="0.2">
      <c r="D169" s="680" t="s">
        <v>82</v>
      </c>
      <c r="H169" s="27">
        <v>9</v>
      </c>
    </row>
    <row r="170" spans="3:15" s="327" customFormat="1" x14ac:dyDescent="0.2"/>
    <row r="171" spans="3:15" s="327" customFormat="1" x14ac:dyDescent="0.2">
      <c r="D171" s="660" t="str">
        <f>Plac_Start_Facs_BA!C20</f>
        <v>Total</v>
      </c>
    </row>
    <row r="172" spans="3:15" s="327" customFormat="1" x14ac:dyDescent="0.2">
      <c r="D172" s="660" t="str">
        <f>Plac_Start_Facs_BA!C10</f>
        <v>Central</v>
      </c>
      <c r="J172" s="14">
        <f>Diag_Ann_TA!J183</f>
        <v>0</v>
      </c>
      <c r="K172" s="14">
        <f>Diag_Ann_TA!K183</f>
        <v>0</v>
      </c>
      <c r="L172" s="14">
        <f>Diag_Ann_TA!L183</f>
        <v>0</v>
      </c>
      <c r="M172" s="14">
        <f>Diag_Ann_TA!M183</f>
        <v>0</v>
      </c>
      <c r="N172" s="14">
        <f>Diag_Ann_TA!N183</f>
        <v>0</v>
      </c>
      <c r="O172" s="14">
        <f>Diag_Ann_TA!O183</f>
        <v>0</v>
      </c>
    </row>
    <row r="173" spans="3:15" s="327" customFormat="1" x14ac:dyDescent="0.2">
      <c r="D173" s="660" t="str">
        <f>Plac_Start_Facs_BA!C11</f>
        <v>Copperbelt</v>
      </c>
      <c r="J173" s="14">
        <f>Diag_Ann_TA!J184</f>
        <v>0</v>
      </c>
      <c r="K173" s="14">
        <f>Diag_Ann_TA!K184</f>
        <v>0</v>
      </c>
      <c r="L173" s="14">
        <f>Diag_Ann_TA!L184</f>
        <v>0</v>
      </c>
      <c r="M173" s="14">
        <f>Diag_Ann_TA!M184</f>
        <v>0</v>
      </c>
      <c r="N173" s="14">
        <f>Diag_Ann_TA!N184</f>
        <v>0</v>
      </c>
      <c r="O173" s="14">
        <f>Diag_Ann_TA!O184</f>
        <v>0</v>
      </c>
    </row>
    <row r="174" spans="3:15" s="327" customFormat="1" x14ac:dyDescent="0.2">
      <c r="D174" s="660" t="str">
        <f>Plac_Start_Facs_BA!C12</f>
        <v>Eastern</v>
      </c>
      <c r="J174" s="14">
        <f>Diag_Ann_TA!J185</f>
        <v>0</v>
      </c>
      <c r="K174" s="14">
        <f>Diag_Ann_TA!K185</f>
        <v>0</v>
      </c>
      <c r="L174" s="14">
        <f>Diag_Ann_TA!L185</f>
        <v>0</v>
      </c>
      <c r="M174" s="14">
        <f>Diag_Ann_TA!M185</f>
        <v>0</v>
      </c>
      <c r="N174" s="14">
        <f>Diag_Ann_TA!N185</f>
        <v>0</v>
      </c>
      <c r="O174" s="14">
        <f>Diag_Ann_TA!O185</f>
        <v>0</v>
      </c>
    </row>
    <row r="175" spans="3:15" s="327" customFormat="1" x14ac:dyDescent="0.2">
      <c r="D175" s="660" t="str">
        <f>Plac_Start_Facs_BA!C13</f>
        <v>Luapula</v>
      </c>
      <c r="J175" s="14">
        <f>Diag_Ann_TA!J186</f>
        <v>0</v>
      </c>
      <c r="K175" s="14">
        <f>Diag_Ann_TA!K186</f>
        <v>0</v>
      </c>
      <c r="L175" s="14">
        <f>Diag_Ann_TA!L186</f>
        <v>0</v>
      </c>
      <c r="M175" s="14">
        <f>Diag_Ann_TA!M186</f>
        <v>0</v>
      </c>
      <c r="N175" s="14">
        <f>Diag_Ann_TA!N186</f>
        <v>0</v>
      </c>
      <c r="O175" s="14">
        <f>Diag_Ann_TA!O186</f>
        <v>0</v>
      </c>
    </row>
    <row r="176" spans="3:15" s="327" customFormat="1" x14ac:dyDescent="0.2">
      <c r="D176" s="660" t="str">
        <f>Plac_Start_Facs_BA!C14</f>
        <v>Lusaka</v>
      </c>
      <c r="J176" s="14">
        <f>Diag_Ann_TA!J187</f>
        <v>0</v>
      </c>
      <c r="K176" s="14">
        <f>Diag_Ann_TA!K187</f>
        <v>0</v>
      </c>
      <c r="L176" s="14">
        <f>Diag_Ann_TA!L187</f>
        <v>0</v>
      </c>
      <c r="M176" s="14">
        <f>Diag_Ann_TA!M187</f>
        <v>0</v>
      </c>
      <c r="N176" s="14">
        <f>Diag_Ann_TA!N187</f>
        <v>0</v>
      </c>
      <c r="O176" s="14">
        <f>Diag_Ann_TA!O187</f>
        <v>0</v>
      </c>
    </row>
    <row r="177" spans="3:15" s="327" customFormat="1" x14ac:dyDescent="0.2">
      <c r="D177" s="660" t="str">
        <f>Plac_Start_Facs_BA!C15</f>
        <v>Muchinga</v>
      </c>
      <c r="J177" s="14">
        <f>Diag_Ann_TA!J188</f>
        <v>0</v>
      </c>
      <c r="K177" s="14">
        <f>Diag_Ann_TA!K188</f>
        <v>0</v>
      </c>
      <c r="L177" s="14">
        <f>Diag_Ann_TA!L188</f>
        <v>0</v>
      </c>
      <c r="M177" s="14">
        <f>Diag_Ann_TA!M188</f>
        <v>0</v>
      </c>
      <c r="N177" s="14">
        <f>Diag_Ann_TA!N188</f>
        <v>0</v>
      </c>
      <c r="O177" s="14">
        <f>Diag_Ann_TA!O188</f>
        <v>0</v>
      </c>
    </row>
    <row r="178" spans="3:15" s="327" customFormat="1" x14ac:dyDescent="0.2">
      <c r="D178" s="660" t="str">
        <f>Plac_Start_Facs_BA!C16</f>
        <v>Northern</v>
      </c>
      <c r="J178" s="14">
        <f>Diag_Ann_TA!J189</f>
        <v>0</v>
      </c>
      <c r="K178" s="14">
        <f>Diag_Ann_TA!K189</f>
        <v>0</v>
      </c>
      <c r="L178" s="14">
        <f>Diag_Ann_TA!L189</f>
        <v>0</v>
      </c>
      <c r="M178" s="14">
        <f>Diag_Ann_TA!M189</f>
        <v>0</v>
      </c>
      <c r="N178" s="14">
        <f>Diag_Ann_TA!N189</f>
        <v>0</v>
      </c>
      <c r="O178" s="14">
        <f>Diag_Ann_TA!O189</f>
        <v>0</v>
      </c>
    </row>
    <row r="179" spans="3:15" s="327" customFormat="1" x14ac:dyDescent="0.2">
      <c r="D179" s="660" t="str">
        <f>Plac_Start_Facs_BA!C17</f>
        <v>North-Western</v>
      </c>
      <c r="J179" s="14">
        <f>Diag_Ann_TA!J190</f>
        <v>0</v>
      </c>
      <c r="K179" s="14">
        <f>Diag_Ann_TA!K190</f>
        <v>0</v>
      </c>
      <c r="L179" s="14">
        <f>Diag_Ann_TA!L190</f>
        <v>0</v>
      </c>
      <c r="M179" s="14">
        <f>Diag_Ann_TA!M190</f>
        <v>0</v>
      </c>
      <c r="N179" s="14">
        <f>Diag_Ann_TA!N190</f>
        <v>0</v>
      </c>
      <c r="O179" s="14">
        <f>Diag_Ann_TA!O190</f>
        <v>0</v>
      </c>
    </row>
    <row r="180" spans="3:15" s="327" customFormat="1" x14ac:dyDescent="0.2">
      <c r="D180" s="660" t="str">
        <f>Plac_Start_Facs_BA!C18</f>
        <v>Southern</v>
      </c>
      <c r="J180" s="14">
        <f>Diag_Ann_TA!J191</f>
        <v>0</v>
      </c>
      <c r="K180" s="14">
        <f>Diag_Ann_TA!K191</f>
        <v>0</v>
      </c>
      <c r="L180" s="14">
        <f>Diag_Ann_TA!L191</f>
        <v>0</v>
      </c>
      <c r="M180" s="14">
        <f>Diag_Ann_TA!M191</f>
        <v>0</v>
      </c>
      <c r="N180" s="14">
        <f>Diag_Ann_TA!N191</f>
        <v>0</v>
      </c>
      <c r="O180" s="14">
        <f>Diag_Ann_TA!O191</f>
        <v>0</v>
      </c>
    </row>
    <row r="181" spans="3:15" s="327" customFormat="1" x14ac:dyDescent="0.2">
      <c r="D181" s="660" t="str">
        <f>Plac_Start_Facs_BA!C19</f>
        <v>Western</v>
      </c>
      <c r="J181" s="14">
        <f>Diag_Ann_TA!J192</f>
        <v>0</v>
      </c>
      <c r="K181" s="14">
        <f>Diag_Ann_TA!K192</f>
        <v>0</v>
      </c>
      <c r="L181" s="14">
        <f>Diag_Ann_TA!L192</f>
        <v>0</v>
      </c>
      <c r="M181" s="14">
        <f>Diag_Ann_TA!M192</f>
        <v>0</v>
      </c>
      <c r="N181" s="14">
        <f>Diag_Ann_TA!N192</f>
        <v>0</v>
      </c>
      <c r="O181" s="14">
        <f>Diag_Ann_TA!O192</f>
        <v>0</v>
      </c>
    </row>
    <row r="182" spans="3:15" s="327" customFormat="1" ht="15" x14ac:dyDescent="0.2">
      <c r="D182" s="679" t="str">
        <f>"Total "&amp;C167</f>
        <v>Total Facility Type 10</v>
      </c>
      <c r="J182" s="14">
        <f t="shared" ref="J182:O182" si="13">SUM(J172:J181)</f>
        <v>0</v>
      </c>
      <c r="K182" s="14">
        <f t="shared" si="13"/>
        <v>0</v>
      </c>
      <c r="L182" s="14">
        <f t="shared" si="13"/>
        <v>0</v>
      </c>
      <c r="M182" s="14">
        <f t="shared" si="13"/>
        <v>0</v>
      </c>
      <c r="N182" s="14">
        <f t="shared" si="13"/>
        <v>0</v>
      </c>
      <c r="O182" s="14">
        <f t="shared" si="13"/>
        <v>0</v>
      </c>
    </row>
    <row r="183" spans="3:15" s="327" customFormat="1" x14ac:dyDescent="0.2"/>
    <row r="184" spans="3:15" s="327" customFormat="1" x14ac:dyDescent="0.2"/>
    <row r="185" spans="3:15" s="327" customFormat="1" x14ac:dyDescent="0.2"/>
    <row r="186" spans="3:15" s="327" customFormat="1" ht="15.75" outlineLevel="2" x14ac:dyDescent="0.2">
      <c r="C186" s="330" t="s">
        <v>123</v>
      </c>
    </row>
    <row r="187" spans="3:15" s="327" customFormat="1" outlineLevel="2" x14ac:dyDescent="0.2"/>
    <row r="188" spans="3:15" s="327" customFormat="1" ht="15" outlineLevel="2" x14ac:dyDescent="0.2">
      <c r="D188" s="658" t="s">
        <v>122</v>
      </c>
    </row>
    <row r="189" spans="3:15" s="327" customFormat="1" outlineLevel="2" x14ac:dyDescent="0.2">
      <c r="D189" s="660" t="str">
        <f>Plac_Start_Facs_BA!C10</f>
        <v>Central</v>
      </c>
      <c r="J189" s="8">
        <f t="shared" ref="J189:O198" si="14">SUM(J19,J36,J53,J70,J87,J104,J121,J138,J155,J172)</f>
        <v>0</v>
      </c>
      <c r="K189" s="8">
        <f t="shared" si="14"/>
        <v>0</v>
      </c>
      <c r="L189" s="8">
        <f t="shared" si="14"/>
        <v>0</v>
      </c>
      <c r="M189" s="8">
        <f t="shared" si="14"/>
        <v>0</v>
      </c>
      <c r="N189" s="8">
        <f t="shared" si="14"/>
        <v>0</v>
      </c>
      <c r="O189" s="8">
        <f t="shared" si="14"/>
        <v>0</v>
      </c>
    </row>
    <row r="190" spans="3:15" s="327" customFormat="1" outlineLevel="2" x14ac:dyDescent="0.2">
      <c r="D190" s="660" t="str">
        <f>Plac_Start_Facs_BA!C11</f>
        <v>Copperbelt</v>
      </c>
      <c r="J190" s="8">
        <f t="shared" si="14"/>
        <v>3</v>
      </c>
      <c r="K190" s="8">
        <f t="shared" si="14"/>
        <v>3</v>
      </c>
      <c r="L190" s="8">
        <f t="shared" si="14"/>
        <v>3</v>
      </c>
      <c r="M190" s="8">
        <f t="shared" si="14"/>
        <v>3</v>
      </c>
      <c r="N190" s="8">
        <f t="shared" si="14"/>
        <v>3</v>
      </c>
      <c r="O190" s="8">
        <f t="shared" si="14"/>
        <v>3</v>
      </c>
    </row>
    <row r="191" spans="3:15" s="327" customFormat="1" outlineLevel="2" x14ac:dyDescent="0.2">
      <c r="D191" s="660" t="str">
        <f>Plac_Start_Facs_BA!C12</f>
        <v>Eastern</v>
      </c>
      <c r="J191" s="8">
        <f t="shared" si="14"/>
        <v>0</v>
      </c>
      <c r="K191" s="8">
        <f t="shared" si="14"/>
        <v>0</v>
      </c>
      <c r="L191" s="8">
        <f t="shared" si="14"/>
        <v>0</v>
      </c>
      <c r="M191" s="8">
        <f t="shared" si="14"/>
        <v>0</v>
      </c>
      <c r="N191" s="8">
        <f t="shared" si="14"/>
        <v>0</v>
      </c>
      <c r="O191" s="8">
        <f t="shared" si="14"/>
        <v>0</v>
      </c>
    </row>
    <row r="192" spans="3:15" s="327" customFormat="1" outlineLevel="2" x14ac:dyDescent="0.2">
      <c r="D192" s="660" t="str">
        <f>Plac_Start_Facs_BA!C13</f>
        <v>Luapula</v>
      </c>
      <c r="J192" s="8">
        <f t="shared" si="14"/>
        <v>0</v>
      </c>
      <c r="K192" s="8">
        <f t="shared" si="14"/>
        <v>0</v>
      </c>
      <c r="L192" s="8">
        <f t="shared" si="14"/>
        <v>0</v>
      </c>
      <c r="M192" s="8">
        <f t="shared" si="14"/>
        <v>0</v>
      </c>
      <c r="N192" s="8">
        <f t="shared" si="14"/>
        <v>0</v>
      </c>
      <c r="O192" s="8">
        <f t="shared" si="14"/>
        <v>0</v>
      </c>
    </row>
    <row r="193" spans="4:15" s="327" customFormat="1" outlineLevel="2" x14ac:dyDescent="0.2">
      <c r="D193" s="660" t="str">
        <f>Plac_Start_Facs_BA!C14</f>
        <v>Lusaka</v>
      </c>
      <c r="J193" s="8">
        <f t="shared" si="14"/>
        <v>1</v>
      </c>
      <c r="K193" s="8">
        <f t="shared" si="14"/>
        <v>1</v>
      </c>
      <c r="L193" s="8">
        <f t="shared" si="14"/>
        <v>1</v>
      </c>
      <c r="M193" s="8">
        <f t="shared" si="14"/>
        <v>1</v>
      </c>
      <c r="N193" s="8">
        <f t="shared" si="14"/>
        <v>1</v>
      </c>
      <c r="O193" s="8">
        <f t="shared" si="14"/>
        <v>1</v>
      </c>
    </row>
    <row r="194" spans="4:15" s="327" customFormat="1" outlineLevel="2" x14ac:dyDescent="0.2">
      <c r="D194" s="660" t="str">
        <f>Plac_Start_Facs_BA!C15</f>
        <v>Muchinga</v>
      </c>
      <c r="J194" s="8">
        <f t="shared" si="14"/>
        <v>0</v>
      </c>
      <c r="K194" s="8">
        <f t="shared" si="14"/>
        <v>0</v>
      </c>
      <c r="L194" s="8">
        <f t="shared" si="14"/>
        <v>0</v>
      </c>
      <c r="M194" s="8">
        <f t="shared" si="14"/>
        <v>0</v>
      </c>
      <c r="N194" s="8">
        <f t="shared" si="14"/>
        <v>0</v>
      </c>
      <c r="O194" s="8">
        <f t="shared" si="14"/>
        <v>0</v>
      </c>
    </row>
    <row r="195" spans="4:15" s="327" customFormat="1" outlineLevel="2" x14ac:dyDescent="0.2">
      <c r="D195" s="660" t="str">
        <f>Plac_Start_Facs_BA!C16</f>
        <v>Northern</v>
      </c>
      <c r="J195" s="8">
        <f t="shared" si="14"/>
        <v>0</v>
      </c>
      <c r="K195" s="8">
        <f t="shared" si="14"/>
        <v>0</v>
      </c>
      <c r="L195" s="8">
        <f t="shared" si="14"/>
        <v>0</v>
      </c>
      <c r="M195" s="8">
        <f t="shared" si="14"/>
        <v>0</v>
      </c>
      <c r="N195" s="8">
        <f t="shared" si="14"/>
        <v>0</v>
      </c>
      <c r="O195" s="8">
        <f t="shared" si="14"/>
        <v>0</v>
      </c>
    </row>
    <row r="196" spans="4:15" s="327" customFormat="1" outlineLevel="2" x14ac:dyDescent="0.2">
      <c r="D196" s="660" t="str">
        <f>Plac_Start_Facs_BA!C17</f>
        <v>North-Western</v>
      </c>
      <c r="J196" s="8">
        <f t="shared" si="14"/>
        <v>0</v>
      </c>
      <c r="K196" s="8">
        <f t="shared" si="14"/>
        <v>0</v>
      </c>
      <c r="L196" s="8">
        <f t="shared" si="14"/>
        <v>0</v>
      </c>
      <c r="M196" s="8">
        <f t="shared" si="14"/>
        <v>0</v>
      </c>
      <c r="N196" s="8">
        <f t="shared" si="14"/>
        <v>0</v>
      </c>
      <c r="O196" s="8">
        <f t="shared" si="14"/>
        <v>0</v>
      </c>
    </row>
    <row r="197" spans="4:15" s="327" customFormat="1" outlineLevel="2" x14ac:dyDescent="0.2">
      <c r="D197" s="660" t="str">
        <f>Plac_Start_Facs_BA!C18</f>
        <v>Southern</v>
      </c>
      <c r="J197" s="8">
        <f t="shared" si="14"/>
        <v>0</v>
      </c>
      <c r="K197" s="8">
        <f t="shared" si="14"/>
        <v>0</v>
      </c>
      <c r="L197" s="8">
        <f t="shared" si="14"/>
        <v>0</v>
      </c>
      <c r="M197" s="8">
        <f t="shared" si="14"/>
        <v>0</v>
      </c>
      <c r="N197" s="8">
        <f t="shared" si="14"/>
        <v>0</v>
      </c>
      <c r="O197" s="8">
        <f t="shared" si="14"/>
        <v>0</v>
      </c>
    </row>
    <row r="198" spans="4:15" s="327" customFormat="1" outlineLevel="2" x14ac:dyDescent="0.2">
      <c r="D198" s="660" t="str">
        <f>Plac_Start_Facs_BA!C19</f>
        <v>Western</v>
      </c>
      <c r="J198" s="9">
        <f t="shared" si="14"/>
        <v>0</v>
      </c>
      <c r="K198" s="9">
        <f t="shared" si="14"/>
        <v>0</v>
      </c>
      <c r="L198" s="9">
        <f t="shared" si="14"/>
        <v>0</v>
      </c>
      <c r="M198" s="9">
        <f t="shared" si="14"/>
        <v>0</v>
      </c>
      <c r="N198" s="9">
        <f t="shared" si="14"/>
        <v>0</v>
      </c>
      <c r="O198" s="9">
        <f t="shared" si="14"/>
        <v>0</v>
      </c>
    </row>
    <row r="199" spans="4:15" s="327" customFormat="1" ht="15" outlineLevel="2" x14ac:dyDescent="0.2">
      <c r="D199" s="679" t="str">
        <f>D188&amp;" ("&amp;Diag_BA!$G$10&amp;")"</f>
        <v>Total Active Facilities (BIOP-H)</v>
      </c>
      <c r="J199" s="5">
        <f t="shared" ref="J199:O199" si="15">SUM(J189:J198)</f>
        <v>4</v>
      </c>
      <c r="K199" s="5">
        <f t="shared" si="15"/>
        <v>4</v>
      </c>
      <c r="L199" s="5">
        <f t="shared" si="15"/>
        <v>4</v>
      </c>
      <c r="M199" s="5">
        <f t="shared" si="15"/>
        <v>4</v>
      </c>
      <c r="N199" s="5">
        <f t="shared" si="15"/>
        <v>4</v>
      </c>
      <c r="O199" s="5">
        <f t="shared" si="15"/>
        <v>4</v>
      </c>
    </row>
    <row r="200" spans="4:15" s="327" customFormat="1" outlineLevel="2" x14ac:dyDescent="0.2"/>
    <row r="201" spans="4:15" s="327" customFormat="1" ht="15" outlineLevel="2" x14ac:dyDescent="0.2">
      <c r="D201" s="658" t="s">
        <v>114</v>
      </c>
    </row>
    <row r="202" spans="4:15" s="327" customFormat="1" outlineLevel="2" x14ac:dyDescent="0.2">
      <c r="D202" s="660" t="str">
        <f>Plac_Start_Facs_BA!C10</f>
        <v>Central</v>
      </c>
      <c r="J202" s="13">
        <f t="shared" ref="J202:O211" si="16">IFERROR((J19+J36+J53)/J189,0)</f>
        <v>0</v>
      </c>
      <c r="K202" s="13">
        <f t="shared" si="16"/>
        <v>0</v>
      </c>
      <c r="L202" s="13">
        <f t="shared" si="16"/>
        <v>0</v>
      </c>
      <c r="M202" s="13">
        <f t="shared" si="16"/>
        <v>0</v>
      </c>
      <c r="N202" s="13">
        <f t="shared" si="16"/>
        <v>0</v>
      </c>
      <c r="O202" s="13">
        <f t="shared" si="16"/>
        <v>0</v>
      </c>
    </row>
    <row r="203" spans="4:15" s="327" customFormat="1" outlineLevel="2" x14ac:dyDescent="0.2">
      <c r="D203" s="660" t="str">
        <f>Plac_Start_Facs_BA!C11</f>
        <v>Copperbelt</v>
      </c>
      <c r="J203" s="13">
        <f t="shared" si="16"/>
        <v>1</v>
      </c>
      <c r="K203" s="13">
        <f t="shared" si="16"/>
        <v>1</v>
      </c>
      <c r="L203" s="13">
        <f t="shared" si="16"/>
        <v>1</v>
      </c>
      <c r="M203" s="13">
        <f t="shared" si="16"/>
        <v>1</v>
      </c>
      <c r="N203" s="13">
        <f t="shared" si="16"/>
        <v>1</v>
      </c>
      <c r="O203" s="13">
        <f t="shared" si="16"/>
        <v>1</v>
      </c>
    </row>
    <row r="204" spans="4:15" s="327" customFormat="1" outlineLevel="2" x14ac:dyDescent="0.2">
      <c r="D204" s="660" t="str">
        <f>Plac_Start_Facs_BA!C12</f>
        <v>Eastern</v>
      </c>
      <c r="J204" s="13">
        <f t="shared" si="16"/>
        <v>0</v>
      </c>
      <c r="K204" s="13">
        <f t="shared" si="16"/>
        <v>0</v>
      </c>
      <c r="L204" s="13">
        <f t="shared" si="16"/>
        <v>0</v>
      </c>
      <c r="M204" s="13">
        <f t="shared" si="16"/>
        <v>0</v>
      </c>
      <c r="N204" s="13">
        <f t="shared" si="16"/>
        <v>0</v>
      </c>
      <c r="O204" s="13">
        <f t="shared" si="16"/>
        <v>0</v>
      </c>
    </row>
    <row r="205" spans="4:15" s="327" customFormat="1" outlineLevel="2" x14ac:dyDescent="0.2">
      <c r="D205" s="660" t="str">
        <f>Plac_Start_Facs_BA!C13</f>
        <v>Luapula</v>
      </c>
      <c r="J205" s="13">
        <f t="shared" si="16"/>
        <v>0</v>
      </c>
      <c r="K205" s="13">
        <f t="shared" si="16"/>
        <v>0</v>
      </c>
      <c r="L205" s="13">
        <f t="shared" si="16"/>
        <v>0</v>
      </c>
      <c r="M205" s="13">
        <f t="shared" si="16"/>
        <v>0</v>
      </c>
      <c r="N205" s="13">
        <f t="shared" si="16"/>
        <v>0</v>
      </c>
      <c r="O205" s="13">
        <f t="shared" si="16"/>
        <v>0</v>
      </c>
    </row>
    <row r="206" spans="4:15" s="327" customFormat="1" outlineLevel="2" x14ac:dyDescent="0.2">
      <c r="D206" s="660" t="str">
        <f>Plac_Start_Facs_BA!C14</f>
        <v>Lusaka</v>
      </c>
      <c r="J206" s="13">
        <f t="shared" si="16"/>
        <v>1</v>
      </c>
      <c r="K206" s="13">
        <f t="shared" si="16"/>
        <v>1</v>
      </c>
      <c r="L206" s="13">
        <f t="shared" si="16"/>
        <v>1</v>
      </c>
      <c r="M206" s="13">
        <f t="shared" si="16"/>
        <v>1</v>
      </c>
      <c r="N206" s="13">
        <f t="shared" si="16"/>
        <v>1</v>
      </c>
      <c r="O206" s="13">
        <f t="shared" si="16"/>
        <v>1</v>
      </c>
    </row>
    <row r="207" spans="4:15" s="327" customFormat="1" outlineLevel="2" x14ac:dyDescent="0.2">
      <c r="D207" s="660" t="str">
        <f>Plac_Start_Facs_BA!C15</f>
        <v>Muchinga</v>
      </c>
      <c r="J207" s="13">
        <f t="shared" si="16"/>
        <v>0</v>
      </c>
      <c r="K207" s="13">
        <f t="shared" si="16"/>
        <v>0</v>
      </c>
      <c r="L207" s="13">
        <f t="shared" si="16"/>
        <v>0</v>
      </c>
      <c r="M207" s="13">
        <f t="shared" si="16"/>
        <v>0</v>
      </c>
      <c r="N207" s="13">
        <f t="shared" si="16"/>
        <v>0</v>
      </c>
      <c r="O207" s="13">
        <f t="shared" si="16"/>
        <v>0</v>
      </c>
    </row>
    <row r="208" spans="4:15" s="327" customFormat="1" outlineLevel="2" x14ac:dyDescent="0.2">
      <c r="D208" s="660" t="str">
        <f>Plac_Start_Facs_BA!C16</f>
        <v>Northern</v>
      </c>
      <c r="J208" s="13">
        <f t="shared" si="16"/>
        <v>0</v>
      </c>
      <c r="K208" s="13">
        <f t="shared" si="16"/>
        <v>0</v>
      </c>
      <c r="L208" s="13">
        <f t="shared" si="16"/>
        <v>0</v>
      </c>
      <c r="M208" s="13">
        <f t="shared" si="16"/>
        <v>0</v>
      </c>
      <c r="N208" s="13">
        <f t="shared" si="16"/>
        <v>0</v>
      </c>
      <c r="O208" s="13">
        <f t="shared" si="16"/>
        <v>0</v>
      </c>
    </row>
    <row r="209" spans="3:15" s="327" customFormat="1" outlineLevel="2" x14ac:dyDescent="0.2">
      <c r="D209" s="660" t="str">
        <f>Plac_Start_Facs_BA!C17</f>
        <v>North-Western</v>
      </c>
      <c r="J209" s="13">
        <f t="shared" si="16"/>
        <v>0</v>
      </c>
      <c r="K209" s="13">
        <f t="shared" si="16"/>
        <v>0</v>
      </c>
      <c r="L209" s="13">
        <f t="shared" si="16"/>
        <v>0</v>
      </c>
      <c r="M209" s="13">
        <f t="shared" si="16"/>
        <v>0</v>
      </c>
      <c r="N209" s="13">
        <f t="shared" si="16"/>
        <v>0</v>
      </c>
      <c r="O209" s="13">
        <f t="shared" si="16"/>
        <v>0</v>
      </c>
    </row>
    <row r="210" spans="3:15" s="327" customFormat="1" outlineLevel="2" x14ac:dyDescent="0.2">
      <c r="D210" s="660" t="str">
        <f>Plac_Start_Facs_BA!C18</f>
        <v>Southern</v>
      </c>
      <c r="J210" s="13">
        <f t="shared" si="16"/>
        <v>0</v>
      </c>
      <c r="K210" s="13">
        <f t="shared" si="16"/>
        <v>0</v>
      </c>
      <c r="L210" s="13">
        <f t="shared" si="16"/>
        <v>0</v>
      </c>
      <c r="M210" s="13">
        <f t="shared" si="16"/>
        <v>0</v>
      </c>
      <c r="N210" s="13">
        <f t="shared" si="16"/>
        <v>0</v>
      </c>
      <c r="O210" s="13">
        <f t="shared" si="16"/>
        <v>0</v>
      </c>
    </row>
    <row r="211" spans="3:15" s="327" customFormat="1" outlineLevel="2" x14ac:dyDescent="0.2">
      <c r="D211" s="660" t="str">
        <f>Plac_Start_Facs_BA!C19</f>
        <v>Western</v>
      </c>
      <c r="J211" s="13">
        <f t="shared" si="16"/>
        <v>0</v>
      </c>
      <c r="K211" s="13">
        <f t="shared" si="16"/>
        <v>0</v>
      </c>
      <c r="L211" s="13">
        <f t="shared" si="16"/>
        <v>0</v>
      </c>
      <c r="M211" s="13">
        <f t="shared" si="16"/>
        <v>0</v>
      </c>
      <c r="N211" s="13">
        <f t="shared" si="16"/>
        <v>0</v>
      </c>
      <c r="O211" s="13">
        <f t="shared" si="16"/>
        <v>0</v>
      </c>
    </row>
    <row r="212" spans="3:15" s="327" customFormat="1" x14ac:dyDescent="0.2"/>
    <row r="213" spans="3:15" s="327" customFormat="1" ht="15.75" x14ac:dyDescent="0.2">
      <c r="C213" s="330" t="s">
        <v>102</v>
      </c>
    </row>
    <row r="214" spans="3:15" s="327" customFormat="1" x14ac:dyDescent="0.2"/>
    <row r="215" spans="3:15" s="327" customFormat="1" ht="15" outlineLevel="2" x14ac:dyDescent="0.2">
      <c r="D215" s="658" t="s">
        <v>103</v>
      </c>
    </row>
    <row r="216" spans="3:15" s="327" customFormat="1" outlineLevel="2" x14ac:dyDescent="0.2">
      <c r="D216" s="660" t="str">
        <f>Diag_Ann_TA!D217</f>
        <v>Central</v>
      </c>
      <c r="J216" s="8">
        <f>ROUND(J19*Diag_BA!$L$27+J36*Diag_BA!$L$28+J53*Diag_BA!$L$29+J70*Diag_BA!$L$32+J87*Diag_BA!$L$33+J104*Diag_BA!$L$34+J121*Diag_BA!$L$35+J138*Diag_BA!$L$36+J155*Diag_BA!$L$37+J172*Diag_BA!$L$38,0)</f>
        <v>0</v>
      </c>
      <c r="K216" s="8">
        <f>ROUND(K19*Diag_BA!$L$27+K36*Diag_BA!$L$28+K53*Diag_BA!$L$29+K70*Diag_BA!$L$32+K87*Diag_BA!$L$33+K104*Diag_BA!$L$34+K121*Diag_BA!$L$35+K138*Diag_BA!$L$36+K155*Diag_BA!$L$37+K172*Diag_BA!$L$38,0)</f>
        <v>0</v>
      </c>
      <c r="L216" s="8">
        <f>ROUND(L19*Diag_BA!$L$27+L36*Diag_BA!$L$28+L53*Diag_BA!$L$29+L70*Diag_BA!$L$32+L87*Diag_BA!$L$33+L104*Diag_BA!$L$34+L121*Diag_BA!$L$35+L138*Diag_BA!$L$36+L155*Diag_BA!$L$37+L172*Diag_BA!$L$38,0)</f>
        <v>0</v>
      </c>
      <c r="M216" s="8">
        <f>ROUND(M19*Diag_BA!$L$27+M36*Diag_BA!$L$28+M53*Diag_BA!$L$29+M70*Diag_BA!$L$32+M87*Diag_BA!$L$33+M104*Diag_BA!$L$34+M121*Diag_BA!$L$35+M138*Diag_BA!$L$36+M155*Diag_BA!$L$37+M172*Diag_BA!$L$38,0)</f>
        <v>0</v>
      </c>
      <c r="N216" s="8">
        <f>ROUND(N19*Diag_BA!$L$27+N36*Diag_BA!$L$28+N53*Diag_BA!$L$29+N70*Diag_BA!$L$32+N87*Diag_BA!$L$33+N104*Diag_BA!$L$34+N121*Diag_BA!$L$35+N138*Diag_BA!$L$36+N155*Diag_BA!$L$37+N172*Diag_BA!$L$38,0)</f>
        <v>0</v>
      </c>
      <c r="O216" s="8">
        <f>ROUND(O19*Diag_BA!$L$27+O36*Diag_BA!$L$28+O53*Diag_BA!$L$29+O70*Diag_BA!$L$32+O87*Diag_BA!$L$33+O104*Diag_BA!$L$34+O121*Diag_BA!$L$35+O138*Diag_BA!$L$36+O155*Diag_BA!$L$37+O172*Diag_BA!$L$38,0)</f>
        <v>0</v>
      </c>
    </row>
    <row r="217" spans="3:15" s="327" customFormat="1" outlineLevel="2" x14ac:dyDescent="0.2">
      <c r="D217" s="660" t="str">
        <f>Diag_Ann_TA!D218</f>
        <v>Copperbelt</v>
      </c>
      <c r="J217" s="8">
        <f>ROUND(J20*Diag_BA!$L$27+J37*Diag_BA!$L$28+J54*Diag_BA!$L$29+J71*Diag_BA!$L$32+J88*Diag_BA!$L$33+J105*Diag_BA!$L$34+J122*Diag_BA!$L$35+J139*Diag_BA!$L$36+J156*Diag_BA!$L$37+J173*Diag_BA!$L$38,0)</f>
        <v>16674</v>
      </c>
      <c r="K217" s="8">
        <f>ROUND(K20*Diag_BA!$L$27+K37*Diag_BA!$L$28+K54*Diag_BA!$L$29+K71*Diag_BA!$L$32+K88*Diag_BA!$L$33+K105*Diag_BA!$L$34+K122*Diag_BA!$L$35+K139*Diag_BA!$L$36+K156*Diag_BA!$L$37+K173*Diag_BA!$L$38,0)</f>
        <v>16674</v>
      </c>
      <c r="L217" s="8">
        <f>ROUND(L20*Diag_BA!$L$27+L37*Diag_BA!$L$28+L54*Diag_BA!$L$29+L71*Diag_BA!$L$32+L88*Diag_BA!$L$33+L105*Diag_BA!$L$34+L122*Diag_BA!$L$35+L139*Diag_BA!$L$36+L156*Diag_BA!$L$37+L173*Diag_BA!$L$38,0)</f>
        <v>16674</v>
      </c>
      <c r="M217" s="8">
        <f>ROUND(M20*Diag_BA!$L$27+M37*Diag_BA!$L$28+M54*Diag_BA!$L$29+M71*Diag_BA!$L$32+M88*Diag_BA!$L$33+M105*Diag_BA!$L$34+M122*Diag_BA!$L$35+M139*Diag_BA!$L$36+M156*Diag_BA!$L$37+M173*Diag_BA!$L$38,0)</f>
        <v>16674</v>
      </c>
      <c r="N217" s="8">
        <f>ROUND(N20*Diag_BA!$L$27+N37*Diag_BA!$L$28+N54*Diag_BA!$L$29+N71*Diag_BA!$L$32+N88*Diag_BA!$L$33+N105*Diag_BA!$L$34+N122*Diag_BA!$L$35+N139*Diag_BA!$L$36+N156*Diag_BA!$L$37+N173*Diag_BA!$L$38,0)</f>
        <v>16674</v>
      </c>
      <c r="O217" s="8">
        <f>ROUND(O20*Diag_BA!$L$27+O37*Diag_BA!$L$28+O54*Diag_BA!$L$29+O71*Diag_BA!$L$32+O88*Diag_BA!$L$33+O105*Diag_BA!$L$34+O122*Diag_BA!$L$35+O139*Diag_BA!$L$36+O156*Diag_BA!$L$37+O173*Diag_BA!$L$38,0)</f>
        <v>16674</v>
      </c>
    </row>
    <row r="218" spans="3:15" s="327" customFormat="1" outlineLevel="2" x14ac:dyDescent="0.2">
      <c r="D218" s="660" t="str">
        <f>Diag_Ann_TA!D219</f>
        <v>Eastern</v>
      </c>
      <c r="J218" s="8">
        <f>ROUND(J21*Diag_BA!$L$27+J38*Diag_BA!$L$28+J55*Diag_BA!$L$29+J72*Diag_BA!$L$32+J89*Diag_BA!$L$33+J106*Diag_BA!$L$34+J123*Diag_BA!$L$35+J140*Diag_BA!$L$36+J157*Diag_BA!$L$37+J174*Diag_BA!$L$38,0)</f>
        <v>0</v>
      </c>
      <c r="K218" s="8">
        <f>ROUND(K21*Diag_BA!$L$27+K38*Diag_BA!$L$28+K55*Diag_BA!$L$29+K72*Diag_BA!$L$32+K89*Diag_BA!$L$33+K106*Diag_BA!$L$34+K123*Diag_BA!$L$35+K140*Diag_BA!$L$36+K157*Diag_BA!$L$37+K174*Diag_BA!$L$38,0)</f>
        <v>0</v>
      </c>
      <c r="L218" s="8">
        <f>ROUND(L21*Diag_BA!$L$27+L38*Diag_BA!$L$28+L55*Diag_BA!$L$29+L72*Diag_BA!$L$32+L89*Diag_BA!$L$33+L106*Diag_BA!$L$34+L123*Diag_BA!$L$35+L140*Diag_BA!$L$36+L157*Diag_BA!$L$37+L174*Diag_BA!$L$38,0)</f>
        <v>0</v>
      </c>
      <c r="M218" s="8">
        <f>ROUND(M21*Diag_BA!$L$27+M38*Diag_BA!$L$28+M55*Diag_BA!$L$29+M72*Diag_BA!$L$32+M89*Diag_BA!$L$33+M106*Diag_BA!$L$34+M123*Diag_BA!$L$35+M140*Diag_BA!$L$36+M157*Diag_BA!$L$37+M174*Diag_BA!$L$38,0)</f>
        <v>0</v>
      </c>
      <c r="N218" s="8">
        <f>ROUND(N21*Diag_BA!$L$27+N38*Diag_BA!$L$28+N55*Diag_BA!$L$29+N72*Diag_BA!$L$32+N89*Diag_BA!$L$33+N106*Diag_BA!$L$34+N123*Diag_BA!$L$35+N140*Diag_BA!$L$36+N157*Diag_BA!$L$37+N174*Diag_BA!$L$38,0)</f>
        <v>0</v>
      </c>
      <c r="O218" s="8">
        <f>ROUND(O21*Diag_BA!$L$27+O38*Diag_BA!$L$28+O55*Diag_BA!$L$29+O72*Diag_BA!$L$32+O89*Diag_BA!$L$33+O106*Diag_BA!$L$34+O123*Diag_BA!$L$35+O140*Diag_BA!$L$36+O157*Diag_BA!$L$37+O174*Diag_BA!$L$38,0)</f>
        <v>0</v>
      </c>
    </row>
    <row r="219" spans="3:15" s="327" customFormat="1" outlineLevel="2" x14ac:dyDescent="0.2">
      <c r="D219" s="660" t="str">
        <f>Diag_Ann_TA!D220</f>
        <v>Luapula</v>
      </c>
      <c r="J219" s="8">
        <f>ROUND(J22*Diag_BA!$L$27+J39*Diag_BA!$L$28+J56*Diag_BA!$L$29+J73*Diag_BA!$L$32+J90*Diag_BA!$L$33+J107*Diag_BA!$L$34+J124*Diag_BA!$L$35+J141*Diag_BA!$L$36+J158*Diag_BA!$L$37+J175*Diag_BA!$L$38,0)</f>
        <v>0</v>
      </c>
      <c r="K219" s="8">
        <f>ROUND(K22*Diag_BA!$L$27+K39*Diag_BA!$L$28+K56*Diag_BA!$L$29+K73*Diag_BA!$L$32+K90*Diag_BA!$L$33+K107*Diag_BA!$L$34+K124*Diag_BA!$L$35+K141*Diag_BA!$L$36+K158*Diag_BA!$L$37+K175*Diag_BA!$L$38,0)</f>
        <v>0</v>
      </c>
      <c r="L219" s="8">
        <f>ROUND(L22*Diag_BA!$L$27+L39*Diag_BA!$L$28+L56*Diag_BA!$L$29+L73*Diag_BA!$L$32+L90*Diag_BA!$L$33+L107*Diag_BA!$L$34+L124*Diag_BA!$L$35+L141*Diag_BA!$L$36+L158*Diag_BA!$L$37+L175*Diag_BA!$L$38,0)</f>
        <v>0</v>
      </c>
      <c r="M219" s="8">
        <f>ROUND(M22*Diag_BA!$L$27+M39*Diag_BA!$L$28+M56*Diag_BA!$L$29+M73*Diag_BA!$L$32+M90*Diag_BA!$L$33+M107*Diag_BA!$L$34+M124*Diag_BA!$L$35+M141*Diag_BA!$L$36+M158*Diag_BA!$L$37+M175*Diag_BA!$L$38,0)</f>
        <v>0</v>
      </c>
      <c r="N219" s="8">
        <f>ROUND(N22*Diag_BA!$L$27+N39*Diag_BA!$L$28+N56*Diag_BA!$L$29+N73*Diag_BA!$L$32+N90*Diag_BA!$L$33+N107*Diag_BA!$L$34+N124*Diag_BA!$L$35+N141*Diag_BA!$L$36+N158*Diag_BA!$L$37+N175*Diag_BA!$L$38,0)</f>
        <v>0</v>
      </c>
      <c r="O219" s="8">
        <f>ROUND(O22*Diag_BA!$L$27+O39*Diag_BA!$L$28+O56*Diag_BA!$L$29+O73*Diag_BA!$L$32+O90*Diag_BA!$L$33+O107*Diag_BA!$L$34+O124*Diag_BA!$L$35+O141*Diag_BA!$L$36+O158*Diag_BA!$L$37+O175*Diag_BA!$L$38,0)</f>
        <v>0</v>
      </c>
    </row>
    <row r="220" spans="3:15" s="327" customFormat="1" outlineLevel="2" x14ac:dyDescent="0.2">
      <c r="D220" s="660" t="str">
        <f>Diag_Ann_TA!D221</f>
        <v>Lusaka</v>
      </c>
      <c r="J220" s="8">
        <f>ROUND(J23*Diag_BA!$L$27+J40*Diag_BA!$L$28+J57*Diag_BA!$L$29+J74*Diag_BA!$L$32+J91*Diag_BA!$L$33+J108*Diag_BA!$L$34+J125*Diag_BA!$L$35+J142*Diag_BA!$L$36+J159*Diag_BA!$L$37+J176*Diag_BA!$L$38,0)</f>
        <v>5558</v>
      </c>
      <c r="K220" s="8">
        <f>ROUND(K23*Diag_BA!$L$27+K40*Diag_BA!$L$28+K57*Diag_BA!$L$29+K74*Diag_BA!$L$32+K91*Diag_BA!$L$33+K108*Diag_BA!$L$34+K125*Diag_BA!$L$35+K142*Diag_BA!$L$36+K159*Diag_BA!$L$37+K176*Diag_BA!$L$38,0)</f>
        <v>5558</v>
      </c>
      <c r="L220" s="8">
        <f>ROUND(L23*Diag_BA!$L$27+L40*Diag_BA!$L$28+L57*Diag_BA!$L$29+L74*Diag_BA!$L$32+L91*Diag_BA!$L$33+L108*Diag_BA!$L$34+L125*Diag_BA!$L$35+L142*Diag_BA!$L$36+L159*Diag_BA!$L$37+L176*Diag_BA!$L$38,0)</f>
        <v>5558</v>
      </c>
      <c r="M220" s="8">
        <f>ROUND(M23*Diag_BA!$L$27+M40*Diag_BA!$L$28+M57*Diag_BA!$L$29+M74*Diag_BA!$L$32+M91*Diag_BA!$L$33+M108*Diag_BA!$L$34+M125*Diag_BA!$L$35+M142*Diag_BA!$L$36+M159*Diag_BA!$L$37+M176*Diag_BA!$L$38,0)</f>
        <v>5558</v>
      </c>
      <c r="N220" s="8">
        <f>ROUND(N23*Diag_BA!$L$27+N40*Diag_BA!$L$28+N57*Diag_BA!$L$29+N74*Diag_BA!$L$32+N91*Diag_BA!$L$33+N108*Diag_BA!$L$34+N125*Diag_BA!$L$35+N142*Diag_BA!$L$36+N159*Diag_BA!$L$37+N176*Diag_BA!$L$38,0)</f>
        <v>5558</v>
      </c>
      <c r="O220" s="8">
        <f>ROUND(O23*Diag_BA!$L$27+O40*Diag_BA!$L$28+O57*Diag_BA!$L$29+O74*Diag_BA!$L$32+O91*Diag_BA!$L$33+O108*Diag_BA!$L$34+O125*Diag_BA!$L$35+O142*Diag_BA!$L$36+O159*Diag_BA!$L$37+O176*Diag_BA!$L$38,0)</f>
        <v>5558</v>
      </c>
    </row>
    <row r="221" spans="3:15" s="327" customFormat="1" outlineLevel="2" x14ac:dyDescent="0.2">
      <c r="D221" s="660" t="str">
        <f>Diag_Ann_TA!D222</f>
        <v>Muchinga</v>
      </c>
      <c r="J221" s="8">
        <f>ROUND(J24*Diag_BA!$L$27+J41*Diag_BA!$L$28+J58*Diag_BA!$L$29+J75*Diag_BA!$L$32+J92*Diag_BA!$L$33+J109*Diag_BA!$L$34+J126*Diag_BA!$L$35+J143*Diag_BA!$L$36+J160*Diag_BA!$L$37+J177*Diag_BA!$L$38,0)</f>
        <v>0</v>
      </c>
      <c r="K221" s="8">
        <f>ROUND(K24*Diag_BA!$L$27+K41*Diag_BA!$L$28+K58*Diag_BA!$L$29+K75*Diag_BA!$L$32+K92*Diag_BA!$L$33+K109*Diag_BA!$L$34+K126*Diag_BA!$L$35+K143*Diag_BA!$L$36+K160*Diag_BA!$L$37+K177*Diag_BA!$L$38,0)</f>
        <v>0</v>
      </c>
      <c r="L221" s="8">
        <f>ROUND(L24*Diag_BA!$L$27+L41*Diag_BA!$L$28+L58*Diag_BA!$L$29+L75*Diag_BA!$L$32+L92*Diag_BA!$L$33+L109*Diag_BA!$L$34+L126*Diag_BA!$L$35+L143*Diag_BA!$L$36+L160*Diag_BA!$L$37+L177*Diag_BA!$L$38,0)</f>
        <v>0</v>
      </c>
      <c r="M221" s="8">
        <f>ROUND(M24*Diag_BA!$L$27+M41*Diag_BA!$L$28+M58*Diag_BA!$L$29+M75*Diag_BA!$L$32+M92*Diag_BA!$L$33+M109*Diag_BA!$L$34+M126*Diag_BA!$L$35+M143*Diag_BA!$L$36+M160*Diag_BA!$L$37+M177*Diag_BA!$L$38,0)</f>
        <v>0</v>
      </c>
      <c r="N221" s="8">
        <f>ROUND(N24*Diag_BA!$L$27+N41*Diag_BA!$L$28+N58*Diag_BA!$L$29+N75*Diag_BA!$L$32+N92*Diag_BA!$L$33+N109*Diag_BA!$L$34+N126*Diag_BA!$L$35+N143*Diag_BA!$L$36+N160*Diag_BA!$L$37+N177*Diag_BA!$L$38,0)</f>
        <v>0</v>
      </c>
      <c r="O221" s="8">
        <f>ROUND(O24*Diag_BA!$L$27+O41*Diag_BA!$L$28+O58*Diag_BA!$L$29+O75*Diag_BA!$L$32+O92*Diag_BA!$L$33+O109*Diag_BA!$L$34+O126*Diag_BA!$L$35+O143*Diag_BA!$L$36+O160*Diag_BA!$L$37+O177*Diag_BA!$L$38,0)</f>
        <v>0</v>
      </c>
    </row>
    <row r="222" spans="3:15" s="327" customFormat="1" outlineLevel="2" x14ac:dyDescent="0.2">
      <c r="D222" s="660" t="str">
        <f>Diag_Ann_TA!D223</f>
        <v>Northern</v>
      </c>
      <c r="J222" s="8">
        <f>ROUND(J25*Diag_BA!$L$27+J42*Diag_BA!$L$28+J59*Diag_BA!$L$29+J76*Diag_BA!$L$32+J93*Diag_BA!$L$33+J110*Diag_BA!$L$34+J127*Diag_BA!$L$35+J144*Diag_BA!$L$36+J161*Diag_BA!$L$37+J178*Diag_BA!$L$38,0)</f>
        <v>0</v>
      </c>
      <c r="K222" s="8">
        <f>ROUND(K25*Diag_BA!$L$27+K42*Diag_BA!$L$28+K59*Diag_BA!$L$29+K76*Diag_BA!$L$32+K93*Diag_BA!$L$33+K110*Diag_BA!$L$34+K127*Diag_BA!$L$35+K144*Diag_BA!$L$36+K161*Diag_BA!$L$37+K178*Diag_BA!$L$38,0)</f>
        <v>0</v>
      </c>
      <c r="L222" s="8">
        <f>ROUND(L25*Diag_BA!$L$27+L42*Diag_BA!$L$28+L59*Diag_BA!$L$29+L76*Diag_BA!$L$32+L93*Diag_BA!$L$33+L110*Diag_BA!$L$34+L127*Diag_BA!$L$35+L144*Diag_BA!$L$36+L161*Diag_BA!$L$37+L178*Diag_BA!$L$38,0)</f>
        <v>0</v>
      </c>
      <c r="M222" s="8">
        <f>ROUND(M25*Diag_BA!$L$27+M42*Diag_BA!$L$28+M59*Diag_BA!$L$29+M76*Diag_BA!$L$32+M93*Diag_BA!$L$33+M110*Diag_BA!$L$34+M127*Diag_BA!$L$35+M144*Diag_BA!$L$36+M161*Diag_BA!$L$37+M178*Diag_BA!$L$38,0)</f>
        <v>0</v>
      </c>
      <c r="N222" s="8">
        <f>ROUND(N25*Diag_BA!$L$27+N42*Diag_BA!$L$28+N59*Diag_BA!$L$29+N76*Diag_BA!$L$32+N93*Diag_BA!$L$33+N110*Diag_BA!$L$34+N127*Diag_BA!$L$35+N144*Diag_BA!$L$36+N161*Diag_BA!$L$37+N178*Diag_BA!$L$38,0)</f>
        <v>0</v>
      </c>
      <c r="O222" s="8">
        <f>ROUND(O25*Diag_BA!$L$27+O42*Diag_BA!$L$28+O59*Diag_BA!$L$29+O76*Diag_BA!$L$32+O93*Diag_BA!$L$33+O110*Diag_BA!$L$34+O127*Diag_BA!$L$35+O144*Diag_BA!$L$36+O161*Diag_BA!$L$37+O178*Diag_BA!$L$38,0)</f>
        <v>0</v>
      </c>
    </row>
    <row r="223" spans="3:15" s="327" customFormat="1" outlineLevel="2" x14ac:dyDescent="0.2">
      <c r="D223" s="660" t="str">
        <f>Diag_Ann_TA!D224</f>
        <v>North-Western</v>
      </c>
      <c r="J223" s="8">
        <f>ROUND(J26*Diag_BA!$L$27+J43*Diag_BA!$L$28+J60*Diag_BA!$L$29+J77*Diag_BA!$L$32+J94*Diag_BA!$L$33+J111*Diag_BA!$L$34+J128*Diag_BA!$L$35+J145*Diag_BA!$L$36+J162*Diag_BA!$L$37+J179*Diag_BA!$L$38,0)</f>
        <v>0</v>
      </c>
      <c r="K223" s="8">
        <f>ROUND(K26*Diag_BA!$L$27+K43*Diag_BA!$L$28+K60*Diag_BA!$L$29+K77*Diag_BA!$L$32+K94*Diag_BA!$L$33+K111*Diag_BA!$L$34+K128*Diag_BA!$L$35+K145*Diag_BA!$L$36+K162*Diag_BA!$L$37+K179*Diag_BA!$L$38,0)</f>
        <v>0</v>
      </c>
      <c r="L223" s="8">
        <f>ROUND(L26*Diag_BA!$L$27+L43*Diag_BA!$L$28+L60*Diag_BA!$L$29+L77*Diag_BA!$L$32+L94*Diag_BA!$L$33+L111*Diag_BA!$L$34+L128*Diag_BA!$L$35+L145*Diag_BA!$L$36+L162*Diag_BA!$L$37+L179*Diag_BA!$L$38,0)</f>
        <v>0</v>
      </c>
      <c r="M223" s="8">
        <f>ROUND(M26*Diag_BA!$L$27+M43*Diag_BA!$L$28+M60*Diag_BA!$L$29+M77*Diag_BA!$L$32+M94*Diag_BA!$L$33+M111*Diag_BA!$L$34+M128*Diag_BA!$L$35+M145*Diag_BA!$L$36+M162*Diag_BA!$L$37+M179*Diag_BA!$L$38,0)</f>
        <v>0</v>
      </c>
      <c r="N223" s="8">
        <f>ROUND(N26*Diag_BA!$L$27+N43*Diag_BA!$L$28+N60*Diag_BA!$L$29+N77*Diag_BA!$L$32+N94*Diag_BA!$L$33+N111*Diag_BA!$L$34+N128*Diag_BA!$L$35+N145*Diag_BA!$L$36+N162*Diag_BA!$L$37+N179*Diag_BA!$L$38,0)</f>
        <v>0</v>
      </c>
      <c r="O223" s="8">
        <f>ROUND(O26*Diag_BA!$L$27+O43*Diag_BA!$L$28+O60*Diag_BA!$L$29+O77*Diag_BA!$L$32+O94*Diag_BA!$L$33+O111*Diag_BA!$L$34+O128*Diag_BA!$L$35+O145*Diag_BA!$L$36+O162*Diag_BA!$L$37+O179*Diag_BA!$L$38,0)</f>
        <v>0</v>
      </c>
    </row>
    <row r="224" spans="3:15" s="327" customFormat="1" outlineLevel="2" x14ac:dyDescent="0.2">
      <c r="D224" s="660" t="str">
        <f>Diag_Ann_TA!D225</f>
        <v>Southern</v>
      </c>
      <c r="J224" s="8">
        <f>ROUND(J27*Diag_BA!$L$27+J44*Diag_BA!$L$28+J61*Diag_BA!$L$29+J78*Diag_BA!$L$32+J95*Diag_BA!$L$33+J112*Diag_BA!$L$34+J129*Diag_BA!$L$35+J146*Diag_BA!$L$36+J163*Diag_BA!$L$37+J180*Diag_BA!$L$38,0)</f>
        <v>0</v>
      </c>
      <c r="K224" s="8">
        <f>ROUND(K27*Diag_BA!$L$27+K44*Diag_BA!$L$28+K61*Diag_BA!$L$29+K78*Diag_BA!$L$32+K95*Diag_BA!$L$33+K112*Diag_BA!$L$34+K129*Diag_BA!$L$35+K146*Diag_BA!$L$36+K163*Diag_BA!$L$37+K180*Diag_BA!$L$38,0)</f>
        <v>0</v>
      </c>
      <c r="L224" s="8">
        <f>ROUND(L27*Diag_BA!$L$27+L44*Diag_BA!$L$28+L61*Diag_BA!$L$29+L78*Diag_BA!$L$32+L95*Diag_BA!$L$33+L112*Diag_BA!$L$34+L129*Diag_BA!$L$35+L146*Diag_BA!$L$36+L163*Diag_BA!$L$37+L180*Diag_BA!$L$38,0)</f>
        <v>0</v>
      </c>
      <c r="M224" s="8">
        <f>ROUND(M27*Diag_BA!$L$27+M44*Diag_BA!$L$28+M61*Diag_BA!$L$29+M78*Diag_BA!$L$32+M95*Diag_BA!$L$33+M112*Diag_BA!$L$34+M129*Diag_BA!$L$35+M146*Diag_BA!$L$36+M163*Diag_BA!$L$37+M180*Diag_BA!$L$38,0)</f>
        <v>0</v>
      </c>
      <c r="N224" s="8">
        <f>ROUND(N27*Diag_BA!$L$27+N44*Diag_BA!$L$28+N61*Diag_BA!$L$29+N78*Diag_BA!$L$32+N95*Diag_BA!$L$33+N112*Diag_BA!$L$34+N129*Diag_BA!$L$35+N146*Diag_BA!$L$36+N163*Diag_BA!$L$37+N180*Diag_BA!$L$38,0)</f>
        <v>0</v>
      </c>
      <c r="O224" s="8">
        <f>ROUND(O27*Diag_BA!$L$27+O44*Diag_BA!$L$28+O61*Diag_BA!$L$29+O78*Diag_BA!$L$32+O95*Diag_BA!$L$33+O112*Diag_BA!$L$34+O129*Diag_BA!$L$35+O146*Diag_BA!$L$36+O163*Diag_BA!$L$37+O180*Diag_BA!$L$38,0)</f>
        <v>0</v>
      </c>
    </row>
    <row r="225" spans="4:15" s="327" customFormat="1" outlineLevel="2" x14ac:dyDescent="0.2">
      <c r="D225" s="660" t="str">
        <f>Diag_Ann_TA!D226</f>
        <v>Western</v>
      </c>
      <c r="J225" s="9">
        <f>ROUND(J28*Diag_BA!$L$27+J45*Diag_BA!$L$28+J62*Diag_BA!$L$29+J79*Diag_BA!$L$32+J96*Diag_BA!$L$33+J113*Diag_BA!$L$34+J130*Diag_BA!$L$35+J147*Diag_BA!$L$36+J164*Diag_BA!$L$37+J181*Diag_BA!$L$38,0)</f>
        <v>0</v>
      </c>
      <c r="K225" s="9">
        <f>ROUND(K28*Diag_BA!$L$27+K45*Diag_BA!$L$28+K62*Diag_BA!$L$29+K79*Diag_BA!$L$32+K96*Diag_BA!$L$33+K113*Diag_BA!$L$34+K130*Diag_BA!$L$35+K147*Diag_BA!$L$36+K164*Diag_BA!$L$37+K181*Diag_BA!$L$38,0)</f>
        <v>0</v>
      </c>
      <c r="L225" s="9">
        <f>ROUND(L28*Diag_BA!$L$27+L45*Diag_BA!$L$28+L62*Diag_BA!$L$29+L79*Diag_BA!$L$32+L96*Diag_BA!$L$33+L113*Diag_BA!$L$34+L130*Diag_BA!$L$35+L147*Diag_BA!$L$36+L164*Diag_BA!$L$37+L181*Diag_BA!$L$38,0)</f>
        <v>0</v>
      </c>
      <c r="M225" s="9">
        <f>ROUND(M28*Diag_BA!$L$27+M45*Diag_BA!$L$28+M62*Diag_BA!$L$29+M79*Diag_BA!$L$32+M96*Diag_BA!$L$33+M113*Diag_BA!$L$34+M130*Diag_BA!$L$35+M147*Diag_BA!$L$36+M164*Diag_BA!$L$37+M181*Diag_BA!$L$38,0)</f>
        <v>0</v>
      </c>
      <c r="N225" s="9">
        <f>ROUND(N28*Diag_BA!$L$27+N45*Diag_BA!$L$28+N62*Diag_BA!$L$29+N79*Diag_BA!$L$32+N96*Diag_BA!$L$33+N113*Diag_BA!$L$34+N130*Diag_BA!$L$35+N147*Diag_BA!$L$36+N164*Diag_BA!$L$37+N181*Diag_BA!$L$38,0)</f>
        <v>0</v>
      </c>
      <c r="O225" s="9">
        <f>ROUND(O28*Diag_BA!$L$27+O45*Diag_BA!$L$28+O62*Diag_BA!$L$29+O79*Diag_BA!$L$32+O96*Diag_BA!$L$33+O113*Diag_BA!$L$34+O130*Diag_BA!$L$35+O147*Diag_BA!$L$36+O164*Diag_BA!$L$37+O181*Diag_BA!$L$38,0)</f>
        <v>0</v>
      </c>
    </row>
    <row r="226" spans="4:15" s="327" customFormat="1" x14ac:dyDescent="0.2">
      <c r="D226" s="659" t="str">
        <f>"Total "&amp;D215</f>
        <v>Total Maximum Procedures</v>
      </c>
      <c r="J226" s="5">
        <f t="shared" ref="J226:O226" si="17">SUM(J216:J225)</f>
        <v>22232</v>
      </c>
      <c r="K226" s="5">
        <f t="shared" si="17"/>
        <v>22232</v>
      </c>
      <c r="L226" s="5">
        <f t="shared" si="17"/>
        <v>22232</v>
      </c>
      <c r="M226" s="5">
        <f t="shared" si="17"/>
        <v>22232</v>
      </c>
      <c r="N226" s="5">
        <f t="shared" si="17"/>
        <v>22232</v>
      </c>
      <c r="O226" s="5">
        <f t="shared" si="17"/>
        <v>22232</v>
      </c>
    </row>
    <row r="227" spans="4:15" s="327" customFormat="1" outlineLevel="2" x14ac:dyDescent="0.2"/>
    <row r="228" spans="4:15" s="327" customFormat="1" ht="15" outlineLevel="2" x14ac:dyDescent="0.2">
      <c r="D228" s="658" t="s">
        <v>383</v>
      </c>
    </row>
    <row r="229" spans="4:15" s="327" customFormat="1" outlineLevel="2" x14ac:dyDescent="0.2">
      <c r="D229" s="660" t="str">
        <f>Diag_Ann_TA!D217</f>
        <v>Central</v>
      </c>
      <c r="J229" s="8">
        <f ca="1">ROUND(Diag_Ann_TA!J217*Diag_BA!$J$12*(1-Diag_BA!$J$13),0)</f>
        <v>29</v>
      </c>
      <c r="K229" s="8">
        <f ca="1">ROUND(Diag_Ann_TA!K217*Diag_BA!$J$12*(1-Diag_BA!$J$13),0)</f>
        <v>29</v>
      </c>
      <c r="L229" s="8">
        <f ca="1">ROUND(Diag_Ann_TA!L217*Diag_BA!$J$12*(1-Diag_BA!$J$13),0)</f>
        <v>29</v>
      </c>
      <c r="M229" s="8">
        <f ca="1">ROUND(Diag_Ann_TA!M217*Diag_BA!$J$12*(1-Diag_BA!$J$13),0)</f>
        <v>29</v>
      </c>
      <c r="N229" s="8">
        <f ca="1">ROUND(Diag_Ann_TA!N217*Diag_BA!$J$12*(1-Diag_BA!$J$13),0)</f>
        <v>29</v>
      </c>
      <c r="O229" s="8">
        <f ca="1">ROUND(Diag_Ann_TA!O217*Diag_BA!$J$12*(1-Diag_BA!$J$13),0)</f>
        <v>29</v>
      </c>
    </row>
    <row r="230" spans="4:15" s="327" customFormat="1" outlineLevel="2" x14ac:dyDescent="0.2">
      <c r="D230" s="660" t="str">
        <f>Diag_Ann_TA!D218</f>
        <v>Copperbelt</v>
      </c>
      <c r="J230" s="8">
        <f ca="1">ROUND(Diag_Ann_TA!J218*Diag_BA!$J$12*(1-Diag_BA!$J$13),0)</f>
        <v>41</v>
      </c>
      <c r="K230" s="8">
        <f ca="1">ROUND(Diag_Ann_TA!K218*Diag_BA!$J$12*(1-Diag_BA!$J$13),0)</f>
        <v>41</v>
      </c>
      <c r="L230" s="8">
        <f ca="1">ROUND(Diag_Ann_TA!L218*Diag_BA!$J$12*(1-Diag_BA!$J$13),0)</f>
        <v>41</v>
      </c>
      <c r="M230" s="8">
        <f ca="1">ROUND(Diag_Ann_TA!M218*Diag_BA!$J$12*(1-Diag_BA!$J$13),0)</f>
        <v>41</v>
      </c>
      <c r="N230" s="8">
        <f ca="1">ROUND(Diag_Ann_TA!N218*Diag_BA!$J$12*(1-Diag_BA!$J$13),0)</f>
        <v>41</v>
      </c>
      <c r="O230" s="8">
        <f ca="1">ROUND(Diag_Ann_TA!O218*Diag_BA!$J$12*(1-Diag_BA!$J$13),0)</f>
        <v>41</v>
      </c>
    </row>
    <row r="231" spans="4:15" s="327" customFormat="1" outlineLevel="2" x14ac:dyDescent="0.2">
      <c r="D231" s="660" t="str">
        <f>Diag_Ann_TA!D219</f>
        <v>Eastern</v>
      </c>
      <c r="J231" s="8">
        <f ca="1">ROUND(Diag_Ann_TA!J219*Diag_BA!$J$12*(1-Diag_BA!$J$13),0)</f>
        <v>52</v>
      </c>
      <c r="K231" s="8">
        <f ca="1">ROUND(Diag_Ann_TA!K219*Diag_BA!$J$12*(1-Diag_BA!$J$13),0)</f>
        <v>52</v>
      </c>
      <c r="L231" s="8">
        <f ca="1">ROUND(Diag_Ann_TA!L219*Diag_BA!$J$12*(1-Diag_BA!$J$13),0)</f>
        <v>52</v>
      </c>
      <c r="M231" s="8">
        <f ca="1">ROUND(Diag_Ann_TA!M219*Diag_BA!$J$12*(1-Diag_BA!$J$13),0)</f>
        <v>52</v>
      </c>
      <c r="N231" s="8">
        <f ca="1">ROUND(Diag_Ann_TA!N219*Diag_BA!$J$12*(1-Diag_BA!$J$13),0)</f>
        <v>52</v>
      </c>
      <c r="O231" s="8">
        <f ca="1">ROUND(Diag_Ann_TA!O219*Diag_BA!$J$12*(1-Diag_BA!$J$13),0)</f>
        <v>52</v>
      </c>
    </row>
    <row r="232" spans="4:15" s="327" customFormat="1" outlineLevel="2" x14ac:dyDescent="0.2">
      <c r="D232" s="660" t="str">
        <f>Diag_Ann_TA!D220</f>
        <v>Luapula</v>
      </c>
      <c r="J232" s="8">
        <f ca="1">ROUND(Diag_Ann_TA!J220*Diag_BA!$J$12*(1-Diag_BA!$J$13),0)</f>
        <v>41</v>
      </c>
      <c r="K232" s="8">
        <f ca="1">ROUND(Diag_Ann_TA!K220*Diag_BA!$J$12*(1-Diag_BA!$J$13),0)</f>
        <v>41</v>
      </c>
      <c r="L232" s="8">
        <f ca="1">ROUND(Diag_Ann_TA!L220*Diag_BA!$J$12*(1-Diag_BA!$J$13),0)</f>
        <v>41</v>
      </c>
      <c r="M232" s="8">
        <f ca="1">ROUND(Diag_Ann_TA!M220*Diag_BA!$J$12*(1-Diag_BA!$J$13),0)</f>
        <v>41</v>
      </c>
      <c r="N232" s="8">
        <f ca="1">ROUND(Diag_Ann_TA!N220*Diag_BA!$J$12*(1-Diag_BA!$J$13),0)</f>
        <v>41</v>
      </c>
      <c r="O232" s="8">
        <f ca="1">ROUND(Diag_Ann_TA!O220*Diag_BA!$J$12*(1-Diag_BA!$J$13),0)</f>
        <v>41</v>
      </c>
    </row>
    <row r="233" spans="4:15" s="327" customFormat="1" outlineLevel="2" x14ac:dyDescent="0.2">
      <c r="D233" s="660" t="str">
        <f>Diag_Ann_TA!D221</f>
        <v>Lusaka</v>
      </c>
      <c r="J233" s="8">
        <f ca="1">ROUND(Diag_Ann_TA!J221*Diag_BA!$J$12*(1-Diag_BA!$J$13),0)</f>
        <v>146</v>
      </c>
      <c r="K233" s="8">
        <f ca="1">ROUND(Diag_Ann_TA!K221*Diag_BA!$J$12*(1-Diag_BA!$J$13),0)</f>
        <v>146</v>
      </c>
      <c r="L233" s="8">
        <f ca="1">ROUND(Diag_Ann_TA!L221*Diag_BA!$J$12*(1-Diag_BA!$J$13),0)</f>
        <v>146</v>
      </c>
      <c r="M233" s="8">
        <f ca="1">ROUND(Diag_Ann_TA!M221*Diag_BA!$J$12*(1-Diag_BA!$J$13),0)</f>
        <v>146</v>
      </c>
      <c r="N233" s="8">
        <f ca="1">ROUND(Diag_Ann_TA!N221*Diag_BA!$J$12*(1-Diag_BA!$J$13),0)</f>
        <v>146</v>
      </c>
      <c r="O233" s="8">
        <f ca="1">ROUND(Diag_Ann_TA!O221*Diag_BA!$J$12*(1-Diag_BA!$J$13),0)</f>
        <v>146</v>
      </c>
    </row>
    <row r="234" spans="4:15" s="327" customFormat="1" outlineLevel="2" x14ac:dyDescent="0.2">
      <c r="D234" s="660" t="str">
        <f>Diag_Ann_TA!D222</f>
        <v>Muchinga</v>
      </c>
      <c r="J234" s="8">
        <f ca="1">ROUND(Diag_Ann_TA!J222*Diag_BA!$J$12*(1-Diag_BA!$J$13),0)</f>
        <v>3</v>
      </c>
      <c r="K234" s="8">
        <f ca="1">ROUND(Diag_Ann_TA!K222*Diag_BA!$J$12*(1-Diag_BA!$J$13),0)</f>
        <v>3</v>
      </c>
      <c r="L234" s="8">
        <f ca="1">ROUND(Diag_Ann_TA!L222*Diag_BA!$J$12*(1-Diag_BA!$J$13),0)</f>
        <v>3</v>
      </c>
      <c r="M234" s="8">
        <f ca="1">ROUND(Diag_Ann_TA!M222*Diag_BA!$J$12*(1-Diag_BA!$J$13),0)</f>
        <v>3</v>
      </c>
      <c r="N234" s="8">
        <f ca="1">ROUND(Diag_Ann_TA!N222*Diag_BA!$J$12*(1-Diag_BA!$J$13),0)</f>
        <v>3</v>
      </c>
      <c r="O234" s="8">
        <f ca="1">ROUND(Diag_Ann_TA!O222*Diag_BA!$J$12*(1-Diag_BA!$J$13),0)</f>
        <v>3</v>
      </c>
    </row>
    <row r="235" spans="4:15" s="327" customFormat="1" outlineLevel="2" x14ac:dyDescent="0.2">
      <c r="D235" s="660" t="str">
        <f>Diag_Ann_TA!D223</f>
        <v>Northern</v>
      </c>
      <c r="J235" s="8">
        <f ca="1">ROUND(Diag_Ann_TA!J223*Diag_BA!$J$12*(1-Diag_BA!$J$13),0)</f>
        <v>14</v>
      </c>
      <c r="K235" s="8">
        <f ca="1">ROUND(Diag_Ann_TA!K223*Diag_BA!$J$12*(1-Diag_BA!$J$13),0)</f>
        <v>14</v>
      </c>
      <c r="L235" s="8">
        <f ca="1">ROUND(Diag_Ann_TA!L223*Diag_BA!$J$12*(1-Diag_BA!$J$13),0)</f>
        <v>14</v>
      </c>
      <c r="M235" s="8">
        <f ca="1">ROUND(Diag_Ann_TA!M223*Diag_BA!$J$12*(1-Diag_BA!$J$13),0)</f>
        <v>14</v>
      </c>
      <c r="N235" s="8">
        <f ca="1">ROUND(Diag_Ann_TA!N223*Diag_BA!$J$12*(1-Diag_BA!$J$13),0)</f>
        <v>14</v>
      </c>
      <c r="O235" s="8">
        <f ca="1">ROUND(Diag_Ann_TA!O223*Diag_BA!$J$12*(1-Diag_BA!$J$13),0)</f>
        <v>14</v>
      </c>
    </row>
    <row r="236" spans="4:15" s="327" customFormat="1" outlineLevel="2" x14ac:dyDescent="0.2">
      <c r="D236" s="660" t="str">
        <f>Diag_Ann_TA!D224</f>
        <v>North-Western</v>
      </c>
      <c r="J236" s="8">
        <f ca="1">ROUND(Diag_Ann_TA!J224*Diag_BA!$J$12*(1-Diag_BA!$J$13),0)</f>
        <v>17</v>
      </c>
      <c r="K236" s="8">
        <f ca="1">ROUND(Diag_Ann_TA!K224*Diag_BA!$J$12*(1-Diag_BA!$J$13),0)</f>
        <v>17</v>
      </c>
      <c r="L236" s="8">
        <f ca="1">ROUND(Diag_Ann_TA!L224*Diag_BA!$J$12*(1-Diag_BA!$J$13),0)</f>
        <v>17</v>
      </c>
      <c r="M236" s="8">
        <f ca="1">ROUND(Diag_Ann_TA!M224*Diag_BA!$J$12*(1-Diag_BA!$J$13),0)</f>
        <v>17</v>
      </c>
      <c r="N236" s="8">
        <f ca="1">ROUND(Diag_Ann_TA!N224*Diag_BA!$J$12*(1-Diag_BA!$J$13),0)</f>
        <v>17</v>
      </c>
      <c r="O236" s="8">
        <f ca="1">ROUND(Diag_Ann_TA!O224*Diag_BA!$J$12*(1-Diag_BA!$J$13),0)</f>
        <v>17</v>
      </c>
    </row>
    <row r="237" spans="4:15" s="327" customFormat="1" outlineLevel="2" x14ac:dyDescent="0.2">
      <c r="D237" s="660" t="str">
        <f>Diag_Ann_TA!D225</f>
        <v>Southern</v>
      </c>
      <c r="J237" s="8">
        <f ca="1">ROUND(Diag_Ann_TA!J225*Diag_BA!$J$12*(1-Diag_BA!$J$13),0)</f>
        <v>41</v>
      </c>
      <c r="K237" s="8">
        <f ca="1">ROUND(Diag_Ann_TA!K225*Diag_BA!$J$12*(1-Diag_BA!$J$13),0)</f>
        <v>41</v>
      </c>
      <c r="L237" s="8">
        <f ca="1">ROUND(Diag_Ann_TA!L225*Diag_BA!$J$12*(1-Diag_BA!$J$13),0)</f>
        <v>41</v>
      </c>
      <c r="M237" s="8">
        <f ca="1">ROUND(Diag_Ann_TA!M225*Diag_BA!$J$12*(1-Diag_BA!$J$13),0)</f>
        <v>41</v>
      </c>
      <c r="N237" s="8">
        <f ca="1">ROUND(Diag_Ann_TA!N225*Diag_BA!$J$12*(1-Diag_BA!$J$13),0)</f>
        <v>41</v>
      </c>
      <c r="O237" s="8">
        <f ca="1">ROUND(Diag_Ann_TA!O225*Diag_BA!$J$12*(1-Diag_BA!$J$13),0)</f>
        <v>41</v>
      </c>
    </row>
    <row r="238" spans="4:15" s="327" customFormat="1" outlineLevel="2" x14ac:dyDescent="0.2">
      <c r="D238" s="660" t="str">
        <f>Diag_Ann_TA!D226</f>
        <v>Western</v>
      </c>
      <c r="J238" s="9">
        <f ca="1">ROUND(Diag_Ann_TA!J226*Diag_BA!$J$12*(1-Diag_BA!$J$13),0)</f>
        <v>41</v>
      </c>
      <c r="K238" s="9">
        <f ca="1">ROUND(Diag_Ann_TA!K226*Diag_BA!$J$12*(1-Diag_BA!$J$13),0)</f>
        <v>41</v>
      </c>
      <c r="L238" s="9">
        <f ca="1">ROUND(Diag_Ann_TA!L226*Diag_BA!$J$12*(1-Diag_BA!$J$13),0)</f>
        <v>41</v>
      </c>
      <c r="M238" s="9">
        <f ca="1">ROUND(Diag_Ann_TA!M226*Diag_BA!$J$12*(1-Diag_BA!$J$13),0)</f>
        <v>41</v>
      </c>
      <c r="N238" s="9">
        <f ca="1">ROUND(Diag_Ann_TA!N226*Diag_BA!$J$12*(1-Diag_BA!$J$13),0)</f>
        <v>41</v>
      </c>
      <c r="O238" s="9">
        <f ca="1">ROUND(Diag_Ann_TA!O226*Diag_BA!$J$12*(1-Diag_BA!$J$13),0)</f>
        <v>41</v>
      </c>
    </row>
    <row r="239" spans="4:15" s="327" customFormat="1" outlineLevel="2" x14ac:dyDescent="0.2">
      <c r="D239" s="659" t="str">
        <f>"Total "&amp;D228</f>
        <v>Total Population Seeking Service (New)</v>
      </c>
      <c r="J239" s="5">
        <f t="shared" ref="J239:O239" ca="1" si="18">SUM(J229:J238)</f>
        <v>425</v>
      </c>
      <c r="K239" s="5">
        <f t="shared" ca="1" si="18"/>
        <v>425</v>
      </c>
      <c r="L239" s="5">
        <f t="shared" ca="1" si="18"/>
        <v>425</v>
      </c>
      <c r="M239" s="5">
        <f t="shared" ca="1" si="18"/>
        <v>425</v>
      </c>
      <c r="N239" s="5">
        <f t="shared" ca="1" si="18"/>
        <v>425</v>
      </c>
      <c r="O239" s="5">
        <f t="shared" ca="1" si="18"/>
        <v>425</v>
      </c>
    </row>
    <row r="240" spans="4:15" s="327" customFormat="1" outlineLevel="2" x14ac:dyDescent="0.2"/>
    <row r="241" spans="4:15" s="327" customFormat="1" ht="15" outlineLevel="2" x14ac:dyDescent="0.2">
      <c r="D241" s="658" t="s">
        <v>390</v>
      </c>
    </row>
    <row r="242" spans="4:15" s="327" customFormat="1" outlineLevel="2" x14ac:dyDescent="0.2">
      <c r="D242" s="660" t="str">
        <f>Diag_Ann_TA!D217</f>
        <v>Central</v>
      </c>
      <c r="J242" s="8">
        <f t="shared" ref="J242:O251" ca="1" si="19">I242+J229-I268</f>
        <v>29</v>
      </c>
      <c r="K242" s="8">
        <f t="shared" ca="1" si="19"/>
        <v>29</v>
      </c>
      <c r="L242" s="8">
        <f t="shared" ca="1" si="19"/>
        <v>29</v>
      </c>
      <c r="M242" s="8">
        <f t="shared" ca="1" si="19"/>
        <v>29</v>
      </c>
      <c r="N242" s="8">
        <f t="shared" ca="1" si="19"/>
        <v>29</v>
      </c>
      <c r="O242" s="8">
        <f t="shared" ca="1" si="19"/>
        <v>29</v>
      </c>
    </row>
    <row r="243" spans="4:15" s="327" customFormat="1" outlineLevel="2" x14ac:dyDescent="0.2">
      <c r="D243" s="660" t="str">
        <f>Diag_Ann_TA!D218</f>
        <v>Copperbelt</v>
      </c>
      <c r="J243" s="8">
        <f t="shared" ca="1" si="19"/>
        <v>41</v>
      </c>
      <c r="K243" s="8">
        <f t="shared" ca="1" si="19"/>
        <v>41</v>
      </c>
      <c r="L243" s="8">
        <f t="shared" ca="1" si="19"/>
        <v>41</v>
      </c>
      <c r="M243" s="8">
        <f t="shared" ca="1" si="19"/>
        <v>41</v>
      </c>
      <c r="N243" s="8">
        <f t="shared" ca="1" si="19"/>
        <v>41</v>
      </c>
      <c r="O243" s="8">
        <f t="shared" ca="1" si="19"/>
        <v>41</v>
      </c>
    </row>
    <row r="244" spans="4:15" s="327" customFormat="1" outlineLevel="2" x14ac:dyDescent="0.2">
      <c r="D244" s="660" t="str">
        <f>Diag_Ann_TA!D219</f>
        <v>Eastern</v>
      </c>
      <c r="J244" s="8">
        <f t="shared" ca="1" si="19"/>
        <v>52</v>
      </c>
      <c r="K244" s="8">
        <f t="shared" ca="1" si="19"/>
        <v>52</v>
      </c>
      <c r="L244" s="8">
        <f t="shared" ca="1" si="19"/>
        <v>52</v>
      </c>
      <c r="M244" s="8">
        <f t="shared" ca="1" si="19"/>
        <v>52</v>
      </c>
      <c r="N244" s="8">
        <f t="shared" ca="1" si="19"/>
        <v>52</v>
      </c>
      <c r="O244" s="8">
        <f t="shared" ca="1" si="19"/>
        <v>52</v>
      </c>
    </row>
    <row r="245" spans="4:15" s="327" customFormat="1" outlineLevel="2" x14ac:dyDescent="0.2">
      <c r="D245" s="660" t="str">
        <f>Diag_Ann_TA!D220</f>
        <v>Luapula</v>
      </c>
      <c r="J245" s="8">
        <f t="shared" ca="1" si="19"/>
        <v>41</v>
      </c>
      <c r="K245" s="8">
        <f t="shared" ca="1" si="19"/>
        <v>41</v>
      </c>
      <c r="L245" s="8">
        <f t="shared" ca="1" si="19"/>
        <v>41</v>
      </c>
      <c r="M245" s="8">
        <f t="shared" ca="1" si="19"/>
        <v>41</v>
      </c>
      <c r="N245" s="8">
        <f t="shared" ca="1" si="19"/>
        <v>41</v>
      </c>
      <c r="O245" s="8">
        <f t="shared" ca="1" si="19"/>
        <v>41</v>
      </c>
    </row>
    <row r="246" spans="4:15" s="327" customFormat="1" outlineLevel="2" x14ac:dyDescent="0.2">
      <c r="D246" s="660" t="str">
        <f>Diag_Ann_TA!D221</f>
        <v>Lusaka</v>
      </c>
      <c r="J246" s="8">
        <f t="shared" ca="1" si="19"/>
        <v>146</v>
      </c>
      <c r="K246" s="8">
        <f t="shared" ca="1" si="19"/>
        <v>146</v>
      </c>
      <c r="L246" s="8">
        <f t="shared" ca="1" si="19"/>
        <v>146</v>
      </c>
      <c r="M246" s="8">
        <f t="shared" ca="1" si="19"/>
        <v>146</v>
      </c>
      <c r="N246" s="8">
        <f t="shared" ca="1" si="19"/>
        <v>146</v>
      </c>
      <c r="O246" s="8">
        <f t="shared" ca="1" si="19"/>
        <v>146</v>
      </c>
    </row>
    <row r="247" spans="4:15" s="327" customFormat="1" outlineLevel="2" x14ac:dyDescent="0.2">
      <c r="D247" s="660" t="str">
        <f>Diag_Ann_TA!D222</f>
        <v>Muchinga</v>
      </c>
      <c r="J247" s="8">
        <f t="shared" ca="1" si="19"/>
        <v>3</v>
      </c>
      <c r="K247" s="8">
        <f t="shared" ca="1" si="19"/>
        <v>3</v>
      </c>
      <c r="L247" s="8">
        <f t="shared" ca="1" si="19"/>
        <v>3</v>
      </c>
      <c r="M247" s="8">
        <f t="shared" ca="1" si="19"/>
        <v>3</v>
      </c>
      <c r="N247" s="8">
        <f t="shared" ca="1" si="19"/>
        <v>3</v>
      </c>
      <c r="O247" s="8">
        <f t="shared" ca="1" si="19"/>
        <v>3</v>
      </c>
    </row>
    <row r="248" spans="4:15" s="327" customFormat="1" outlineLevel="2" x14ac:dyDescent="0.2">
      <c r="D248" s="660" t="str">
        <f>Diag_Ann_TA!D223</f>
        <v>Northern</v>
      </c>
      <c r="J248" s="8">
        <f t="shared" ca="1" si="19"/>
        <v>14</v>
      </c>
      <c r="K248" s="8">
        <f t="shared" ca="1" si="19"/>
        <v>14</v>
      </c>
      <c r="L248" s="8">
        <f t="shared" ca="1" si="19"/>
        <v>14</v>
      </c>
      <c r="M248" s="8">
        <f t="shared" ca="1" si="19"/>
        <v>14</v>
      </c>
      <c r="N248" s="8">
        <f t="shared" ca="1" si="19"/>
        <v>14</v>
      </c>
      <c r="O248" s="8">
        <f t="shared" ca="1" si="19"/>
        <v>14</v>
      </c>
    </row>
    <row r="249" spans="4:15" s="327" customFormat="1" outlineLevel="2" x14ac:dyDescent="0.2">
      <c r="D249" s="660" t="str">
        <f>Diag_Ann_TA!D224</f>
        <v>North-Western</v>
      </c>
      <c r="J249" s="8">
        <f t="shared" ca="1" si="19"/>
        <v>17</v>
      </c>
      <c r="K249" s="8">
        <f t="shared" ca="1" si="19"/>
        <v>17</v>
      </c>
      <c r="L249" s="8">
        <f t="shared" ca="1" si="19"/>
        <v>17</v>
      </c>
      <c r="M249" s="8">
        <f t="shared" ca="1" si="19"/>
        <v>17</v>
      </c>
      <c r="N249" s="8">
        <f t="shared" ca="1" si="19"/>
        <v>17</v>
      </c>
      <c r="O249" s="8">
        <f t="shared" ca="1" si="19"/>
        <v>17</v>
      </c>
    </row>
    <row r="250" spans="4:15" s="327" customFormat="1" outlineLevel="2" x14ac:dyDescent="0.2">
      <c r="D250" s="660" t="str">
        <f>Diag_Ann_TA!D225</f>
        <v>Southern</v>
      </c>
      <c r="J250" s="8">
        <f t="shared" ca="1" si="19"/>
        <v>41</v>
      </c>
      <c r="K250" s="8">
        <f t="shared" ca="1" si="19"/>
        <v>41</v>
      </c>
      <c r="L250" s="8">
        <f t="shared" ca="1" si="19"/>
        <v>41</v>
      </c>
      <c r="M250" s="8">
        <f t="shared" ca="1" si="19"/>
        <v>41</v>
      </c>
      <c r="N250" s="8">
        <f t="shared" ca="1" si="19"/>
        <v>41</v>
      </c>
      <c r="O250" s="8">
        <f t="shared" ca="1" si="19"/>
        <v>41</v>
      </c>
    </row>
    <row r="251" spans="4:15" s="327" customFormat="1" outlineLevel="2" x14ac:dyDescent="0.2">
      <c r="D251" s="660" t="str">
        <f>Diag_Ann_TA!D226</f>
        <v>Western</v>
      </c>
      <c r="J251" s="9">
        <f t="shared" ca="1" si="19"/>
        <v>41</v>
      </c>
      <c r="K251" s="9">
        <f t="shared" ca="1" si="19"/>
        <v>41</v>
      </c>
      <c r="L251" s="9">
        <f t="shared" ca="1" si="19"/>
        <v>41</v>
      </c>
      <c r="M251" s="9">
        <f t="shared" ca="1" si="19"/>
        <v>41</v>
      </c>
      <c r="N251" s="9">
        <f t="shared" ca="1" si="19"/>
        <v>41</v>
      </c>
      <c r="O251" s="9">
        <f t="shared" ca="1" si="19"/>
        <v>41</v>
      </c>
    </row>
    <row r="252" spans="4:15" s="327" customFormat="1" x14ac:dyDescent="0.2">
      <c r="D252" s="659" t="str">
        <f>"Total "&amp;D241</f>
        <v>Total Population Seeking Service (Cumulative)</v>
      </c>
      <c r="J252" s="5">
        <f t="shared" ref="J252:O252" ca="1" si="20">SUM(J242:J251)</f>
        <v>425</v>
      </c>
      <c r="K252" s="5">
        <f t="shared" ca="1" si="20"/>
        <v>425</v>
      </c>
      <c r="L252" s="5">
        <f t="shared" ca="1" si="20"/>
        <v>425</v>
      </c>
      <c r="M252" s="5">
        <f t="shared" ca="1" si="20"/>
        <v>425</v>
      </c>
      <c r="N252" s="5">
        <f t="shared" ca="1" si="20"/>
        <v>425</v>
      </c>
      <c r="O252" s="5">
        <f t="shared" ca="1" si="20"/>
        <v>425</v>
      </c>
    </row>
    <row r="253" spans="4:15" s="327" customFormat="1" outlineLevel="2" x14ac:dyDescent="0.2"/>
    <row r="254" spans="4:15" s="327" customFormat="1" ht="15" outlineLevel="2" x14ac:dyDescent="0.2">
      <c r="D254" s="658" t="s">
        <v>185</v>
      </c>
    </row>
    <row r="255" spans="4:15" s="327" customFormat="1" outlineLevel="2" x14ac:dyDescent="0.2">
      <c r="D255" s="660" t="str">
        <f>Diag_Ann_TA!D217</f>
        <v>Central</v>
      </c>
      <c r="J255" s="8">
        <f t="shared" ref="J255:O264" ca="1" si="21">MAX(J216-J242,0)</f>
        <v>0</v>
      </c>
      <c r="K255" s="8">
        <f t="shared" ca="1" si="21"/>
        <v>0</v>
      </c>
      <c r="L255" s="8">
        <f t="shared" ca="1" si="21"/>
        <v>0</v>
      </c>
      <c r="M255" s="8">
        <f t="shared" ca="1" si="21"/>
        <v>0</v>
      </c>
      <c r="N255" s="8">
        <f t="shared" ca="1" si="21"/>
        <v>0</v>
      </c>
      <c r="O255" s="8">
        <f t="shared" ca="1" si="21"/>
        <v>0</v>
      </c>
    </row>
    <row r="256" spans="4:15" s="327" customFormat="1" outlineLevel="2" x14ac:dyDescent="0.2">
      <c r="D256" s="660" t="str">
        <f>Diag_Ann_TA!D218</f>
        <v>Copperbelt</v>
      </c>
      <c r="J256" s="8">
        <f t="shared" ca="1" si="21"/>
        <v>16633</v>
      </c>
      <c r="K256" s="8">
        <f t="shared" ca="1" si="21"/>
        <v>16633</v>
      </c>
      <c r="L256" s="8">
        <f t="shared" ca="1" si="21"/>
        <v>16633</v>
      </c>
      <c r="M256" s="8">
        <f t="shared" ca="1" si="21"/>
        <v>16633</v>
      </c>
      <c r="N256" s="8">
        <f t="shared" ca="1" si="21"/>
        <v>16633</v>
      </c>
      <c r="O256" s="8">
        <f t="shared" ca="1" si="21"/>
        <v>16633</v>
      </c>
    </row>
    <row r="257" spans="4:15" s="327" customFormat="1" outlineLevel="2" x14ac:dyDescent="0.2">
      <c r="D257" s="660" t="str">
        <f>Diag_Ann_TA!D219</f>
        <v>Eastern</v>
      </c>
      <c r="J257" s="8">
        <f t="shared" ca="1" si="21"/>
        <v>0</v>
      </c>
      <c r="K257" s="8">
        <f t="shared" ca="1" si="21"/>
        <v>0</v>
      </c>
      <c r="L257" s="8">
        <f t="shared" ca="1" si="21"/>
        <v>0</v>
      </c>
      <c r="M257" s="8">
        <f t="shared" ca="1" si="21"/>
        <v>0</v>
      </c>
      <c r="N257" s="8">
        <f t="shared" ca="1" si="21"/>
        <v>0</v>
      </c>
      <c r="O257" s="8">
        <f t="shared" ca="1" si="21"/>
        <v>0</v>
      </c>
    </row>
    <row r="258" spans="4:15" s="327" customFormat="1" outlineLevel="2" x14ac:dyDescent="0.2">
      <c r="D258" s="660" t="str">
        <f>Diag_Ann_TA!D220</f>
        <v>Luapula</v>
      </c>
      <c r="J258" s="8">
        <f t="shared" ca="1" si="21"/>
        <v>0</v>
      </c>
      <c r="K258" s="8">
        <f t="shared" ca="1" si="21"/>
        <v>0</v>
      </c>
      <c r="L258" s="8">
        <f t="shared" ca="1" si="21"/>
        <v>0</v>
      </c>
      <c r="M258" s="8">
        <f t="shared" ca="1" si="21"/>
        <v>0</v>
      </c>
      <c r="N258" s="8">
        <f t="shared" ca="1" si="21"/>
        <v>0</v>
      </c>
      <c r="O258" s="8">
        <f t="shared" ca="1" si="21"/>
        <v>0</v>
      </c>
    </row>
    <row r="259" spans="4:15" s="327" customFormat="1" outlineLevel="2" x14ac:dyDescent="0.2">
      <c r="D259" s="660" t="str">
        <f>Diag_Ann_TA!D221</f>
        <v>Lusaka</v>
      </c>
      <c r="J259" s="8">
        <f t="shared" ca="1" si="21"/>
        <v>5412</v>
      </c>
      <c r="K259" s="8">
        <f t="shared" ca="1" si="21"/>
        <v>5412</v>
      </c>
      <c r="L259" s="8">
        <f t="shared" ca="1" si="21"/>
        <v>5412</v>
      </c>
      <c r="M259" s="8">
        <f t="shared" ca="1" si="21"/>
        <v>5412</v>
      </c>
      <c r="N259" s="8">
        <f t="shared" ca="1" si="21"/>
        <v>5412</v>
      </c>
      <c r="O259" s="8">
        <f t="shared" ca="1" si="21"/>
        <v>5412</v>
      </c>
    </row>
    <row r="260" spans="4:15" s="327" customFormat="1" outlineLevel="2" x14ac:dyDescent="0.2">
      <c r="D260" s="660" t="str">
        <f>Diag_Ann_TA!D222</f>
        <v>Muchinga</v>
      </c>
      <c r="J260" s="8">
        <f t="shared" ca="1" si="21"/>
        <v>0</v>
      </c>
      <c r="K260" s="8">
        <f t="shared" ca="1" si="21"/>
        <v>0</v>
      </c>
      <c r="L260" s="8">
        <f t="shared" ca="1" si="21"/>
        <v>0</v>
      </c>
      <c r="M260" s="8">
        <f t="shared" ca="1" si="21"/>
        <v>0</v>
      </c>
      <c r="N260" s="8">
        <f t="shared" ca="1" si="21"/>
        <v>0</v>
      </c>
      <c r="O260" s="8">
        <f t="shared" ca="1" si="21"/>
        <v>0</v>
      </c>
    </row>
    <row r="261" spans="4:15" s="327" customFormat="1" outlineLevel="2" x14ac:dyDescent="0.2">
      <c r="D261" s="660" t="str">
        <f>Diag_Ann_TA!D223</f>
        <v>Northern</v>
      </c>
      <c r="J261" s="8">
        <f t="shared" ca="1" si="21"/>
        <v>0</v>
      </c>
      <c r="K261" s="8">
        <f t="shared" ca="1" si="21"/>
        <v>0</v>
      </c>
      <c r="L261" s="8">
        <f t="shared" ca="1" si="21"/>
        <v>0</v>
      </c>
      <c r="M261" s="8">
        <f t="shared" ca="1" si="21"/>
        <v>0</v>
      </c>
      <c r="N261" s="8">
        <f t="shared" ca="1" si="21"/>
        <v>0</v>
      </c>
      <c r="O261" s="8">
        <f t="shared" ca="1" si="21"/>
        <v>0</v>
      </c>
    </row>
    <row r="262" spans="4:15" s="327" customFormat="1" outlineLevel="2" x14ac:dyDescent="0.2">
      <c r="D262" s="660" t="str">
        <f>Diag_Ann_TA!D224</f>
        <v>North-Western</v>
      </c>
      <c r="J262" s="8">
        <f t="shared" ca="1" si="21"/>
        <v>0</v>
      </c>
      <c r="K262" s="8">
        <f t="shared" ca="1" si="21"/>
        <v>0</v>
      </c>
      <c r="L262" s="8">
        <f t="shared" ca="1" si="21"/>
        <v>0</v>
      </c>
      <c r="M262" s="8">
        <f t="shared" ca="1" si="21"/>
        <v>0</v>
      </c>
      <c r="N262" s="8">
        <f t="shared" ca="1" si="21"/>
        <v>0</v>
      </c>
      <c r="O262" s="8">
        <f t="shared" ca="1" si="21"/>
        <v>0</v>
      </c>
    </row>
    <row r="263" spans="4:15" s="327" customFormat="1" outlineLevel="2" x14ac:dyDescent="0.2">
      <c r="D263" s="660" t="str">
        <f>Diag_Ann_TA!D225</f>
        <v>Southern</v>
      </c>
      <c r="J263" s="8">
        <f t="shared" ca="1" si="21"/>
        <v>0</v>
      </c>
      <c r="K263" s="8">
        <f t="shared" ca="1" si="21"/>
        <v>0</v>
      </c>
      <c r="L263" s="8">
        <f t="shared" ca="1" si="21"/>
        <v>0</v>
      </c>
      <c r="M263" s="8">
        <f t="shared" ca="1" si="21"/>
        <v>0</v>
      </c>
      <c r="N263" s="8">
        <f t="shared" ca="1" si="21"/>
        <v>0</v>
      </c>
      <c r="O263" s="8">
        <f t="shared" ca="1" si="21"/>
        <v>0</v>
      </c>
    </row>
    <row r="264" spans="4:15" s="327" customFormat="1" outlineLevel="2" x14ac:dyDescent="0.2">
      <c r="D264" s="660" t="str">
        <f>Diag_Ann_TA!D226</f>
        <v>Western</v>
      </c>
      <c r="J264" s="9">
        <f t="shared" ca="1" si="21"/>
        <v>0</v>
      </c>
      <c r="K264" s="9">
        <f t="shared" ca="1" si="21"/>
        <v>0</v>
      </c>
      <c r="L264" s="9">
        <f t="shared" ca="1" si="21"/>
        <v>0</v>
      </c>
      <c r="M264" s="9">
        <f t="shared" ca="1" si="21"/>
        <v>0</v>
      </c>
      <c r="N264" s="9">
        <f t="shared" ca="1" si="21"/>
        <v>0</v>
      </c>
      <c r="O264" s="9">
        <f t="shared" ca="1" si="21"/>
        <v>0</v>
      </c>
    </row>
    <row r="265" spans="4:15" s="327" customFormat="1" outlineLevel="2" x14ac:dyDescent="0.2">
      <c r="D265" s="659" t="str">
        <f>"Total "&amp;D254</f>
        <v>Total Excess Capacity</v>
      </c>
      <c r="J265" s="5">
        <f t="shared" ref="J265:O265" ca="1" si="22">SUM(J255:J264)</f>
        <v>22045</v>
      </c>
      <c r="K265" s="5">
        <f t="shared" ca="1" si="22"/>
        <v>22045</v>
      </c>
      <c r="L265" s="5">
        <f t="shared" ca="1" si="22"/>
        <v>22045</v>
      </c>
      <c r="M265" s="5">
        <f t="shared" ca="1" si="22"/>
        <v>22045</v>
      </c>
      <c r="N265" s="5">
        <f t="shared" ca="1" si="22"/>
        <v>22045</v>
      </c>
      <c r="O265" s="5">
        <f t="shared" ca="1" si="22"/>
        <v>22045</v>
      </c>
    </row>
    <row r="266" spans="4:15" s="327" customFormat="1" outlineLevel="2" x14ac:dyDescent="0.2"/>
    <row r="267" spans="4:15" s="327" customFormat="1" ht="15" outlineLevel="2" x14ac:dyDescent="0.2">
      <c r="D267" s="658" t="s">
        <v>384</v>
      </c>
    </row>
    <row r="268" spans="4:15" s="327" customFormat="1" outlineLevel="2" x14ac:dyDescent="0.2">
      <c r="D268" s="660" t="str">
        <f>Diag_Ann_TA!D217</f>
        <v>Central</v>
      </c>
      <c r="H268" s="660" t="str">
        <f>Diag_BA!$G$10</f>
        <v>BIOP-H</v>
      </c>
      <c r="J268" s="8">
        <f ca="1">ROUND(IF(Diag_Ann_TA!$H$214,IF(J242&lt;=J216,J242,J242-MAX((J$252-J$226),0)*IFERROR((J242-J216)/SUMPRODUCT((J$242:J$251&gt;J$216:J$225)*(J$242:J$251-J$216:J$225)),0)),J281),0)</f>
        <v>29</v>
      </c>
      <c r="K268" s="8">
        <f ca="1">ROUND(IF(Diag_Ann_TA!$H$214,IF(K242&lt;=K216,K242,K242-MAX((K$252-K$226),0)*IFERROR((K242-K216)/SUMPRODUCT((K$242:K$251&gt;K$216:K$225)*(K$242:K$251-K$216:K$225)),0)),K281),0)</f>
        <v>29</v>
      </c>
      <c r="L268" s="8">
        <f ca="1">ROUND(IF(Diag_Ann_TA!$H$214,IF(L242&lt;=L216,L242,L242-MAX((L$252-L$226),0)*IFERROR((L242-L216)/SUMPRODUCT((L$242:L$251&gt;L$216:L$225)*(L$242:L$251-L$216:L$225)),0)),L281),0)</f>
        <v>29</v>
      </c>
      <c r="M268" s="8">
        <f ca="1">ROUND(IF(Diag_Ann_TA!$H$214,IF(M242&lt;=M216,M242,M242-MAX((M$252-M$226),0)*IFERROR((M242-M216)/SUMPRODUCT((M$242:M$251&gt;M$216:M$225)*(M$242:M$251-M$216:M$225)),0)),M281),0)</f>
        <v>29</v>
      </c>
      <c r="N268" s="8">
        <f ca="1">ROUND(IF(Diag_Ann_TA!$H$214,IF(N242&lt;=N216,N242,N242-MAX((N$252-N$226),0)*IFERROR((N242-N216)/SUMPRODUCT((N$242:N$251&gt;N$216:N$225)*(N$242:N$251-N$216:N$225)),0)),N281),0)</f>
        <v>29</v>
      </c>
      <c r="O268" s="8">
        <f ca="1">ROUND(IF(Diag_Ann_TA!$H$214,IF(O242&lt;=O216,O242,O242-MAX((O$252-O$226),0)*IFERROR((O242-O216)/SUMPRODUCT((O$242:O$251&gt;O$216:O$225)*(O$242:O$251-O$216:O$225)),0)),O281),0)</f>
        <v>29</v>
      </c>
    </row>
    <row r="269" spans="4:15" s="327" customFormat="1" outlineLevel="2" x14ac:dyDescent="0.2">
      <c r="D269" s="660" t="str">
        <f>Diag_Ann_TA!D218</f>
        <v>Copperbelt</v>
      </c>
      <c r="H269" s="660" t="str">
        <f>Diag_BA!$G$10</f>
        <v>BIOP-H</v>
      </c>
      <c r="J269" s="8">
        <f ca="1">ROUND(IF(Diag_Ann_TA!$H$214,IF(J243&lt;=J217,J243,J243-MAX((J$252-J$226),0)*IFERROR((J243-J217)/SUMPRODUCT((J$242:J$251&gt;J$216:J$225)*(J$242:J$251-J$216:J$225)),0)),J282),0)</f>
        <v>41</v>
      </c>
      <c r="K269" s="8">
        <f ca="1">ROUND(IF(Diag_Ann_TA!$H$214,IF(K243&lt;=K217,K243,K243-MAX((K$252-K$226),0)*IFERROR((K243-K217)/SUMPRODUCT((K$242:K$251&gt;K$216:K$225)*(K$242:K$251-K$216:K$225)),0)),K282),0)</f>
        <v>41</v>
      </c>
      <c r="L269" s="8">
        <f ca="1">ROUND(IF(Diag_Ann_TA!$H$214,IF(L243&lt;=L217,L243,L243-MAX((L$252-L$226),0)*IFERROR((L243-L217)/SUMPRODUCT((L$242:L$251&gt;L$216:L$225)*(L$242:L$251-L$216:L$225)),0)),L282),0)</f>
        <v>41</v>
      </c>
      <c r="M269" s="8">
        <f ca="1">ROUND(IF(Diag_Ann_TA!$H$214,IF(M243&lt;=M217,M243,M243-MAX((M$252-M$226),0)*IFERROR((M243-M217)/SUMPRODUCT((M$242:M$251&gt;M$216:M$225)*(M$242:M$251-M$216:M$225)),0)),M282),0)</f>
        <v>41</v>
      </c>
      <c r="N269" s="8">
        <f ca="1">ROUND(IF(Diag_Ann_TA!$H$214,IF(N243&lt;=N217,N243,N243-MAX((N$252-N$226),0)*IFERROR((N243-N217)/SUMPRODUCT((N$242:N$251&gt;N$216:N$225)*(N$242:N$251-N$216:N$225)),0)),N282),0)</f>
        <v>41</v>
      </c>
      <c r="O269" s="8">
        <f ca="1">ROUND(IF(Diag_Ann_TA!$H$214,IF(O243&lt;=O217,O243,O243-MAX((O$252-O$226),0)*IFERROR((O243-O217)/SUMPRODUCT((O$242:O$251&gt;O$216:O$225)*(O$242:O$251-O$216:O$225)),0)),O282),0)</f>
        <v>41</v>
      </c>
    </row>
    <row r="270" spans="4:15" s="327" customFormat="1" outlineLevel="2" x14ac:dyDescent="0.2">
      <c r="D270" s="660" t="str">
        <f>Diag_Ann_TA!D219</f>
        <v>Eastern</v>
      </c>
      <c r="H270" s="660" t="str">
        <f>Diag_BA!$G$10</f>
        <v>BIOP-H</v>
      </c>
      <c r="J270" s="8">
        <f ca="1">ROUND(IF(Diag_Ann_TA!$H$214,IF(J244&lt;=J218,J244,J244-MAX((J$252-J$226),0)*IFERROR((J244-J218)/SUMPRODUCT((J$242:J$251&gt;J$216:J$225)*(J$242:J$251-J$216:J$225)),0)),J283),0)</f>
        <v>52</v>
      </c>
      <c r="K270" s="8">
        <f ca="1">ROUND(IF(Diag_Ann_TA!$H$214,IF(K244&lt;=K218,K244,K244-MAX((K$252-K$226),0)*IFERROR((K244-K218)/SUMPRODUCT((K$242:K$251&gt;K$216:K$225)*(K$242:K$251-K$216:K$225)),0)),K283),0)</f>
        <v>52</v>
      </c>
      <c r="L270" s="8">
        <f ca="1">ROUND(IF(Diag_Ann_TA!$H$214,IF(L244&lt;=L218,L244,L244-MAX((L$252-L$226),0)*IFERROR((L244-L218)/SUMPRODUCT((L$242:L$251&gt;L$216:L$225)*(L$242:L$251-L$216:L$225)),0)),L283),0)</f>
        <v>52</v>
      </c>
      <c r="M270" s="8">
        <f ca="1">ROUND(IF(Diag_Ann_TA!$H$214,IF(M244&lt;=M218,M244,M244-MAX((M$252-M$226),0)*IFERROR((M244-M218)/SUMPRODUCT((M$242:M$251&gt;M$216:M$225)*(M$242:M$251-M$216:M$225)),0)),M283),0)</f>
        <v>52</v>
      </c>
      <c r="N270" s="8">
        <f ca="1">ROUND(IF(Diag_Ann_TA!$H$214,IF(N244&lt;=N218,N244,N244-MAX((N$252-N$226),0)*IFERROR((N244-N218)/SUMPRODUCT((N$242:N$251&gt;N$216:N$225)*(N$242:N$251-N$216:N$225)),0)),N283),0)</f>
        <v>52</v>
      </c>
      <c r="O270" s="8">
        <f ca="1">ROUND(IF(Diag_Ann_TA!$H$214,IF(O244&lt;=O218,O244,O244-MAX((O$252-O$226),0)*IFERROR((O244-O218)/SUMPRODUCT((O$242:O$251&gt;O$216:O$225)*(O$242:O$251-O$216:O$225)),0)),O283),0)</f>
        <v>52</v>
      </c>
    </row>
    <row r="271" spans="4:15" s="327" customFormat="1" outlineLevel="2" x14ac:dyDescent="0.2">
      <c r="D271" s="660" t="str">
        <f>Diag_Ann_TA!D220</f>
        <v>Luapula</v>
      </c>
      <c r="H271" s="660" t="str">
        <f>Diag_BA!$G$10</f>
        <v>BIOP-H</v>
      </c>
      <c r="J271" s="8">
        <f ca="1">ROUND(IF(Diag_Ann_TA!$H$214,IF(J245&lt;=J219,J245,J245-MAX((J$252-J$226),0)*IFERROR((J245-J219)/SUMPRODUCT((J$242:J$251&gt;J$216:J$225)*(J$242:J$251-J$216:J$225)),0)),J284),0)</f>
        <v>41</v>
      </c>
      <c r="K271" s="8">
        <f ca="1">ROUND(IF(Diag_Ann_TA!$H$214,IF(K245&lt;=K219,K245,K245-MAX((K$252-K$226),0)*IFERROR((K245-K219)/SUMPRODUCT((K$242:K$251&gt;K$216:K$225)*(K$242:K$251-K$216:K$225)),0)),K284),0)</f>
        <v>41</v>
      </c>
      <c r="L271" s="8">
        <f ca="1">ROUND(IF(Diag_Ann_TA!$H$214,IF(L245&lt;=L219,L245,L245-MAX((L$252-L$226),0)*IFERROR((L245-L219)/SUMPRODUCT((L$242:L$251&gt;L$216:L$225)*(L$242:L$251-L$216:L$225)),0)),L284),0)</f>
        <v>41</v>
      </c>
      <c r="M271" s="8">
        <f ca="1">ROUND(IF(Diag_Ann_TA!$H$214,IF(M245&lt;=M219,M245,M245-MAX((M$252-M$226),0)*IFERROR((M245-M219)/SUMPRODUCT((M$242:M$251&gt;M$216:M$225)*(M$242:M$251-M$216:M$225)),0)),M284),0)</f>
        <v>41</v>
      </c>
      <c r="N271" s="8">
        <f ca="1">ROUND(IF(Diag_Ann_TA!$H$214,IF(N245&lt;=N219,N245,N245-MAX((N$252-N$226),0)*IFERROR((N245-N219)/SUMPRODUCT((N$242:N$251&gt;N$216:N$225)*(N$242:N$251-N$216:N$225)),0)),N284),0)</f>
        <v>41</v>
      </c>
      <c r="O271" s="8">
        <f ca="1">ROUND(IF(Diag_Ann_TA!$H$214,IF(O245&lt;=O219,O245,O245-MAX((O$252-O$226),0)*IFERROR((O245-O219)/SUMPRODUCT((O$242:O$251&gt;O$216:O$225)*(O$242:O$251-O$216:O$225)),0)),O284),0)</f>
        <v>41</v>
      </c>
    </row>
    <row r="272" spans="4:15" s="327" customFormat="1" outlineLevel="2" x14ac:dyDescent="0.2">
      <c r="D272" s="660" t="str">
        <f>Diag_Ann_TA!D221</f>
        <v>Lusaka</v>
      </c>
      <c r="H272" s="660" t="str">
        <f>Diag_BA!$G$10</f>
        <v>BIOP-H</v>
      </c>
      <c r="J272" s="8">
        <f ca="1">ROUND(IF(Diag_Ann_TA!$H$214,IF(J246&lt;=J220,J246,J246-MAX((J$252-J$226),0)*IFERROR((J246-J220)/SUMPRODUCT((J$242:J$251&gt;J$216:J$225)*(J$242:J$251-J$216:J$225)),0)),J285),0)</f>
        <v>146</v>
      </c>
      <c r="K272" s="8">
        <f ca="1">ROUND(IF(Diag_Ann_TA!$H$214,IF(K246&lt;=K220,K246,K246-MAX((K$252-K$226),0)*IFERROR((K246-K220)/SUMPRODUCT((K$242:K$251&gt;K$216:K$225)*(K$242:K$251-K$216:K$225)),0)),K285),0)</f>
        <v>146</v>
      </c>
      <c r="L272" s="8">
        <f ca="1">ROUND(IF(Diag_Ann_TA!$H$214,IF(L246&lt;=L220,L246,L246-MAX((L$252-L$226),0)*IFERROR((L246-L220)/SUMPRODUCT((L$242:L$251&gt;L$216:L$225)*(L$242:L$251-L$216:L$225)),0)),L285),0)</f>
        <v>146</v>
      </c>
      <c r="M272" s="8">
        <f ca="1">ROUND(IF(Diag_Ann_TA!$H$214,IF(M246&lt;=M220,M246,M246-MAX((M$252-M$226),0)*IFERROR((M246-M220)/SUMPRODUCT((M$242:M$251&gt;M$216:M$225)*(M$242:M$251-M$216:M$225)),0)),M285),0)</f>
        <v>146</v>
      </c>
      <c r="N272" s="8">
        <f ca="1">ROUND(IF(Diag_Ann_TA!$H$214,IF(N246&lt;=N220,N246,N246-MAX((N$252-N$226),0)*IFERROR((N246-N220)/SUMPRODUCT((N$242:N$251&gt;N$216:N$225)*(N$242:N$251-N$216:N$225)),0)),N285),0)</f>
        <v>146</v>
      </c>
      <c r="O272" s="8">
        <f ca="1">ROUND(IF(Diag_Ann_TA!$H$214,IF(O246&lt;=O220,O246,O246-MAX((O$252-O$226),0)*IFERROR((O246-O220)/SUMPRODUCT((O$242:O$251&gt;O$216:O$225)*(O$242:O$251-O$216:O$225)),0)),O285),0)</f>
        <v>146</v>
      </c>
    </row>
    <row r="273" spans="4:15" s="327" customFormat="1" outlineLevel="2" x14ac:dyDescent="0.2">
      <c r="D273" s="660" t="str">
        <f>Diag_Ann_TA!D222</f>
        <v>Muchinga</v>
      </c>
      <c r="H273" s="660" t="str">
        <f>Diag_BA!$G$10</f>
        <v>BIOP-H</v>
      </c>
      <c r="J273" s="8">
        <f ca="1">ROUND(IF(Diag_Ann_TA!$H$214,IF(J247&lt;=J221,J247,J247-MAX((J$252-J$226),0)*IFERROR((J247-J221)/SUMPRODUCT((J$242:J$251&gt;J$216:J$225)*(J$242:J$251-J$216:J$225)),0)),J286),0)</f>
        <v>3</v>
      </c>
      <c r="K273" s="8">
        <f ca="1">ROUND(IF(Diag_Ann_TA!$H$214,IF(K247&lt;=K221,K247,K247-MAX((K$252-K$226),0)*IFERROR((K247-K221)/SUMPRODUCT((K$242:K$251&gt;K$216:K$225)*(K$242:K$251-K$216:K$225)),0)),K286),0)</f>
        <v>3</v>
      </c>
      <c r="L273" s="8">
        <f ca="1">ROUND(IF(Diag_Ann_TA!$H$214,IF(L247&lt;=L221,L247,L247-MAX((L$252-L$226),0)*IFERROR((L247-L221)/SUMPRODUCT((L$242:L$251&gt;L$216:L$225)*(L$242:L$251-L$216:L$225)),0)),L286),0)</f>
        <v>3</v>
      </c>
      <c r="M273" s="8">
        <f ca="1">ROUND(IF(Diag_Ann_TA!$H$214,IF(M247&lt;=M221,M247,M247-MAX((M$252-M$226),0)*IFERROR((M247-M221)/SUMPRODUCT((M$242:M$251&gt;M$216:M$225)*(M$242:M$251-M$216:M$225)),0)),M286),0)</f>
        <v>3</v>
      </c>
      <c r="N273" s="8">
        <f ca="1">ROUND(IF(Diag_Ann_TA!$H$214,IF(N247&lt;=N221,N247,N247-MAX((N$252-N$226),0)*IFERROR((N247-N221)/SUMPRODUCT((N$242:N$251&gt;N$216:N$225)*(N$242:N$251-N$216:N$225)),0)),N286),0)</f>
        <v>3</v>
      </c>
      <c r="O273" s="8">
        <f ca="1">ROUND(IF(Diag_Ann_TA!$H$214,IF(O247&lt;=O221,O247,O247-MAX((O$252-O$226),0)*IFERROR((O247-O221)/SUMPRODUCT((O$242:O$251&gt;O$216:O$225)*(O$242:O$251-O$216:O$225)),0)),O286),0)</f>
        <v>3</v>
      </c>
    </row>
    <row r="274" spans="4:15" s="327" customFormat="1" outlineLevel="2" x14ac:dyDescent="0.2">
      <c r="D274" s="660" t="str">
        <f>Diag_Ann_TA!D223</f>
        <v>Northern</v>
      </c>
      <c r="H274" s="660" t="str">
        <f>Diag_BA!$G$10</f>
        <v>BIOP-H</v>
      </c>
      <c r="J274" s="8">
        <f ca="1">ROUND(IF(Diag_Ann_TA!$H$214,IF(J248&lt;=J222,J248,J248-MAX((J$252-J$226),0)*IFERROR((J248-J222)/SUMPRODUCT((J$242:J$251&gt;J$216:J$225)*(J$242:J$251-J$216:J$225)),0)),J287),0)</f>
        <v>14</v>
      </c>
      <c r="K274" s="8">
        <f ca="1">ROUND(IF(Diag_Ann_TA!$H$214,IF(K248&lt;=K222,K248,K248-MAX((K$252-K$226),0)*IFERROR((K248-K222)/SUMPRODUCT((K$242:K$251&gt;K$216:K$225)*(K$242:K$251-K$216:K$225)),0)),K287),0)</f>
        <v>14</v>
      </c>
      <c r="L274" s="8">
        <f ca="1">ROUND(IF(Diag_Ann_TA!$H$214,IF(L248&lt;=L222,L248,L248-MAX((L$252-L$226),0)*IFERROR((L248-L222)/SUMPRODUCT((L$242:L$251&gt;L$216:L$225)*(L$242:L$251-L$216:L$225)),0)),L287),0)</f>
        <v>14</v>
      </c>
      <c r="M274" s="8">
        <f ca="1">ROUND(IF(Diag_Ann_TA!$H$214,IF(M248&lt;=M222,M248,M248-MAX((M$252-M$226),0)*IFERROR((M248-M222)/SUMPRODUCT((M$242:M$251&gt;M$216:M$225)*(M$242:M$251-M$216:M$225)),0)),M287),0)</f>
        <v>14</v>
      </c>
      <c r="N274" s="8">
        <f ca="1">ROUND(IF(Diag_Ann_TA!$H$214,IF(N248&lt;=N222,N248,N248-MAX((N$252-N$226),0)*IFERROR((N248-N222)/SUMPRODUCT((N$242:N$251&gt;N$216:N$225)*(N$242:N$251-N$216:N$225)),0)),N287),0)</f>
        <v>14</v>
      </c>
      <c r="O274" s="8">
        <f ca="1">ROUND(IF(Diag_Ann_TA!$H$214,IF(O248&lt;=O222,O248,O248-MAX((O$252-O$226),0)*IFERROR((O248-O222)/SUMPRODUCT((O$242:O$251&gt;O$216:O$225)*(O$242:O$251-O$216:O$225)),0)),O287),0)</f>
        <v>14</v>
      </c>
    </row>
    <row r="275" spans="4:15" s="327" customFormat="1" outlineLevel="2" x14ac:dyDescent="0.2">
      <c r="D275" s="660" t="str">
        <f>Diag_Ann_TA!D224</f>
        <v>North-Western</v>
      </c>
      <c r="H275" s="660" t="str">
        <f>Diag_BA!$G$10</f>
        <v>BIOP-H</v>
      </c>
      <c r="J275" s="8">
        <f ca="1">ROUND(IF(Diag_Ann_TA!$H$214,IF(J249&lt;=J223,J249,J249-MAX((J$252-J$226),0)*IFERROR((J249-J223)/SUMPRODUCT((J$242:J$251&gt;J$216:J$225)*(J$242:J$251-J$216:J$225)),0)),J288),0)</f>
        <v>17</v>
      </c>
      <c r="K275" s="8">
        <f ca="1">ROUND(IF(Diag_Ann_TA!$H$214,IF(K249&lt;=K223,K249,K249-MAX((K$252-K$226),0)*IFERROR((K249-K223)/SUMPRODUCT((K$242:K$251&gt;K$216:K$225)*(K$242:K$251-K$216:K$225)),0)),K288),0)</f>
        <v>17</v>
      </c>
      <c r="L275" s="8">
        <f ca="1">ROUND(IF(Diag_Ann_TA!$H$214,IF(L249&lt;=L223,L249,L249-MAX((L$252-L$226),0)*IFERROR((L249-L223)/SUMPRODUCT((L$242:L$251&gt;L$216:L$225)*(L$242:L$251-L$216:L$225)),0)),L288),0)</f>
        <v>17</v>
      </c>
      <c r="M275" s="8">
        <f ca="1">ROUND(IF(Diag_Ann_TA!$H$214,IF(M249&lt;=M223,M249,M249-MAX((M$252-M$226),0)*IFERROR((M249-M223)/SUMPRODUCT((M$242:M$251&gt;M$216:M$225)*(M$242:M$251-M$216:M$225)),0)),M288),0)</f>
        <v>17</v>
      </c>
      <c r="N275" s="8">
        <f ca="1">ROUND(IF(Diag_Ann_TA!$H$214,IF(N249&lt;=N223,N249,N249-MAX((N$252-N$226),0)*IFERROR((N249-N223)/SUMPRODUCT((N$242:N$251&gt;N$216:N$225)*(N$242:N$251-N$216:N$225)),0)),N288),0)</f>
        <v>17</v>
      </c>
      <c r="O275" s="8">
        <f ca="1">ROUND(IF(Diag_Ann_TA!$H$214,IF(O249&lt;=O223,O249,O249-MAX((O$252-O$226),0)*IFERROR((O249-O223)/SUMPRODUCT((O$242:O$251&gt;O$216:O$225)*(O$242:O$251-O$216:O$225)),0)),O288),0)</f>
        <v>17</v>
      </c>
    </row>
    <row r="276" spans="4:15" s="327" customFormat="1" outlineLevel="2" x14ac:dyDescent="0.2">
      <c r="D276" s="660" t="str">
        <f>Diag_Ann_TA!D225</f>
        <v>Southern</v>
      </c>
      <c r="H276" s="660" t="str">
        <f>Diag_BA!$G$10</f>
        <v>BIOP-H</v>
      </c>
      <c r="J276" s="8">
        <f ca="1">ROUND(IF(Diag_Ann_TA!$H$214,IF(J250&lt;=J224,J250,J250-MAX((J$252-J$226),0)*IFERROR((J250-J224)/SUMPRODUCT((J$242:J$251&gt;J$216:J$225)*(J$242:J$251-J$216:J$225)),0)),J289),0)</f>
        <v>41</v>
      </c>
      <c r="K276" s="8">
        <f ca="1">ROUND(IF(Diag_Ann_TA!$H$214,IF(K250&lt;=K224,K250,K250-MAX((K$252-K$226),0)*IFERROR((K250-K224)/SUMPRODUCT((K$242:K$251&gt;K$216:K$225)*(K$242:K$251-K$216:K$225)),0)),K289),0)</f>
        <v>41</v>
      </c>
      <c r="L276" s="8">
        <f ca="1">ROUND(IF(Diag_Ann_TA!$H$214,IF(L250&lt;=L224,L250,L250-MAX((L$252-L$226),0)*IFERROR((L250-L224)/SUMPRODUCT((L$242:L$251&gt;L$216:L$225)*(L$242:L$251-L$216:L$225)),0)),L289),0)</f>
        <v>41</v>
      </c>
      <c r="M276" s="8">
        <f ca="1">ROUND(IF(Diag_Ann_TA!$H$214,IF(M250&lt;=M224,M250,M250-MAX((M$252-M$226),0)*IFERROR((M250-M224)/SUMPRODUCT((M$242:M$251&gt;M$216:M$225)*(M$242:M$251-M$216:M$225)),0)),M289),0)</f>
        <v>41</v>
      </c>
      <c r="N276" s="8">
        <f ca="1">ROUND(IF(Diag_Ann_TA!$H$214,IF(N250&lt;=N224,N250,N250-MAX((N$252-N$226),0)*IFERROR((N250-N224)/SUMPRODUCT((N$242:N$251&gt;N$216:N$225)*(N$242:N$251-N$216:N$225)),0)),N289),0)</f>
        <v>41</v>
      </c>
      <c r="O276" s="8">
        <f ca="1">ROUND(IF(Diag_Ann_TA!$H$214,IF(O250&lt;=O224,O250,O250-MAX((O$252-O$226),0)*IFERROR((O250-O224)/SUMPRODUCT((O$242:O$251&gt;O$216:O$225)*(O$242:O$251-O$216:O$225)),0)),O289),0)</f>
        <v>41</v>
      </c>
    </row>
    <row r="277" spans="4:15" s="327" customFormat="1" outlineLevel="2" x14ac:dyDescent="0.2">
      <c r="D277" s="660" t="str">
        <f>Diag_Ann_TA!D226</f>
        <v>Western</v>
      </c>
      <c r="H277" s="660" t="str">
        <f>Diag_BA!$G$10</f>
        <v>BIOP-H</v>
      </c>
      <c r="J277" s="9">
        <f ca="1">ROUND(IF(Diag_Ann_TA!$H$214,IF(J251&lt;=J225,J251,J251-MAX((J$252-J$226),0)*IFERROR((J251-J225)/SUMPRODUCT((J$242:J$251&gt;J$216:J$225)*(J$242:J$251-J$216:J$225)),0)),J290),0)</f>
        <v>41</v>
      </c>
      <c r="K277" s="9">
        <f ca="1">ROUND(IF(Diag_Ann_TA!$H$214,IF(K251&lt;=K225,K251,K251-MAX((K$252-K$226),0)*IFERROR((K251-K225)/SUMPRODUCT((K$242:K$251&gt;K$216:K$225)*(K$242:K$251-K$216:K$225)),0)),K290),0)</f>
        <v>41</v>
      </c>
      <c r="L277" s="9">
        <f ca="1">ROUND(IF(Diag_Ann_TA!$H$214,IF(L251&lt;=L225,L251,L251-MAX((L$252-L$226),0)*IFERROR((L251-L225)/SUMPRODUCT((L$242:L$251&gt;L$216:L$225)*(L$242:L$251-L$216:L$225)),0)),L290),0)</f>
        <v>41</v>
      </c>
      <c r="M277" s="9">
        <f ca="1">ROUND(IF(Diag_Ann_TA!$H$214,IF(M251&lt;=M225,M251,M251-MAX((M$252-M$226),0)*IFERROR((M251-M225)/SUMPRODUCT((M$242:M$251&gt;M$216:M$225)*(M$242:M$251-M$216:M$225)),0)),M290),0)</f>
        <v>41</v>
      </c>
      <c r="N277" s="9">
        <f ca="1">ROUND(IF(Diag_Ann_TA!$H$214,IF(N251&lt;=N225,N251,N251-MAX((N$252-N$226),0)*IFERROR((N251-N225)/SUMPRODUCT((N$242:N$251&gt;N$216:N$225)*(N$242:N$251-N$216:N$225)),0)),N290),0)</f>
        <v>41</v>
      </c>
      <c r="O277" s="9">
        <f ca="1">ROUND(IF(Diag_Ann_TA!$H$214,IF(O251&lt;=O225,O251,O251-MAX((O$252-O$226),0)*IFERROR((O251-O225)/SUMPRODUCT((O$242:O$251&gt;O$216:O$225)*(O$242:O$251-O$216:O$225)),0)),O290),0)</f>
        <v>41</v>
      </c>
    </row>
    <row r="278" spans="4:15" s="327" customFormat="1" outlineLevel="2" x14ac:dyDescent="0.2">
      <c r="D278" s="659" t="str">
        <f>"Total "&amp;D267</f>
        <v>Total Procedures Performed (According to Home Region)</v>
      </c>
      <c r="H278" s="660" t="str">
        <f>Diag_BA!$G$10</f>
        <v>BIOP-H</v>
      </c>
      <c r="J278" s="5">
        <f t="shared" ref="J278:O278" ca="1" si="23">SUM(J268:J277)</f>
        <v>425</v>
      </c>
      <c r="K278" s="5">
        <f t="shared" ca="1" si="23"/>
        <v>425</v>
      </c>
      <c r="L278" s="5">
        <f t="shared" ca="1" si="23"/>
        <v>425</v>
      </c>
      <c r="M278" s="5">
        <f t="shared" ca="1" si="23"/>
        <v>425</v>
      </c>
      <c r="N278" s="5">
        <f t="shared" ca="1" si="23"/>
        <v>425</v>
      </c>
      <c r="O278" s="5">
        <f t="shared" ca="1" si="23"/>
        <v>425</v>
      </c>
    </row>
    <row r="279" spans="4:15" s="327" customFormat="1" outlineLevel="2" x14ac:dyDescent="0.2"/>
    <row r="280" spans="4:15" s="327" customFormat="1" ht="15" outlineLevel="2" x14ac:dyDescent="0.2">
      <c r="D280" s="658" t="s">
        <v>104</v>
      </c>
    </row>
    <row r="281" spans="4:15" s="327" customFormat="1" outlineLevel="2" x14ac:dyDescent="0.2">
      <c r="D281" s="660" t="str">
        <f>Diag_Ann_TA!D217</f>
        <v>Central</v>
      </c>
      <c r="J281" s="8">
        <f ca="1">ROUND(MIN(J216,IF(Diag_Ann_TA!$H$214,MAX(0,J242+IFERROR((SUMPRODUCT((J$216:J$225=0)*J$242:J$251)+SUMPRODUCT((J$216:J$225&gt;0)*(J$242:J$251&gt;J$216:J$225)*(J$242:J$251-J$216:J$225)))*J255/J$265,0)),J242)),0)</f>
        <v>0</v>
      </c>
      <c r="K281" s="8">
        <f ca="1">ROUND(MIN(K216,IF(Diag_Ann_TA!$H$214,MAX(0,K242+IFERROR((SUMPRODUCT((K$216:K$225=0)*K$242:K$251)+SUMPRODUCT((K$216:K$225&gt;0)*(K$242:K$251&gt;K$216:K$225)*(K$242:K$251-K$216:K$225)))*K255/K$265,0)),K242)),0)</f>
        <v>0</v>
      </c>
      <c r="L281" s="8">
        <f ca="1">ROUND(MIN(L216,IF(Diag_Ann_TA!$H$214,MAX(0,L242+IFERROR((SUMPRODUCT((L$216:L$225=0)*L$242:L$251)+SUMPRODUCT((L$216:L$225&gt;0)*(L$242:L$251&gt;L$216:L$225)*(L$242:L$251-L$216:L$225)))*L255/L$265,0)),L242)),0)</f>
        <v>0</v>
      </c>
      <c r="M281" s="8">
        <f ca="1">ROUND(MIN(M216,IF(Diag_Ann_TA!$H$214,MAX(0,M242+IFERROR((SUMPRODUCT((M$216:M$225=0)*M$242:M$251)+SUMPRODUCT((M$216:M$225&gt;0)*(M$242:M$251&gt;M$216:M$225)*(M$242:M$251-M$216:M$225)))*M255/M$265,0)),M242)),0)</f>
        <v>0</v>
      </c>
      <c r="N281" s="8">
        <f ca="1">ROUND(MIN(N216,IF(Diag_Ann_TA!$H$214,MAX(0,N242+IFERROR((SUMPRODUCT((N$216:N$225=0)*N$242:N$251)+SUMPRODUCT((N$216:N$225&gt;0)*(N$242:N$251&gt;N$216:N$225)*(N$242:N$251-N$216:N$225)))*N255/N$265,0)),N242)),0)</f>
        <v>0</v>
      </c>
      <c r="O281" s="8">
        <f ca="1">ROUND(MIN(O216,IF(Diag_Ann_TA!$H$214,MAX(0,O242+IFERROR((SUMPRODUCT((O$216:O$225=0)*O$242:O$251)+SUMPRODUCT((O$216:O$225&gt;0)*(O$242:O$251&gt;O$216:O$225)*(O$242:O$251-O$216:O$225)))*O255/O$265,0)),O242)),0)</f>
        <v>0</v>
      </c>
    </row>
    <row r="282" spans="4:15" s="327" customFormat="1" outlineLevel="2" x14ac:dyDescent="0.2">
      <c r="D282" s="660" t="str">
        <f>Diag_Ann_TA!D218</f>
        <v>Copperbelt</v>
      </c>
      <c r="J282" s="8">
        <f ca="1">ROUND(MIN(J217,IF(Diag_Ann_TA!$H$214,MAX(0,J243+IFERROR((SUMPRODUCT((J$216:J$225=0)*J$242:J$251)+SUMPRODUCT((J$216:J$225&gt;0)*(J$242:J$251&gt;J$216:J$225)*(J$242:J$251-J$216:J$225)))*J256/J$265,0)),J243)),0)</f>
        <v>221</v>
      </c>
      <c r="K282" s="8">
        <f ca="1">ROUND(MIN(K217,IF(Diag_Ann_TA!$H$214,MAX(0,K243+IFERROR((SUMPRODUCT((K$216:K$225=0)*K$242:K$251)+SUMPRODUCT((K$216:K$225&gt;0)*(K$242:K$251&gt;K$216:K$225)*(K$242:K$251-K$216:K$225)))*K256/K$265,0)),K243)),0)</f>
        <v>221</v>
      </c>
      <c r="L282" s="8">
        <f ca="1">ROUND(MIN(L217,IF(Diag_Ann_TA!$H$214,MAX(0,L243+IFERROR((SUMPRODUCT((L$216:L$225=0)*L$242:L$251)+SUMPRODUCT((L$216:L$225&gt;0)*(L$242:L$251&gt;L$216:L$225)*(L$242:L$251-L$216:L$225)))*L256/L$265,0)),L243)),0)</f>
        <v>221</v>
      </c>
      <c r="M282" s="8">
        <f ca="1">ROUND(MIN(M217,IF(Diag_Ann_TA!$H$214,MAX(0,M243+IFERROR((SUMPRODUCT((M$216:M$225=0)*M$242:M$251)+SUMPRODUCT((M$216:M$225&gt;0)*(M$242:M$251&gt;M$216:M$225)*(M$242:M$251-M$216:M$225)))*M256/M$265,0)),M243)),0)</f>
        <v>221</v>
      </c>
      <c r="N282" s="8">
        <f ca="1">ROUND(MIN(N217,IF(Diag_Ann_TA!$H$214,MAX(0,N243+IFERROR((SUMPRODUCT((N$216:N$225=0)*N$242:N$251)+SUMPRODUCT((N$216:N$225&gt;0)*(N$242:N$251&gt;N$216:N$225)*(N$242:N$251-N$216:N$225)))*N256/N$265,0)),N243)),0)</f>
        <v>221</v>
      </c>
      <c r="O282" s="8">
        <f ca="1">ROUND(MIN(O217,IF(Diag_Ann_TA!$H$214,MAX(0,O243+IFERROR((SUMPRODUCT((O$216:O$225=0)*O$242:O$251)+SUMPRODUCT((O$216:O$225&gt;0)*(O$242:O$251&gt;O$216:O$225)*(O$242:O$251-O$216:O$225)))*O256/O$265,0)),O243)),0)</f>
        <v>221</v>
      </c>
    </row>
    <row r="283" spans="4:15" s="327" customFormat="1" outlineLevel="2" x14ac:dyDescent="0.2">
      <c r="D283" s="660" t="str">
        <f>Diag_Ann_TA!D219</f>
        <v>Eastern</v>
      </c>
      <c r="J283" s="8">
        <f ca="1">ROUND(MIN(J218,IF(Diag_Ann_TA!$H$214,MAX(0,J244+IFERROR((SUMPRODUCT((J$216:J$225=0)*J$242:J$251)+SUMPRODUCT((J$216:J$225&gt;0)*(J$242:J$251&gt;J$216:J$225)*(J$242:J$251-J$216:J$225)))*J257/J$265,0)),J244)),0)</f>
        <v>0</v>
      </c>
      <c r="K283" s="8">
        <f ca="1">ROUND(MIN(K218,IF(Diag_Ann_TA!$H$214,MAX(0,K244+IFERROR((SUMPRODUCT((K$216:K$225=0)*K$242:K$251)+SUMPRODUCT((K$216:K$225&gt;0)*(K$242:K$251&gt;K$216:K$225)*(K$242:K$251-K$216:K$225)))*K257/K$265,0)),K244)),0)</f>
        <v>0</v>
      </c>
      <c r="L283" s="8">
        <f ca="1">ROUND(MIN(L218,IF(Diag_Ann_TA!$H$214,MAX(0,L244+IFERROR((SUMPRODUCT((L$216:L$225=0)*L$242:L$251)+SUMPRODUCT((L$216:L$225&gt;0)*(L$242:L$251&gt;L$216:L$225)*(L$242:L$251-L$216:L$225)))*L257/L$265,0)),L244)),0)</f>
        <v>0</v>
      </c>
      <c r="M283" s="8">
        <f ca="1">ROUND(MIN(M218,IF(Diag_Ann_TA!$H$214,MAX(0,M244+IFERROR((SUMPRODUCT((M$216:M$225=0)*M$242:M$251)+SUMPRODUCT((M$216:M$225&gt;0)*(M$242:M$251&gt;M$216:M$225)*(M$242:M$251-M$216:M$225)))*M257/M$265,0)),M244)),0)</f>
        <v>0</v>
      </c>
      <c r="N283" s="8">
        <f ca="1">ROUND(MIN(N218,IF(Diag_Ann_TA!$H$214,MAX(0,N244+IFERROR((SUMPRODUCT((N$216:N$225=0)*N$242:N$251)+SUMPRODUCT((N$216:N$225&gt;0)*(N$242:N$251&gt;N$216:N$225)*(N$242:N$251-N$216:N$225)))*N257/N$265,0)),N244)),0)</f>
        <v>0</v>
      </c>
      <c r="O283" s="8">
        <f ca="1">ROUND(MIN(O218,IF(Diag_Ann_TA!$H$214,MAX(0,O244+IFERROR((SUMPRODUCT((O$216:O$225=0)*O$242:O$251)+SUMPRODUCT((O$216:O$225&gt;0)*(O$242:O$251&gt;O$216:O$225)*(O$242:O$251-O$216:O$225)))*O257/O$265,0)),O244)),0)</f>
        <v>0</v>
      </c>
    </row>
    <row r="284" spans="4:15" s="327" customFormat="1" outlineLevel="2" x14ac:dyDescent="0.2">
      <c r="D284" s="660" t="str">
        <f>Diag_Ann_TA!D220</f>
        <v>Luapula</v>
      </c>
      <c r="J284" s="8">
        <f ca="1">ROUND(MIN(J219,IF(Diag_Ann_TA!$H$214,MAX(0,J245+IFERROR((SUMPRODUCT((J$216:J$225=0)*J$242:J$251)+SUMPRODUCT((J$216:J$225&gt;0)*(J$242:J$251&gt;J$216:J$225)*(J$242:J$251-J$216:J$225)))*J258/J$265,0)),J245)),0)</f>
        <v>0</v>
      </c>
      <c r="K284" s="8">
        <f ca="1">ROUND(MIN(K219,IF(Diag_Ann_TA!$H$214,MAX(0,K245+IFERROR((SUMPRODUCT((K$216:K$225=0)*K$242:K$251)+SUMPRODUCT((K$216:K$225&gt;0)*(K$242:K$251&gt;K$216:K$225)*(K$242:K$251-K$216:K$225)))*K258/K$265,0)),K245)),0)</f>
        <v>0</v>
      </c>
      <c r="L284" s="8">
        <f ca="1">ROUND(MIN(L219,IF(Diag_Ann_TA!$H$214,MAX(0,L245+IFERROR((SUMPRODUCT((L$216:L$225=0)*L$242:L$251)+SUMPRODUCT((L$216:L$225&gt;0)*(L$242:L$251&gt;L$216:L$225)*(L$242:L$251-L$216:L$225)))*L258/L$265,0)),L245)),0)</f>
        <v>0</v>
      </c>
      <c r="M284" s="8">
        <f ca="1">ROUND(MIN(M219,IF(Diag_Ann_TA!$H$214,MAX(0,M245+IFERROR((SUMPRODUCT((M$216:M$225=0)*M$242:M$251)+SUMPRODUCT((M$216:M$225&gt;0)*(M$242:M$251&gt;M$216:M$225)*(M$242:M$251-M$216:M$225)))*M258/M$265,0)),M245)),0)</f>
        <v>0</v>
      </c>
      <c r="N284" s="8">
        <f ca="1">ROUND(MIN(N219,IF(Diag_Ann_TA!$H$214,MAX(0,N245+IFERROR((SUMPRODUCT((N$216:N$225=0)*N$242:N$251)+SUMPRODUCT((N$216:N$225&gt;0)*(N$242:N$251&gt;N$216:N$225)*(N$242:N$251-N$216:N$225)))*N258/N$265,0)),N245)),0)</f>
        <v>0</v>
      </c>
      <c r="O284" s="8">
        <f ca="1">ROUND(MIN(O219,IF(Diag_Ann_TA!$H$214,MAX(0,O245+IFERROR((SUMPRODUCT((O$216:O$225=0)*O$242:O$251)+SUMPRODUCT((O$216:O$225&gt;0)*(O$242:O$251&gt;O$216:O$225)*(O$242:O$251-O$216:O$225)))*O258/O$265,0)),O245)),0)</f>
        <v>0</v>
      </c>
    </row>
    <row r="285" spans="4:15" s="327" customFormat="1" outlineLevel="2" x14ac:dyDescent="0.2">
      <c r="D285" s="660" t="str">
        <f>Diag_Ann_TA!D221</f>
        <v>Lusaka</v>
      </c>
      <c r="J285" s="8">
        <f ca="1">ROUND(MIN(J220,IF(Diag_Ann_TA!$H$214,MAX(0,J246+IFERROR((SUMPRODUCT((J$216:J$225=0)*J$242:J$251)+SUMPRODUCT((J$216:J$225&gt;0)*(J$242:J$251&gt;J$216:J$225)*(J$242:J$251-J$216:J$225)))*J259/J$265,0)),J246)),0)</f>
        <v>204</v>
      </c>
      <c r="K285" s="8">
        <f ca="1">ROUND(MIN(K220,IF(Diag_Ann_TA!$H$214,MAX(0,K246+IFERROR((SUMPRODUCT((K$216:K$225=0)*K$242:K$251)+SUMPRODUCT((K$216:K$225&gt;0)*(K$242:K$251&gt;K$216:K$225)*(K$242:K$251-K$216:K$225)))*K259/K$265,0)),K246)),0)</f>
        <v>204</v>
      </c>
      <c r="L285" s="8">
        <f ca="1">ROUND(MIN(L220,IF(Diag_Ann_TA!$H$214,MAX(0,L246+IFERROR((SUMPRODUCT((L$216:L$225=0)*L$242:L$251)+SUMPRODUCT((L$216:L$225&gt;0)*(L$242:L$251&gt;L$216:L$225)*(L$242:L$251-L$216:L$225)))*L259/L$265,0)),L246)),0)</f>
        <v>204</v>
      </c>
      <c r="M285" s="8">
        <f ca="1">ROUND(MIN(M220,IF(Diag_Ann_TA!$H$214,MAX(0,M246+IFERROR((SUMPRODUCT((M$216:M$225=0)*M$242:M$251)+SUMPRODUCT((M$216:M$225&gt;0)*(M$242:M$251&gt;M$216:M$225)*(M$242:M$251-M$216:M$225)))*M259/M$265,0)),M246)),0)</f>
        <v>204</v>
      </c>
      <c r="N285" s="8">
        <f ca="1">ROUND(MIN(N220,IF(Diag_Ann_TA!$H$214,MAX(0,N246+IFERROR((SUMPRODUCT((N$216:N$225=0)*N$242:N$251)+SUMPRODUCT((N$216:N$225&gt;0)*(N$242:N$251&gt;N$216:N$225)*(N$242:N$251-N$216:N$225)))*N259/N$265,0)),N246)),0)</f>
        <v>204</v>
      </c>
      <c r="O285" s="8">
        <f ca="1">ROUND(MIN(O220,IF(Diag_Ann_TA!$H$214,MAX(0,O246+IFERROR((SUMPRODUCT((O$216:O$225=0)*O$242:O$251)+SUMPRODUCT((O$216:O$225&gt;0)*(O$242:O$251&gt;O$216:O$225)*(O$242:O$251-O$216:O$225)))*O259/O$265,0)),O246)),0)</f>
        <v>204</v>
      </c>
    </row>
    <row r="286" spans="4:15" s="327" customFormat="1" outlineLevel="2" x14ac:dyDescent="0.2">
      <c r="D286" s="660" t="str">
        <f>Diag_Ann_TA!D222</f>
        <v>Muchinga</v>
      </c>
      <c r="J286" s="8">
        <f ca="1">ROUND(MIN(J221,IF(Diag_Ann_TA!$H$214,MAX(0,J247+IFERROR((SUMPRODUCT((J$216:J$225=0)*J$242:J$251)+SUMPRODUCT((J$216:J$225&gt;0)*(J$242:J$251&gt;J$216:J$225)*(J$242:J$251-J$216:J$225)))*J260/J$265,0)),J247)),0)</f>
        <v>0</v>
      </c>
      <c r="K286" s="8">
        <f ca="1">ROUND(MIN(K221,IF(Diag_Ann_TA!$H$214,MAX(0,K247+IFERROR((SUMPRODUCT((K$216:K$225=0)*K$242:K$251)+SUMPRODUCT((K$216:K$225&gt;0)*(K$242:K$251&gt;K$216:K$225)*(K$242:K$251-K$216:K$225)))*K260/K$265,0)),K247)),0)</f>
        <v>0</v>
      </c>
      <c r="L286" s="8">
        <f ca="1">ROUND(MIN(L221,IF(Diag_Ann_TA!$H$214,MAX(0,L247+IFERROR((SUMPRODUCT((L$216:L$225=0)*L$242:L$251)+SUMPRODUCT((L$216:L$225&gt;0)*(L$242:L$251&gt;L$216:L$225)*(L$242:L$251-L$216:L$225)))*L260/L$265,0)),L247)),0)</f>
        <v>0</v>
      </c>
      <c r="M286" s="8">
        <f ca="1">ROUND(MIN(M221,IF(Diag_Ann_TA!$H$214,MAX(0,M247+IFERROR((SUMPRODUCT((M$216:M$225=0)*M$242:M$251)+SUMPRODUCT((M$216:M$225&gt;0)*(M$242:M$251&gt;M$216:M$225)*(M$242:M$251-M$216:M$225)))*M260/M$265,0)),M247)),0)</f>
        <v>0</v>
      </c>
      <c r="N286" s="8">
        <f ca="1">ROUND(MIN(N221,IF(Diag_Ann_TA!$H$214,MAX(0,N247+IFERROR((SUMPRODUCT((N$216:N$225=0)*N$242:N$251)+SUMPRODUCT((N$216:N$225&gt;0)*(N$242:N$251&gt;N$216:N$225)*(N$242:N$251-N$216:N$225)))*N260/N$265,0)),N247)),0)</f>
        <v>0</v>
      </c>
      <c r="O286" s="8">
        <f ca="1">ROUND(MIN(O221,IF(Diag_Ann_TA!$H$214,MAX(0,O247+IFERROR((SUMPRODUCT((O$216:O$225=0)*O$242:O$251)+SUMPRODUCT((O$216:O$225&gt;0)*(O$242:O$251&gt;O$216:O$225)*(O$242:O$251-O$216:O$225)))*O260/O$265,0)),O247)),0)</f>
        <v>0</v>
      </c>
    </row>
    <row r="287" spans="4:15" s="327" customFormat="1" outlineLevel="2" x14ac:dyDescent="0.2">
      <c r="D287" s="660" t="str">
        <f>Diag_Ann_TA!D223</f>
        <v>Northern</v>
      </c>
      <c r="J287" s="8">
        <f ca="1">ROUND(MIN(J222,IF(Diag_Ann_TA!$H$214,MAX(0,J248+IFERROR((SUMPRODUCT((J$216:J$225=0)*J$242:J$251)+SUMPRODUCT((J$216:J$225&gt;0)*(J$242:J$251&gt;J$216:J$225)*(J$242:J$251-J$216:J$225)))*J261/J$265,0)),J248)),0)</f>
        <v>0</v>
      </c>
      <c r="K287" s="8">
        <f ca="1">ROUND(MIN(K222,IF(Diag_Ann_TA!$H$214,MAX(0,K248+IFERROR((SUMPRODUCT((K$216:K$225=0)*K$242:K$251)+SUMPRODUCT((K$216:K$225&gt;0)*(K$242:K$251&gt;K$216:K$225)*(K$242:K$251-K$216:K$225)))*K261/K$265,0)),K248)),0)</f>
        <v>0</v>
      </c>
      <c r="L287" s="8">
        <f ca="1">ROUND(MIN(L222,IF(Diag_Ann_TA!$H$214,MAX(0,L248+IFERROR((SUMPRODUCT((L$216:L$225=0)*L$242:L$251)+SUMPRODUCT((L$216:L$225&gt;0)*(L$242:L$251&gt;L$216:L$225)*(L$242:L$251-L$216:L$225)))*L261/L$265,0)),L248)),0)</f>
        <v>0</v>
      </c>
      <c r="M287" s="8">
        <f ca="1">ROUND(MIN(M222,IF(Diag_Ann_TA!$H$214,MAX(0,M248+IFERROR((SUMPRODUCT((M$216:M$225=0)*M$242:M$251)+SUMPRODUCT((M$216:M$225&gt;0)*(M$242:M$251&gt;M$216:M$225)*(M$242:M$251-M$216:M$225)))*M261/M$265,0)),M248)),0)</f>
        <v>0</v>
      </c>
      <c r="N287" s="8">
        <f ca="1">ROUND(MIN(N222,IF(Diag_Ann_TA!$H$214,MAX(0,N248+IFERROR((SUMPRODUCT((N$216:N$225=0)*N$242:N$251)+SUMPRODUCT((N$216:N$225&gt;0)*(N$242:N$251&gt;N$216:N$225)*(N$242:N$251-N$216:N$225)))*N261/N$265,0)),N248)),0)</f>
        <v>0</v>
      </c>
      <c r="O287" s="8">
        <f ca="1">ROUND(MIN(O222,IF(Diag_Ann_TA!$H$214,MAX(0,O248+IFERROR((SUMPRODUCT((O$216:O$225=0)*O$242:O$251)+SUMPRODUCT((O$216:O$225&gt;0)*(O$242:O$251&gt;O$216:O$225)*(O$242:O$251-O$216:O$225)))*O261/O$265,0)),O248)),0)</f>
        <v>0</v>
      </c>
    </row>
    <row r="288" spans="4:15" s="327" customFormat="1" outlineLevel="2" x14ac:dyDescent="0.2">
      <c r="D288" s="660" t="str">
        <f>Diag_Ann_TA!D224</f>
        <v>North-Western</v>
      </c>
      <c r="J288" s="8">
        <f ca="1">ROUND(MIN(J223,IF(Diag_Ann_TA!$H$214,MAX(0,J249+IFERROR((SUMPRODUCT((J$216:J$225=0)*J$242:J$251)+SUMPRODUCT((J$216:J$225&gt;0)*(J$242:J$251&gt;J$216:J$225)*(J$242:J$251-J$216:J$225)))*J262/J$265,0)),J249)),0)</f>
        <v>0</v>
      </c>
      <c r="K288" s="8">
        <f ca="1">ROUND(MIN(K223,IF(Diag_Ann_TA!$H$214,MAX(0,K249+IFERROR((SUMPRODUCT((K$216:K$225=0)*K$242:K$251)+SUMPRODUCT((K$216:K$225&gt;0)*(K$242:K$251&gt;K$216:K$225)*(K$242:K$251-K$216:K$225)))*K262/K$265,0)),K249)),0)</f>
        <v>0</v>
      </c>
      <c r="L288" s="8">
        <f ca="1">ROUND(MIN(L223,IF(Diag_Ann_TA!$H$214,MAX(0,L249+IFERROR((SUMPRODUCT((L$216:L$225=0)*L$242:L$251)+SUMPRODUCT((L$216:L$225&gt;0)*(L$242:L$251&gt;L$216:L$225)*(L$242:L$251-L$216:L$225)))*L262/L$265,0)),L249)),0)</f>
        <v>0</v>
      </c>
      <c r="M288" s="8">
        <f ca="1">ROUND(MIN(M223,IF(Diag_Ann_TA!$H$214,MAX(0,M249+IFERROR((SUMPRODUCT((M$216:M$225=0)*M$242:M$251)+SUMPRODUCT((M$216:M$225&gt;0)*(M$242:M$251&gt;M$216:M$225)*(M$242:M$251-M$216:M$225)))*M262/M$265,0)),M249)),0)</f>
        <v>0</v>
      </c>
      <c r="N288" s="8">
        <f ca="1">ROUND(MIN(N223,IF(Diag_Ann_TA!$H$214,MAX(0,N249+IFERROR((SUMPRODUCT((N$216:N$225=0)*N$242:N$251)+SUMPRODUCT((N$216:N$225&gt;0)*(N$242:N$251&gt;N$216:N$225)*(N$242:N$251-N$216:N$225)))*N262/N$265,0)),N249)),0)</f>
        <v>0</v>
      </c>
      <c r="O288" s="8">
        <f ca="1">ROUND(MIN(O223,IF(Diag_Ann_TA!$H$214,MAX(0,O249+IFERROR((SUMPRODUCT((O$216:O$225=0)*O$242:O$251)+SUMPRODUCT((O$216:O$225&gt;0)*(O$242:O$251&gt;O$216:O$225)*(O$242:O$251-O$216:O$225)))*O262/O$265,0)),O249)),0)</f>
        <v>0</v>
      </c>
    </row>
    <row r="289" spans="3:15" s="327" customFormat="1" outlineLevel="2" x14ac:dyDescent="0.2">
      <c r="D289" s="660" t="str">
        <f>Diag_Ann_TA!D225</f>
        <v>Southern</v>
      </c>
      <c r="J289" s="8">
        <f ca="1">ROUND(MIN(J224,IF(Diag_Ann_TA!$H$214,MAX(0,J250+IFERROR((SUMPRODUCT((J$216:J$225=0)*J$242:J$251)+SUMPRODUCT((J$216:J$225&gt;0)*(J$242:J$251&gt;J$216:J$225)*(J$242:J$251-J$216:J$225)))*J263/J$265,0)),J250)),0)</f>
        <v>0</v>
      </c>
      <c r="K289" s="8">
        <f ca="1">ROUND(MIN(K224,IF(Diag_Ann_TA!$H$214,MAX(0,K250+IFERROR((SUMPRODUCT((K$216:K$225=0)*K$242:K$251)+SUMPRODUCT((K$216:K$225&gt;0)*(K$242:K$251&gt;K$216:K$225)*(K$242:K$251-K$216:K$225)))*K263/K$265,0)),K250)),0)</f>
        <v>0</v>
      </c>
      <c r="L289" s="8">
        <f ca="1">ROUND(MIN(L224,IF(Diag_Ann_TA!$H$214,MAX(0,L250+IFERROR((SUMPRODUCT((L$216:L$225=0)*L$242:L$251)+SUMPRODUCT((L$216:L$225&gt;0)*(L$242:L$251&gt;L$216:L$225)*(L$242:L$251-L$216:L$225)))*L263/L$265,0)),L250)),0)</f>
        <v>0</v>
      </c>
      <c r="M289" s="8">
        <f ca="1">ROUND(MIN(M224,IF(Diag_Ann_TA!$H$214,MAX(0,M250+IFERROR((SUMPRODUCT((M$216:M$225=0)*M$242:M$251)+SUMPRODUCT((M$216:M$225&gt;0)*(M$242:M$251&gt;M$216:M$225)*(M$242:M$251-M$216:M$225)))*M263/M$265,0)),M250)),0)</f>
        <v>0</v>
      </c>
      <c r="N289" s="8">
        <f ca="1">ROUND(MIN(N224,IF(Diag_Ann_TA!$H$214,MAX(0,N250+IFERROR((SUMPRODUCT((N$216:N$225=0)*N$242:N$251)+SUMPRODUCT((N$216:N$225&gt;0)*(N$242:N$251&gt;N$216:N$225)*(N$242:N$251-N$216:N$225)))*N263/N$265,0)),N250)),0)</f>
        <v>0</v>
      </c>
      <c r="O289" s="8">
        <f ca="1">ROUND(MIN(O224,IF(Diag_Ann_TA!$H$214,MAX(0,O250+IFERROR((SUMPRODUCT((O$216:O$225=0)*O$242:O$251)+SUMPRODUCT((O$216:O$225&gt;0)*(O$242:O$251&gt;O$216:O$225)*(O$242:O$251-O$216:O$225)))*O263/O$265,0)),O250)),0)</f>
        <v>0</v>
      </c>
    </row>
    <row r="290" spans="3:15" s="327" customFormat="1" outlineLevel="2" x14ac:dyDescent="0.2">
      <c r="D290" s="660" t="str">
        <f>Diag_Ann_TA!D226</f>
        <v>Western</v>
      </c>
      <c r="J290" s="9">
        <f ca="1">ROUND(MIN(J225,IF(Diag_Ann_TA!$H$214,MAX(0,J251+IFERROR((SUMPRODUCT((J$216:J$225=0)*J$242:J$251)+SUMPRODUCT((J$216:J$225&gt;0)*(J$242:J$251&gt;J$216:J$225)*(J$242:J$251-J$216:J$225)))*J264/J$265,0)),J251)),0)</f>
        <v>0</v>
      </c>
      <c r="K290" s="9">
        <f ca="1">ROUND(MIN(K225,IF(Diag_Ann_TA!$H$214,MAX(0,K251+IFERROR((SUMPRODUCT((K$216:K$225=0)*K$242:K$251)+SUMPRODUCT((K$216:K$225&gt;0)*(K$242:K$251&gt;K$216:K$225)*(K$242:K$251-K$216:K$225)))*K264/K$265,0)),K251)),0)</f>
        <v>0</v>
      </c>
      <c r="L290" s="9">
        <f ca="1">ROUND(MIN(L225,IF(Diag_Ann_TA!$H$214,MAX(0,L251+IFERROR((SUMPRODUCT((L$216:L$225=0)*L$242:L$251)+SUMPRODUCT((L$216:L$225&gt;0)*(L$242:L$251&gt;L$216:L$225)*(L$242:L$251-L$216:L$225)))*L264/L$265,0)),L251)),0)</f>
        <v>0</v>
      </c>
      <c r="M290" s="9">
        <f ca="1">ROUND(MIN(M225,IF(Diag_Ann_TA!$H$214,MAX(0,M251+IFERROR((SUMPRODUCT((M$216:M$225=0)*M$242:M$251)+SUMPRODUCT((M$216:M$225&gt;0)*(M$242:M$251&gt;M$216:M$225)*(M$242:M$251-M$216:M$225)))*M264/M$265,0)),M251)),0)</f>
        <v>0</v>
      </c>
      <c r="N290" s="9">
        <f ca="1">ROUND(MIN(N225,IF(Diag_Ann_TA!$H$214,MAX(0,N251+IFERROR((SUMPRODUCT((N$216:N$225=0)*N$242:N$251)+SUMPRODUCT((N$216:N$225&gt;0)*(N$242:N$251&gt;N$216:N$225)*(N$242:N$251-N$216:N$225)))*N264/N$265,0)),N251)),0)</f>
        <v>0</v>
      </c>
      <c r="O290" s="9">
        <f ca="1">ROUND(MIN(O225,IF(Diag_Ann_TA!$H$214,MAX(0,O251+IFERROR((SUMPRODUCT((O$216:O$225=0)*O$242:O$251)+SUMPRODUCT((O$216:O$225&gt;0)*(O$242:O$251&gt;O$216:O$225)*(O$242:O$251-O$216:O$225)))*O264/O$265,0)),O251)),0)</f>
        <v>0</v>
      </c>
    </row>
    <row r="291" spans="3:15" s="327" customFormat="1" x14ac:dyDescent="0.2">
      <c r="D291" s="659" t="str">
        <f>"Total "&amp;D280&amp;" ("&amp;Diag_BA!G10&amp;")"</f>
        <v>Total Number of Procedures Performed (BIOP-H)</v>
      </c>
      <c r="H291" s="660" t="str">
        <f>Diag_BA!G10</f>
        <v>BIOP-H</v>
      </c>
      <c r="J291" s="5">
        <f t="shared" ref="J291:O291" ca="1" si="24">SUM(J281:J290)</f>
        <v>425</v>
      </c>
      <c r="K291" s="5">
        <f t="shared" ca="1" si="24"/>
        <v>425</v>
      </c>
      <c r="L291" s="5">
        <f t="shared" ca="1" si="24"/>
        <v>425</v>
      </c>
      <c r="M291" s="5">
        <f t="shared" ca="1" si="24"/>
        <v>425</v>
      </c>
      <c r="N291" s="5">
        <f t="shared" ca="1" si="24"/>
        <v>425</v>
      </c>
      <c r="O291" s="5">
        <f t="shared" ca="1" si="24"/>
        <v>425</v>
      </c>
    </row>
    <row r="292" spans="3:15" s="327" customFormat="1" x14ac:dyDescent="0.2"/>
    <row r="293" spans="3:15" s="327" customFormat="1" ht="15.75" x14ac:dyDescent="0.2">
      <c r="C293" s="26" t="str">
        <f>"Expected Costs ("&amp;INDEX(LU_Diag_Denom,DD_TS_Denom)&amp;")"</f>
        <v>Expected Costs (USD)</v>
      </c>
    </row>
    <row r="294" spans="3:15" s="327" customFormat="1" x14ac:dyDescent="0.2"/>
    <row r="295" spans="3:15" s="327" customFormat="1" ht="15" outlineLevel="2" x14ac:dyDescent="0.2">
      <c r="D295" s="658" t="s">
        <v>105</v>
      </c>
    </row>
    <row r="296" spans="3:15" s="327" customFormat="1" ht="12.75" customHeight="1" outlineLevel="2" x14ac:dyDescent="0.2">
      <c r="D296" s="660" t="str">
        <f>Plac_Start_Facs_BA!C10</f>
        <v>Central</v>
      </c>
      <c r="J296" s="8">
        <f ca="1">J281*Diag_BA!$L$93/TS_Denom_Conv_Fact</f>
        <v>0</v>
      </c>
      <c r="K296" s="8">
        <f ca="1">K281*Diag_BA!$L$93/TS_Denom_Conv_Fact</f>
        <v>0</v>
      </c>
      <c r="L296" s="8">
        <f ca="1">L281*Diag_BA!$L$93/TS_Denom_Conv_Fact</f>
        <v>0</v>
      </c>
      <c r="M296" s="8">
        <f ca="1">M281*Diag_BA!$L$93/TS_Denom_Conv_Fact</f>
        <v>0</v>
      </c>
      <c r="N296" s="8">
        <f ca="1">N281*Diag_BA!$L$93/TS_Denom_Conv_Fact</f>
        <v>0</v>
      </c>
      <c r="O296" s="8">
        <f ca="1">O281*Diag_BA!$L$93/TS_Denom_Conv_Fact</f>
        <v>0</v>
      </c>
    </row>
    <row r="297" spans="3:15" s="327" customFormat="1" ht="12.75" customHeight="1" outlineLevel="2" x14ac:dyDescent="0.2">
      <c r="D297" s="660" t="str">
        <f>Plac_Start_Facs_BA!C11</f>
        <v>Copperbelt</v>
      </c>
      <c r="J297" s="8">
        <f ca="1">J282*Diag_BA!$L$93/TS_Denom_Conv_Fact</f>
        <v>457.17602579999999</v>
      </c>
      <c r="K297" s="8">
        <f ca="1">K282*Diag_BA!$L$93/TS_Denom_Conv_Fact</f>
        <v>457.17602579999999</v>
      </c>
      <c r="L297" s="8">
        <f ca="1">L282*Diag_BA!$L$93/TS_Denom_Conv_Fact</f>
        <v>457.17602579999999</v>
      </c>
      <c r="M297" s="8">
        <f ca="1">M282*Diag_BA!$L$93/TS_Denom_Conv_Fact</f>
        <v>457.17602579999999</v>
      </c>
      <c r="N297" s="8">
        <f ca="1">N282*Diag_BA!$L$93/TS_Denom_Conv_Fact</f>
        <v>457.17602579999999</v>
      </c>
      <c r="O297" s="8">
        <f ca="1">O282*Diag_BA!$L$93/TS_Denom_Conv_Fact</f>
        <v>457.17602579999999</v>
      </c>
    </row>
    <row r="298" spans="3:15" s="327" customFormat="1" ht="12.75" customHeight="1" outlineLevel="2" x14ac:dyDescent="0.2">
      <c r="D298" s="660" t="str">
        <f>Plac_Start_Facs_BA!C12</f>
        <v>Eastern</v>
      </c>
      <c r="J298" s="8">
        <f ca="1">J283*Diag_BA!$L$93/TS_Denom_Conv_Fact</f>
        <v>0</v>
      </c>
      <c r="K298" s="8">
        <f ca="1">K283*Diag_BA!$L$93/TS_Denom_Conv_Fact</f>
        <v>0</v>
      </c>
      <c r="L298" s="8">
        <f ca="1">L283*Diag_BA!$L$93/TS_Denom_Conv_Fact</f>
        <v>0</v>
      </c>
      <c r="M298" s="8">
        <f ca="1">M283*Diag_BA!$L$93/TS_Denom_Conv_Fact</f>
        <v>0</v>
      </c>
      <c r="N298" s="8">
        <f ca="1">N283*Diag_BA!$L$93/TS_Denom_Conv_Fact</f>
        <v>0</v>
      </c>
      <c r="O298" s="8">
        <f ca="1">O283*Diag_BA!$L$93/TS_Denom_Conv_Fact</f>
        <v>0</v>
      </c>
    </row>
    <row r="299" spans="3:15" s="327" customFormat="1" ht="12.75" customHeight="1" outlineLevel="2" x14ac:dyDescent="0.2">
      <c r="D299" s="660" t="str">
        <f>Plac_Start_Facs_BA!C13</f>
        <v>Luapula</v>
      </c>
      <c r="J299" s="8">
        <f ca="1">J284*Diag_BA!$L$93/TS_Denom_Conv_Fact</f>
        <v>0</v>
      </c>
      <c r="K299" s="8">
        <f ca="1">K284*Diag_BA!$L$93/TS_Denom_Conv_Fact</f>
        <v>0</v>
      </c>
      <c r="L299" s="8">
        <f ca="1">L284*Diag_BA!$L$93/TS_Denom_Conv_Fact</f>
        <v>0</v>
      </c>
      <c r="M299" s="8">
        <f ca="1">M284*Diag_BA!$L$93/TS_Denom_Conv_Fact</f>
        <v>0</v>
      </c>
      <c r="N299" s="8">
        <f ca="1">N284*Diag_BA!$L$93/TS_Denom_Conv_Fact</f>
        <v>0</v>
      </c>
      <c r="O299" s="8">
        <f ca="1">O284*Diag_BA!$L$93/TS_Denom_Conv_Fact</f>
        <v>0</v>
      </c>
    </row>
    <row r="300" spans="3:15" s="327" customFormat="1" ht="12.75" customHeight="1" outlineLevel="2" x14ac:dyDescent="0.2">
      <c r="D300" s="660" t="str">
        <f>Plac_Start_Facs_BA!C14</f>
        <v>Lusaka</v>
      </c>
      <c r="J300" s="8">
        <f ca="1">J285*Diag_BA!$L$93/TS_Denom_Conv_Fact</f>
        <v>422.0086392</v>
      </c>
      <c r="K300" s="8">
        <f ca="1">K285*Diag_BA!$L$93/TS_Denom_Conv_Fact</f>
        <v>422.0086392</v>
      </c>
      <c r="L300" s="8">
        <f ca="1">L285*Diag_BA!$L$93/TS_Denom_Conv_Fact</f>
        <v>422.0086392</v>
      </c>
      <c r="M300" s="8">
        <f ca="1">M285*Diag_BA!$L$93/TS_Denom_Conv_Fact</f>
        <v>422.0086392</v>
      </c>
      <c r="N300" s="8">
        <f ca="1">N285*Diag_BA!$L$93/TS_Denom_Conv_Fact</f>
        <v>422.0086392</v>
      </c>
      <c r="O300" s="8">
        <f ca="1">O285*Diag_BA!$L$93/TS_Denom_Conv_Fact</f>
        <v>422.0086392</v>
      </c>
    </row>
    <row r="301" spans="3:15" s="327" customFormat="1" ht="12.75" customHeight="1" outlineLevel="2" x14ac:dyDescent="0.2">
      <c r="D301" s="660" t="str">
        <f>Plac_Start_Facs_BA!C15</f>
        <v>Muchinga</v>
      </c>
      <c r="J301" s="8">
        <f ca="1">J286*Diag_BA!$L$93/TS_Denom_Conv_Fact</f>
        <v>0</v>
      </c>
      <c r="K301" s="8">
        <f ca="1">K286*Diag_BA!$L$93/TS_Denom_Conv_Fact</f>
        <v>0</v>
      </c>
      <c r="L301" s="8">
        <f ca="1">L286*Diag_BA!$L$93/TS_Denom_Conv_Fact</f>
        <v>0</v>
      </c>
      <c r="M301" s="8">
        <f ca="1">M286*Diag_BA!$L$93/TS_Denom_Conv_Fact</f>
        <v>0</v>
      </c>
      <c r="N301" s="8">
        <f ca="1">N286*Diag_BA!$L$93/TS_Denom_Conv_Fact</f>
        <v>0</v>
      </c>
      <c r="O301" s="8">
        <f ca="1">O286*Diag_BA!$L$93/TS_Denom_Conv_Fact</f>
        <v>0</v>
      </c>
    </row>
    <row r="302" spans="3:15" s="327" customFormat="1" ht="12.75" customHeight="1" outlineLevel="2" x14ac:dyDescent="0.2">
      <c r="D302" s="660" t="str">
        <f>Plac_Start_Facs_BA!C16</f>
        <v>Northern</v>
      </c>
      <c r="J302" s="8">
        <f ca="1">J287*Diag_BA!$L$93/TS_Denom_Conv_Fact</f>
        <v>0</v>
      </c>
      <c r="K302" s="8">
        <f ca="1">K287*Diag_BA!$L$93/TS_Denom_Conv_Fact</f>
        <v>0</v>
      </c>
      <c r="L302" s="8">
        <f ca="1">L287*Diag_BA!$L$93/TS_Denom_Conv_Fact</f>
        <v>0</v>
      </c>
      <c r="M302" s="8">
        <f ca="1">M287*Diag_BA!$L$93/TS_Denom_Conv_Fact</f>
        <v>0</v>
      </c>
      <c r="N302" s="8">
        <f ca="1">N287*Diag_BA!$L$93/TS_Denom_Conv_Fact</f>
        <v>0</v>
      </c>
      <c r="O302" s="8">
        <f ca="1">O287*Diag_BA!$L$93/TS_Denom_Conv_Fact</f>
        <v>0</v>
      </c>
    </row>
    <row r="303" spans="3:15" s="327" customFormat="1" ht="12.75" customHeight="1" outlineLevel="2" x14ac:dyDescent="0.2">
      <c r="D303" s="660" t="str">
        <f>Plac_Start_Facs_BA!C17</f>
        <v>North-Western</v>
      </c>
      <c r="J303" s="8">
        <f ca="1">J288*Diag_BA!$L$93/TS_Denom_Conv_Fact</f>
        <v>0</v>
      </c>
      <c r="K303" s="8">
        <f ca="1">K288*Diag_BA!$L$93/TS_Denom_Conv_Fact</f>
        <v>0</v>
      </c>
      <c r="L303" s="8">
        <f ca="1">L288*Diag_BA!$L$93/TS_Denom_Conv_Fact</f>
        <v>0</v>
      </c>
      <c r="M303" s="8">
        <f ca="1">M288*Diag_BA!$L$93/TS_Denom_Conv_Fact</f>
        <v>0</v>
      </c>
      <c r="N303" s="8">
        <f ca="1">N288*Diag_BA!$L$93/TS_Denom_Conv_Fact</f>
        <v>0</v>
      </c>
      <c r="O303" s="8">
        <f ca="1">O288*Diag_BA!$L$93/TS_Denom_Conv_Fact</f>
        <v>0</v>
      </c>
    </row>
    <row r="304" spans="3:15" s="327" customFormat="1" ht="12.75" customHeight="1" outlineLevel="2" x14ac:dyDescent="0.2">
      <c r="D304" s="660" t="str">
        <f>Plac_Start_Facs_BA!C18</f>
        <v>Southern</v>
      </c>
      <c r="J304" s="8">
        <f ca="1">J289*Diag_BA!$L$93/TS_Denom_Conv_Fact</f>
        <v>0</v>
      </c>
      <c r="K304" s="8">
        <f ca="1">K289*Diag_BA!$L$93/TS_Denom_Conv_Fact</f>
        <v>0</v>
      </c>
      <c r="L304" s="8">
        <f ca="1">L289*Diag_BA!$L$93/TS_Denom_Conv_Fact</f>
        <v>0</v>
      </c>
      <c r="M304" s="8">
        <f ca="1">M289*Diag_BA!$L$93/TS_Denom_Conv_Fact</f>
        <v>0</v>
      </c>
      <c r="N304" s="8">
        <f ca="1">N289*Diag_BA!$L$93/TS_Denom_Conv_Fact</f>
        <v>0</v>
      </c>
      <c r="O304" s="8">
        <f ca="1">O289*Diag_BA!$L$93/TS_Denom_Conv_Fact</f>
        <v>0</v>
      </c>
    </row>
    <row r="305" spans="4:15" s="327" customFormat="1" ht="12.75" customHeight="1" outlineLevel="2" x14ac:dyDescent="0.2">
      <c r="D305" s="660" t="str">
        <f>Plac_Start_Facs_BA!C19</f>
        <v>Western</v>
      </c>
      <c r="J305" s="9">
        <f ca="1">J290*Diag_BA!$L$93/TS_Denom_Conv_Fact</f>
        <v>0</v>
      </c>
      <c r="K305" s="9">
        <f ca="1">K290*Diag_BA!$L$93/TS_Denom_Conv_Fact</f>
        <v>0</v>
      </c>
      <c r="L305" s="9">
        <f ca="1">L290*Diag_BA!$L$93/TS_Denom_Conv_Fact</f>
        <v>0</v>
      </c>
      <c r="M305" s="9">
        <f ca="1">M290*Diag_BA!$L$93/TS_Denom_Conv_Fact</f>
        <v>0</v>
      </c>
      <c r="N305" s="9">
        <f ca="1">N290*Diag_BA!$L$93/TS_Denom_Conv_Fact</f>
        <v>0</v>
      </c>
      <c r="O305" s="9">
        <f ca="1">O290*Diag_BA!$L$93/TS_Denom_Conv_Fact</f>
        <v>0</v>
      </c>
    </row>
    <row r="306" spans="4:15" s="327" customFormat="1" x14ac:dyDescent="0.2">
      <c r="D306" s="659" t="str">
        <f>"Total "&amp;D295&amp;" ("&amp;INDEX(LU_Diag_Denom,DD_TS_Denom)&amp;")"</f>
        <v>Total Supply Costs (USD)</v>
      </c>
      <c r="J306" s="5">
        <f t="shared" ref="J306:O306" ca="1" si="25">SUM(J296:J305)</f>
        <v>879.184665</v>
      </c>
      <c r="K306" s="5">
        <f t="shared" ca="1" si="25"/>
        <v>879.184665</v>
      </c>
      <c r="L306" s="5">
        <f t="shared" ca="1" si="25"/>
        <v>879.184665</v>
      </c>
      <c r="M306" s="5">
        <f t="shared" ca="1" si="25"/>
        <v>879.184665</v>
      </c>
      <c r="N306" s="5">
        <f t="shared" ca="1" si="25"/>
        <v>879.184665</v>
      </c>
      <c r="O306" s="5">
        <f t="shared" ca="1" si="25"/>
        <v>879.184665</v>
      </c>
    </row>
    <row r="307" spans="4:15" s="327" customFormat="1" outlineLevel="2" x14ac:dyDescent="0.2"/>
    <row r="308" spans="4:15" s="327" customFormat="1" ht="15" outlineLevel="2" x14ac:dyDescent="0.2">
      <c r="D308" s="658" t="s">
        <v>288</v>
      </c>
    </row>
    <row r="309" spans="4:15" s="327" customFormat="1" outlineLevel="2" x14ac:dyDescent="0.2">
      <c r="D309" s="660" t="str">
        <f>Plac_Start_Facs_BA!C10</f>
        <v>Central</v>
      </c>
      <c r="J309" s="8">
        <f ca="1">Diag_BA!$N$64*J281*J202/TS_Denom_Conv_Fact</f>
        <v>0</v>
      </c>
      <c r="K309" s="8">
        <f ca="1">Diag_BA!$N$64*K281*K202/TS_Denom_Conv_Fact</f>
        <v>0</v>
      </c>
      <c r="L309" s="8">
        <f ca="1">Diag_BA!$N$64*L281*L202/TS_Denom_Conv_Fact</f>
        <v>0</v>
      </c>
      <c r="M309" s="8">
        <f ca="1">Diag_BA!$N$64*M281*M202/TS_Denom_Conv_Fact</f>
        <v>0</v>
      </c>
      <c r="N309" s="8">
        <f ca="1">Diag_BA!$N$64*N281*N202/TS_Denom_Conv_Fact</f>
        <v>0</v>
      </c>
      <c r="O309" s="8">
        <f ca="1">Diag_BA!$N$64*O281*O202/TS_Denom_Conv_Fact</f>
        <v>0</v>
      </c>
    </row>
    <row r="310" spans="4:15" s="327" customFormat="1" outlineLevel="2" x14ac:dyDescent="0.2">
      <c r="D310" s="660" t="str">
        <f>Plac_Start_Facs_BA!C11</f>
        <v>Copperbelt</v>
      </c>
      <c r="J310" s="8">
        <f ca="1">Diag_BA!$N$64*J282*J203/TS_Denom_Conv_Fact</f>
        <v>949.17961270670139</v>
      </c>
      <c r="K310" s="8">
        <f ca="1">Diag_BA!$N$64*K282*K203/TS_Denom_Conv_Fact</f>
        <v>949.17961270670139</v>
      </c>
      <c r="L310" s="8">
        <f ca="1">Diag_BA!$N$64*L282*L203/TS_Denom_Conv_Fact</f>
        <v>949.17961270670139</v>
      </c>
      <c r="M310" s="8">
        <f ca="1">Diag_BA!$N$64*M282*M203/TS_Denom_Conv_Fact</f>
        <v>949.17961270670139</v>
      </c>
      <c r="N310" s="8">
        <f ca="1">Diag_BA!$N$64*N282*N203/TS_Denom_Conv_Fact</f>
        <v>949.17961270670139</v>
      </c>
      <c r="O310" s="8">
        <f ca="1">Diag_BA!$N$64*O282*O203/TS_Denom_Conv_Fact</f>
        <v>949.17961270670139</v>
      </c>
    </row>
    <row r="311" spans="4:15" s="327" customFormat="1" outlineLevel="2" x14ac:dyDescent="0.2">
      <c r="D311" s="660" t="str">
        <f>Plac_Start_Facs_BA!C12</f>
        <v>Eastern</v>
      </c>
      <c r="J311" s="8">
        <f ca="1">Diag_BA!$N$64*J283*J204/TS_Denom_Conv_Fact</f>
        <v>0</v>
      </c>
      <c r="K311" s="8">
        <f ca="1">Diag_BA!$N$64*K283*K204/TS_Denom_Conv_Fact</f>
        <v>0</v>
      </c>
      <c r="L311" s="8">
        <f ca="1">Diag_BA!$N$64*L283*L204/TS_Denom_Conv_Fact</f>
        <v>0</v>
      </c>
      <c r="M311" s="8">
        <f ca="1">Diag_BA!$N$64*M283*M204/TS_Denom_Conv_Fact</f>
        <v>0</v>
      </c>
      <c r="N311" s="8">
        <f ca="1">Diag_BA!$N$64*N283*N204/TS_Denom_Conv_Fact</f>
        <v>0</v>
      </c>
      <c r="O311" s="8">
        <f ca="1">Diag_BA!$N$64*O283*O204/TS_Denom_Conv_Fact</f>
        <v>0</v>
      </c>
    </row>
    <row r="312" spans="4:15" s="327" customFormat="1" outlineLevel="2" x14ac:dyDescent="0.2">
      <c r="D312" s="660" t="str">
        <f>Plac_Start_Facs_BA!C13</f>
        <v>Luapula</v>
      </c>
      <c r="J312" s="8">
        <f ca="1">Diag_BA!$N$64*J284*J205/TS_Denom_Conv_Fact</f>
        <v>0</v>
      </c>
      <c r="K312" s="8">
        <f ca="1">Diag_BA!$N$64*K284*K205/TS_Denom_Conv_Fact</f>
        <v>0</v>
      </c>
      <c r="L312" s="8">
        <f ca="1">Diag_BA!$N$64*L284*L205/TS_Denom_Conv_Fact</f>
        <v>0</v>
      </c>
      <c r="M312" s="8">
        <f ca="1">Diag_BA!$N$64*M284*M205/TS_Denom_Conv_Fact</f>
        <v>0</v>
      </c>
      <c r="N312" s="8">
        <f ca="1">Diag_BA!$N$64*N284*N205/TS_Denom_Conv_Fact</f>
        <v>0</v>
      </c>
      <c r="O312" s="8">
        <f ca="1">Diag_BA!$N$64*O284*O205/TS_Denom_Conv_Fact</f>
        <v>0</v>
      </c>
    </row>
    <row r="313" spans="4:15" s="327" customFormat="1" outlineLevel="2" x14ac:dyDescent="0.2">
      <c r="D313" s="660" t="str">
        <f>Plac_Start_Facs_BA!C14</f>
        <v>Lusaka</v>
      </c>
      <c r="J313" s="8">
        <f ca="1">Diag_BA!$N$64*J285*J206/TS_Denom_Conv_Fact</f>
        <v>876.16579634464745</v>
      </c>
      <c r="K313" s="8">
        <f ca="1">Diag_BA!$N$64*K285*K206/TS_Denom_Conv_Fact</f>
        <v>876.16579634464745</v>
      </c>
      <c r="L313" s="8">
        <f ca="1">Diag_BA!$N$64*L285*L206/TS_Denom_Conv_Fact</f>
        <v>876.16579634464745</v>
      </c>
      <c r="M313" s="8">
        <f ca="1">Diag_BA!$N$64*M285*M206/TS_Denom_Conv_Fact</f>
        <v>876.16579634464745</v>
      </c>
      <c r="N313" s="8">
        <f ca="1">Diag_BA!$N$64*N285*N206/TS_Denom_Conv_Fact</f>
        <v>876.16579634464745</v>
      </c>
      <c r="O313" s="8">
        <f ca="1">Diag_BA!$N$64*O285*O206/TS_Denom_Conv_Fact</f>
        <v>876.16579634464745</v>
      </c>
    </row>
    <row r="314" spans="4:15" s="327" customFormat="1" outlineLevel="2" x14ac:dyDescent="0.2">
      <c r="D314" s="660" t="str">
        <f>Plac_Start_Facs_BA!C15</f>
        <v>Muchinga</v>
      </c>
      <c r="J314" s="8">
        <f ca="1">Diag_BA!$N$64*J286*J207/TS_Denom_Conv_Fact</f>
        <v>0</v>
      </c>
      <c r="K314" s="8">
        <f ca="1">Diag_BA!$N$64*K286*K207/TS_Denom_Conv_Fact</f>
        <v>0</v>
      </c>
      <c r="L314" s="8">
        <f ca="1">Diag_BA!$N$64*L286*L207/TS_Denom_Conv_Fact</f>
        <v>0</v>
      </c>
      <c r="M314" s="8">
        <f ca="1">Diag_BA!$N$64*M286*M207/TS_Denom_Conv_Fact</f>
        <v>0</v>
      </c>
      <c r="N314" s="8">
        <f ca="1">Diag_BA!$N$64*N286*N207/TS_Denom_Conv_Fact</f>
        <v>0</v>
      </c>
      <c r="O314" s="8">
        <f ca="1">Diag_BA!$N$64*O286*O207/TS_Denom_Conv_Fact</f>
        <v>0</v>
      </c>
    </row>
    <row r="315" spans="4:15" s="327" customFormat="1" outlineLevel="2" x14ac:dyDescent="0.2">
      <c r="D315" s="660" t="str">
        <f>Plac_Start_Facs_BA!C16</f>
        <v>Northern</v>
      </c>
      <c r="J315" s="8">
        <f ca="1">Diag_BA!$N$64*J287*J208/TS_Denom_Conv_Fact</f>
        <v>0</v>
      </c>
      <c r="K315" s="8">
        <f ca="1">Diag_BA!$N$64*K287*K208/TS_Denom_Conv_Fact</f>
        <v>0</v>
      </c>
      <c r="L315" s="8">
        <f ca="1">Diag_BA!$N$64*L287*L208/TS_Denom_Conv_Fact</f>
        <v>0</v>
      </c>
      <c r="M315" s="8">
        <f ca="1">Diag_BA!$N$64*M287*M208/TS_Denom_Conv_Fact</f>
        <v>0</v>
      </c>
      <c r="N315" s="8">
        <f ca="1">Diag_BA!$N$64*N287*N208/TS_Denom_Conv_Fact</f>
        <v>0</v>
      </c>
      <c r="O315" s="8">
        <f ca="1">Diag_BA!$N$64*O287*O208/TS_Denom_Conv_Fact</f>
        <v>0</v>
      </c>
    </row>
    <row r="316" spans="4:15" s="327" customFormat="1" outlineLevel="2" x14ac:dyDescent="0.2">
      <c r="D316" s="660" t="str">
        <f>Plac_Start_Facs_BA!C17</f>
        <v>North-Western</v>
      </c>
      <c r="J316" s="8">
        <f ca="1">Diag_BA!$N$64*J288*J209/TS_Denom_Conv_Fact</f>
        <v>0</v>
      </c>
      <c r="K316" s="8">
        <f ca="1">Diag_BA!$N$64*K288*K209/TS_Denom_Conv_Fact</f>
        <v>0</v>
      </c>
      <c r="L316" s="8">
        <f ca="1">Diag_BA!$N$64*L288*L209/TS_Denom_Conv_Fact</f>
        <v>0</v>
      </c>
      <c r="M316" s="8">
        <f ca="1">Diag_BA!$N$64*M288*M209/TS_Denom_Conv_Fact</f>
        <v>0</v>
      </c>
      <c r="N316" s="8">
        <f ca="1">Diag_BA!$N$64*N288*N209/TS_Denom_Conv_Fact</f>
        <v>0</v>
      </c>
      <c r="O316" s="8">
        <f ca="1">Diag_BA!$N$64*O288*O209/TS_Denom_Conv_Fact</f>
        <v>0</v>
      </c>
    </row>
    <row r="317" spans="4:15" s="327" customFormat="1" outlineLevel="2" x14ac:dyDescent="0.2">
      <c r="D317" s="660" t="str">
        <f>Plac_Start_Facs_BA!C18</f>
        <v>Southern</v>
      </c>
      <c r="J317" s="8">
        <f ca="1">Diag_BA!$N$64*J289*J210/TS_Denom_Conv_Fact</f>
        <v>0</v>
      </c>
      <c r="K317" s="8">
        <f ca="1">Diag_BA!$N$64*K289*K210/TS_Denom_Conv_Fact</f>
        <v>0</v>
      </c>
      <c r="L317" s="8">
        <f ca="1">Diag_BA!$N$64*L289*L210/TS_Denom_Conv_Fact</f>
        <v>0</v>
      </c>
      <c r="M317" s="8">
        <f ca="1">Diag_BA!$N$64*M289*M210/TS_Denom_Conv_Fact</f>
        <v>0</v>
      </c>
      <c r="N317" s="8">
        <f ca="1">Diag_BA!$N$64*N289*N210/TS_Denom_Conv_Fact</f>
        <v>0</v>
      </c>
      <c r="O317" s="8">
        <f ca="1">Diag_BA!$N$64*O289*O210/TS_Denom_Conv_Fact</f>
        <v>0</v>
      </c>
    </row>
    <row r="318" spans="4:15" s="327" customFormat="1" outlineLevel="2" x14ac:dyDescent="0.2">
      <c r="D318" s="660" t="str">
        <f>Plac_Start_Facs_BA!C19</f>
        <v>Western</v>
      </c>
      <c r="J318" s="9">
        <f ca="1">Diag_BA!$N$64*J290*J211/TS_Denom_Conv_Fact</f>
        <v>0</v>
      </c>
      <c r="K318" s="9">
        <f ca="1">Diag_BA!$N$64*K290*K211/TS_Denom_Conv_Fact</f>
        <v>0</v>
      </c>
      <c r="L318" s="9">
        <f ca="1">Diag_BA!$N$64*L290*L211/TS_Denom_Conv_Fact</f>
        <v>0</v>
      </c>
      <c r="M318" s="9">
        <f ca="1">Diag_BA!$N$64*M290*M211/TS_Denom_Conv_Fact</f>
        <v>0</v>
      </c>
      <c r="N318" s="9">
        <f ca="1">Diag_BA!$N$64*N290*N211/TS_Denom_Conv_Fact</f>
        <v>0</v>
      </c>
      <c r="O318" s="9">
        <f ca="1">Diag_BA!$N$64*O290*O211/TS_Denom_Conv_Fact</f>
        <v>0</v>
      </c>
    </row>
    <row r="319" spans="4:15" s="327" customFormat="1" x14ac:dyDescent="0.2">
      <c r="D319" s="659" t="str">
        <f>"Total "&amp;D308&amp;" ("&amp;INDEX(LU_Diag_Denom,DD_TS_Denom)&amp;")"</f>
        <v>Total Personnel Costs (Hospital) (USD)</v>
      </c>
      <c r="J319" s="5">
        <f t="shared" ref="J319:O319" ca="1" si="26">SUM(J309:J318)</f>
        <v>1825.3454090513487</v>
      </c>
      <c r="K319" s="5">
        <f t="shared" ca="1" si="26"/>
        <v>1825.3454090513487</v>
      </c>
      <c r="L319" s="5">
        <f t="shared" ca="1" si="26"/>
        <v>1825.3454090513487</v>
      </c>
      <c r="M319" s="5">
        <f t="shared" ca="1" si="26"/>
        <v>1825.3454090513487</v>
      </c>
      <c r="N319" s="5">
        <f t="shared" ca="1" si="26"/>
        <v>1825.3454090513487</v>
      </c>
      <c r="O319" s="5">
        <f t="shared" ca="1" si="26"/>
        <v>1825.3454090513487</v>
      </c>
    </row>
    <row r="320" spans="4:15" s="327" customFormat="1" outlineLevel="2" x14ac:dyDescent="0.2"/>
    <row r="321" spans="4:15" s="327" customFormat="1" ht="15" outlineLevel="2" x14ac:dyDescent="0.2">
      <c r="D321" s="658" t="s">
        <v>115</v>
      </c>
    </row>
    <row r="322" spans="4:15" s="327" customFormat="1" outlineLevel="2" x14ac:dyDescent="0.2">
      <c r="D322" s="660" t="str">
        <f>Plac_Start_Facs_BA!C10</f>
        <v>Central</v>
      </c>
      <c r="J322" s="8">
        <f ca="1">Diag_BA!$N$76*J281*(1-J202)/TS_Denom_Conv_Fact</f>
        <v>0</v>
      </c>
      <c r="K322" s="8">
        <f ca="1">Diag_BA!$N$76*K281*(1-K202)/TS_Denom_Conv_Fact</f>
        <v>0</v>
      </c>
      <c r="L322" s="8">
        <f ca="1">Diag_BA!$N$76*L281*(1-L202)/TS_Denom_Conv_Fact</f>
        <v>0</v>
      </c>
      <c r="M322" s="8">
        <f ca="1">Diag_BA!$N$76*M281*(1-M202)/TS_Denom_Conv_Fact</f>
        <v>0</v>
      </c>
      <c r="N322" s="8">
        <f ca="1">Diag_BA!$N$76*N281*(1-N202)/TS_Denom_Conv_Fact</f>
        <v>0</v>
      </c>
      <c r="O322" s="8">
        <f ca="1">Diag_BA!$N$76*O281*(1-O202)/TS_Denom_Conv_Fact</f>
        <v>0</v>
      </c>
    </row>
    <row r="323" spans="4:15" s="327" customFormat="1" outlineLevel="2" x14ac:dyDescent="0.2">
      <c r="D323" s="660" t="str">
        <f>Plac_Start_Facs_BA!C11</f>
        <v>Copperbelt</v>
      </c>
      <c r="J323" s="8">
        <f ca="1">Diag_BA!$N$76*J282*(1-J203)/TS_Denom_Conv_Fact</f>
        <v>0</v>
      </c>
      <c r="K323" s="8">
        <f ca="1">Diag_BA!$N$76*K282*(1-K203)/TS_Denom_Conv_Fact</f>
        <v>0</v>
      </c>
      <c r="L323" s="8">
        <f ca="1">Diag_BA!$N$76*L282*(1-L203)/TS_Denom_Conv_Fact</f>
        <v>0</v>
      </c>
      <c r="M323" s="8">
        <f ca="1">Diag_BA!$N$76*M282*(1-M203)/TS_Denom_Conv_Fact</f>
        <v>0</v>
      </c>
      <c r="N323" s="8">
        <f ca="1">Diag_BA!$N$76*N282*(1-N203)/TS_Denom_Conv_Fact</f>
        <v>0</v>
      </c>
      <c r="O323" s="8">
        <f ca="1">Diag_BA!$N$76*O282*(1-O203)/TS_Denom_Conv_Fact</f>
        <v>0</v>
      </c>
    </row>
    <row r="324" spans="4:15" s="327" customFormat="1" outlineLevel="2" x14ac:dyDescent="0.2">
      <c r="D324" s="660" t="str">
        <f>Plac_Start_Facs_BA!C12</f>
        <v>Eastern</v>
      </c>
      <c r="J324" s="8">
        <f ca="1">Diag_BA!$N$76*J283*(1-J204)/TS_Denom_Conv_Fact</f>
        <v>0</v>
      </c>
      <c r="K324" s="8">
        <f ca="1">Diag_BA!$N$76*K283*(1-K204)/TS_Denom_Conv_Fact</f>
        <v>0</v>
      </c>
      <c r="L324" s="8">
        <f ca="1">Diag_BA!$N$76*L283*(1-L204)/TS_Denom_Conv_Fact</f>
        <v>0</v>
      </c>
      <c r="M324" s="8">
        <f ca="1">Diag_BA!$N$76*M283*(1-M204)/TS_Denom_Conv_Fact</f>
        <v>0</v>
      </c>
      <c r="N324" s="8">
        <f ca="1">Diag_BA!$N$76*N283*(1-N204)/TS_Denom_Conv_Fact</f>
        <v>0</v>
      </c>
      <c r="O324" s="8">
        <f ca="1">Diag_BA!$N$76*O283*(1-O204)/TS_Denom_Conv_Fact</f>
        <v>0</v>
      </c>
    </row>
    <row r="325" spans="4:15" s="327" customFormat="1" outlineLevel="2" x14ac:dyDescent="0.2">
      <c r="D325" s="660" t="str">
        <f>Plac_Start_Facs_BA!C13</f>
        <v>Luapula</v>
      </c>
      <c r="J325" s="8">
        <f ca="1">Diag_BA!$N$76*J284*(1-J205)/TS_Denom_Conv_Fact</f>
        <v>0</v>
      </c>
      <c r="K325" s="8">
        <f ca="1">Diag_BA!$N$76*K284*(1-K205)/TS_Denom_Conv_Fact</f>
        <v>0</v>
      </c>
      <c r="L325" s="8">
        <f ca="1">Diag_BA!$N$76*L284*(1-L205)/TS_Denom_Conv_Fact</f>
        <v>0</v>
      </c>
      <c r="M325" s="8">
        <f ca="1">Diag_BA!$N$76*M284*(1-M205)/TS_Denom_Conv_Fact</f>
        <v>0</v>
      </c>
      <c r="N325" s="8">
        <f ca="1">Diag_BA!$N$76*N284*(1-N205)/TS_Denom_Conv_Fact</f>
        <v>0</v>
      </c>
      <c r="O325" s="8">
        <f ca="1">Diag_BA!$N$76*O284*(1-O205)/TS_Denom_Conv_Fact</f>
        <v>0</v>
      </c>
    </row>
    <row r="326" spans="4:15" s="327" customFormat="1" outlineLevel="2" x14ac:dyDescent="0.2">
      <c r="D326" s="660" t="str">
        <f>Plac_Start_Facs_BA!C14</f>
        <v>Lusaka</v>
      </c>
      <c r="J326" s="8">
        <f ca="1">Diag_BA!$N$76*J285*(1-J206)/TS_Denom_Conv_Fact</f>
        <v>0</v>
      </c>
      <c r="K326" s="8">
        <f ca="1">Diag_BA!$N$76*K285*(1-K206)/TS_Denom_Conv_Fact</f>
        <v>0</v>
      </c>
      <c r="L326" s="8">
        <f ca="1">Diag_BA!$N$76*L285*(1-L206)/TS_Denom_Conv_Fact</f>
        <v>0</v>
      </c>
      <c r="M326" s="8">
        <f ca="1">Diag_BA!$N$76*M285*(1-M206)/TS_Denom_Conv_Fact</f>
        <v>0</v>
      </c>
      <c r="N326" s="8">
        <f ca="1">Diag_BA!$N$76*N285*(1-N206)/TS_Denom_Conv_Fact</f>
        <v>0</v>
      </c>
      <c r="O326" s="8">
        <f ca="1">Diag_BA!$N$76*O285*(1-O206)/TS_Denom_Conv_Fact</f>
        <v>0</v>
      </c>
    </row>
    <row r="327" spans="4:15" s="327" customFormat="1" outlineLevel="2" x14ac:dyDescent="0.2">
      <c r="D327" s="660" t="str">
        <f>Plac_Start_Facs_BA!C15</f>
        <v>Muchinga</v>
      </c>
      <c r="J327" s="8">
        <f ca="1">Diag_BA!$N$76*J286*(1-J207)/TS_Denom_Conv_Fact</f>
        <v>0</v>
      </c>
      <c r="K327" s="8">
        <f ca="1">Diag_BA!$N$76*K286*(1-K207)/TS_Denom_Conv_Fact</f>
        <v>0</v>
      </c>
      <c r="L327" s="8">
        <f ca="1">Diag_BA!$N$76*L286*(1-L207)/TS_Denom_Conv_Fact</f>
        <v>0</v>
      </c>
      <c r="M327" s="8">
        <f ca="1">Diag_BA!$N$76*M286*(1-M207)/TS_Denom_Conv_Fact</f>
        <v>0</v>
      </c>
      <c r="N327" s="8">
        <f ca="1">Diag_BA!$N$76*N286*(1-N207)/TS_Denom_Conv_Fact</f>
        <v>0</v>
      </c>
      <c r="O327" s="8">
        <f ca="1">Diag_BA!$N$76*O286*(1-O207)/TS_Denom_Conv_Fact</f>
        <v>0</v>
      </c>
    </row>
    <row r="328" spans="4:15" s="327" customFormat="1" outlineLevel="2" x14ac:dyDescent="0.2">
      <c r="D328" s="660" t="str">
        <f>Plac_Start_Facs_BA!C16</f>
        <v>Northern</v>
      </c>
      <c r="J328" s="8">
        <f ca="1">Diag_BA!$N$76*J287*(1-J208)/TS_Denom_Conv_Fact</f>
        <v>0</v>
      </c>
      <c r="K328" s="8">
        <f ca="1">Diag_BA!$N$76*K287*(1-K208)/TS_Denom_Conv_Fact</f>
        <v>0</v>
      </c>
      <c r="L328" s="8">
        <f ca="1">Diag_BA!$N$76*L287*(1-L208)/TS_Denom_Conv_Fact</f>
        <v>0</v>
      </c>
      <c r="M328" s="8">
        <f ca="1">Diag_BA!$N$76*M287*(1-M208)/TS_Denom_Conv_Fact</f>
        <v>0</v>
      </c>
      <c r="N328" s="8">
        <f ca="1">Diag_BA!$N$76*N287*(1-N208)/TS_Denom_Conv_Fact</f>
        <v>0</v>
      </c>
      <c r="O328" s="8">
        <f ca="1">Diag_BA!$N$76*O287*(1-O208)/TS_Denom_Conv_Fact</f>
        <v>0</v>
      </c>
    </row>
    <row r="329" spans="4:15" s="327" customFormat="1" outlineLevel="2" x14ac:dyDescent="0.2">
      <c r="D329" s="660" t="str">
        <f>Plac_Start_Facs_BA!C17</f>
        <v>North-Western</v>
      </c>
      <c r="J329" s="8">
        <f ca="1">Diag_BA!$N$76*J288*(1-J209)/TS_Denom_Conv_Fact</f>
        <v>0</v>
      </c>
      <c r="K329" s="8">
        <f ca="1">Diag_BA!$N$76*K288*(1-K209)/TS_Denom_Conv_Fact</f>
        <v>0</v>
      </c>
      <c r="L329" s="8">
        <f ca="1">Diag_BA!$N$76*L288*(1-L209)/TS_Denom_Conv_Fact</f>
        <v>0</v>
      </c>
      <c r="M329" s="8">
        <f ca="1">Diag_BA!$N$76*M288*(1-M209)/TS_Denom_Conv_Fact</f>
        <v>0</v>
      </c>
      <c r="N329" s="8">
        <f ca="1">Diag_BA!$N$76*N288*(1-N209)/TS_Denom_Conv_Fact</f>
        <v>0</v>
      </c>
      <c r="O329" s="8">
        <f ca="1">Diag_BA!$N$76*O288*(1-O209)/TS_Denom_Conv_Fact</f>
        <v>0</v>
      </c>
    </row>
    <row r="330" spans="4:15" s="327" customFormat="1" outlineLevel="2" x14ac:dyDescent="0.2">
      <c r="D330" s="660" t="str">
        <f>Plac_Start_Facs_BA!C18</f>
        <v>Southern</v>
      </c>
      <c r="J330" s="8">
        <f ca="1">Diag_BA!$N$76*J289*(1-J210)/TS_Denom_Conv_Fact</f>
        <v>0</v>
      </c>
      <c r="K330" s="8">
        <f ca="1">Diag_BA!$N$76*K289*(1-K210)/TS_Denom_Conv_Fact</f>
        <v>0</v>
      </c>
      <c r="L330" s="8">
        <f ca="1">Diag_BA!$N$76*L289*(1-L210)/TS_Denom_Conv_Fact</f>
        <v>0</v>
      </c>
      <c r="M330" s="8">
        <f ca="1">Diag_BA!$N$76*M289*(1-M210)/TS_Denom_Conv_Fact</f>
        <v>0</v>
      </c>
      <c r="N330" s="8">
        <f ca="1">Diag_BA!$N$76*N289*(1-N210)/TS_Denom_Conv_Fact</f>
        <v>0</v>
      </c>
      <c r="O330" s="8">
        <f ca="1">Diag_BA!$N$76*O289*(1-O210)/TS_Denom_Conv_Fact</f>
        <v>0</v>
      </c>
    </row>
    <row r="331" spans="4:15" s="327" customFormat="1" outlineLevel="2" x14ac:dyDescent="0.2">
      <c r="D331" s="660" t="str">
        <f>Plac_Start_Facs_BA!C19</f>
        <v>Western</v>
      </c>
      <c r="J331" s="9">
        <f ca="1">Diag_BA!$N$76*J290*(1-J211)/TS_Denom_Conv_Fact</f>
        <v>0</v>
      </c>
      <c r="K331" s="9">
        <f ca="1">Diag_BA!$N$76*K290*(1-K211)/TS_Denom_Conv_Fact</f>
        <v>0</v>
      </c>
      <c r="L331" s="9">
        <f ca="1">Diag_BA!$N$76*L290*(1-L211)/TS_Denom_Conv_Fact</f>
        <v>0</v>
      </c>
      <c r="M331" s="9">
        <f ca="1">Diag_BA!$N$76*M290*(1-M211)/TS_Denom_Conv_Fact</f>
        <v>0</v>
      </c>
      <c r="N331" s="9">
        <f ca="1">Diag_BA!$N$76*N290*(1-N211)/TS_Denom_Conv_Fact</f>
        <v>0</v>
      </c>
      <c r="O331" s="9">
        <f ca="1">Diag_BA!$N$76*O290*(1-O211)/TS_Denom_Conv_Fact</f>
        <v>0</v>
      </c>
    </row>
    <row r="332" spans="4:15" s="327" customFormat="1" x14ac:dyDescent="0.2">
      <c r="D332" s="659" t="str">
        <f>"Total "&amp;D321&amp;" ("&amp;INDEX(LU_Diag_Denom,DD_TS_Denom)&amp;")"</f>
        <v>Total Personnel Costs (Other) (USD)</v>
      </c>
      <c r="J332" s="5">
        <f t="shared" ref="J332:O332" ca="1" si="27">SUM(J322:J331)</f>
        <v>0</v>
      </c>
      <c r="K332" s="5">
        <f t="shared" ca="1" si="27"/>
        <v>0</v>
      </c>
      <c r="L332" s="5">
        <f t="shared" ca="1" si="27"/>
        <v>0</v>
      </c>
      <c r="M332" s="5">
        <f t="shared" ca="1" si="27"/>
        <v>0</v>
      </c>
      <c r="N332" s="5">
        <f t="shared" ca="1" si="27"/>
        <v>0</v>
      </c>
      <c r="O332" s="5">
        <f t="shared" ca="1" si="27"/>
        <v>0</v>
      </c>
    </row>
    <row r="333" spans="4:15" s="327" customFormat="1" outlineLevel="2" x14ac:dyDescent="0.2"/>
    <row r="334" spans="4:15" s="327" customFormat="1" ht="15" outlineLevel="2" x14ac:dyDescent="0.2">
      <c r="D334" s="658" t="s">
        <v>143</v>
      </c>
    </row>
    <row r="335" spans="4:15" s="327" customFormat="1" outlineLevel="2" x14ac:dyDescent="0.2">
      <c r="D335" s="660" t="str">
        <f>Plac_Start_Facs_BA!C10</f>
        <v>Central</v>
      </c>
      <c r="J335" s="8">
        <f ca="1">J281*Diag_BA!$L$121/TS_Denom_Conv_Fact</f>
        <v>0</v>
      </c>
      <c r="K335" s="8">
        <f ca="1">K281*Diag_BA!$L$121/TS_Denom_Conv_Fact</f>
        <v>0</v>
      </c>
      <c r="L335" s="8">
        <f ca="1">L281*Diag_BA!$L$121/TS_Denom_Conv_Fact</f>
        <v>0</v>
      </c>
      <c r="M335" s="8">
        <f ca="1">M281*Diag_BA!$L$121/TS_Denom_Conv_Fact</f>
        <v>0</v>
      </c>
      <c r="N335" s="8">
        <f ca="1">N281*Diag_BA!$L$121/TS_Denom_Conv_Fact</f>
        <v>0</v>
      </c>
      <c r="O335" s="8">
        <f ca="1">O281*Diag_BA!$L$121/TS_Denom_Conv_Fact</f>
        <v>0</v>
      </c>
    </row>
    <row r="336" spans="4:15" s="327" customFormat="1" outlineLevel="2" x14ac:dyDescent="0.2">
      <c r="D336" s="660" t="str">
        <f>Plac_Start_Facs_BA!C11</f>
        <v>Copperbelt</v>
      </c>
      <c r="J336" s="8">
        <f ca="1">J282*Diag_BA!$L$121/TS_Denom_Conv_Fact</f>
        <v>2309.4499999999998</v>
      </c>
      <c r="K336" s="8">
        <f ca="1">K282*Diag_BA!$L$121/TS_Denom_Conv_Fact</f>
        <v>2309.4499999999998</v>
      </c>
      <c r="L336" s="8">
        <f ca="1">L282*Diag_BA!$L$121/TS_Denom_Conv_Fact</f>
        <v>2309.4499999999998</v>
      </c>
      <c r="M336" s="8">
        <f ca="1">M282*Diag_BA!$L$121/TS_Denom_Conv_Fact</f>
        <v>2309.4499999999998</v>
      </c>
      <c r="N336" s="8">
        <f ca="1">N282*Diag_BA!$L$121/TS_Denom_Conv_Fact</f>
        <v>2309.4499999999998</v>
      </c>
      <c r="O336" s="8">
        <f ca="1">O282*Diag_BA!$L$121/TS_Denom_Conv_Fact</f>
        <v>2309.4499999999998</v>
      </c>
    </row>
    <row r="337" spans="4:15" s="327" customFormat="1" outlineLevel="2" x14ac:dyDescent="0.2">
      <c r="D337" s="660" t="str">
        <f>Plac_Start_Facs_BA!C12</f>
        <v>Eastern</v>
      </c>
      <c r="J337" s="8">
        <f ca="1">J283*Diag_BA!$L$121/TS_Denom_Conv_Fact</f>
        <v>0</v>
      </c>
      <c r="K337" s="8">
        <f ca="1">K283*Diag_BA!$L$121/TS_Denom_Conv_Fact</f>
        <v>0</v>
      </c>
      <c r="L337" s="8">
        <f ca="1">L283*Diag_BA!$L$121/TS_Denom_Conv_Fact</f>
        <v>0</v>
      </c>
      <c r="M337" s="8">
        <f ca="1">M283*Diag_BA!$L$121/TS_Denom_Conv_Fact</f>
        <v>0</v>
      </c>
      <c r="N337" s="8">
        <f ca="1">N283*Diag_BA!$L$121/TS_Denom_Conv_Fact</f>
        <v>0</v>
      </c>
      <c r="O337" s="8">
        <f ca="1">O283*Diag_BA!$L$121/TS_Denom_Conv_Fact</f>
        <v>0</v>
      </c>
    </row>
    <row r="338" spans="4:15" s="327" customFormat="1" outlineLevel="2" x14ac:dyDescent="0.2">
      <c r="D338" s="660" t="str">
        <f>Plac_Start_Facs_BA!C13</f>
        <v>Luapula</v>
      </c>
      <c r="J338" s="8">
        <f ca="1">J284*Diag_BA!$L$121/TS_Denom_Conv_Fact</f>
        <v>0</v>
      </c>
      <c r="K338" s="8">
        <f ca="1">K284*Diag_BA!$L$121/TS_Denom_Conv_Fact</f>
        <v>0</v>
      </c>
      <c r="L338" s="8">
        <f ca="1">L284*Diag_BA!$L$121/TS_Denom_Conv_Fact</f>
        <v>0</v>
      </c>
      <c r="M338" s="8">
        <f ca="1">M284*Diag_BA!$L$121/TS_Denom_Conv_Fact</f>
        <v>0</v>
      </c>
      <c r="N338" s="8">
        <f ca="1">N284*Diag_BA!$L$121/TS_Denom_Conv_Fact</f>
        <v>0</v>
      </c>
      <c r="O338" s="8">
        <f ca="1">O284*Diag_BA!$L$121/TS_Denom_Conv_Fact</f>
        <v>0</v>
      </c>
    </row>
    <row r="339" spans="4:15" s="327" customFormat="1" outlineLevel="2" x14ac:dyDescent="0.2">
      <c r="D339" s="660" t="str">
        <f>Plac_Start_Facs_BA!C14</f>
        <v>Lusaka</v>
      </c>
      <c r="J339" s="8">
        <f ca="1">J285*Diag_BA!$L$121/TS_Denom_Conv_Fact</f>
        <v>2131.7999999999997</v>
      </c>
      <c r="K339" s="8">
        <f ca="1">K285*Diag_BA!$L$121/TS_Denom_Conv_Fact</f>
        <v>2131.7999999999997</v>
      </c>
      <c r="L339" s="8">
        <f ca="1">L285*Diag_BA!$L$121/TS_Denom_Conv_Fact</f>
        <v>2131.7999999999997</v>
      </c>
      <c r="M339" s="8">
        <f ca="1">M285*Diag_BA!$L$121/TS_Denom_Conv_Fact</f>
        <v>2131.7999999999997</v>
      </c>
      <c r="N339" s="8">
        <f ca="1">N285*Diag_BA!$L$121/TS_Denom_Conv_Fact</f>
        <v>2131.7999999999997</v>
      </c>
      <c r="O339" s="8">
        <f ca="1">O285*Diag_BA!$L$121/TS_Denom_Conv_Fact</f>
        <v>2131.7999999999997</v>
      </c>
    </row>
    <row r="340" spans="4:15" s="327" customFormat="1" outlineLevel="2" x14ac:dyDescent="0.2">
      <c r="D340" s="660" t="str">
        <f>Plac_Start_Facs_BA!C15</f>
        <v>Muchinga</v>
      </c>
      <c r="J340" s="8">
        <f ca="1">J286*Diag_BA!$L$121/TS_Denom_Conv_Fact</f>
        <v>0</v>
      </c>
      <c r="K340" s="8">
        <f ca="1">K286*Diag_BA!$L$121/TS_Denom_Conv_Fact</f>
        <v>0</v>
      </c>
      <c r="L340" s="8">
        <f ca="1">L286*Diag_BA!$L$121/TS_Denom_Conv_Fact</f>
        <v>0</v>
      </c>
      <c r="M340" s="8">
        <f ca="1">M286*Diag_BA!$L$121/TS_Denom_Conv_Fact</f>
        <v>0</v>
      </c>
      <c r="N340" s="8">
        <f ca="1">N286*Diag_BA!$L$121/TS_Denom_Conv_Fact</f>
        <v>0</v>
      </c>
      <c r="O340" s="8">
        <f ca="1">O286*Diag_BA!$L$121/TS_Denom_Conv_Fact</f>
        <v>0</v>
      </c>
    </row>
    <row r="341" spans="4:15" s="327" customFormat="1" outlineLevel="2" x14ac:dyDescent="0.2">
      <c r="D341" s="660" t="str">
        <f>Plac_Start_Facs_BA!C16</f>
        <v>Northern</v>
      </c>
      <c r="J341" s="8">
        <f ca="1">J287*Diag_BA!$L$121/TS_Denom_Conv_Fact</f>
        <v>0</v>
      </c>
      <c r="K341" s="8">
        <f ca="1">K287*Diag_BA!$L$121/TS_Denom_Conv_Fact</f>
        <v>0</v>
      </c>
      <c r="L341" s="8">
        <f ca="1">L287*Diag_BA!$L$121/TS_Denom_Conv_Fact</f>
        <v>0</v>
      </c>
      <c r="M341" s="8">
        <f ca="1">M287*Diag_BA!$L$121/TS_Denom_Conv_Fact</f>
        <v>0</v>
      </c>
      <c r="N341" s="8">
        <f ca="1">N287*Diag_BA!$L$121/TS_Denom_Conv_Fact</f>
        <v>0</v>
      </c>
      <c r="O341" s="8">
        <f ca="1">O287*Diag_BA!$L$121/TS_Denom_Conv_Fact</f>
        <v>0</v>
      </c>
    </row>
    <row r="342" spans="4:15" s="327" customFormat="1" outlineLevel="2" x14ac:dyDescent="0.2">
      <c r="D342" s="660" t="str">
        <f>Plac_Start_Facs_BA!C17</f>
        <v>North-Western</v>
      </c>
      <c r="J342" s="8">
        <f ca="1">J288*Diag_BA!$L$121/TS_Denom_Conv_Fact</f>
        <v>0</v>
      </c>
      <c r="K342" s="8">
        <f ca="1">K288*Diag_BA!$L$121/TS_Denom_Conv_Fact</f>
        <v>0</v>
      </c>
      <c r="L342" s="8">
        <f ca="1">L288*Diag_BA!$L$121/TS_Denom_Conv_Fact</f>
        <v>0</v>
      </c>
      <c r="M342" s="8">
        <f ca="1">M288*Diag_BA!$L$121/TS_Denom_Conv_Fact</f>
        <v>0</v>
      </c>
      <c r="N342" s="8">
        <f ca="1">N288*Diag_BA!$L$121/TS_Denom_Conv_Fact</f>
        <v>0</v>
      </c>
      <c r="O342" s="8">
        <f ca="1">O288*Diag_BA!$L$121/TS_Denom_Conv_Fact</f>
        <v>0</v>
      </c>
    </row>
    <row r="343" spans="4:15" s="327" customFormat="1" outlineLevel="2" x14ac:dyDescent="0.2">
      <c r="D343" s="660" t="str">
        <f>Plac_Start_Facs_BA!C18</f>
        <v>Southern</v>
      </c>
      <c r="J343" s="8">
        <f ca="1">J289*Diag_BA!$L$121/TS_Denom_Conv_Fact</f>
        <v>0</v>
      </c>
      <c r="K343" s="8">
        <f ca="1">K289*Diag_BA!$L$121/TS_Denom_Conv_Fact</f>
        <v>0</v>
      </c>
      <c r="L343" s="8">
        <f ca="1">L289*Diag_BA!$L$121/TS_Denom_Conv_Fact</f>
        <v>0</v>
      </c>
      <c r="M343" s="8">
        <f ca="1">M289*Diag_BA!$L$121/TS_Denom_Conv_Fact</f>
        <v>0</v>
      </c>
      <c r="N343" s="8">
        <f ca="1">N289*Diag_BA!$L$121/TS_Denom_Conv_Fact</f>
        <v>0</v>
      </c>
      <c r="O343" s="8">
        <f ca="1">O289*Diag_BA!$L$121/TS_Denom_Conv_Fact</f>
        <v>0</v>
      </c>
    </row>
    <row r="344" spans="4:15" s="327" customFormat="1" outlineLevel="2" x14ac:dyDescent="0.2">
      <c r="D344" s="660" t="str">
        <f>Plac_Start_Facs_BA!C19</f>
        <v>Western</v>
      </c>
      <c r="J344" s="9">
        <f ca="1">J290*Diag_BA!$L$121/TS_Denom_Conv_Fact</f>
        <v>0</v>
      </c>
      <c r="K344" s="9">
        <f ca="1">K290*Diag_BA!$L$121/TS_Denom_Conv_Fact</f>
        <v>0</v>
      </c>
      <c r="L344" s="9">
        <f ca="1">L290*Diag_BA!$L$121/TS_Denom_Conv_Fact</f>
        <v>0</v>
      </c>
      <c r="M344" s="9">
        <f ca="1">M290*Diag_BA!$L$121/TS_Denom_Conv_Fact</f>
        <v>0</v>
      </c>
      <c r="N344" s="9">
        <f ca="1">N290*Diag_BA!$L$121/TS_Denom_Conv_Fact</f>
        <v>0</v>
      </c>
      <c r="O344" s="9">
        <f ca="1">O290*Diag_BA!$L$121/TS_Denom_Conv_Fact</f>
        <v>0</v>
      </c>
    </row>
    <row r="345" spans="4:15" s="327" customFormat="1" x14ac:dyDescent="0.2">
      <c r="D345" s="659" t="str">
        <f>"Total "&amp;D334&amp;" ("&amp;INDEX(LU_Diag_Denom,DD_TS_Denom)&amp;")"</f>
        <v>Total Other Direct Costs (Lab Tests) (USD)</v>
      </c>
      <c r="J345" s="5">
        <f t="shared" ref="J345:O345" ca="1" si="28">SUM(J335:J344)</f>
        <v>4441.25</v>
      </c>
      <c r="K345" s="5">
        <f t="shared" ca="1" si="28"/>
        <v>4441.25</v>
      </c>
      <c r="L345" s="5">
        <f t="shared" ca="1" si="28"/>
        <v>4441.25</v>
      </c>
      <c r="M345" s="5">
        <f t="shared" ca="1" si="28"/>
        <v>4441.25</v>
      </c>
      <c r="N345" s="5">
        <f t="shared" ca="1" si="28"/>
        <v>4441.25</v>
      </c>
      <c r="O345" s="5">
        <f t="shared" ca="1" si="28"/>
        <v>4441.25</v>
      </c>
    </row>
    <row r="346" spans="4:15" s="327" customFormat="1" x14ac:dyDescent="0.2"/>
    <row r="347" spans="4:15" s="327" customFormat="1" x14ac:dyDescent="0.2">
      <c r="D347" s="659" t="str">
        <f>"Financial Costs [excl. Capex] ("&amp;INDEX(LU_Diag_Denom,DD_TS_Denom)&amp;")"</f>
        <v>Financial Costs [excl. Capex] (USD)</v>
      </c>
      <c r="H347" s="660" t="str">
        <f>Diag_BA!G10</f>
        <v>BIOP-H</v>
      </c>
      <c r="J347" s="5">
        <f t="shared" ref="J347:O347" ca="1" si="29">J306+J345</f>
        <v>5320.4346649999998</v>
      </c>
      <c r="K347" s="5">
        <f t="shared" ca="1" si="29"/>
        <v>5320.4346649999998</v>
      </c>
      <c r="L347" s="5">
        <f t="shared" ca="1" si="29"/>
        <v>5320.4346649999998</v>
      </c>
      <c r="M347" s="5">
        <f t="shared" ca="1" si="29"/>
        <v>5320.4346649999998</v>
      </c>
      <c r="N347" s="5">
        <f t="shared" ca="1" si="29"/>
        <v>5320.4346649999998</v>
      </c>
      <c r="O347" s="5">
        <f t="shared" ca="1" si="29"/>
        <v>5320.4346649999998</v>
      </c>
    </row>
    <row r="348" spans="4:15" s="327" customFormat="1" x14ac:dyDescent="0.2">
      <c r="D348" s="659" t="str">
        <f>"Economic Costs [excl. Capex] ("&amp;INDEX(LU_Diag_Denom,DD_TS_Denom)&amp;")"</f>
        <v>Economic Costs [excl. Capex] (USD)</v>
      </c>
      <c r="H348" s="660" t="str">
        <f>Diag_BA!G10</f>
        <v>BIOP-H</v>
      </c>
      <c r="J348" s="5">
        <f t="shared" ref="J348:O348" ca="1" si="30">J306+J319+J332+J345</f>
        <v>7145.7800740513485</v>
      </c>
      <c r="K348" s="5">
        <f t="shared" ca="1" si="30"/>
        <v>7145.7800740513485</v>
      </c>
      <c r="L348" s="5">
        <f t="shared" ca="1" si="30"/>
        <v>7145.7800740513485</v>
      </c>
      <c r="M348" s="5">
        <f t="shared" ca="1" si="30"/>
        <v>7145.7800740513485</v>
      </c>
      <c r="N348" s="5">
        <f t="shared" ca="1" si="30"/>
        <v>7145.7800740513485</v>
      </c>
      <c r="O348" s="5">
        <f t="shared" ca="1" si="30"/>
        <v>7145.7800740513485</v>
      </c>
    </row>
    <row r="349" spans="4:15" s="327" customFormat="1" x14ac:dyDescent="0.2"/>
    <row r="350" spans="4:15" s="327" customFormat="1" ht="15" outlineLevel="1" x14ac:dyDescent="0.2">
      <c r="D350" s="658" t="s">
        <v>689</v>
      </c>
    </row>
    <row r="351" spans="4:15" s="327" customFormat="1" outlineLevel="1" x14ac:dyDescent="0.2">
      <c r="D351" s="660" t="str">
        <f>Plac_Start_Facs_BA!C10</f>
        <v>Central</v>
      </c>
      <c r="H351" s="660" t="str">
        <f>Diag_BA!G$10</f>
        <v>BIOP-H</v>
      </c>
      <c r="J351" s="8">
        <f>(J189-I189)*Diag_BA!$L$107/TS_Denom_Conv_Fact</f>
        <v>0</v>
      </c>
      <c r="K351" s="8">
        <f>(K189-J189)*Diag_BA!$L$107/TS_Denom_Conv_Fact</f>
        <v>0</v>
      </c>
      <c r="L351" s="8">
        <f>(L189-K189)*Diag_BA!$L$107/TS_Denom_Conv_Fact</f>
        <v>0</v>
      </c>
      <c r="M351" s="8">
        <f>(M189-L189)*Diag_BA!$L$107/TS_Denom_Conv_Fact</f>
        <v>0</v>
      </c>
      <c r="N351" s="8">
        <f>(N189-M189)*Diag_BA!$L$107/TS_Denom_Conv_Fact</f>
        <v>0</v>
      </c>
      <c r="O351" s="8">
        <f>(O189-N189)*Diag_BA!$L$107/TS_Denom_Conv_Fact</f>
        <v>0</v>
      </c>
    </row>
    <row r="352" spans="4:15" s="327" customFormat="1" outlineLevel="1" x14ac:dyDescent="0.2">
      <c r="D352" s="660" t="str">
        <f>Plac_Start_Facs_BA!C11</f>
        <v>Copperbelt</v>
      </c>
      <c r="H352" s="660" t="str">
        <f>Diag_BA!G$10</f>
        <v>BIOP-H</v>
      </c>
      <c r="J352" s="8">
        <f>(J190-I190)*Diag_BA!$L$107/TS_Denom_Conv_Fact</f>
        <v>135</v>
      </c>
      <c r="K352" s="8">
        <f>(K190-J190)*Diag_BA!$L$107/TS_Denom_Conv_Fact</f>
        <v>0</v>
      </c>
      <c r="L352" s="8">
        <f>(L190-K190)*Diag_BA!$L$107/TS_Denom_Conv_Fact</f>
        <v>0</v>
      </c>
      <c r="M352" s="8">
        <f>(M190-L190)*Diag_BA!$L$107/TS_Denom_Conv_Fact</f>
        <v>0</v>
      </c>
      <c r="N352" s="8">
        <f>(N190-M190)*Diag_BA!$L$107/TS_Denom_Conv_Fact</f>
        <v>0</v>
      </c>
      <c r="O352" s="8">
        <f>(O190-N190)*Diag_BA!$L$107/TS_Denom_Conv_Fact</f>
        <v>0</v>
      </c>
    </row>
    <row r="353" spans="4:15" s="327" customFormat="1" outlineLevel="1" x14ac:dyDescent="0.2">
      <c r="D353" s="660" t="str">
        <f>Plac_Start_Facs_BA!C12</f>
        <v>Eastern</v>
      </c>
      <c r="H353" s="660" t="str">
        <f>Diag_BA!G$10</f>
        <v>BIOP-H</v>
      </c>
      <c r="J353" s="8">
        <f>(J191-I191)*Diag_BA!$L$107/TS_Denom_Conv_Fact</f>
        <v>0</v>
      </c>
      <c r="K353" s="8">
        <f>(K191-J191)*Diag_BA!$L$107/TS_Denom_Conv_Fact</f>
        <v>0</v>
      </c>
      <c r="L353" s="8">
        <f>(L191-K191)*Diag_BA!$L$107/TS_Denom_Conv_Fact</f>
        <v>0</v>
      </c>
      <c r="M353" s="8">
        <f>(M191-L191)*Diag_BA!$L$107/TS_Denom_Conv_Fact</f>
        <v>0</v>
      </c>
      <c r="N353" s="8">
        <f>(N191-M191)*Diag_BA!$L$107/TS_Denom_Conv_Fact</f>
        <v>0</v>
      </c>
      <c r="O353" s="8">
        <f>(O191-N191)*Diag_BA!$L$107/TS_Denom_Conv_Fact</f>
        <v>0</v>
      </c>
    </row>
    <row r="354" spans="4:15" s="327" customFormat="1" outlineLevel="1" x14ac:dyDescent="0.2">
      <c r="D354" s="660" t="str">
        <f>Plac_Start_Facs_BA!C13</f>
        <v>Luapula</v>
      </c>
      <c r="H354" s="660" t="str">
        <f>Diag_BA!G$10</f>
        <v>BIOP-H</v>
      </c>
      <c r="J354" s="8">
        <f>(J192-I192)*Diag_BA!$L$107/TS_Denom_Conv_Fact</f>
        <v>0</v>
      </c>
      <c r="K354" s="8">
        <f>(K192-J192)*Diag_BA!$L$107/TS_Denom_Conv_Fact</f>
        <v>0</v>
      </c>
      <c r="L354" s="8">
        <f>(L192-K192)*Diag_BA!$L$107/TS_Denom_Conv_Fact</f>
        <v>0</v>
      </c>
      <c r="M354" s="8">
        <f>(M192-L192)*Diag_BA!$L$107/TS_Denom_Conv_Fact</f>
        <v>0</v>
      </c>
      <c r="N354" s="8">
        <f>(N192-M192)*Diag_BA!$L$107/TS_Denom_Conv_Fact</f>
        <v>0</v>
      </c>
      <c r="O354" s="8">
        <f>(O192-N192)*Diag_BA!$L$107/TS_Denom_Conv_Fact</f>
        <v>0</v>
      </c>
    </row>
    <row r="355" spans="4:15" s="327" customFormat="1" outlineLevel="1" x14ac:dyDescent="0.2">
      <c r="D355" s="660" t="str">
        <f>Plac_Start_Facs_BA!C14</f>
        <v>Lusaka</v>
      </c>
      <c r="H355" s="660" t="str">
        <f>Diag_BA!G$10</f>
        <v>BIOP-H</v>
      </c>
      <c r="J355" s="8">
        <f>(J193-I193)*Diag_BA!$L$107/TS_Denom_Conv_Fact</f>
        <v>45</v>
      </c>
      <c r="K355" s="8">
        <f>(K193-J193)*Diag_BA!$L$107/TS_Denom_Conv_Fact</f>
        <v>0</v>
      </c>
      <c r="L355" s="8">
        <f>(L193-K193)*Diag_BA!$L$107/TS_Denom_Conv_Fact</f>
        <v>0</v>
      </c>
      <c r="M355" s="8">
        <f>(M193-L193)*Diag_BA!$L$107/TS_Denom_Conv_Fact</f>
        <v>0</v>
      </c>
      <c r="N355" s="8">
        <f>(N193-M193)*Diag_BA!$L$107/TS_Denom_Conv_Fact</f>
        <v>0</v>
      </c>
      <c r="O355" s="8">
        <f>(O193-N193)*Diag_BA!$L$107/TS_Denom_Conv_Fact</f>
        <v>0</v>
      </c>
    </row>
    <row r="356" spans="4:15" s="327" customFormat="1" outlineLevel="1" x14ac:dyDescent="0.2">
      <c r="D356" s="660" t="str">
        <f>Plac_Start_Facs_BA!C15</f>
        <v>Muchinga</v>
      </c>
      <c r="H356" s="660" t="str">
        <f>Diag_BA!G$10</f>
        <v>BIOP-H</v>
      </c>
      <c r="J356" s="8">
        <f>(J194-I194)*Diag_BA!$L$107/TS_Denom_Conv_Fact</f>
        <v>0</v>
      </c>
      <c r="K356" s="8">
        <f>(K194-J194)*Diag_BA!$L$107/TS_Denom_Conv_Fact</f>
        <v>0</v>
      </c>
      <c r="L356" s="8">
        <f>(L194-K194)*Diag_BA!$L$107/TS_Denom_Conv_Fact</f>
        <v>0</v>
      </c>
      <c r="M356" s="8">
        <f>(M194-L194)*Diag_BA!$L$107/TS_Denom_Conv_Fact</f>
        <v>0</v>
      </c>
      <c r="N356" s="8">
        <f>(N194-M194)*Diag_BA!$L$107/TS_Denom_Conv_Fact</f>
        <v>0</v>
      </c>
      <c r="O356" s="8">
        <f>(O194-N194)*Diag_BA!$L$107/TS_Denom_Conv_Fact</f>
        <v>0</v>
      </c>
    </row>
    <row r="357" spans="4:15" s="327" customFormat="1" outlineLevel="1" x14ac:dyDescent="0.2">
      <c r="D357" s="660" t="str">
        <f>Plac_Start_Facs_BA!C16</f>
        <v>Northern</v>
      </c>
      <c r="H357" s="660" t="str">
        <f>Diag_BA!G$10</f>
        <v>BIOP-H</v>
      </c>
      <c r="J357" s="8">
        <f>(J195-I195)*Diag_BA!$L$107/TS_Denom_Conv_Fact</f>
        <v>0</v>
      </c>
      <c r="K357" s="8">
        <f>(K195-J195)*Diag_BA!$L$107/TS_Denom_Conv_Fact</f>
        <v>0</v>
      </c>
      <c r="L357" s="8">
        <f>(L195-K195)*Diag_BA!$L$107/TS_Denom_Conv_Fact</f>
        <v>0</v>
      </c>
      <c r="M357" s="8">
        <f>(M195-L195)*Diag_BA!$L$107/TS_Denom_Conv_Fact</f>
        <v>0</v>
      </c>
      <c r="N357" s="8">
        <f>(N195-M195)*Diag_BA!$L$107/TS_Denom_Conv_Fact</f>
        <v>0</v>
      </c>
      <c r="O357" s="8">
        <f>(O195-N195)*Diag_BA!$L$107/TS_Denom_Conv_Fact</f>
        <v>0</v>
      </c>
    </row>
    <row r="358" spans="4:15" s="327" customFormat="1" outlineLevel="1" x14ac:dyDescent="0.2">
      <c r="D358" s="660" t="str">
        <f>Plac_Start_Facs_BA!C17</f>
        <v>North-Western</v>
      </c>
      <c r="H358" s="660" t="str">
        <f>Diag_BA!G$10</f>
        <v>BIOP-H</v>
      </c>
      <c r="J358" s="8">
        <f>(J196-I196)*Diag_BA!$L$107/TS_Denom_Conv_Fact</f>
        <v>0</v>
      </c>
      <c r="K358" s="8">
        <f>(K196-J196)*Diag_BA!$L$107/TS_Denom_Conv_Fact</f>
        <v>0</v>
      </c>
      <c r="L358" s="8">
        <f>(L196-K196)*Diag_BA!$L$107/TS_Denom_Conv_Fact</f>
        <v>0</v>
      </c>
      <c r="M358" s="8">
        <f>(M196-L196)*Diag_BA!$L$107/TS_Denom_Conv_Fact</f>
        <v>0</v>
      </c>
      <c r="N358" s="8">
        <f>(N196-M196)*Diag_BA!$L$107/TS_Denom_Conv_Fact</f>
        <v>0</v>
      </c>
      <c r="O358" s="8">
        <f>(O196-N196)*Diag_BA!$L$107/TS_Denom_Conv_Fact</f>
        <v>0</v>
      </c>
    </row>
    <row r="359" spans="4:15" s="327" customFormat="1" outlineLevel="1" x14ac:dyDescent="0.2">
      <c r="D359" s="660" t="str">
        <f>Plac_Start_Facs_BA!C18</f>
        <v>Southern</v>
      </c>
      <c r="H359" s="660" t="str">
        <f>Diag_BA!G$10</f>
        <v>BIOP-H</v>
      </c>
      <c r="J359" s="8">
        <f>(J197-I197)*Diag_BA!$L$107/TS_Denom_Conv_Fact</f>
        <v>0</v>
      </c>
      <c r="K359" s="8">
        <f>(K197-J197)*Diag_BA!$L$107/TS_Denom_Conv_Fact</f>
        <v>0</v>
      </c>
      <c r="L359" s="8">
        <f>(L197-K197)*Diag_BA!$L$107/TS_Denom_Conv_Fact</f>
        <v>0</v>
      </c>
      <c r="M359" s="8">
        <f>(M197-L197)*Diag_BA!$L$107/TS_Denom_Conv_Fact</f>
        <v>0</v>
      </c>
      <c r="N359" s="8">
        <f>(N197-M197)*Diag_BA!$L$107/TS_Denom_Conv_Fact</f>
        <v>0</v>
      </c>
      <c r="O359" s="8">
        <f>(O197-N197)*Diag_BA!$L$107/TS_Denom_Conv_Fact</f>
        <v>0</v>
      </c>
    </row>
    <row r="360" spans="4:15" s="327" customFormat="1" outlineLevel="1" x14ac:dyDescent="0.2">
      <c r="D360" s="660" t="str">
        <f>Plac_Start_Facs_BA!C19</f>
        <v>Western</v>
      </c>
      <c r="H360" s="660" t="str">
        <f>Diag_BA!G$10</f>
        <v>BIOP-H</v>
      </c>
      <c r="J360" s="9">
        <f>(J198-I198)*Diag_BA!$L$107/TS_Denom_Conv_Fact</f>
        <v>0</v>
      </c>
      <c r="K360" s="9">
        <f>(K198-J198)*Diag_BA!$L$107/TS_Denom_Conv_Fact</f>
        <v>0</v>
      </c>
      <c r="L360" s="9">
        <f>(L198-K198)*Diag_BA!$L$107/TS_Denom_Conv_Fact</f>
        <v>0</v>
      </c>
      <c r="M360" s="9">
        <f>(M198-L198)*Diag_BA!$L$107/TS_Denom_Conv_Fact</f>
        <v>0</v>
      </c>
      <c r="N360" s="9">
        <f>(N198-M198)*Diag_BA!$L$107/TS_Denom_Conv_Fact</f>
        <v>0</v>
      </c>
      <c r="O360" s="9">
        <f>(O198-N198)*Diag_BA!$L$107/TS_Denom_Conv_Fact</f>
        <v>0</v>
      </c>
    </row>
    <row r="361" spans="4:15" s="327" customFormat="1" ht="15" x14ac:dyDescent="0.2">
      <c r="D361" s="659" t="str">
        <f>D350&amp;" ("&amp;INDEX(LU_Diag_Denom,DD_TS_Denom)&amp;")"</f>
        <v>NonAnnualized Capital Expenditure (Financial) (USD)</v>
      </c>
      <c r="H361" s="646" t="str">
        <f>Diag_BA!G10</f>
        <v>BIOP-H</v>
      </c>
      <c r="J361" s="495">
        <f t="shared" ref="J361:O361" si="31">SUM(J351:J360)</f>
        <v>180</v>
      </c>
      <c r="K361" s="495">
        <f t="shared" si="31"/>
        <v>0</v>
      </c>
      <c r="L361" s="495">
        <f t="shared" si="31"/>
        <v>0</v>
      </c>
      <c r="M361" s="495">
        <f t="shared" si="31"/>
        <v>0</v>
      </c>
      <c r="N361" s="495">
        <f t="shared" si="31"/>
        <v>0</v>
      </c>
      <c r="O361" s="495">
        <f t="shared" si="31"/>
        <v>0</v>
      </c>
    </row>
    <row r="362" spans="4:15" s="327" customFormat="1" ht="15" outlineLevel="2" x14ac:dyDescent="0.2">
      <c r="D362" s="658" t="s">
        <v>134</v>
      </c>
    </row>
    <row r="363" spans="4:15" s="327" customFormat="1" outlineLevel="2" x14ac:dyDescent="0.2">
      <c r="D363" s="660" t="str">
        <f>Plac_Start_Facs_BA!C10</f>
        <v>Central</v>
      </c>
      <c r="H363" s="660" t="str">
        <f>Diag_BA!G$10</f>
        <v>BIOP-H</v>
      </c>
      <c r="J363" s="8">
        <f>J189*Diag_BA!$M$109/TS_Denom_Conv_Fact</f>
        <v>0</v>
      </c>
      <c r="K363" s="8">
        <f>K189*Diag_BA!$M$109/TS_Denom_Conv_Fact</f>
        <v>0</v>
      </c>
      <c r="L363" s="8">
        <f>L189*Diag_BA!$M$109/TS_Denom_Conv_Fact</f>
        <v>0</v>
      </c>
      <c r="M363" s="8">
        <f>M189*Diag_BA!$M$109/TS_Denom_Conv_Fact</f>
        <v>0</v>
      </c>
      <c r="N363" s="8">
        <f>N189*Diag_BA!$M$109/TS_Denom_Conv_Fact</f>
        <v>0</v>
      </c>
      <c r="O363" s="8">
        <f>O189*Diag_BA!$M$109/TS_Denom_Conv_Fact</f>
        <v>0</v>
      </c>
    </row>
    <row r="364" spans="4:15" s="327" customFormat="1" outlineLevel="2" x14ac:dyDescent="0.2">
      <c r="D364" s="660" t="str">
        <f>Plac_Start_Facs_BA!C11</f>
        <v>Copperbelt</v>
      </c>
      <c r="H364" s="660" t="str">
        <f>Diag_BA!G$10</f>
        <v>BIOP-H</v>
      </c>
      <c r="J364" s="8">
        <f>J190*Diag_BA!$M$109/TS_Denom_Conv_Fact</f>
        <v>38.8125</v>
      </c>
      <c r="K364" s="8">
        <f>K190*Diag_BA!$M$109/TS_Denom_Conv_Fact</f>
        <v>38.8125</v>
      </c>
      <c r="L364" s="8">
        <f>L190*Diag_BA!$M$109/TS_Denom_Conv_Fact</f>
        <v>38.8125</v>
      </c>
      <c r="M364" s="8">
        <f>M190*Diag_BA!$M$109/TS_Denom_Conv_Fact</f>
        <v>38.8125</v>
      </c>
      <c r="N364" s="8">
        <f>N190*Diag_BA!$M$109/TS_Denom_Conv_Fact</f>
        <v>38.8125</v>
      </c>
      <c r="O364" s="8">
        <f>O190*Diag_BA!$M$109/TS_Denom_Conv_Fact</f>
        <v>38.8125</v>
      </c>
    </row>
    <row r="365" spans="4:15" s="327" customFormat="1" outlineLevel="2" x14ac:dyDescent="0.2">
      <c r="D365" s="660" t="str">
        <f>Plac_Start_Facs_BA!C12</f>
        <v>Eastern</v>
      </c>
      <c r="H365" s="660" t="str">
        <f>Diag_BA!G$10</f>
        <v>BIOP-H</v>
      </c>
      <c r="J365" s="8">
        <f>J191*Diag_BA!$M$109/TS_Denom_Conv_Fact</f>
        <v>0</v>
      </c>
      <c r="K365" s="8">
        <f>K191*Diag_BA!$M$109/TS_Denom_Conv_Fact</f>
        <v>0</v>
      </c>
      <c r="L365" s="8">
        <f>L191*Diag_BA!$M$109/TS_Denom_Conv_Fact</f>
        <v>0</v>
      </c>
      <c r="M365" s="8">
        <f>M191*Diag_BA!$M$109/TS_Denom_Conv_Fact</f>
        <v>0</v>
      </c>
      <c r="N365" s="8">
        <f>N191*Diag_BA!$M$109/TS_Denom_Conv_Fact</f>
        <v>0</v>
      </c>
      <c r="O365" s="8">
        <f>O191*Diag_BA!$M$109/TS_Denom_Conv_Fact</f>
        <v>0</v>
      </c>
    </row>
    <row r="366" spans="4:15" s="327" customFormat="1" outlineLevel="2" x14ac:dyDescent="0.2">
      <c r="D366" s="660" t="str">
        <f>Plac_Start_Facs_BA!C13</f>
        <v>Luapula</v>
      </c>
      <c r="H366" s="660" t="str">
        <f>Diag_BA!G$10</f>
        <v>BIOP-H</v>
      </c>
      <c r="J366" s="8">
        <f>J192*Diag_BA!$M$109/TS_Denom_Conv_Fact</f>
        <v>0</v>
      </c>
      <c r="K366" s="8">
        <f>K192*Diag_BA!$M$109/TS_Denom_Conv_Fact</f>
        <v>0</v>
      </c>
      <c r="L366" s="8">
        <f>L192*Diag_BA!$M$109/TS_Denom_Conv_Fact</f>
        <v>0</v>
      </c>
      <c r="M366" s="8">
        <f>M192*Diag_BA!$M$109/TS_Denom_Conv_Fact</f>
        <v>0</v>
      </c>
      <c r="N366" s="8">
        <f>N192*Diag_BA!$M$109/TS_Denom_Conv_Fact</f>
        <v>0</v>
      </c>
      <c r="O366" s="8">
        <f>O192*Diag_BA!$M$109/TS_Denom_Conv_Fact</f>
        <v>0</v>
      </c>
    </row>
    <row r="367" spans="4:15" s="327" customFormat="1" outlineLevel="2" x14ac:dyDescent="0.2">
      <c r="D367" s="660" t="str">
        <f>Plac_Start_Facs_BA!C14</f>
        <v>Lusaka</v>
      </c>
      <c r="H367" s="660" t="str">
        <f>Diag_BA!G$10</f>
        <v>BIOP-H</v>
      </c>
      <c r="J367" s="8">
        <f>J193*Diag_BA!$M$109/TS_Denom_Conv_Fact</f>
        <v>12.9375</v>
      </c>
      <c r="K367" s="8">
        <f>K193*Diag_BA!$M$109/TS_Denom_Conv_Fact</f>
        <v>12.9375</v>
      </c>
      <c r="L367" s="8">
        <f>L193*Diag_BA!$M$109/TS_Denom_Conv_Fact</f>
        <v>12.9375</v>
      </c>
      <c r="M367" s="8">
        <f>M193*Diag_BA!$M$109/TS_Denom_Conv_Fact</f>
        <v>12.9375</v>
      </c>
      <c r="N367" s="8">
        <f>N193*Diag_BA!$M$109/TS_Denom_Conv_Fact</f>
        <v>12.9375</v>
      </c>
      <c r="O367" s="8">
        <f>O193*Diag_BA!$M$109/TS_Denom_Conv_Fact</f>
        <v>12.9375</v>
      </c>
    </row>
    <row r="368" spans="4:15" s="327" customFormat="1" outlineLevel="2" x14ac:dyDescent="0.2">
      <c r="D368" s="660" t="str">
        <f>Plac_Start_Facs_BA!C15</f>
        <v>Muchinga</v>
      </c>
      <c r="H368" s="660" t="str">
        <f>Diag_BA!G$10</f>
        <v>BIOP-H</v>
      </c>
      <c r="J368" s="8">
        <f>J194*Diag_BA!$M$109/TS_Denom_Conv_Fact</f>
        <v>0</v>
      </c>
      <c r="K368" s="8">
        <f>K194*Diag_BA!$M$109/TS_Denom_Conv_Fact</f>
        <v>0</v>
      </c>
      <c r="L368" s="8">
        <f>L194*Diag_BA!$M$109/TS_Denom_Conv_Fact</f>
        <v>0</v>
      </c>
      <c r="M368" s="8">
        <f>M194*Diag_BA!$M$109/TS_Denom_Conv_Fact</f>
        <v>0</v>
      </c>
      <c r="N368" s="8">
        <f>N194*Diag_BA!$M$109/TS_Denom_Conv_Fact</f>
        <v>0</v>
      </c>
      <c r="O368" s="8">
        <f>O194*Diag_BA!$M$109/TS_Denom_Conv_Fact</f>
        <v>0</v>
      </c>
    </row>
    <row r="369" spans="4:15" s="327" customFormat="1" outlineLevel="2" x14ac:dyDescent="0.2">
      <c r="D369" s="660" t="str">
        <f>Plac_Start_Facs_BA!C16</f>
        <v>Northern</v>
      </c>
      <c r="H369" s="660" t="str">
        <f>Diag_BA!G$10</f>
        <v>BIOP-H</v>
      </c>
      <c r="J369" s="8">
        <f>J195*Diag_BA!$M$109/TS_Denom_Conv_Fact</f>
        <v>0</v>
      </c>
      <c r="K369" s="8">
        <f>K195*Diag_BA!$M$109/TS_Denom_Conv_Fact</f>
        <v>0</v>
      </c>
      <c r="L369" s="8">
        <f>L195*Diag_BA!$M$109/TS_Denom_Conv_Fact</f>
        <v>0</v>
      </c>
      <c r="M369" s="8">
        <f>M195*Diag_BA!$M$109/TS_Denom_Conv_Fact</f>
        <v>0</v>
      </c>
      <c r="N369" s="8">
        <f>N195*Diag_BA!$M$109/TS_Denom_Conv_Fact</f>
        <v>0</v>
      </c>
      <c r="O369" s="8">
        <f>O195*Diag_BA!$M$109/TS_Denom_Conv_Fact</f>
        <v>0</v>
      </c>
    </row>
    <row r="370" spans="4:15" s="327" customFormat="1" outlineLevel="2" x14ac:dyDescent="0.2">
      <c r="D370" s="660" t="str">
        <f>Plac_Start_Facs_BA!C17</f>
        <v>North-Western</v>
      </c>
      <c r="H370" s="660" t="str">
        <f>Diag_BA!G$10</f>
        <v>BIOP-H</v>
      </c>
      <c r="J370" s="8">
        <f>J196*Diag_BA!$M$109/TS_Denom_Conv_Fact</f>
        <v>0</v>
      </c>
      <c r="K370" s="8">
        <f>K196*Diag_BA!$M$109/TS_Denom_Conv_Fact</f>
        <v>0</v>
      </c>
      <c r="L370" s="8">
        <f>L196*Diag_BA!$M$109/TS_Denom_Conv_Fact</f>
        <v>0</v>
      </c>
      <c r="M370" s="8">
        <f>M196*Diag_BA!$M$109/TS_Denom_Conv_Fact</f>
        <v>0</v>
      </c>
      <c r="N370" s="8">
        <f>N196*Diag_BA!$M$109/TS_Denom_Conv_Fact</f>
        <v>0</v>
      </c>
      <c r="O370" s="8">
        <f>O196*Diag_BA!$M$109/TS_Denom_Conv_Fact</f>
        <v>0</v>
      </c>
    </row>
    <row r="371" spans="4:15" s="327" customFormat="1" outlineLevel="2" x14ac:dyDescent="0.2">
      <c r="D371" s="660" t="str">
        <f>Plac_Start_Facs_BA!C18</f>
        <v>Southern</v>
      </c>
      <c r="H371" s="660" t="str">
        <f>Diag_BA!G$10</f>
        <v>BIOP-H</v>
      </c>
      <c r="J371" s="8">
        <f>J197*Diag_BA!$M$109/TS_Denom_Conv_Fact</f>
        <v>0</v>
      </c>
      <c r="K371" s="8">
        <f>K197*Diag_BA!$M$109/TS_Denom_Conv_Fact</f>
        <v>0</v>
      </c>
      <c r="L371" s="8">
        <f>L197*Diag_BA!$M$109/TS_Denom_Conv_Fact</f>
        <v>0</v>
      </c>
      <c r="M371" s="8">
        <f>M197*Diag_BA!$M$109/TS_Denom_Conv_Fact</f>
        <v>0</v>
      </c>
      <c r="N371" s="8">
        <f>N197*Diag_BA!$M$109/TS_Denom_Conv_Fact</f>
        <v>0</v>
      </c>
      <c r="O371" s="8">
        <f>O197*Diag_BA!$M$109/TS_Denom_Conv_Fact</f>
        <v>0</v>
      </c>
    </row>
    <row r="372" spans="4:15" s="327" customFormat="1" outlineLevel="2" x14ac:dyDescent="0.2">
      <c r="D372" s="660" t="str">
        <f>Plac_Start_Facs_BA!C19</f>
        <v>Western</v>
      </c>
      <c r="H372" s="660" t="str">
        <f>Diag_BA!G$10</f>
        <v>BIOP-H</v>
      </c>
      <c r="J372" s="9">
        <f>J198*Diag_BA!$M$109/TS_Denom_Conv_Fact</f>
        <v>0</v>
      </c>
      <c r="K372" s="9">
        <f>K198*Diag_BA!$M$109/TS_Denom_Conv_Fact</f>
        <v>0</v>
      </c>
      <c r="L372" s="9">
        <f>L198*Diag_BA!$M$109/TS_Denom_Conv_Fact</f>
        <v>0</v>
      </c>
      <c r="M372" s="9">
        <f>M198*Diag_BA!$M$109/TS_Denom_Conv_Fact</f>
        <v>0</v>
      </c>
      <c r="N372" s="9">
        <f>N198*Diag_BA!$M$109/TS_Denom_Conv_Fact</f>
        <v>0</v>
      </c>
      <c r="O372" s="9">
        <f>O198*Diag_BA!$M$109/TS_Denom_Conv_Fact</f>
        <v>0</v>
      </c>
    </row>
    <row r="373" spans="4:15" s="327" customFormat="1" ht="15" x14ac:dyDescent="0.2">
      <c r="D373" s="659" t="str">
        <f>D362&amp;" ("&amp;INDEX(LU_Diag_Denom,DD_TS_Denom)&amp;")"</f>
        <v>Annualized Capital Expenditure (Financial) (USD)</v>
      </c>
      <c r="H373" s="646" t="str">
        <f>Diag_BA!G10</f>
        <v>BIOP-H</v>
      </c>
      <c r="J373" s="5">
        <f t="shared" ref="J373:O373" si="32">SUM(J363:J372)</f>
        <v>51.75</v>
      </c>
      <c r="K373" s="5">
        <f t="shared" si="32"/>
        <v>51.75</v>
      </c>
      <c r="L373" s="5">
        <f t="shared" si="32"/>
        <v>51.75</v>
      </c>
      <c r="M373" s="5">
        <f t="shared" si="32"/>
        <v>51.75</v>
      </c>
      <c r="N373" s="5">
        <f t="shared" si="32"/>
        <v>51.75</v>
      </c>
      <c r="O373" s="5">
        <f t="shared" si="32"/>
        <v>51.75</v>
      </c>
    </row>
    <row r="374" spans="4:15" s="327" customFormat="1" x14ac:dyDescent="0.2"/>
    <row r="375" spans="4:15" s="327" customFormat="1" ht="15" outlineLevel="1" x14ac:dyDescent="0.2">
      <c r="D375" s="658" t="s">
        <v>690</v>
      </c>
    </row>
    <row r="376" spans="4:15" s="327" customFormat="1" outlineLevel="1" x14ac:dyDescent="0.2">
      <c r="D376" s="660" t="str">
        <f>Plac_Start_Facs_BA!C10</f>
        <v>Central</v>
      </c>
      <c r="H376" s="660" t="str">
        <f>Diag_BA!G$10</f>
        <v>BIOP-H</v>
      </c>
      <c r="J376" s="8">
        <f>J189*Diag_BA!$M$109/TS_Denom_Conv_Fact</f>
        <v>0</v>
      </c>
      <c r="K376" s="8">
        <f>K189*Diag_BA!$M$109/TS_Denom_Conv_Fact</f>
        <v>0</v>
      </c>
      <c r="L376" s="8">
        <f>L189*Diag_BA!$M$109/TS_Denom_Conv_Fact</f>
        <v>0</v>
      </c>
      <c r="M376" s="8">
        <f>M189*Diag_BA!$M$109/TS_Denom_Conv_Fact</f>
        <v>0</v>
      </c>
      <c r="N376" s="8">
        <f>N189*Diag_BA!$M$109/TS_Denom_Conv_Fact</f>
        <v>0</v>
      </c>
      <c r="O376" s="8">
        <f>O189*Diag_BA!$M$109/TS_Denom_Conv_Fact</f>
        <v>0</v>
      </c>
    </row>
    <row r="377" spans="4:15" s="327" customFormat="1" outlineLevel="1" x14ac:dyDescent="0.2">
      <c r="D377" s="660" t="str">
        <f>Plac_Start_Facs_BA!C11</f>
        <v>Copperbelt</v>
      </c>
      <c r="H377" s="660" t="str">
        <f>Diag_BA!G$10</f>
        <v>BIOP-H</v>
      </c>
      <c r="J377" s="8">
        <f>J190*Diag_BA!$M$109/TS_Denom_Conv_Fact</f>
        <v>38.8125</v>
      </c>
      <c r="K377" s="8">
        <f>K190*Diag_BA!$M$109/TS_Denom_Conv_Fact</f>
        <v>38.8125</v>
      </c>
      <c r="L377" s="8">
        <f>L190*Diag_BA!$M$109/TS_Denom_Conv_Fact</f>
        <v>38.8125</v>
      </c>
      <c r="M377" s="8">
        <f>M190*Diag_BA!$M$109/TS_Denom_Conv_Fact</f>
        <v>38.8125</v>
      </c>
      <c r="N377" s="8">
        <f>N190*Diag_BA!$M$109/TS_Denom_Conv_Fact</f>
        <v>38.8125</v>
      </c>
      <c r="O377" s="8">
        <f>O190*Diag_BA!$M$109/TS_Denom_Conv_Fact</f>
        <v>38.8125</v>
      </c>
    </row>
    <row r="378" spans="4:15" s="327" customFormat="1" outlineLevel="1" x14ac:dyDescent="0.2">
      <c r="D378" s="660" t="str">
        <f>Plac_Start_Facs_BA!C12</f>
        <v>Eastern</v>
      </c>
      <c r="H378" s="660" t="str">
        <f>Diag_BA!G$10</f>
        <v>BIOP-H</v>
      </c>
      <c r="J378" s="8">
        <f>J191*Diag_BA!$M$109/TS_Denom_Conv_Fact</f>
        <v>0</v>
      </c>
      <c r="K378" s="8">
        <f>K191*Diag_BA!$M$109/TS_Denom_Conv_Fact</f>
        <v>0</v>
      </c>
      <c r="L378" s="8">
        <f>L191*Diag_BA!$M$109/TS_Denom_Conv_Fact</f>
        <v>0</v>
      </c>
      <c r="M378" s="8">
        <f>M191*Diag_BA!$M$109/TS_Denom_Conv_Fact</f>
        <v>0</v>
      </c>
      <c r="N378" s="8">
        <f>N191*Diag_BA!$M$109/TS_Denom_Conv_Fact</f>
        <v>0</v>
      </c>
      <c r="O378" s="8">
        <f>O191*Diag_BA!$M$109/TS_Denom_Conv_Fact</f>
        <v>0</v>
      </c>
    </row>
    <row r="379" spans="4:15" s="327" customFormat="1" outlineLevel="1" x14ac:dyDescent="0.2">
      <c r="D379" s="660" t="str">
        <f>Plac_Start_Facs_BA!C13</f>
        <v>Luapula</v>
      </c>
      <c r="H379" s="660" t="str">
        <f>Diag_BA!G$10</f>
        <v>BIOP-H</v>
      </c>
      <c r="J379" s="8">
        <f>J192*Diag_BA!$M$109/TS_Denom_Conv_Fact</f>
        <v>0</v>
      </c>
      <c r="K379" s="8">
        <f>K192*Diag_BA!$M$109/TS_Denom_Conv_Fact</f>
        <v>0</v>
      </c>
      <c r="L379" s="8">
        <f>L192*Diag_BA!$M$109/TS_Denom_Conv_Fact</f>
        <v>0</v>
      </c>
      <c r="M379" s="8">
        <f>M192*Diag_BA!$M$109/TS_Denom_Conv_Fact</f>
        <v>0</v>
      </c>
      <c r="N379" s="8">
        <f>N192*Diag_BA!$M$109/TS_Denom_Conv_Fact</f>
        <v>0</v>
      </c>
      <c r="O379" s="8">
        <f>O192*Diag_BA!$M$109/TS_Denom_Conv_Fact</f>
        <v>0</v>
      </c>
    </row>
    <row r="380" spans="4:15" s="327" customFormat="1" outlineLevel="1" x14ac:dyDescent="0.2">
      <c r="D380" s="660" t="str">
        <f>Plac_Start_Facs_BA!C14</f>
        <v>Lusaka</v>
      </c>
      <c r="H380" s="660" t="str">
        <f>Diag_BA!G$10</f>
        <v>BIOP-H</v>
      </c>
      <c r="J380" s="8">
        <f>J193*Diag_BA!$M$109/TS_Denom_Conv_Fact</f>
        <v>12.9375</v>
      </c>
      <c r="K380" s="8">
        <f>K193*Diag_BA!$M$109/TS_Denom_Conv_Fact</f>
        <v>12.9375</v>
      </c>
      <c r="L380" s="8">
        <f>L193*Diag_BA!$M$109/TS_Denom_Conv_Fact</f>
        <v>12.9375</v>
      </c>
      <c r="M380" s="8">
        <f>M193*Diag_BA!$M$109/TS_Denom_Conv_Fact</f>
        <v>12.9375</v>
      </c>
      <c r="N380" s="8">
        <f>N193*Diag_BA!$M$109/TS_Denom_Conv_Fact</f>
        <v>12.9375</v>
      </c>
      <c r="O380" s="8">
        <f>O193*Diag_BA!$M$109/TS_Denom_Conv_Fact</f>
        <v>12.9375</v>
      </c>
    </row>
    <row r="381" spans="4:15" s="327" customFormat="1" outlineLevel="1" x14ac:dyDescent="0.2">
      <c r="D381" s="660" t="str">
        <f>Plac_Start_Facs_BA!C15</f>
        <v>Muchinga</v>
      </c>
      <c r="H381" s="660" t="str">
        <f>Diag_BA!G$10</f>
        <v>BIOP-H</v>
      </c>
      <c r="J381" s="8">
        <f>J194*Diag_BA!$M$109/TS_Denom_Conv_Fact</f>
        <v>0</v>
      </c>
      <c r="K381" s="8">
        <f>K194*Diag_BA!$M$109/TS_Denom_Conv_Fact</f>
        <v>0</v>
      </c>
      <c r="L381" s="8">
        <f>L194*Diag_BA!$M$109/TS_Denom_Conv_Fact</f>
        <v>0</v>
      </c>
      <c r="M381" s="8">
        <f>M194*Diag_BA!$M$109/TS_Denom_Conv_Fact</f>
        <v>0</v>
      </c>
      <c r="N381" s="8">
        <f>N194*Diag_BA!$M$109/TS_Denom_Conv_Fact</f>
        <v>0</v>
      </c>
      <c r="O381" s="8">
        <f>O194*Diag_BA!$M$109/TS_Denom_Conv_Fact</f>
        <v>0</v>
      </c>
    </row>
    <row r="382" spans="4:15" s="327" customFormat="1" outlineLevel="1" x14ac:dyDescent="0.2">
      <c r="D382" s="660" t="str">
        <f>Plac_Start_Facs_BA!C16</f>
        <v>Northern</v>
      </c>
      <c r="H382" s="660" t="str">
        <f>Diag_BA!G$10</f>
        <v>BIOP-H</v>
      </c>
      <c r="J382" s="8">
        <f>J195*Diag_BA!$M$109/TS_Denom_Conv_Fact</f>
        <v>0</v>
      </c>
      <c r="K382" s="8">
        <f>K195*Diag_BA!$M$109/TS_Denom_Conv_Fact</f>
        <v>0</v>
      </c>
      <c r="L382" s="8">
        <f>L195*Diag_BA!$M$109/TS_Denom_Conv_Fact</f>
        <v>0</v>
      </c>
      <c r="M382" s="8">
        <f>M195*Diag_BA!$M$109/TS_Denom_Conv_Fact</f>
        <v>0</v>
      </c>
      <c r="N382" s="8">
        <f>N195*Diag_BA!$M$109/TS_Denom_Conv_Fact</f>
        <v>0</v>
      </c>
      <c r="O382" s="8">
        <f>O195*Diag_BA!$M$109/TS_Denom_Conv_Fact</f>
        <v>0</v>
      </c>
    </row>
    <row r="383" spans="4:15" s="327" customFormat="1" outlineLevel="1" x14ac:dyDescent="0.2">
      <c r="D383" s="660" t="str">
        <f>Plac_Start_Facs_BA!C17</f>
        <v>North-Western</v>
      </c>
      <c r="H383" s="660" t="str">
        <f>Diag_BA!G$10</f>
        <v>BIOP-H</v>
      </c>
      <c r="J383" s="8">
        <f>J196*Diag_BA!$M$109/TS_Denom_Conv_Fact</f>
        <v>0</v>
      </c>
      <c r="K383" s="8">
        <f>K196*Diag_BA!$M$109/TS_Denom_Conv_Fact</f>
        <v>0</v>
      </c>
      <c r="L383" s="8">
        <f>L196*Diag_BA!$M$109/TS_Denom_Conv_Fact</f>
        <v>0</v>
      </c>
      <c r="M383" s="8">
        <f>M196*Diag_BA!$M$109/TS_Denom_Conv_Fact</f>
        <v>0</v>
      </c>
      <c r="N383" s="8">
        <f>N196*Diag_BA!$M$109/TS_Denom_Conv_Fact</f>
        <v>0</v>
      </c>
      <c r="O383" s="8">
        <f>O196*Diag_BA!$M$109/TS_Denom_Conv_Fact</f>
        <v>0</v>
      </c>
    </row>
    <row r="384" spans="4:15" s="327" customFormat="1" outlineLevel="1" x14ac:dyDescent="0.2">
      <c r="D384" s="660" t="str">
        <f>Plac_Start_Facs_BA!C18</f>
        <v>Southern</v>
      </c>
      <c r="H384" s="660" t="str">
        <f>Diag_BA!G$10</f>
        <v>BIOP-H</v>
      </c>
      <c r="J384" s="8">
        <f>J197*Diag_BA!$M$109/TS_Denom_Conv_Fact</f>
        <v>0</v>
      </c>
      <c r="K384" s="8">
        <f>K197*Diag_BA!$M$109/TS_Denom_Conv_Fact</f>
        <v>0</v>
      </c>
      <c r="L384" s="8">
        <f>L197*Diag_BA!$M$109/TS_Denom_Conv_Fact</f>
        <v>0</v>
      </c>
      <c r="M384" s="8">
        <f>M197*Diag_BA!$M$109/TS_Denom_Conv_Fact</f>
        <v>0</v>
      </c>
      <c r="N384" s="8">
        <f>N197*Diag_BA!$M$109/TS_Denom_Conv_Fact</f>
        <v>0</v>
      </c>
      <c r="O384" s="8">
        <f>O197*Diag_BA!$M$109/TS_Denom_Conv_Fact</f>
        <v>0</v>
      </c>
    </row>
    <row r="385" spans="4:15" s="327" customFormat="1" outlineLevel="1" x14ac:dyDescent="0.2">
      <c r="D385" s="660" t="str">
        <f>Plac_Start_Facs_BA!C19</f>
        <v>Western</v>
      </c>
      <c r="H385" s="660" t="str">
        <f>Diag_BA!G$10</f>
        <v>BIOP-H</v>
      </c>
      <c r="J385" s="9">
        <f>J198*Diag_BA!$M$109/TS_Denom_Conv_Fact</f>
        <v>0</v>
      </c>
      <c r="K385" s="9">
        <f>K198*Diag_BA!$M$109/TS_Denom_Conv_Fact</f>
        <v>0</v>
      </c>
      <c r="L385" s="9">
        <f>L198*Diag_BA!$M$109/TS_Denom_Conv_Fact</f>
        <v>0</v>
      </c>
      <c r="M385" s="9">
        <f>M198*Diag_BA!$M$109/TS_Denom_Conv_Fact</f>
        <v>0</v>
      </c>
      <c r="N385" s="9">
        <f>N198*Diag_BA!$M$109/TS_Denom_Conv_Fact</f>
        <v>0</v>
      </c>
      <c r="O385" s="9">
        <f>O198*Diag_BA!$M$109/TS_Denom_Conv_Fact</f>
        <v>0</v>
      </c>
    </row>
    <row r="386" spans="4:15" s="327" customFormat="1" ht="15" x14ac:dyDescent="0.2">
      <c r="D386" s="659" t="str">
        <f>D375&amp;" ("&amp;INDEX(LU_Diag_Denom,DD_TS_Denom)&amp;")"</f>
        <v>NonAnnualized Capital Expenditure (Economic) (USD)</v>
      </c>
      <c r="H386" s="646" t="str">
        <f>Diag_BA!G10</f>
        <v>BIOP-H</v>
      </c>
      <c r="J386" s="5">
        <f t="shared" ref="J386:O386" si="33">SUM(J376:J385)</f>
        <v>51.75</v>
      </c>
      <c r="K386" s="5">
        <f t="shared" si="33"/>
        <v>51.75</v>
      </c>
      <c r="L386" s="5">
        <f t="shared" si="33"/>
        <v>51.75</v>
      </c>
      <c r="M386" s="5">
        <f t="shared" si="33"/>
        <v>51.75</v>
      </c>
      <c r="N386" s="5">
        <f t="shared" si="33"/>
        <v>51.75</v>
      </c>
      <c r="O386" s="5">
        <f t="shared" si="33"/>
        <v>51.75</v>
      </c>
    </row>
    <row r="387" spans="4:15" s="327" customFormat="1" ht="15" outlineLevel="2" x14ac:dyDescent="0.2">
      <c r="D387" s="658" t="s">
        <v>135</v>
      </c>
    </row>
    <row r="388" spans="4:15" s="327" customFormat="1" outlineLevel="2" x14ac:dyDescent="0.2">
      <c r="D388" s="660" t="str">
        <f>Plac_Start_Facs_BA!C10</f>
        <v>Central</v>
      </c>
      <c r="H388" s="660" t="str">
        <f>Diag_BA!G$10</f>
        <v>BIOP-H</v>
      </c>
      <c r="J388" s="8">
        <f>J189*Diag_BA!$N$109/TS_Denom_Conv_Fact</f>
        <v>0</v>
      </c>
      <c r="K388" s="8">
        <f>K189*Diag_BA!$N$109/TS_Denom_Conv_Fact</f>
        <v>0</v>
      </c>
      <c r="L388" s="8">
        <f>L189*Diag_BA!$N$109/TS_Denom_Conv_Fact</f>
        <v>0</v>
      </c>
      <c r="M388" s="8">
        <f>M189*Diag_BA!$N$109/TS_Denom_Conv_Fact</f>
        <v>0</v>
      </c>
      <c r="N388" s="8">
        <f>N189*Diag_BA!$N$109/TS_Denom_Conv_Fact</f>
        <v>0</v>
      </c>
      <c r="O388" s="8">
        <f>O189*Diag_BA!$N$109/TS_Denom_Conv_Fact</f>
        <v>0</v>
      </c>
    </row>
    <row r="389" spans="4:15" s="327" customFormat="1" outlineLevel="2" x14ac:dyDescent="0.2">
      <c r="D389" s="660" t="str">
        <f>Plac_Start_Facs_BA!C11</f>
        <v>Copperbelt</v>
      </c>
      <c r="H389" s="660" t="str">
        <f>Diag_BA!G$10</f>
        <v>BIOP-H</v>
      </c>
      <c r="J389" s="8">
        <f>J190*Diag_BA!$N$109/TS_Denom_Conv_Fact</f>
        <v>41.766448766226063</v>
      </c>
      <c r="K389" s="8">
        <f>K190*Diag_BA!$N$109/TS_Denom_Conv_Fact</f>
        <v>41.766448766226063</v>
      </c>
      <c r="L389" s="8">
        <f>L190*Diag_BA!$N$109/TS_Denom_Conv_Fact</f>
        <v>41.766448766226063</v>
      </c>
      <c r="M389" s="8">
        <f>M190*Diag_BA!$N$109/TS_Denom_Conv_Fact</f>
        <v>41.766448766226063</v>
      </c>
      <c r="N389" s="8">
        <f>N190*Diag_BA!$N$109/TS_Denom_Conv_Fact</f>
        <v>41.766448766226063</v>
      </c>
      <c r="O389" s="8">
        <f>O190*Diag_BA!$N$109/TS_Denom_Conv_Fact</f>
        <v>41.766448766226063</v>
      </c>
    </row>
    <row r="390" spans="4:15" s="327" customFormat="1" outlineLevel="2" x14ac:dyDescent="0.2">
      <c r="D390" s="660" t="str">
        <f>Plac_Start_Facs_BA!C12</f>
        <v>Eastern</v>
      </c>
      <c r="H390" s="660" t="str">
        <f>Diag_BA!G$10</f>
        <v>BIOP-H</v>
      </c>
      <c r="J390" s="8">
        <f>J191*Diag_BA!$N$109/TS_Denom_Conv_Fact</f>
        <v>0</v>
      </c>
      <c r="K390" s="8">
        <f>K191*Diag_BA!$N$109/TS_Denom_Conv_Fact</f>
        <v>0</v>
      </c>
      <c r="L390" s="8">
        <f>L191*Diag_BA!$N$109/TS_Denom_Conv_Fact</f>
        <v>0</v>
      </c>
      <c r="M390" s="8">
        <f>M191*Diag_BA!$N$109/TS_Denom_Conv_Fact</f>
        <v>0</v>
      </c>
      <c r="N390" s="8">
        <f>N191*Diag_BA!$N$109/TS_Denom_Conv_Fact</f>
        <v>0</v>
      </c>
      <c r="O390" s="8">
        <f>O191*Diag_BA!$N$109/TS_Denom_Conv_Fact</f>
        <v>0</v>
      </c>
    </row>
    <row r="391" spans="4:15" s="327" customFormat="1" outlineLevel="2" x14ac:dyDescent="0.2">
      <c r="D391" s="660" t="str">
        <f>Plac_Start_Facs_BA!C13</f>
        <v>Luapula</v>
      </c>
      <c r="H391" s="660" t="str">
        <f>Diag_BA!G$10</f>
        <v>BIOP-H</v>
      </c>
      <c r="J391" s="8">
        <f>J192*Diag_BA!$N$109/TS_Denom_Conv_Fact</f>
        <v>0</v>
      </c>
      <c r="K391" s="8">
        <f>K192*Diag_BA!$N$109/TS_Denom_Conv_Fact</f>
        <v>0</v>
      </c>
      <c r="L391" s="8">
        <f>L192*Diag_BA!$N$109/TS_Denom_Conv_Fact</f>
        <v>0</v>
      </c>
      <c r="M391" s="8">
        <f>M192*Diag_BA!$N$109/TS_Denom_Conv_Fact</f>
        <v>0</v>
      </c>
      <c r="N391" s="8">
        <f>N192*Diag_BA!$N$109/TS_Denom_Conv_Fact</f>
        <v>0</v>
      </c>
      <c r="O391" s="8">
        <f>O192*Diag_BA!$N$109/TS_Denom_Conv_Fact</f>
        <v>0</v>
      </c>
    </row>
    <row r="392" spans="4:15" s="327" customFormat="1" outlineLevel="2" x14ac:dyDescent="0.2">
      <c r="D392" s="660" t="str">
        <f>Plac_Start_Facs_BA!C14</f>
        <v>Lusaka</v>
      </c>
      <c r="H392" s="660" t="str">
        <f>Diag_BA!G$10</f>
        <v>BIOP-H</v>
      </c>
      <c r="J392" s="8">
        <f>J193*Diag_BA!$N$109/TS_Denom_Conv_Fact</f>
        <v>13.922149588742021</v>
      </c>
      <c r="K392" s="8">
        <f>K193*Diag_BA!$N$109/TS_Denom_Conv_Fact</f>
        <v>13.922149588742021</v>
      </c>
      <c r="L392" s="8">
        <f>L193*Diag_BA!$N$109/TS_Denom_Conv_Fact</f>
        <v>13.922149588742021</v>
      </c>
      <c r="M392" s="8">
        <f>M193*Diag_BA!$N$109/TS_Denom_Conv_Fact</f>
        <v>13.922149588742021</v>
      </c>
      <c r="N392" s="8">
        <f>N193*Diag_BA!$N$109/TS_Denom_Conv_Fact</f>
        <v>13.922149588742021</v>
      </c>
      <c r="O392" s="8">
        <f>O193*Diag_BA!$N$109/TS_Denom_Conv_Fact</f>
        <v>13.922149588742021</v>
      </c>
    </row>
    <row r="393" spans="4:15" s="327" customFormat="1" outlineLevel="2" x14ac:dyDescent="0.2">
      <c r="D393" s="660" t="str">
        <f>Plac_Start_Facs_BA!C15</f>
        <v>Muchinga</v>
      </c>
      <c r="H393" s="660" t="str">
        <f>Diag_BA!G$10</f>
        <v>BIOP-H</v>
      </c>
      <c r="J393" s="8">
        <f>J194*Diag_BA!$N$109/TS_Denom_Conv_Fact</f>
        <v>0</v>
      </c>
      <c r="K393" s="8">
        <f>K194*Diag_BA!$N$109/TS_Denom_Conv_Fact</f>
        <v>0</v>
      </c>
      <c r="L393" s="8">
        <f>L194*Diag_BA!$N$109/TS_Denom_Conv_Fact</f>
        <v>0</v>
      </c>
      <c r="M393" s="8">
        <f>M194*Diag_BA!$N$109/TS_Denom_Conv_Fact</f>
        <v>0</v>
      </c>
      <c r="N393" s="8">
        <f>N194*Diag_BA!$N$109/TS_Denom_Conv_Fact</f>
        <v>0</v>
      </c>
      <c r="O393" s="8">
        <f>O194*Diag_BA!$N$109/TS_Denom_Conv_Fact</f>
        <v>0</v>
      </c>
    </row>
    <row r="394" spans="4:15" s="327" customFormat="1" outlineLevel="2" x14ac:dyDescent="0.2">
      <c r="D394" s="660" t="str">
        <f>Plac_Start_Facs_BA!C16</f>
        <v>Northern</v>
      </c>
      <c r="H394" s="660" t="str">
        <f>Diag_BA!G$10</f>
        <v>BIOP-H</v>
      </c>
      <c r="J394" s="8">
        <f>J195*Diag_BA!$N$109/TS_Denom_Conv_Fact</f>
        <v>0</v>
      </c>
      <c r="K394" s="8">
        <f>K195*Diag_BA!$N$109/TS_Denom_Conv_Fact</f>
        <v>0</v>
      </c>
      <c r="L394" s="8">
        <f>L195*Diag_BA!$N$109/TS_Denom_Conv_Fact</f>
        <v>0</v>
      </c>
      <c r="M394" s="8">
        <f>M195*Diag_BA!$N$109/TS_Denom_Conv_Fact</f>
        <v>0</v>
      </c>
      <c r="N394" s="8">
        <f>N195*Diag_BA!$N$109/TS_Denom_Conv_Fact</f>
        <v>0</v>
      </c>
      <c r="O394" s="8">
        <f>O195*Diag_BA!$N$109/TS_Denom_Conv_Fact</f>
        <v>0</v>
      </c>
    </row>
    <row r="395" spans="4:15" s="327" customFormat="1" outlineLevel="2" x14ac:dyDescent="0.2">
      <c r="D395" s="660" t="str">
        <f>Plac_Start_Facs_BA!C17</f>
        <v>North-Western</v>
      </c>
      <c r="H395" s="660" t="str">
        <f>Diag_BA!G$10</f>
        <v>BIOP-H</v>
      </c>
      <c r="J395" s="8">
        <f>J196*Diag_BA!$N$109/TS_Denom_Conv_Fact</f>
        <v>0</v>
      </c>
      <c r="K395" s="8">
        <f>K196*Diag_BA!$N$109/TS_Denom_Conv_Fact</f>
        <v>0</v>
      </c>
      <c r="L395" s="8">
        <f>L196*Diag_BA!$N$109/TS_Denom_Conv_Fact</f>
        <v>0</v>
      </c>
      <c r="M395" s="8">
        <f>M196*Diag_BA!$N$109/TS_Denom_Conv_Fact</f>
        <v>0</v>
      </c>
      <c r="N395" s="8">
        <f>N196*Diag_BA!$N$109/TS_Denom_Conv_Fact</f>
        <v>0</v>
      </c>
      <c r="O395" s="8">
        <f>O196*Diag_BA!$N$109/TS_Denom_Conv_Fact</f>
        <v>0</v>
      </c>
    </row>
    <row r="396" spans="4:15" s="327" customFormat="1" outlineLevel="2" x14ac:dyDescent="0.2">
      <c r="D396" s="660" t="str">
        <f>Plac_Start_Facs_BA!C18</f>
        <v>Southern</v>
      </c>
      <c r="H396" s="660" t="str">
        <f>Diag_BA!G$10</f>
        <v>BIOP-H</v>
      </c>
      <c r="J396" s="8">
        <f>J197*Diag_BA!$N$109/TS_Denom_Conv_Fact</f>
        <v>0</v>
      </c>
      <c r="K396" s="8">
        <f>K197*Diag_BA!$N$109/TS_Denom_Conv_Fact</f>
        <v>0</v>
      </c>
      <c r="L396" s="8">
        <f>L197*Diag_BA!$N$109/TS_Denom_Conv_Fact</f>
        <v>0</v>
      </c>
      <c r="M396" s="8">
        <f>M197*Diag_BA!$N$109/TS_Denom_Conv_Fact</f>
        <v>0</v>
      </c>
      <c r="N396" s="8">
        <f>N197*Diag_BA!$N$109/TS_Denom_Conv_Fact</f>
        <v>0</v>
      </c>
      <c r="O396" s="8">
        <f>O197*Diag_BA!$N$109/TS_Denom_Conv_Fact</f>
        <v>0</v>
      </c>
    </row>
    <row r="397" spans="4:15" s="327" customFormat="1" outlineLevel="2" x14ac:dyDescent="0.2">
      <c r="D397" s="660" t="str">
        <f>Plac_Start_Facs_BA!C19</f>
        <v>Western</v>
      </c>
      <c r="H397" s="660" t="str">
        <f>Diag_BA!G$10</f>
        <v>BIOP-H</v>
      </c>
      <c r="J397" s="9">
        <f>J198*Diag_BA!$N$109/TS_Denom_Conv_Fact</f>
        <v>0</v>
      </c>
      <c r="K397" s="9">
        <f>K198*Diag_BA!$N$109/TS_Denom_Conv_Fact</f>
        <v>0</v>
      </c>
      <c r="L397" s="9">
        <f>L198*Diag_BA!$N$109/TS_Denom_Conv_Fact</f>
        <v>0</v>
      </c>
      <c r="M397" s="9">
        <f>M198*Diag_BA!$N$109/TS_Denom_Conv_Fact</f>
        <v>0</v>
      </c>
      <c r="N397" s="9">
        <f>N198*Diag_BA!$N$109/TS_Denom_Conv_Fact</f>
        <v>0</v>
      </c>
      <c r="O397" s="9">
        <f>O198*Diag_BA!$N$109/TS_Denom_Conv_Fact</f>
        <v>0</v>
      </c>
    </row>
    <row r="398" spans="4:15" s="327" customFormat="1" ht="15" x14ac:dyDescent="0.2">
      <c r="D398" s="659" t="str">
        <f>"Total "&amp;D387&amp;" ("&amp;INDEX(LU_Diag_Denom,DD_TS_Denom)&amp;")"</f>
        <v>Total Annualized Capital Expenditure (Economic) (USD)</v>
      </c>
      <c r="H398" s="646" t="str">
        <f>Diag_BA!G10</f>
        <v>BIOP-H</v>
      </c>
      <c r="J398" s="5">
        <f t="shared" ref="J398:O398" si="34">SUM(J388:J397)</f>
        <v>55.688598354968086</v>
      </c>
      <c r="K398" s="5">
        <f t="shared" si="34"/>
        <v>55.688598354968086</v>
      </c>
      <c r="L398" s="5">
        <f t="shared" si="34"/>
        <v>55.688598354968086</v>
      </c>
      <c r="M398" s="5">
        <f t="shared" si="34"/>
        <v>55.688598354968086</v>
      </c>
      <c r="N398" s="5">
        <f t="shared" si="34"/>
        <v>55.688598354968086</v>
      </c>
      <c r="O398" s="5">
        <f t="shared" si="34"/>
        <v>55.688598354968086</v>
      </c>
    </row>
    <row r="399" spans="4:15" s="327" customFormat="1" x14ac:dyDescent="0.2"/>
    <row r="400" spans="4:15" s="327" customFormat="1" ht="26.45" customHeight="1" x14ac:dyDescent="0.2">
      <c r="D400" s="930" t="str">
        <f>"Total Fin Costs [incl. CapEx]("&amp;INDEX(LU_Diag_Denom,DD_TS_Denom)&amp;")"</f>
        <v>Total Fin Costs [incl. CapEx](USD)</v>
      </c>
      <c r="E400" s="930"/>
      <c r="F400" s="930"/>
      <c r="G400" s="930"/>
      <c r="H400" s="660" t="str">
        <f>Diag_BA!G10</f>
        <v>BIOP-H</v>
      </c>
      <c r="J400" s="5">
        <f t="shared" ref="J400:O400" ca="1" si="35">J347+J361</f>
        <v>5500.4346649999998</v>
      </c>
      <c r="K400" s="5">
        <f t="shared" ca="1" si="35"/>
        <v>5320.4346649999998</v>
      </c>
      <c r="L400" s="5">
        <f t="shared" ca="1" si="35"/>
        <v>5320.4346649999998</v>
      </c>
      <c r="M400" s="5">
        <f t="shared" ca="1" si="35"/>
        <v>5320.4346649999998</v>
      </c>
      <c r="N400" s="5">
        <f t="shared" ca="1" si="35"/>
        <v>5320.4346649999998</v>
      </c>
      <c r="O400" s="5">
        <f t="shared" ca="1" si="35"/>
        <v>5320.4346649999998</v>
      </c>
    </row>
    <row r="401" spans="3:15" s="327" customFormat="1" ht="24" customHeight="1" x14ac:dyDescent="0.2">
      <c r="D401" s="930" t="str">
        <f>"Total Econ Costs [incl. CapEx] ("&amp;INDEX(LU_Diag_Denom,DD_TS_Denom)&amp;")"</f>
        <v>Total Econ Costs [incl. CapEx] (USD)</v>
      </c>
      <c r="E401" s="930"/>
      <c r="F401" s="930"/>
      <c r="G401" s="930"/>
      <c r="H401" s="660" t="str">
        <f>Diag_BA!G10</f>
        <v>BIOP-H</v>
      </c>
      <c r="J401" s="5">
        <f t="shared" ref="J401:O401" ca="1" si="36">J348+J386</f>
        <v>7197.5300740513485</v>
      </c>
      <c r="K401" s="5">
        <f t="shared" ca="1" si="36"/>
        <v>7197.5300740513485</v>
      </c>
      <c r="L401" s="5">
        <f t="shared" ca="1" si="36"/>
        <v>7197.5300740513485</v>
      </c>
      <c r="M401" s="5">
        <f t="shared" ca="1" si="36"/>
        <v>7197.5300740513485</v>
      </c>
      <c r="N401" s="5">
        <f t="shared" ca="1" si="36"/>
        <v>7197.5300740513485</v>
      </c>
      <c r="O401" s="5">
        <f t="shared" ca="1" si="36"/>
        <v>7197.5300740513485</v>
      </c>
    </row>
    <row r="402" spans="3:15" s="327" customFormat="1" x14ac:dyDescent="0.2"/>
    <row r="403" spans="3:15" s="327" customFormat="1" x14ac:dyDescent="0.2">
      <c r="C403" s="716" t="str">
        <f>"Go to "&amp;HL_Diag_Ass</f>
        <v>Go to Biopsy and Histopathology Assumptions</v>
      </c>
      <c r="D403" s="716"/>
      <c r="E403" s="716"/>
      <c r="F403" s="716"/>
      <c r="G403" s="716"/>
      <c r="H403" s="716"/>
      <c r="I403" s="716"/>
    </row>
    <row r="404" spans="3:15" s="327" customFormat="1" x14ac:dyDescent="0.2">
      <c r="C404" s="716" t="str">
        <f>"Go to "&amp;HL_Diag_Ann_Ass</f>
        <v>Go to Diagnostic Services - Annual Assumptions</v>
      </c>
      <c r="D404" s="716"/>
      <c r="E404" s="716"/>
      <c r="F404" s="716"/>
      <c r="G404" s="716"/>
      <c r="H404" s="716"/>
      <c r="I404" s="716"/>
    </row>
  </sheetData>
  <sheetProtection password="F0F4" sheet="1" scenarios="1"/>
  <mergeCells count="5">
    <mergeCell ref="B3:F3"/>
    <mergeCell ref="C403:I403"/>
    <mergeCell ref="C404:I404"/>
    <mergeCell ref="D400:G400"/>
    <mergeCell ref="D401:G401"/>
  </mergeCells>
  <hyperlinks>
    <hyperlink ref="A4" location="$A$10" tooltip="Go to Top of Sheet" display="$A$10"/>
    <hyperlink ref="C403:I403" location="HL_Diag_Ass" tooltip="Click to follow hyperlink." display="HL_Diag_Ass"/>
    <hyperlink ref="C404:I404" location="HL_Diag_Ann_Ass" tooltip="Click to follow hyperlink." display="HL_Diag_Ann_Ass"/>
    <hyperlink ref="B4" location="HL_Sheet_Main_16" tooltip="Go to Previous Sheet" display="HL_Sheet_Main_16"/>
    <hyperlink ref="C4" location="HL_Sheet_Main_28" tooltip="Go to Next Sheet" display="HL_Sheet_Main_28"/>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indexed="60"/>
    <pageSetUpPr autoPageBreaks="0"/>
  </sheetPr>
  <dimension ref="A1:O2451"/>
  <sheetViews>
    <sheetView showGridLines="0" zoomScaleNormal="100" workbookViewId="0">
      <pane ySplit="9" topLeftCell="A10" activePane="bottomLeft" state="frozen"/>
      <selection activeCell="F4" sqref="F4"/>
      <selection pane="bottomLeft" activeCell="F4" sqref="F4"/>
    </sheetView>
  </sheetViews>
  <sheetFormatPr defaultColWidth="11.7109375" defaultRowHeight="12.75" outlineLevelRow="2" outlineLevelCol="1" x14ac:dyDescent="0.2"/>
  <cols>
    <col min="1" max="1" width="3.7109375" style="49" customWidth="1"/>
    <col min="2" max="2" width="5.85546875" style="49" customWidth="1"/>
    <col min="3" max="4" width="3.85546875" style="49" customWidth="1"/>
    <col min="5" max="5" width="3.7109375" style="49" customWidth="1"/>
    <col min="6" max="6" width="11.7109375" style="49"/>
    <col min="7" max="7" width="14.7109375" style="49" customWidth="1"/>
    <col min="8" max="8" width="15.7109375" style="49" customWidth="1"/>
    <col min="9" max="9" width="11.7109375" style="49" customWidth="1"/>
    <col min="10" max="10" width="12.42578125" style="49" customWidth="1" outlineLevel="1"/>
    <col min="11" max="14" width="13.5703125" style="49" customWidth="1" outlineLevel="1"/>
    <col min="15" max="15" width="11.7109375" style="49" outlineLevel="1"/>
    <col min="16" max="16384" width="11.7109375" style="49"/>
  </cols>
  <sheetData>
    <row r="1" spans="1:15" ht="23.25" x14ac:dyDescent="0.2">
      <c r="A1" s="422"/>
      <c r="B1" s="100" t="s">
        <v>597</v>
      </c>
    </row>
    <row r="2" spans="1:15" ht="18.75" x14ac:dyDescent="0.2">
      <c r="B2" s="101" t="str">
        <f>Model_Name</f>
        <v>Zambia C4P* - Screening &amp; Treatment Tool</v>
      </c>
    </row>
    <row r="3" spans="1:15" x14ac:dyDescent="0.2">
      <c r="B3" s="716" t="s">
        <v>2</v>
      </c>
      <c r="C3" s="716"/>
      <c r="D3" s="716"/>
      <c r="E3" s="716"/>
      <c r="F3" s="716"/>
    </row>
    <row r="4" spans="1:15" x14ac:dyDescent="0.2">
      <c r="A4" s="102" t="s">
        <v>4</v>
      </c>
      <c r="B4" s="343" t="s">
        <v>6</v>
      </c>
      <c r="C4" s="344" t="s">
        <v>7</v>
      </c>
      <c r="D4" s="345" t="s">
        <v>27</v>
      </c>
      <c r="E4" s="346" t="s">
        <v>28</v>
      </c>
      <c r="F4" s="347" t="s">
        <v>29</v>
      </c>
    </row>
    <row r="5" spans="1:15" x14ac:dyDescent="0.2">
      <c r="B5" s="199" t="str">
        <f>"Year Ending "&amp;INDEX(LU_TS_Mth_Names,DD_TS_Fin_Yr_End_Mth)</f>
        <v>Year Ending December</v>
      </c>
      <c r="C5" s="231"/>
      <c r="D5" s="231"/>
      <c r="E5" s="231"/>
      <c r="F5" s="231"/>
      <c r="G5" s="231"/>
      <c r="H5" s="231"/>
      <c r="I5" s="231"/>
      <c r="J5" s="454">
        <f t="shared" ref="J5:O5" si="0">J9</f>
        <v>2015</v>
      </c>
      <c r="K5" s="454">
        <f t="shared" si="0"/>
        <v>2016</v>
      </c>
      <c r="L5" s="454">
        <f t="shared" si="0"/>
        <v>2017</v>
      </c>
      <c r="M5" s="454">
        <f t="shared" si="0"/>
        <v>2018</v>
      </c>
      <c r="N5" s="454">
        <f t="shared" si="0"/>
        <v>2019</v>
      </c>
      <c r="O5" s="454">
        <f t="shared" si="0"/>
        <v>2020</v>
      </c>
    </row>
    <row r="6" spans="1:15" outlineLevel="2" x14ac:dyDescent="0.2">
      <c r="B6" s="98" t="s">
        <v>70</v>
      </c>
      <c r="J6" s="4">
        <f t="shared" ref="J6:O6" si="1">EDATE(TS_Start_Date,(J8-1)*TS_Mths_In_Yr)</f>
        <v>42005</v>
      </c>
      <c r="K6" s="4">
        <f t="shared" si="1"/>
        <v>42370</v>
      </c>
      <c r="L6" s="4">
        <f t="shared" si="1"/>
        <v>42736</v>
      </c>
      <c r="M6" s="4">
        <f t="shared" si="1"/>
        <v>43101</v>
      </c>
      <c r="N6" s="4">
        <f t="shared" si="1"/>
        <v>43466</v>
      </c>
      <c r="O6" s="4">
        <f t="shared" si="1"/>
        <v>43831</v>
      </c>
    </row>
    <row r="7" spans="1:15" outlineLevel="2" x14ac:dyDescent="0.2">
      <c r="B7" s="98" t="s">
        <v>71</v>
      </c>
      <c r="J7" s="4">
        <f t="shared" ref="J7:O7" si="2">EDATE(J6,TS_Mths_In_Yr)-1</f>
        <v>42369</v>
      </c>
      <c r="K7" s="4">
        <f t="shared" si="2"/>
        <v>42735</v>
      </c>
      <c r="L7" s="4">
        <f t="shared" si="2"/>
        <v>43100</v>
      </c>
      <c r="M7" s="4">
        <f t="shared" si="2"/>
        <v>43465</v>
      </c>
      <c r="N7" s="4">
        <f t="shared" si="2"/>
        <v>43830</v>
      </c>
      <c r="O7" s="4">
        <f t="shared" si="2"/>
        <v>44196</v>
      </c>
    </row>
    <row r="8" spans="1:15" outlineLevel="2" x14ac:dyDescent="0.2">
      <c r="B8" s="98" t="s">
        <v>72</v>
      </c>
      <c r="J8" s="5">
        <f>COLUMNS($J8:J8)</f>
        <v>1</v>
      </c>
      <c r="K8" s="5">
        <f>COLUMNS($J8:K8)</f>
        <v>2</v>
      </c>
      <c r="L8" s="5">
        <f>COLUMNS($J8:L8)</f>
        <v>3</v>
      </c>
      <c r="M8" s="5">
        <f>COLUMNS($J8:M8)</f>
        <v>4</v>
      </c>
      <c r="N8" s="5">
        <f>COLUMNS($J8:N8)</f>
        <v>5</v>
      </c>
      <c r="O8" s="5">
        <f>COLUMNS($J8:O8)</f>
        <v>6</v>
      </c>
    </row>
    <row r="9" spans="1:15"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x14ac:dyDescent="0.2"/>
    <row r="11" spans="1:15" s="327" customFormat="1" x14ac:dyDescent="0.2"/>
    <row r="12" spans="1:15" s="327" customFormat="1" ht="18.75" x14ac:dyDescent="0.2">
      <c r="B12" s="452" t="str">
        <f>Intv_Name</f>
        <v>Cryotherapy - Same Visit</v>
      </c>
    </row>
    <row r="13" spans="1:15" s="327" customFormat="1" x14ac:dyDescent="0.2"/>
    <row r="14" spans="1:15" s="327" customFormat="1" ht="15.75" outlineLevel="2" x14ac:dyDescent="0.2">
      <c r="C14" s="26" t="str">
        <f>"Active "&amp;Intv_BA!D39&amp;"s"</f>
        <v>Active Central Referral Hospitals</v>
      </c>
    </row>
    <row r="15" spans="1:15" s="327" customFormat="1" outlineLevel="2" x14ac:dyDescent="0.2"/>
    <row r="16" spans="1:15" s="327" customFormat="1" outlineLevel="2" x14ac:dyDescent="0.2">
      <c r="D16" s="643" t="s">
        <v>82</v>
      </c>
      <c r="H16" s="27">
        <v>1</v>
      </c>
    </row>
    <row r="17" spans="3:15" s="327" customFormat="1" outlineLevel="2" x14ac:dyDescent="0.2"/>
    <row r="18" spans="3:15" s="327" customFormat="1" ht="15" outlineLevel="2" x14ac:dyDescent="0.2">
      <c r="D18" s="641" t="str">
        <f>Labels_BA!G10</f>
        <v>Province</v>
      </c>
    </row>
    <row r="19" spans="3:15" s="327" customFormat="1" outlineLevel="2" x14ac:dyDescent="0.2">
      <c r="D19" s="640" t="str">
        <f>Intv_BA!D165</f>
        <v>Central</v>
      </c>
      <c r="J19" s="8">
        <f>Intv_Ann_TA!J21</f>
        <v>0</v>
      </c>
      <c r="K19" s="8">
        <f>Intv_Ann_TA!K21</f>
        <v>0</v>
      </c>
      <c r="L19" s="8">
        <f>Intv_Ann_TA!L21</f>
        <v>0</v>
      </c>
      <c r="M19" s="8">
        <f>Intv_Ann_TA!M21</f>
        <v>0</v>
      </c>
      <c r="N19" s="8">
        <f>Intv_Ann_TA!N21</f>
        <v>0</v>
      </c>
      <c r="O19" s="8">
        <f>Intv_Ann_TA!O21</f>
        <v>0</v>
      </c>
    </row>
    <row r="20" spans="3:15" s="327" customFormat="1" outlineLevel="2" x14ac:dyDescent="0.2">
      <c r="D20" s="640" t="str">
        <f>Intv_BA!D166</f>
        <v>Copperbelt</v>
      </c>
      <c r="J20" s="8">
        <f>Intv_Ann_TA!J22</f>
        <v>2</v>
      </c>
      <c r="K20" s="8">
        <f>Intv_Ann_TA!K22</f>
        <v>2</v>
      </c>
      <c r="L20" s="8">
        <f>Intv_Ann_TA!L22</f>
        <v>2</v>
      </c>
      <c r="M20" s="8">
        <f>Intv_Ann_TA!M22</f>
        <v>2</v>
      </c>
      <c r="N20" s="8">
        <f>Intv_Ann_TA!N22</f>
        <v>2</v>
      </c>
      <c r="O20" s="8">
        <f>Intv_Ann_TA!O22</f>
        <v>2</v>
      </c>
    </row>
    <row r="21" spans="3:15" s="327" customFormat="1" outlineLevel="2" x14ac:dyDescent="0.2">
      <c r="D21" s="640" t="str">
        <f>Intv_BA!D167</f>
        <v>Eastern</v>
      </c>
      <c r="J21" s="8">
        <f>Intv_Ann_TA!J23</f>
        <v>0</v>
      </c>
      <c r="K21" s="8">
        <f>Intv_Ann_TA!K23</f>
        <v>0</v>
      </c>
      <c r="L21" s="8">
        <f>Intv_Ann_TA!L23</f>
        <v>0</v>
      </c>
      <c r="M21" s="8">
        <f>Intv_Ann_TA!M23</f>
        <v>0</v>
      </c>
      <c r="N21" s="8">
        <f>Intv_Ann_TA!N23</f>
        <v>0</v>
      </c>
      <c r="O21" s="8">
        <f>Intv_Ann_TA!O23</f>
        <v>0</v>
      </c>
    </row>
    <row r="22" spans="3:15" s="327" customFormat="1" outlineLevel="2" x14ac:dyDescent="0.2">
      <c r="D22" s="640" t="str">
        <f>Intv_BA!D168</f>
        <v>Luapula</v>
      </c>
      <c r="J22" s="8">
        <f>Intv_Ann_TA!J24</f>
        <v>0</v>
      </c>
      <c r="K22" s="8">
        <f>Intv_Ann_TA!K24</f>
        <v>0</v>
      </c>
      <c r="L22" s="8">
        <f>Intv_Ann_TA!L24</f>
        <v>0</v>
      </c>
      <c r="M22" s="8">
        <f>Intv_Ann_TA!M24</f>
        <v>0</v>
      </c>
      <c r="N22" s="8">
        <f>Intv_Ann_TA!N24</f>
        <v>0</v>
      </c>
      <c r="O22" s="8">
        <f>Intv_Ann_TA!O24</f>
        <v>0</v>
      </c>
    </row>
    <row r="23" spans="3:15" s="327" customFormat="1" outlineLevel="2" x14ac:dyDescent="0.2">
      <c r="D23" s="640" t="str">
        <f>Intv_BA!D169</f>
        <v>Lusaka</v>
      </c>
      <c r="J23" s="8">
        <f>Intv_Ann_TA!J25</f>
        <v>1</v>
      </c>
      <c r="K23" s="8">
        <f>Intv_Ann_TA!K25</f>
        <v>1</v>
      </c>
      <c r="L23" s="8">
        <f>Intv_Ann_TA!L25</f>
        <v>1</v>
      </c>
      <c r="M23" s="8">
        <f>Intv_Ann_TA!M25</f>
        <v>1</v>
      </c>
      <c r="N23" s="8">
        <f>Intv_Ann_TA!N25</f>
        <v>1</v>
      </c>
      <c r="O23" s="8">
        <f>Intv_Ann_TA!O25</f>
        <v>1</v>
      </c>
    </row>
    <row r="24" spans="3:15" s="327" customFormat="1" outlineLevel="2" x14ac:dyDescent="0.2">
      <c r="D24" s="640" t="str">
        <f>Intv_BA!D170</f>
        <v>Muchinga</v>
      </c>
      <c r="J24" s="8">
        <f>Intv_Ann_TA!J26</f>
        <v>0</v>
      </c>
      <c r="K24" s="8">
        <f>Intv_Ann_TA!K26</f>
        <v>0</v>
      </c>
      <c r="L24" s="8">
        <f>Intv_Ann_TA!L26</f>
        <v>0</v>
      </c>
      <c r="M24" s="8">
        <f>Intv_Ann_TA!M26</f>
        <v>0</v>
      </c>
      <c r="N24" s="8">
        <f>Intv_Ann_TA!N26</f>
        <v>0</v>
      </c>
      <c r="O24" s="8">
        <f>Intv_Ann_TA!O26</f>
        <v>0</v>
      </c>
    </row>
    <row r="25" spans="3:15" s="327" customFormat="1" outlineLevel="2" x14ac:dyDescent="0.2">
      <c r="D25" s="640" t="str">
        <f>Intv_BA!D171</f>
        <v>Northern</v>
      </c>
      <c r="J25" s="8">
        <f>Intv_Ann_TA!J27</f>
        <v>0</v>
      </c>
      <c r="K25" s="8">
        <f>Intv_Ann_TA!K27</f>
        <v>0</v>
      </c>
      <c r="L25" s="8">
        <f>Intv_Ann_TA!L27</f>
        <v>0</v>
      </c>
      <c r="M25" s="8">
        <f>Intv_Ann_TA!M27</f>
        <v>0</v>
      </c>
      <c r="N25" s="8">
        <f>Intv_Ann_TA!N27</f>
        <v>0</v>
      </c>
      <c r="O25" s="8">
        <f>Intv_Ann_TA!O27</f>
        <v>0</v>
      </c>
    </row>
    <row r="26" spans="3:15" s="327" customFormat="1" outlineLevel="2" x14ac:dyDescent="0.2">
      <c r="D26" s="640" t="str">
        <f>Intv_BA!D172</f>
        <v>North-Western</v>
      </c>
      <c r="J26" s="8">
        <f>Intv_Ann_TA!J28</f>
        <v>0</v>
      </c>
      <c r="K26" s="8">
        <f>Intv_Ann_TA!K28</f>
        <v>0</v>
      </c>
      <c r="L26" s="8">
        <f>Intv_Ann_TA!L28</f>
        <v>0</v>
      </c>
      <c r="M26" s="8">
        <f>Intv_Ann_TA!M28</f>
        <v>0</v>
      </c>
      <c r="N26" s="8">
        <f>Intv_Ann_TA!N28</f>
        <v>0</v>
      </c>
      <c r="O26" s="8">
        <f>Intv_Ann_TA!O28</f>
        <v>0</v>
      </c>
    </row>
    <row r="27" spans="3:15" s="327" customFormat="1" outlineLevel="2" x14ac:dyDescent="0.2">
      <c r="D27" s="640" t="str">
        <f>Intv_BA!D173</f>
        <v>Southern</v>
      </c>
      <c r="J27" s="8">
        <f>Intv_Ann_TA!J29</f>
        <v>0</v>
      </c>
      <c r="K27" s="8">
        <f>Intv_Ann_TA!K29</f>
        <v>0</v>
      </c>
      <c r="L27" s="8">
        <f>Intv_Ann_TA!L29</f>
        <v>0</v>
      </c>
      <c r="M27" s="8">
        <f>Intv_Ann_TA!M29</f>
        <v>0</v>
      </c>
      <c r="N27" s="8">
        <f>Intv_Ann_TA!N29</f>
        <v>0</v>
      </c>
      <c r="O27" s="8">
        <f>Intv_Ann_TA!O29</f>
        <v>0</v>
      </c>
    </row>
    <row r="28" spans="3:15" s="327" customFormat="1" outlineLevel="2" x14ac:dyDescent="0.2">
      <c r="D28" s="640" t="str">
        <f>Intv_BA!D174</f>
        <v>Western</v>
      </c>
      <c r="J28" s="9">
        <f>Intv_Ann_TA!J30</f>
        <v>0</v>
      </c>
      <c r="K28" s="9">
        <f>Intv_Ann_TA!K30</f>
        <v>0</v>
      </c>
      <c r="L28" s="9">
        <f>Intv_Ann_TA!L30</f>
        <v>0</v>
      </c>
      <c r="M28" s="9">
        <f>Intv_Ann_TA!M30</f>
        <v>0</v>
      </c>
      <c r="N28" s="9">
        <f>Intv_Ann_TA!N30</f>
        <v>0</v>
      </c>
      <c r="O28" s="9">
        <f>Intv_Ann_TA!O30</f>
        <v>0</v>
      </c>
    </row>
    <row r="29" spans="3:15" s="327" customFormat="1" x14ac:dyDescent="0.2">
      <c r="D29" s="639" t="str">
        <f>"Total "&amp;C14</f>
        <v>Total Active Central Referral Hospitals</v>
      </c>
      <c r="J29" s="5">
        <f t="shared" ref="J29:O29" si="4">SUM(J19:J28)</f>
        <v>3</v>
      </c>
      <c r="K29" s="5">
        <f t="shared" si="4"/>
        <v>3</v>
      </c>
      <c r="L29" s="5">
        <f t="shared" si="4"/>
        <v>3</v>
      </c>
      <c r="M29" s="5">
        <f t="shared" si="4"/>
        <v>3</v>
      </c>
      <c r="N29" s="5">
        <f t="shared" si="4"/>
        <v>3</v>
      </c>
      <c r="O29" s="5">
        <f t="shared" si="4"/>
        <v>3</v>
      </c>
    </row>
    <row r="30" spans="3:15" s="327" customFormat="1" outlineLevel="2" x14ac:dyDescent="0.2"/>
    <row r="31" spans="3:15" s="327" customFormat="1" ht="15.75" outlineLevel="2" x14ac:dyDescent="0.2">
      <c r="C31" s="26" t="str">
        <f>"Active "&amp;Intv_BA!D40&amp;"s"</f>
        <v>Active Provincial Hospitals</v>
      </c>
    </row>
    <row r="32" spans="3:15" s="327" customFormat="1" outlineLevel="2" x14ac:dyDescent="0.2"/>
    <row r="33" spans="3:15" s="327" customFormat="1" outlineLevel="2" x14ac:dyDescent="0.2">
      <c r="D33" s="643" t="s">
        <v>82</v>
      </c>
      <c r="H33" s="27">
        <v>2</v>
      </c>
    </row>
    <row r="34" spans="3:15" s="327" customFormat="1" outlineLevel="2" x14ac:dyDescent="0.2"/>
    <row r="35" spans="3:15" s="327" customFormat="1" ht="15" outlineLevel="2" x14ac:dyDescent="0.2">
      <c r="D35" s="641" t="str">
        <f>Labels_BA!G10</f>
        <v>Province</v>
      </c>
    </row>
    <row r="36" spans="3:15" s="327" customFormat="1" outlineLevel="2" x14ac:dyDescent="0.2">
      <c r="D36" s="640" t="str">
        <f>Intv_BA!D165</f>
        <v>Central</v>
      </c>
      <c r="J36" s="8">
        <f>Intv_Ann_TA!J37</f>
        <v>0</v>
      </c>
      <c r="K36" s="8">
        <f>Intv_Ann_TA!K37</f>
        <v>0</v>
      </c>
      <c r="L36" s="8">
        <f>Intv_Ann_TA!L37</f>
        <v>0</v>
      </c>
      <c r="M36" s="8">
        <f>Intv_Ann_TA!M37</f>
        <v>0</v>
      </c>
      <c r="N36" s="8">
        <f>Intv_Ann_TA!N37</f>
        <v>0</v>
      </c>
      <c r="O36" s="8">
        <f>Intv_Ann_TA!O37</f>
        <v>0</v>
      </c>
    </row>
    <row r="37" spans="3:15" s="327" customFormat="1" outlineLevel="2" x14ac:dyDescent="0.2">
      <c r="D37" s="640" t="str">
        <f>Intv_BA!D166</f>
        <v>Copperbelt</v>
      </c>
      <c r="J37" s="8">
        <f>Intv_Ann_TA!J38</f>
        <v>1</v>
      </c>
      <c r="K37" s="8">
        <f>Intv_Ann_TA!K38</f>
        <v>1</v>
      </c>
      <c r="L37" s="8">
        <f>Intv_Ann_TA!L38</f>
        <v>1</v>
      </c>
      <c r="M37" s="8">
        <f>Intv_Ann_TA!M38</f>
        <v>1</v>
      </c>
      <c r="N37" s="8">
        <f>Intv_Ann_TA!N38</f>
        <v>1</v>
      </c>
      <c r="O37" s="8">
        <f>Intv_Ann_TA!O38</f>
        <v>1</v>
      </c>
    </row>
    <row r="38" spans="3:15" s="327" customFormat="1" outlineLevel="2" x14ac:dyDescent="0.2">
      <c r="D38" s="640" t="str">
        <f>Intv_BA!D167</f>
        <v>Eastern</v>
      </c>
      <c r="J38" s="8">
        <f>Intv_Ann_TA!J39</f>
        <v>2</v>
      </c>
      <c r="K38" s="8">
        <f>Intv_Ann_TA!K39</f>
        <v>2</v>
      </c>
      <c r="L38" s="8">
        <f>Intv_Ann_TA!L39</f>
        <v>2</v>
      </c>
      <c r="M38" s="8">
        <f>Intv_Ann_TA!M39</f>
        <v>2</v>
      </c>
      <c r="N38" s="8">
        <f>Intv_Ann_TA!N39</f>
        <v>2</v>
      </c>
      <c r="O38" s="8">
        <f>Intv_Ann_TA!O39</f>
        <v>2</v>
      </c>
    </row>
    <row r="39" spans="3:15" s="327" customFormat="1" outlineLevel="2" x14ac:dyDescent="0.2">
      <c r="D39" s="640" t="str">
        <f>Intv_BA!D168</f>
        <v>Luapula</v>
      </c>
      <c r="J39" s="8">
        <f>Intv_Ann_TA!J40</f>
        <v>1</v>
      </c>
      <c r="K39" s="8">
        <f>Intv_Ann_TA!K40</f>
        <v>1</v>
      </c>
      <c r="L39" s="8">
        <f>Intv_Ann_TA!L40</f>
        <v>1</v>
      </c>
      <c r="M39" s="8">
        <f>Intv_Ann_TA!M40</f>
        <v>1</v>
      </c>
      <c r="N39" s="8">
        <f>Intv_Ann_TA!N40</f>
        <v>1</v>
      </c>
      <c r="O39" s="8">
        <f>Intv_Ann_TA!O40</f>
        <v>1</v>
      </c>
    </row>
    <row r="40" spans="3:15" s="327" customFormat="1" outlineLevel="2" x14ac:dyDescent="0.2">
      <c r="D40" s="640" t="str">
        <f>Intv_BA!D169</f>
        <v>Lusaka</v>
      </c>
      <c r="J40" s="8">
        <f>Intv_Ann_TA!J41</f>
        <v>0</v>
      </c>
      <c r="K40" s="8">
        <f>Intv_Ann_TA!K41</f>
        <v>0</v>
      </c>
      <c r="L40" s="8">
        <f>Intv_Ann_TA!L41</f>
        <v>0</v>
      </c>
      <c r="M40" s="8">
        <f>Intv_Ann_TA!M41</f>
        <v>0</v>
      </c>
      <c r="N40" s="8">
        <f>Intv_Ann_TA!N41</f>
        <v>0</v>
      </c>
      <c r="O40" s="8">
        <f>Intv_Ann_TA!O41</f>
        <v>0</v>
      </c>
    </row>
    <row r="41" spans="3:15" s="327" customFormat="1" outlineLevel="2" x14ac:dyDescent="0.2">
      <c r="D41" s="640" t="str">
        <f>Intv_BA!D170</f>
        <v>Muchinga</v>
      </c>
      <c r="J41" s="8">
        <f>Intv_Ann_TA!J42</f>
        <v>0</v>
      </c>
      <c r="K41" s="8">
        <f>Intv_Ann_TA!K42</f>
        <v>0</v>
      </c>
      <c r="L41" s="8">
        <f>Intv_Ann_TA!L42</f>
        <v>0</v>
      </c>
      <c r="M41" s="8">
        <f>Intv_Ann_TA!M42</f>
        <v>0</v>
      </c>
      <c r="N41" s="8">
        <f>Intv_Ann_TA!N42</f>
        <v>0</v>
      </c>
      <c r="O41" s="8">
        <f>Intv_Ann_TA!O42</f>
        <v>0</v>
      </c>
    </row>
    <row r="42" spans="3:15" s="327" customFormat="1" outlineLevel="2" x14ac:dyDescent="0.2">
      <c r="D42" s="640" t="str">
        <f>Intv_BA!D171</f>
        <v>Northern</v>
      </c>
      <c r="J42" s="8">
        <f>Intv_Ann_TA!J43</f>
        <v>1</v>
      </c>
      <c r="K42" s="8">
        <f>Intv_Ann_TA!K43</f>
        <v>1</v>
      </c>
      <c r="L42" s="8">
        <f>Intv_Ann_TA!L43</f>
        <v>1</v>
      </c>
      <c r="M42" s="8">
        <f>Intv_Ann_TA!M43</f>
        <v>1</v>
      </c>
      <c r="N42" s="8">
        <f>Intv_Ann_TA!N43</f>
        <v>1</v>
      </c>
      <c r="O42" s="8">
        <f>Intv_Ann_TA!O43</f>
        <v>1</v>
      </c>
    </row>
    <row r="43" spans="3:15" s="327" customFormat="1" outlineLevel="2" x14ac:dyDescent="0.2">
      <c r="D43" s="640" t="str">
        <f>Intv_BA!D172</f>
        <v>North-Western</v>
      </c>
      <c r="J43" s="8">
        <f>Intv_Ann_TA!J44</f>
        <v>1</v>
      </c>
      <c r="K43" s="8">
        <f>Intv_Ann_TA!K44</f>
        <v>1</v>
      </c>
      <c r="L43" s="8">
        <f>Intv_Ann_TA!L44</f>
        <v>1</v>
      </c>
      <c r="M43" s="8">
        <f>Intv_Ann_TA!M44</f>
        <v>1</v>
      </c>
      <c r="N43" s="8">
        <f>Intv_Ann_TA!N44</f>
        <v>1</v>
      </c>
      <c r="O43" s="8">
        <f>Intv_Ann_TA!O44</f>
        <v>1</v>
      </c>
    </row>
    <row r="44" spans="3:15" s="327" customFormat="1" outlineLevel="2" x14ac:dyDescent="0.2">
      <c r="D44" s="640" t="str">
        <f>Intv_BA!D173</f>
        <v>Southern</v>
      </c>
      <c r="J44" s="8">
        <f>Intv_Ann_TA!J45</f>
        <v>2</v>
      </c>
      <c r="K44" s="8">
        <f>Intv_Ann_TA!K45</f>
        <v>2</v>
      </c>
      <c r="L44" s="8">
        <f>Intv_Ann_TA!L45</f>
        <v>2</v>
      </c>
      <c r="M44" s="8">
        <f>Intv_Ann_TA!M45</f>
        <v>2</v>
      </c>
      <c r="N44" s="8">
        <f>Intv_Ann_TA!N45</f>
        <v>2</v>
      </c>
      <c r="O44" s="8">
        <f>Intv_Ann_TA!O45</f>
        <v>2</v>
      </c>
    </row>
    <row r="45" spans="3:15" s="327" customFormat="1" outlineLevel="2" x14ac:dyDescent="0.2">
      <c r="D45" s="640" t="str">
        <f>Intv_BA!D174</f>
        <v>Western</v>
      </c>
      <c r="J45" s="9">
        <f>Intv_Ann_TA!J46</f>
        <v>1</v>
      </c>
      <c r="K45" s="9">
        <f>Intv_Ann_TA!K46</f>
        <v>1</v>
      </c>
      <c r="L45" s="9">
        <f>Intv_Ann_TA!L46</f>
        <v>1</v>
      </c>
      <c r="M45" s="9">
        <f>Intv_Ann_TA!M46</f>
        <v>1</v>
      </c>
      <c r="N45" s="9">
        <f>Intv_Ann_TA!N46</f>
        <v>1</v>
      </c>
      <c r="O45" s="9">
        <f>Intv_Ann_TA!O46</f>
        <v>1</v>
      </c>
    </row>
    <row r="46" spans="3:15" s="327" customFormat="1" x14ac:dyDescent="0.2">
      <c r="D46" s="639" t="str">
        <f>"Total "&amp;C31</f>
        <v>Total Active Provincial Hospitals</v>
      </c>
      <c r="J46" s="5">
        <f t="shared" ref="J46:O46" si="5">SUM(J36:J45)</f>
        <v>9</v>
      </c>
      <c r="K46" s="5">
        <f t="shared" si="5"/>
        <v>9</v>
      </c>
      <c r="L46" s="5">
        <f t="shared" si="5"/>
        <v>9</v>
      </c>
      <c r="M46" s="5">
        <f t="shared" si="5"/>
        <v>9</v>
      </c>
      <c r="N46" s="5">
        <f t="shared" si="5"/>
        <v>9</v>
      </c>
      <c r="O46" s="5">
        <f t="shared" si="5"/>
        <v>9</v>
      </c>
    </row>
    <row r="47" spans="3:15" s="327" customFormat="1" outlineLevel="2" x14ac:dyDescent="0.2"/>
    <row r="48" spans="3:15" s="327" customFormat="1" ht="15.75" outlineLevel="2" x14ac:dyDescent="0.2">
      <c r="C48" s="26" t="str">
        <f>"Active "&amp;Intv_BA!D41&amp;"s"</f>
        <v>Active District Hospitals</v>
      </c>
    </row>
    <row r="49" spans="4:15" s="327" customFormat="1" outlineLevel="2" x14ac:dyDescent="0.2"/>
    <row r="50" spans="4:15" s="327" customFormat="1" outlineLevel="2" x14ac:dyDescent="0.2">
      <c r="D50" s="643" t="s">
        <v>82</v>
      </c>
      <c r="H50" s="27">
        <v>3</v>
      </c>
    </row>
    <row r="51" spans="4:15" s="327" customFormat="1" outlineLevel="2" x14ac:dyDescent="0.2"/>
    <row r="52" spans="4:15" s="327" customFormat="1" ht="15" outlineLevel="2" x14ac:dyDescent="0.2">
      <c r="D52" s="641" t="str">
        <f>Labels_BA!G10</f>
        <v>Province</v>
      </c>
    </row>
    <row r="53" spans="4:15" s="327" customFormat="1" outlineLevel="2" x14ac:dyDescent="0.2">
      <c r="D53" s="640" t="str">
        <f>Intv_BA!D165</f>
        <v>Central</v>
      </c>
      <c r="J53" s="8">
        <f>Intv_Ann_TA!J53</f>
        <v>1</v>
      </c>
      <c r="K53" s="8">
        <f>Intv_Ann_TA!K53</f>
        <v>1</v>
      </c>
      <c r="L53" s="8">
        <f>Intv_Ann_TA!L53</f>
        <v>1</v>
      </c>
      <c r="M53" s="8">
        <f>Intv_Ann_TA!M53</f>
        <v>1</v>
      </c>
      <c r="N53" s="8">
        <f>Intv_Ann_TA!N53</f>
        <v>1</v>
      </c>
      <c r="O53" s="8">
        <f>Intv_Ann_TA!O53</f>
        <v>1</v>
      </c>
    </row>
    <row r="54" spans="4:15" s="327" customFormat="1" outlineLevel="2" x14ac:dyDescent="0.2">
      <c r="D54" s="640" t="str">
        <f>Intv_BA!D166</f>
        <v>Copperbelt</v>
      </c>
      <c r="J54" s="8">
        <f>Intv_Ann_TA!J54</f>
        <v>0</v>
      </c>
      <c r="K54" s="8">
        <f>Intv_Ann_TA!K54</f>
        <v>0</v>
      </c>
      <c r="L54" s="8">
        <f>Intv_Ann_TA!L54</f>
        <v>0</v>
      </c>
      <c r="M54" s="8">
        <f>Intv_Ann_TA!M54</f>
        <v>0</v>
      </c>
      <c r="N54" s="8">
        <f>Intv_Ann_TA!N54</f>
        <v>0</v>
      </c>
      <c r="O54" s="8">
        <f>Intv_Ann_TA!O54</f>
        <v>0</v>
      </c>
    </row>
    <row r="55" spans="4:15" s="327" customFormat="1" outlineLevel="2" x14ac:dyDescent="0.2">
      <c r="D55" s="640" t="str">
        <f>Intv_BA!D167</f>
        <v>Eastern</v>
      </c>
      <c r="J55" s="8">
        <f>Intv_Ann_TA!J55</f>
        <v>1</v>
      </c>
      <c r="K55" s="8">
        <f>Intv_Ann_TA!K55</f>
        <v>1</v>
      </c>
      <c r="L55" s="8">
        <f>Intv_Ann_TA!L55</f>
        <v>1</v>
      </c>
      <c r="M55" s="8">
        <f>Intv_Ann_TA!M55</f>
        <v>1</v>
      </c>
      <c r="N55" s="8">
        <f>Intv_Ann_TA!N55</f>
        <v>1</v>
      </c>
      <c r="O55" s="8">
        <f>Intv_Ann_TA!O55</f>
        <v>1</v>
      </c>
    </row>
    <row r="56" spans="4:15" s="327" customFormat="1" outlineLevel="2" x14ac:dyDescent="0.2">
      <c r="D56" s="640" t="str">
        <f>Intv_BA!D168</f>
        <v>Luapula</v>
      </c>
      <c r="J56" s="8">
        <f>Intv_Ann_TA!J56</f>
        <v>1</v>
      </c>
      <c r="K56" s="8">
        <f>Intv_Ann_TA!K56</f>
        <v>1</v>
      </c>
      <c r="L56" s="8">
        <f>Intv_Ann_TA!L56</f>
        <v>1</v>
      </c>
      <c r="M56" s="8">
        <f>Intv_Ann_TA!M56</f>
        <v>1</v>
      </c>
      <c r="N56" s="8">
        <f>Intv_Ann_TA!N56</f>
        <v>1</v>
      </c>
      <c r="O56" s="8">
        <f>Intv_Ann_TA!O56</f>
        <v>1</v>
      </c>
    </row>
    <row r="57" spans="4:15" s="327" customFormat="1" outlineLevel="2" x14ac:dyDescent="0.2">
      <c r="D57" s="640" t="str">
        <f>Intv_BA!D169</f>
        <v>Lusaka</v>
      </c>
      <c r="J57" s="8">
        <f>Intv_Ann_TA!J57</f>
        <v>0</v>
      </c>
      <c r="K57" s="8">
        <f>Intv_Ann_TA!K57</f>
        <v>0</v>
      </c>
      <c r="L57" s="8">
        <f>Intv_Ann_TA!L57</f>
        <v>0</v>
      </c>
      <c r="M57" s="8">
        <f>Intv_Ann_TA!M57</f>
        <v>0</v>
      </c>
      <c r="N57" s="8">
        <f>Intv_Ann_TA!N57</f>
        <v>0</v>
      </c>
      <c r="O57" s="8">
        <f>Intv_Ann_TA!O57</f>
        <v>0</v>
      </c>
    </row>
    <row r="58" spans="4:15" s="327" customFormat="1" outlineLevel="2" x14ac:dyDescent="0.2">
      <c r="D58" s="640" t="str">
        <f>Intv_BA!D170</f>
        <v>Muchinga</v>
      </c>
      <c r="J58" s="8">
        <f>Intv_Ann_TA!J58</f>
        <v>0</v>
      </c>
      <c r="K58" s="8">
        <f>Intv_Ann_TA!K58</f>
        <v>0</v>
      </c>
      <c r="L58" s="8">
        <f>Intv_Ann_TA!L58</f>
        <v>0</v>
      </c>
      <c r="M58" s="8">
        <f>Intv_Ann_TA!M58</f>
        <v>0</v>
      </c>
      <c r="N58" s="8">
        <f>Intv_Ann_TA!N58</f>
        <v>0</v>
      </c>
      <c r="O58" s="8">
        <f>Intv_Ann_TA!O58</f>
        <v>0</v>
      </c>
    </row>
    <row r="59" spans="4:15" s="327" customFormat="1" outlineLevel="2" x14ac:dyDescent="0.2">
      <c r="D59" s="640" t="str">
        <f>Intv_BA!D171</f>
        <v>Northern</v>
      </c>
      <c r="J59" s="8">
        <f>Intv_Ann_TA!J59</f>
        <v>0</v>
      </c>
      <c r="K59" s="8">
        <f>Intv_Ann_TA!K59</f>
        <v>0</v>
      </c>
      <c r="L59" s="8">
        <f>Intv_Ann_TA!L59</f>
        <v>0</v>
      </c>
      <c r="M59" s="8">
        <f>Intv_Ann_TA!M59</f>
        <v>0</v>
      </c>
      <c r="N59" s="8">
        <f>Intv_Ann_TA!N59</f>
        <v>0</v>
      </c>
      <c r="O59" s="8">
        <f>Intv_Ann_TA!O59</f>
        <v>0</v>
      </c>
    </row>
    <row r="60" spans="4:15" s="327" customFormat="1" outlineLevel="2" x14ac:dyDescent="0.2">
      <c r="D60" s="640" t="str">
        <f>Intv_BA!D172</f>
        <v>North-Western</v>
      </c>
      <c r="J60" s="8">
        <f>Intv_Ann_TA!J60</f>
        <v>0</v>
      </c>
      <c r="K60" s="8">
        <f>Intv_Ann_TA!K60</f>
        <v>0</v>
      </c>
      <c r="L60" s="8">
        <f>Intv_Ann_TA!L60</f>
        <v>0</v>
      </c>
      <c r="M60" s="8">
        <f>Intv_Ann_TA!M60</f>
        <v>0</v>
      </c>
      <c r="N60" s="8">
        <f>Intv_Ann_TA!N60</f>
        <v>0</v>
      </c>
      <c r="O60" s="8">
        <f>Intv_Ann_TA!O60</f>
        <v>0</v>
      </c>
    </row>
    <row r="61" spans="4:15" s="327" customFormat="1" outlineLevel="2" x14ac:dyDescent="0.2">
      <c r="D61" s="640" t="str">
        <f>Intv_BA!D173</f>
        <v>Southern</v>
      </c>
      <c r="J61" s="8">
        <f>Intv_Ann_TA!J61</f>
        <v>0</v>
      </c>
      <c r="K61" s="8">
        <f>Intv_Ann_TA!K61</f>
        <v>0</v>
      </c>
      <c r="L61" s="8">
        <f>Intv_Ann_TA!L61</f>
        <v>0</v>
      </c>
      <c r="M61" s="8">
        <f>Intv_Ann_TA!M61</f>
        <v>0</v>
      </c>
      <c r="N61" s="8">
        <f>Intv_Ann_TA!N61</f>
        <v>0</v>
      </c>
      <c r="O61" s="8">
        <f>Intv_Ann_TA!O61</f>
        <v>0</v>
      </c>
    </row>
    <row r="62" spans="4:15" s="327" customFormat="1" outlineLevel="2" x14ac:dyDescent="0.2">
      <c r="D62" s="640" t="str">
        <f>Intv_BA!D174</f>
        <v>Western</v>
      </c>
      <c r="J62" s="9">
        <f>Intv_Ann_TA!J62</f>
        <v>2</v>
      </c>
      <c r="K62" s="9">
        <f>Intv_Ann_TA!K62</f>
        <v>2</v>
      </c>
      <c r="L62" s="9">
        <f>Intv_Ann_TA!L62</f>
        <v>2</v>
      </c>
      <c r="M62" s="9">
        <f>Intv_Ann_TA!M62</f>
        <v>2</v>
      </c>
      <c r="N62" s="9">
        <f>Intv_Ann_TA!N62</f>
        <v>2</v>
      </c>
      <c r="O62" s="9">
        <f>Intv_Ann_TA!O62</f>
        <v>2</v>
      </c>
    </row>
    <row r="63" spans="4:15" s="327" customFormat="1" x14ac:dyDescent="0.2">
      <c r="D63" s="639" t="str">
        <f>"Total "&amp;C48</f>
        <v>Total Active District Hospitals</v>
      </c>
      <c r="J63" s="5">
        <f t="shared" ref="J63:O63" si="6">SUM(J53:J62)</f>
        <v>5</v>
      </c>
      <c r="K63" s="5">
        <f t="shared" si="6"/>
        <v>5</v>
      </c>
      <c r="L63" s="5">
        <f t="shared" si="6"/>
        <v>5</v>
      </c>
      <c r="M63" s="5">
        <f t="shared" si="6"/>
        <v>5</v>
      </c>
      <c r="N63" s="5">
        <f t="shared" si="6"/>
        <v>5</v>
      </c>
      <c r="O63" s="5">
        <f t="shared" si="6"/>
        <v>5</v>
      </c>
    </row>
    <row r="64" spans="4:15" s="327" customFormat="1" outlineLevel="2" x14ac:dyDescent="0.2"/>
    <row r="65" spans="3:15" s="327" customFormat="1" ht="15.75" outlineLevel="2" x14ac:dyDescent="0.2">
      <c r="C65" s="26" t="str">
        <f>"Active "&amp;Intv_BA!D44&amp;"s"</f>
        <v>Active Fixed Health Clinics</v>
      </c>
    </row>
    <row r="66" spans="3:15" s="327" customFormat="1" outlineLevel="2" x14ac:dyDescent="0.2"/>
    <row r="67" spans="3:15" s="327" customFormat="1" outlineLevel="2" x14ac:dyDescent="0.2">
      <c r="D67" s="643" t="s">
        <v>82</v>
      </c>
      <c r="H67" s="27">
        <v>4</v>
      </c>
    </row>
    <row r="68" spans="3:15" s="327" customFormat="1" outlineLevel="2" x14ac:dyDescent="0.2"/>
    <row r="69" spans="3:15" s="327" customFormat="1" ht="15" outlineLevel="2" x14ac:dyDescent="0.2">
      <c r="D69" s="641" t="str">
        <f>Labels_BA!G10</f>
        <v>Province</v>
      </c>
    </row>
    <row r="70" spans="3:15" s="327" customFormat="1" outlineLevel="2" x14ac:dyDescent="0.2">
      <c r="D70" s="640" t="str">
        <f>Intv_BA!D165</f>
        <v>Central</v>
      </c>
      <c r="J70" s="8">
        <f>Intv_Ann_TA!J69</f>
        <v>1</v>
      </c>
      <c r="K70" s="8">
        <f>Intv_Ann_TA!K69</f>
        <v>1</v>
      </c>
      <c r="L70" s="8">
        <f>Intv_Ann_TA!L69</f>
        <v>1</v>
      </c>
      <c r="M70" s="8">
        <f>Intv_Ann_TA!M69</f>
        <v>1</v>
      </c>
      <c r="N70" s="8">
        <f>Intv_Ann_TA!N69</f>
        <v>1</v>
      </c>
      <c r="O70" s="8">
        <f>Intv_Ann_TA!O69</f>
        <v>1</v>
      </c>
    </row>
    <row r="71" spans="3:15" s="327" customFormat="1" outlineLevel="2" x14ac:dyDescent="0.2">
      <c r="D71" s="640" t="str">
        <f>Intv_BA!D166</f>
        <v>Copperbelt</v>
      </c>
      <c r="J71" s="8">
        <f>Intv_Ann_TA!J70</f>
        <v>0</v>
      </c>
      <c r="K71" s="8">
        <f>Intv_Ann_TA!K70</f>
        <v>0</v>
      </c>
      <c r="L71" s="8">
        <f>Intv_Ann_TA!L70</f>
        <v>0</v>
      </c>
      <c r="M71" s="8">
        <f>Intv_Ann_TA!M70</f>
        <v>0</v>
      </c>
      <c r="N71" s="8">
        <f>Intv_Ann_TA!N70</f>
        <v>0</v>
      </c>
      <c r="O71" s="8">
        <f>Intv_Ann_TA!O70</f>
        <v>0</v>
      </c>
    </row>
    <row r="72" spans="3:15" s="327" customFormat="1" outlineLevel="2" x14ac:dyDescent="0.2">
      <c r="D72" s="640" t="str">
        <f>Intv_BA!D167</f>
        <v>Eastern</v>
      </c>
      <c r="J72" s="8">
        <f>Intv_Ann_TA!J71</f>
        <v>1</v>
      </c>
      <c r="K72" s="8">
        <f>Intv_Ann_TA!K71</f>
        <v>1</v>
      </c>
      <c r="L72" s="8">
        <f>Intv_Ann_TA!L71</f>
        <v>1</v>
      </c>
      <c r="M72" s="8">
        <f>Intv_Ann_TA!M71</f>
        <v>1</v>
      </c>
      <c r="N72" s="8">
        <f>Intv_Ann_TA!N71</f>
        <v>1</v>
      </c>
      <c r="O72" s="8">
        <f>Intv_Ann_TA!O71</f>
        <v>1</v>
      </c>
    </row>
    <row r="73" spans="3:15" s="327" customFormat="1" outlineLevel="2" x14ac:dyDescent="0.2">
      <c r="D73" s="640" t="str">
        <f>Intv_BA!D168</f>
        <v>Luapula</v>
      </c>
      <c r="J73" s="8">
        <f>Intv_Ann_TA!J72</f>
        <v>0</v>
      </c>
      <c r="K73" s="8">
        <f>Intv_Ann_TA!K72</f>
        <v>0</v>
      </c>
      <c r="L73" s="8">
        <f>Intv_Ann_TA!L72</f>
        <v>0</v>
      </c>
      <c r="M73" s="8">
        <f>Intv_Ann_TA!M72</f>
        <v>0</v>
      </c>
      <c r="N73" s="8">
        <f>Intv_Ann_TA!N72</f>
        <v>0</v>
      </c>
      <c r="O73" s="8">
        <f>Intv_Ann_TA!O72</f>
        <v>0</v>
      </c>
    </row>
    <row r="74" spans="3:15" s="327" customFormat="1" outlineLevel="2" x14ac:dyDescent="0.2">
      <c r="D74" s="640" t="str">
        <f>Intv_BA!D169</f>
        <v>Lusaka</v>
      </c>
      <c r="J74" s="8">
        <f>Intv_Ann_TA!J73</f>
        <v>11</v>
      </c>
      <c r="K74" s="8">
        <f>Intv_Ann_TA!K73</f>
        <v>11</v>
      </c>
      <c r="L74" s="8">
        <f>Intv_Ann_TA!L73</f>
        <v>11</v>
      </c>
      <c r="M74" s="8">
        <f>Intv_Ann_TA!M73</f>
        <v>11</v>
      </c>
      <c r="N74" s="8">
        <f>Intv_Ann_TA!N73</f>
        <v>11</v>
      </c>
      <c r="O74" s="8">
        <f>Intv_Ann_TA!O73</f>
        <v>11</v>
      </c>
    </row>
    <row r="75" spans="3:15" s="327" customFormat="1" outlineLevel="2" x14ac:dyDescent="0.2">
      <c r="D75" s="640" t="str">
        <f>Intv_BA!D170</f>
        <v>Muchinga</v>
      </c>
      <c r="J75" s="8">
        <f>Intv_Ann_TA!J74</f>
        <v>0</v>
      </c>
      <c r="K75" s="8">
        <f>Intv_Ann_TA!K74</f>
        <v>0</v>
      </c>
      <c r="L75" s="8">
        <f>Intv_Ann_TA!L74</f>
        <v>0</v>
      </c>
      <c r="M75" s="8">
        <f>Intv_Ann_TA!M74</f>
        <v>0</v>
      </c>
      <c r="N75" s="8">
        <f>Intv_Ann_TA!N74</f>
        <v>0</v>
      </c>
      <c r="O75" s="8">
        <f>Intv_Ann_TA!O74</f>
        <v>0</v>
      </c>
    </row>
    <row r="76" spans="3:15" s="327" customFormat="1" outlineLevel="2" x14ac:dyDescent="0.2">
      <c r="D76" s="640" t="str">
        <f>Intv_BA!D171</f>
        <v>Northern</v>
      </c>
      <c r="J76" s="8">
        <f>Intv_Ann_TA!J75</f>
        <v>0</v>
      </c>
      <c r="K76" s="8">
        <f>Intv_Ann_TA!K75</f>
        <v>0</v>
      </c>
      <c r="L76" s="8">
        <f>Intv_Ann_TA!L75</f>
        <v>0</v>
      </c>
      <c r="M76" s="8">
        <f>Intv_Ann_TA!M75</f>
        <v>0</v>
      </c>
      <c r="N76" s="8">
        <f>Intv_Ann_TA!N75</f>
        <v>0</v>
      </c>
      <c r="O76" s="8">
        <f>Intv_Ann_TA!O75</f>
        <v>0</v>
      </c>
    </row>
    <row r="77" spans="3:15" s="327" customFormat="1" outlineLevel="2" x14ac:dyDescent="0.2">
      <c r="D77" s="640" t="str">
        <f>Intv_BA!D172</f>
        <v>North-Western</v>
      </c>
      <c r="J77" s="8">
        <f>Intv_Ann_TA!J76</f>
        <v>0</v>
      </c>
      <c r="K77" s="8">
        <f>Intv_Ann_TA!K76</f>
        <v>0</v>
      </c>
      <c r="L77" s="8">
        <f>Intv_Ann_TA!L76</f>
        <v>0</v>
      </c>
      <c r="M77" s="8">
        <f>Intv_Ann_TA!M76</f>
        <v>0</v>
      </c>
      <c r="N77" s="8">
        <f>Intv_Ann_TA!N76</f>
        <v>0</v>
      </c>
      <c r="O77" s="8">
        <f>Intv_Ann_TA!O76</f>
        <v>0</v>
      </c>
    </row>
    <row r="78" spans="3:15" s="327" customFormat="1" outlineLevel="2" x14ac:dyDescent="0.2">
      <c r="D78" s="640" t="str">
        <f>Intv_BA!D173</f>
        <v>Southern</v>
      </c>
      <c r="J78" s="8">
        <f>Intv_Ann_TA!J77</f>
        <v>1</v>
      </c>
      <c r="K78" s="8">
        <f>Intv_Ann_TA!K77</f>
        <v>1</v>
      </c>
      <c r="L78" s="8">
        <f>Intv_Ann_TA!L77</f>
        <v>1</v>
      </c>
      <c r="M78" s="8">
        <f>Intv_Ann_TA!M77</f>
        <v>1</v>
      </c>
      <c r="N78" s="8">
        <f>Intv_Ann_TA!N77</f>
        <v>1</v>
      </c>
      <c r="O78" s="8">
        <f>Intv_Ann_TA!O77</f>
        <v>1</v>
      </c>
    </row>
    <row r="79" spans="3:15" s="327" customFormat="1" outlineLevel="2" x14ac:dyDescent="0.2">
      <c r="D79" s="640" t="str">
        <f>Intv_BA!D174</f>
        <v>Western</v>
      </c>
      <c r="J79" s="9">
        <f>Intv_Ann_TA!J78</f>
        <v>0</v>
      </c>
      <c r="K79" s="9">
        <f>Intv_Ann_TA!K78</f>
        <v>0</v>
      </c>
      <c r="L79" s="9">
        <f>Intv_Ann_TA!L78</f>
        <v>0</v>
      </c>
      <c r="M79" s="9">
        <f>Intv_Ann_TA!M78</f>
        <v>0</v>
      </c>
      <c r="N79" s="9">
        <f>Intv_Ann_TA!N78</f>
        <v>0</v>
      </c>
      <c r="O79" s="9">
        <f>Intv_Ann_TA!O78</f>
        <v>0</v>
      </c>
    </row>
    <row r="80" spans="3:15" s="327" customFormat="1" x14ac:dyDescent="0.2">
      <c r="D80" s="639" t="str">
        <f>"Total "&amp;C65</f>
        <v>Total Active Fixed Health Clinics</v>
      </c>
      <c r="J80" s="5">
        <f t="shared" ref="J80:O80" si="7">SUM(J70:J79)</f>
        <v>14</v>
      </c>
      <c r="K80" s="5">
        <f t="shared" si="7"/>
        <v>14</v>
      </c>
      <c r="L80" s="5">
        <f t="shared" si="7"/>
        <v>14</v>
      </c>
      <c r="M80" s="5">
        <f t="shared" si="7"/>
        <v>14</v>
      </c>
      <c r="N80" s="5">
        <f t="shared" si="7"/>
        <v>14</v>
      </c>
      <c r="O80" s="5">
        <f t="shared" si="7"/>
        <v>14</v>
      </c>
    </row>
    <row r="81" spans="3:15" s="327" customFormat="1" outlineLevel="2" x14ac:dyDescent="0.2"/>
    <row r="82" spans="3:15" s="327" customFormat="1" ht="15.75" outlineLevel="2" x14ac:dyDescent="0.2">
      <c r="C82" s="26" t="str">
        <f>"Active "&amp;Intv_BA!D45&amp;"s"</f>
        <v>Active PCI Mobile Health Teams</v>
      </c>
    </row>
    <row r="83" spans="3:15" s="327" customFormat="1" outlineLevel="2" x14ac:dyDescent="0.2"/>
    <row r="84" spans="3:15" s="327" customFormat="1" outlineLevel="2" x14ac:dyDescent="0.2">
      <c r="D84" s="643" t="s">
        <v>82</v>
      </c>
      <c r="H84" s="27">
        <v>5</v>
      </c>
    </row>
    <row r="85" spans="3:15" s="327" customFormat="1" outlineLevel="2" x14ac:dyDescent="0.2"/>
    <row r="86" spans="3:15" s="327" customFormat="1" ht="15" outlineLevel="2" x14ac:dyDescent="0.2">
      <c r="D86" s="641" t="str">
        <f>Labels_BA!G10</f>
        <v>Province</v>
      </c>
    </row>
    <row r="87" spans="3:15" s="327" customFormat="1" outlineLevel="2" x14ac:dyDescent="0.2">
      <c r="D87" s="640" t="str">
        <f>Intv_BA!D165</f>
        <v>Central</v>
      </c>
      <c r="J87" s="8">
        <f>Intv_Ann_TA!J85</f>
        <v>0</v>
      </c>
      <c r="K87" s="8">
        <f>Intv_Ann_TA!K85</f>
        <v>0</v>
      </c>
      <c r="L87" s="8">
        <f>Intv_Ann_TA!L85</f>
        <v>0</v>
      </c>
      <c r="M87" s="8">
        <f>Intv_Ann_TA!M85</f>
        <v>0</v>
      </c>
      <c r="N87" s="8">
        <f>Intv_Ann_TA!N85</f>
        <v>0</v>
      </c>
      <c r="O87" s="8">
        <f>Intv_Ann_TA!O85</f>
        <v>0</v>
      </c>
    </row>
    <row r="88" spans="3:15" s="327" customFormat="1" outlineLevel="2" x14ac:dyDescent="0.2">
      <c r="D88" s="640" t="str">
        <f>Intv_BA!D166</f>
        <v>Copperbelt</v>
      </c>
      <c r="J88" s="8">
        <f>Intv_Ann_TA!J86</f>
        <v>0</v>
      </c>
      <c r="K88" s="8">
        <f>Intv_Ann_TA!K86</f>
        <v>0</v>
      </c>
      <c r="L88" s="8">
        <f>Intv_Ann_TA!L86</f>
        <v>0</v>
      </c>
      <c r="M88" s="8">
        <f>Intv_Ann_TA!M86</f>
        <v>0</v>
      </c>
      <c r="N88" s="8">
        <f>Intv_Ann_TA!N86</f>
        <v>0</v>
      </c>
      <c r="O88" s="8">
        <f>Intv_Ann_TA!O86</f>
        <v>0</v>
      </c>
    </row>
    <row r="89" spans="3:15" s="327" customFormat="1" outlineLevel="2" x14ac:dyDescent="0.2">
      <c r="D89" s="640" t="str">
        <f>Intv_BA!D167</f>
        <v>Eastern</v>
      </c>
      <c r="J89" s="8">
        <f>Intv_Ann_TA!J87</f>
        <v>0</v>
      </c>
      <c r="K89" s="8">
        <f>Intv_Ann_TA!K87</f>
        <v>0</v>
      </c>
      <c r="L89" s="8">
        <f>Intv_Ann_TA!L87</f>
        <v>0</v>
      </c>
      <c r="M89" s="8">
        <f>Intv_Ann_TA!M87</f>
        <v>0</v>
      </c>
      <c r="N89" s="8">
        <f>Intv_Ann_TA!N87</f>
        <v>0</v>
      </c>
      <c r="O89" s="8">
        <f>Intv_Ann_TA!O87</f>
        <v>0</v>
      </c>
    </row>
    <row r="90" spans="3:15" s="327" customFormat="1" outlineLevel="2" x14ac:dyDescent="0.2">
      <c r="D90" s="640" t="str">
        <f>Intv_BA!D168</f>
        <v>Luapula</v>
      </c>
      <c r="J90" s="8">
        <f>Intv_Ann_TA!J88</f>
        <v>0</v>
      </c>
      <c r="K90" s="8">
        <f>Intv_Ann_TA!K88</f>
        <v>0</v>
      </c>
      <c r="L90" s="8">
        <f>Intv_Ann_TA!L88</f>
        <v>0</v>
      </c>
      <c r="M90" s="8">
        <f>Intv_Ann_TA!M88</f>
        <v>0</v>
      </c>
      <c r="N90" s="8">
        <f>Intv_Ann_TA!N88</f>
        <v>0</v>
      </c>
      <c r="O90" s="8">
        <f>Intv_Ann_TA!O88</f>
        <v>0</v>
      </c>
    </row>
    <row r="91" spans="3:15" s="327" customFormat="1" outlineLevel="2" x14ac:dyDescent="0.2">
      <c r="D91" s="640" t="str">
        <f>Intv_BA!D169</f>
        <v>Lusaka</v>
      </c>
      <c r="J91" s="8">
        <f>Intv_Ann_TA!J89</f>
        <v>0</v>
      </c>
      <c r="K91" s="8">
        <f>Intv_Ann_TA!K89</f>
        <v>0</v>
      </c>
      <c r="L91" s="8">
        <f>Intv_Ann_TA!L89</f>
        <v>0</v>
      </c>
      <c r="M91" s="8">
        <f>Intv_Ann_TA!M89</f>
        <v>0</v>
      </c>
      <c r="N91" s="8">
        <f>Intv_Ann_TA!N89</f>
        <v>0</v>
      </c>
      <c r="O91" s="8">
        <f>Intv_Ann_TA!O89</f>
        <v>0</v>
      </c>
    </row>
    <row r="92" spans="3:15" s="327" customFormat="1" outlineLevel="2" x14ac:dyDescent="0.2">
      <c r="D92" s="640" t="str">
        <f>Intv_BA!D170</f>
        <v>Muchinga</v>
      </c>
      <c r="J92" s="8">
        <f>Intv_Ann_TA!J90</f>
        <v>0</v>
      </c>
      <c r="K92" s="8">
        <f>Intv_Ann_TA!K90</f>
        <v>0</v>
      </c>
      <c r="L92" s="8">
        <f>Intv_Ann_TA!L90</f>
        <v>0</v>
      </c>
      <c r="M92" s="8">
        <f>Intv_Ann_TA!M90</f>
        <v>0</v>
      </c>
      <c r="N92" s="8">
        <f>Intv_Ann_TA!N90</f>
        <v>0</v>
      </c>
      <c r="O92" s="8">
        <f>Intv_Ann_TA!O90</f>
        <v>0</v>
      </c>
    </row>
    <row r="93" spans="3:15" s="327" customFormat="1" outlineLevel="2" x14ac:dyDescent="0.2">
      <c r="D93" s="640" t="str">
        <f>Intv_BA!D171</f>
        <v>Northern</v>
      </c>
      <c r="J93" s="8">
        <f>Intv_Ann_TA!J91</f>
        <v>0</v>
      </c>
      <c r="K93" s="8">
        <f>Intv_Ann_TA!K91</f>
        <v>0</v>
      </c>
      <c r="L93" s="8">
        <f>Intv_Ann_TA!L91</f>
        <v>0</v>
      </c>
      <c r="M93" s="8">
        <f>Intv_Ann_TA!M91</f>
        <v>0</v>
      </c>
      <c r="N93" s="8">
        <f>Intv_Ann_TA!N91</f>
        <v>0</v>
      </c>
      <c r="O93" s="8">
        <f>Intv_Ann_TA!O91</f>
        <v>0</v>
      </c>
    </row>
    <row r="94" spans="3:15" s="327" customFormat="1" outlineLevel="2" x14ac:dyDescent="0.2">
      <c r="D94" s="640" t="str">
        <f>Intv_BA!D172</f>
        <v>North-Western</v>
      </c>
      <c r="J94" s="8">
        <f>Intv_Ann_TA!J92</f>
        <v>0</v>
      </c>
      <c r="K94" s="8">
        <f>Intv_Ann_TA!K92</f>
        <v>0</v>
      </c>
      <c r="L94" s="8">
        <f>Intv_Ann_TA!L92</f>
        <v>0</v>
      </c>
      <c r="M94" s="8">
        <f>Intv_Ann_TA!M92</f>
        <v>0</v>
      </c>
      <c r="N94" s="8">
        <f>Intv_Ann_TA!N92</f>
        <v>0</v>
      </c>
      <c r="O94" s="8">
        <f>Intv_Ann_TA!O92</f>
        <v>0</v>
      </c>
    </row>
    <row r="95" spans="3:15" s="327" customFormat="1" outlineLevel="2" x14ac:dyDescent="0.2">
      <c r="D95" s="640" t="str">
        <f>Intv_BA!D173</f>
        <v>Southern</v>
      </c>
      <c r="J95" s="8">
        <f>Intv_Ann_TA!J93</f>
        <v>0</v>
      </c>
      <c r="K95" s="8">
        <f>Intv_Ann_TA!K93</f>
        <v>0</v>
      </c>
      <c r="L95" s="8">
        <f>Intv_Ann_TA!L93</f>
        <v>0</v>
      </c>
      <c r="M95" s="8">
        <f>Intv_Ann_TA!M93</f>
        <v>0</v>
      </c>
      <c r="N95" s="8">
        <f>Intv_Ann_TA!N93</f>
        <v>0</v>
      </c>
      <c r="O95" s="8">
        <f>Intv_Ann_TA!O93</f>
        <v>0</v>
      </c>
    </row>
    <row r="96" spans="3:15" s="327" customFormat="1" outlineLevel="2" x14ac:dyDescent="0.2">
      <c r="D96" s="640" t="str">
        <f>Intv_BA!D174</f>
        <v>Western</v>
      </c>
      <c r="J96" s="9">
        <f>Intv_Ann_TA!J94</f>
        <v>0</v>
      </c>
      <c r="K96" s="9">
        <f>Intv_Ann_TA!K94</f>
        <v>0</v>
      </c>
      <c r="L96" s="9">
        <f>Intv_Ann_TA!L94</f>
        <v>0</v>
      </c>
      <c r="M96" s="9">
        <f>Intv_Ann_TA!M94</f>
        <v>0</v>
      </c>
      <c r="N96" s="9">
        <f>Intv_Ann_TA!N94</f>
        <v>0</v>
      </c>
      <c r="O96" s="9">
        <f>Intv_Ann_TA!O94</f>
        <v>0</v>
      </c>
    </row>
    <row r="97" spans="3:15" s="327" customFormat="1" x14ac:dyDescent="0.2">
      <c r="D97" s="639" t="str">
        <f>"Total "&amp;C82</f>
        <v>Total Active PCI Mobile Health Teams</v>
      </c>
      <c r="J97" s="5">
        <f t="shared" ref="J97:O97" si="8">SUM(J87:J96)</f>
        <v>0</v>
      </c>
      <c r="K97" s="5">
        <f t="shared" si="8"/>
        <v>0</v>
      </c>
      <c r="L97" s="5">
        <f t="shared" si="8"/>
        <v>0</v>
      </c>
      <c r="M97" s="5">
        <f t="shared" si="8"/>
        <v>0</v>
      </c>
      <c r="N97" s="5">
        <f t="shared" si="8"/>
        <v>0</v>
      </c>
      <c r="O97" s="5">
        <f t="shared" si="8"/>
        <v>0</v>
      </c>
    </row>
    <row r="98" spans="3:15" s="327" customFormat="1" outlineLevel="2" x14ac:dyDescent="0.2"/>
    <row r="99" spans="3:15" s="327" customFormat="1" ht="15.75" outlineLevel="2" x14ac:dyDescent="0.2">
      <c r="C99" s="26" t="str">
        <f>"Active "&amp;Intv_BA!D46&amp;"s"</f>
        <v>Active Gov't Mobile Health Team (Hospital)s</v>
      </c>
    </row>
    <row r="100" spans="3:15" s="327" customFormat="1" outlineLevel="2" x14ac:dyDescent="0.2"/>
    <row r="101" spans="3:15" s="327" customFormat="1" outlineLevel="2" x14ac:dyDescent="0.2">
      <c r="D101" s="643" t="s">
        <v>82</v>
      </c>
      <c r="H101" s="27">
        <v>6</v>
      </c>
    </row>
    <row r="102" spans="3:15" s="327" customFormat="1" outlineLevel="2" x14ac:dyDescent="0.2"/>
    <row r="103" spans="3:15" s="327" customFormat="1" ht="15" outlineLevel="2" x14ac:dyDescent="0.2">
      <c r="D103" s="641" t="str">
        <f>Labels_BA!G10</f>
        <v>Province</v>
      </c>
    </row>
    <row r="104" spans="3:15" s="327" customFormat="1" outlineLevel="2" x14ac:dyDescent="0.2">
      <c r="D104" s="640" t="str">
        <f>Intv_BA!D165</f>
        <v>Central</v>
      </c>
      <c r="J104" s="8">
        <f>Intv_Ann_TA!J101</f>
        <v>0</v>
      </c>
      <c r="K104" s="8">
        <f>Intv_Ann_TA!K101</f>
        <v>0</v>
      </c>
      <c r="L104" s="8">
        <f>Intv_Ann_TA!L101</f>
        <v>0</v>
      </c>
      <c r="M104" s="8">
        <f>Intv_Ann_TA!M101</f>
        <v>0</v>
      </c>
      <c r="N104" s="8">
        <f>Intv_Ann_TA!N101</f>
        <v>0</v>
      </c>
      <c r="O104" s="8">
        <f>Intv_Ann_TA!O101</f>
        <v>0</v>
      </c>
    </row>
    <row r="105" spans="3:15" s="327" customFormat="1" outlineLevel="2" x14ac:dyDescent="0.2">
      <c r="D105" s="640" t="str">
        <f>Intv_BA!D166</f>
        <v>Copperbelt</v>
      </c>
      <c r="J105" s="8">
        <f>Intv_Ann_TA!J102</f>
        <v>0</v>
      </c>
      <c r="K105" s="8">
        <f>Intv_Ann_TA!K102</f>
        <v>0</v>
      </c>
      <c r="L105" s="8">
        <f>Intv_Ann_TA!L102</f>
        <v>0</v>
      </c>
      <c r="M105" s="8">
        <f>Intv_Ann_TA!M102</f>
        <v>0</v>
      </c>
      <c r="N105" s="8">
        <f>Intv_Ann_TA!N102</f>
        <v>0</v>
      </c>
      <c r="O105" s="8">
        <f>Intv_Ann_TA!O102</f>
        <v>0</v>
      </c>
    </row>
    <row r="106" spans="3:15" s="327" customFormat="1" outlineLevel="2" x14ac:dyDescent="0.2">
      <c r="D106" s="640" t="str">
        <f>Intv_BA!D167</f>
        <v>Eastern</v>
      </c>
      <c r="J106" s="8">
        <f>Intv_Ann_TA!J103</f>
        <v>0</v>
      </c>
      <c r="K106" s="8">
        <f>Intv_Ann_TA!K103</f>
        <v>0</v>
      </c>
      <c r="L106" s="8">
        <f>Intv_Ann_TA!L103</f>
        <v>0</v>
      </c>
      <c r="M106" s="8">
        <f>Intv_Ann_TA!M103</f>
        <v>0</v>
      </c>
      <c r="N106" s="8">
        <f>Intv_Ann_TA!N103</f>
        <v>0</v>
      </c>
      <c r="O106" s="8">
        <f>Intv_Ann_TA!O103</f>
        <v>0</v>
      </c>
    </row>
    <row r="107" spans="3:15" s="327" customFormat="1" outlineLevel="2" x14ac:dyDescent="0.2">
      <c r="D107" s="640" t="str">
        <f>Intv_BA!D168</f>
        <v>Luapula</v>
      </c>
      <c r="J107" s="8">
        <f>Intv_Ann_TA!J104</f>
        <v>0</v>
      </c>
      <c r="K107" s="8">
        <f>Intv_Ann_TA!K104</f>
        <v>0</v>
      </c>
      <c r="L107" s="8">
        <f>Intv_Ann_TA!L104</f>
        <v>0</v>
      </c>
      <c r="M107" s="8">
        <f>Intv_Ann_TA!M104</f>
        <v>0</v>
      </c>
      <c r="N107" s="8">
        <f>Intv_Ann_TA!N104</f>
        <v>0</v>
      </c>
      <c r="O107" s="8">
        <f>Intv_Ann_TA!O104</f>
        <v>0</v>
      </c>
    </row>
    <row r="108" spans="3:15" s="327" customFormat="1" outlineLevel="2" x14ac:dyDescent="0.2">
      <c r="D108" s="640" t="str">
        <f>Intv_BA!D169</f>
        <v>Lusaka</v>
      </c>
      <c r="J108" s="8">
        <f>Intv_Ann_TA!J105</f>
        <v>0</v>
      </c>
      <c r="K108" s="8">
        <f>Intv_Ann_TA!K105</f>
        <v>0</v>
      </c>
      <c r="L108" s="8">
        <f>Intv_Ann_TA!L105</f>
        <v>0</v>
      </c>
      <c r="M108" s="8">
        <f>Intv_Ann_TA!M105</f>
        <v>0</v>
      </c>
      <c r="N108" s="8">
        <f>Intv_Ann_TA!N105</f>
        <v>0</v>
      </c>
      <c r="O108" s="8">
        <f>Intv_Ann_TA!O105</f>
        <v>0</v>
      </c>
    </row>
    <row r="109" spans="3:15" s="327" customFormat="1" outlineLevel="2" x14ac:dyDescent="0.2">
      <c r="D109" s="640" t="str">
        <f>Intv_BA!D170</f>
        <v>Muchinga</v>
      </c>
      <c r="J109" s="8">
        <f>Intv_Ann_TA!J106</f>
        <v>0</v>
      </c>
      <c r="K109" s="8">
        <f>Intv_Ann_TA!K106</f>
        <v>0</v>
      </c>
      <c r="L109" s="8">
        <f>Intv_Ann_TA!L106</f>
        <v>0</v>
      </c>
      <c r="M109" s="8">
        <f>Intv_Ann_TA!M106</f>
        <v>0</v>
      </c>
      <c r="N109" s="8">
        <f>Intv_Ann_TA!N106</f>
        <v>0</v>
      </c>
      <c r="O109" s="8">
        <f>Intv_Ann_TA!O106</f>
        <v>0</v>
      </c>
    </row>
    <row r="110" spans="3:15" s="327" customFormat="1" outlineLevel="2" x14ac:dyDescent="0.2">
      <c r="D110" s="640" t="str">
        <f>Intv_BA!D171</f>
        <v>Northern</v>
      </c>
      <c r="J110" s="8">
        <f>Intv_Ann_TA!J107</f>
        <v>0</v>
      </c>
      <c r="K110" s="8">
        <f>Intv_Ann_TA!K107</f>
        <v>0</v>
      </c>
      <c r="L110" s="8">
        <f>Intv_Ann_TA!L107</f>
        <v>0</v>
      </c>
      <c r="M110" s="8">
        <f>Intv_Ann_TA!M107</f>
        <v>0</v>
      </c>
      <c r="N110" s="8">
        <f>Intv_Ann_TA!N107</f>
        <v>0</v>
      </c>
      <c r="O110" s="8">
        <f>Intv_Ann_TA!O107</f>
        <v>0</v>
      </c>
    </row>
    <row r="111" spans="3:15" s="327" customFormat="1" outlineLevel="2" x14ac:dyDescent="0.2">
      <c r="D111" s="640" t="str">
        <f>Intv_BA!D172</f>
        <v>North-Western</v>
      </c>
      <c r="J111" s="8">
        <f>Intv_Ann_TA!J108</f>
        <v>0</v>
      </c>
      <c r="K111" s="8">
        <f>Intv_Ann_TA!K108</f>
        <v>0</v>
      </c>
      <c r="L111" s="8">
        <f>Intv_Ann_TA!L108</f>
        <v>0</v>
      </c>
      <c r="M111" s="8">
        <f>Intv_Ann_TA!M108</f>
        <v>0</v>
      </c>
      <c r="N111" s="8">
        <f>Intv_Ann_TA!N108</f>
        <v>0</v>
      </c>
      <c r="O111" s="8">
        <f>Intv_Ann_TA!O108</f>
        <v>0</v>
      </c>
    </row>
    <row r="112" spans="3:15" s="327" customFormat="1" outlineLevel="2" x14ac:dyDescent="0.2">
      <c r="D112" s="640" t="str">
        <f>Intv_BA!D173</f>
        <v>Southern</v>
      </c>
      <c r="J112" s="8">
        <f>Intv_Ann_TA!J109</f>
        <v>0</v>
      </c>
      <c r="K112" s="8">
        <f>Intv_Ann_TA!K109</f>
        <v>0</v>
      </c>
      <c r="L112" s="8">
        <f>Intv_Ann_TA!L109</f>
        <v>0</v>
      </c>
      <c r="M112" s="8">
        <f>Intv_Ann_TA!M109</f>
        <v>0</v>
      </c>
      <c r="N112" s="8">
        <f>Intv_Ann_TA!N109</f>
        <v>0</v>
      </c>
      <c r="O112" s="8">
        <f>Intv_Ann_TA!O109</f>
        <v>0</v>
      </c>
    </row>
    <row r="113" spans="3:15" s="327" customFormat="1" outlineLevel="2" x14ac:dyDescent="0.2">
      <c r="D113" s="640" t="str">
        <f>Intv_BA!D174</f>
        <v>Western</v>
      </c>
      <c r="J113" s="9">
        <f>Intv_Ann_TA!J110</f>
        <v>0</v>
      </c>
      <c r="K113" s="9">
        <f>Intv_Ann_TA!K110</f>
        <v>0</v>
      </c>
      <c r="L113" s="9">
        <f>Intv_Ann_TA!L110</f>
        <v>0</v>
      </c>
      <c r="M113" s="9">
        <f>Intv_Ann_TA!M110</f>
        <v>0</v>
      </c>
      <c r="N113" s="9">
        <f>Intv_Ann_TA!N110</f>
        <v>0</v>
      </c>
      <c r="O113" s="9">
        <f>Intv_Ann_TA!O110</f>
        <v>0</v>
      </c>
    </row>
    <row r="114" spans="3:15" s="327" customFormat="1" x14ac:dyDescent="0.2">
      <c r="D114" s="639" t="str">
        <f>"Total "&amp;C99</f>
        <v>Total Active Gov't Mobile Health Team (Hospital)s</v>
      </c>
      <c r="J114" s="5">
        <f t="shared" ref="J114:O114" si="9">SUM(J104:J113)</f>
        <v>0</v>
      </c>
      <c r="K114" s="5">
        <f t="shared" si="9"/>
        <v>0</v>
      </c>
      <c r="L114" s="5">
        <f t="shared" si="9"/>
        <v>0</v>
      </c>
      <c r="M114" s="5">
        <f t="shared" si="9"/>
        <v>0</v>
      </c>
      <c r="N114" s="5">
        <f t="shared" si="9"/>
        <v>0</v>
      </c>
      <c r="O114" s="5">
        <f t="shared" si="9"/>
        <v>0</v>
      </c>
    </row>
    <row r="115" spans="3:15" s="327" customFormat="1" outlineLevel="1" x14ac:dyDescent="0.2"/>
    <row r="116" spans="3:15" s="327" customFormat="1" ht="15.75" outlineLevel="1" x14ac:dyDescent="0.2">
      <c r="C116" s="26" t="str">
        <f>"Active "&amp;Intv_BA!D47&amp;"s"</f>
        <v>Active CIDRZ Mobile Health Teams</v>
      </c>
    </row>
    <row r="117" spans="3:15" s="327" customFormat="1" outlineLevel="1" x14ac:dyDescent="0.2"/>
    <row r="118" spans="3:15" s="327" customFormat="1" outlineLevel="1" x14ac:dyDescent="0.2">
      <c r="D118" s="643" t="s">
        <v>82</v>
      </c>
      <c r="H118" s="27">
        <v>7</v>
      </c>
    </row>
    <row r="119" spans="3:15" s="327" customFormat="1" outlineLevel="1" x14ac:dyDescent="0.2"/>
    <row r="120" spans="3:15" s="327" customFormat="1" ht="15" outlineLevel="1" x14ac:dyDescent="0.2">
      <c r="D120" s="641" t="str">
        <f>Labels_BA!G10</f>
        <v>Province</v>
      </c>
    </row>
    <row r="121" spans="3:15" s="327" customFormat="1" outlineLevel="1" x14ac:dyDescent="0.2">
      <c r="D121" s="640" t="str">
        <f>Intv_BA!D165</f>
        <v>Central</v>
      </c>
      <c r="J121" s="8">
        <f>Intv_Ann_TA!J117</f>
        <v>0</v>
      </c>
      <c r="K121" s="8">
        <f>Intv_Ann_TA!K117</f>
        <v>0</v>
      </c>
      <c r="L121" s="8">
        <f>Intv_Ann_TA!L117</f>
        <v>0</v>
      </c>
      <c r="M121" s="8">
        <f>Intv_Ann_TA!M117</f>
        <v>0</v>
      </c>
      <c r="N121" s="8">
        <f>Intv_Ann_TA!N117</f>
        <v>0</v>
      </c>
      <c r="O121" s="8">
        <f>Intv_Ann_TA!O117</f>
        <v>0</v>
      </c>
    </row>
    <row r="122" spans="3:15" s="327" customFormat="1" outlineLevel="1" x14ac:dyDescent="0.2">
      <c r="D122" s="640" t="str">
        <f>Intv_BA!D166</f>
        <v>Copperbelt</v>
      </c>
      <c r="J122" s="8">
        <f>Intv_Ann_TA!J118</f>
        <v>0</v>
      </c>
      <c r="K122" s="8">
        <f>Intv_Ann_TA!K118</f>
        <v>0</v>
      </c>
      <c r="L122" s="8">
        <f>Intv_Ann_TA!L118</f>
        <v>0</v>
      </c>
      <c r="M122" s="8">
        <f>Intv_Ann_TA!M118</f>
        <v>0</v>
      </c>
      <c r="N122" s="8">
        <f>Intv_Ann_TA!N118</f>
        <v>0</v>
      </c>
      <c r="O122" s="8">
        <f>Intv_Ann_TA!O118</f>
        <v>0</v>
      </c>
    </row>
    <row r="123" spans="3:15" s="327" customFormat="1" outlineLevel="1" x14ac:dyDescent="0.2">
      <c r="D123" s="640" t="str">
        <f>Intv_BA!D167</f>
        <v>Eastern</v>
      </c>
      <c r="J123" s="8">
        <f>Intv_Ann_TA!J119</f>
        <v>0</v>
      </c>
      <c r="K123" s="8">
        <f>Intv_Ann_TA!K119</f>
        <v>0</v>
      </c>
      <c r="L123" s="8">
        <f>Intv_Ann_TA!L119</f>
        <v>0</v>
      </c>
      <c r="M123" s="8">
        <f>Intv_Ann_TA!M119</f>
        <v>0</v>
      </c>
      <c r="N123" s="8">
        <f>Intv_Ann_TA!N119</f>
        <v>0</v>
      </c>
      <c r="O123" s="8">
        <f>Intv_Ann_TA!O119</f>
        <v>0</v>
      </c>
    </row>
    <row r="124" spans="3:15" s="327" customFormat="1" outlineLevel="1" x14ac:dyDescent="0.2">
      <c r="D124" s="640" t="str">
        <f>Intv_BA!D168</f>
        <v>Luapula</v>
      </c>
      <c r="J124" s="8">
        <f>Intv_Ann_TA!J120</f>
        <v>0</v>
      </c>
      <c r="K124" s="8">
        <f>Intv_Ann_TA!K120</f>
        <v>0</v>
      </c>
      <c r="L124" s="8">
        <f>Intv_Ann_TA!L120</f>
        <v>0</v>
      </c>
      <c r="M124" s="8">
        <f>Intv_Ann_TA!M120</f>
        <v>0</v>
      </c>
      <c r="N124" s="8">
        <f>Intv_Ann_TA!N120</f>
        <v>0</v>
      </c>
      <c r="O124" s="8">
        <f>Intv_Ann_TA!O120</f>
        <v>0</v>
      </c>
    </row>
    <row r="125" spans="3:15" s="327" customFormat="1" outlineLevel="1" x14ac:dyDescent="0.2">
      <c r="D125" s="640" t="str">
        <f>Intv_BA!D169</f>
        <v>Lusaka</v>
      </c>
      <c r="J125" s="8">
        <f>Intv_Ann_TA!J121</f>
        <v>0</v>
      </c>
      <c r="K125" s="8">
        <f>Intv_Ann_TA!K121</f>
        <v>0</v>
      </c>
      <c r="L125" s="8">
        <f>Intv_Ann_TA!L121</f>
        <v>0</v>
      </c>
      <c r="M125" s="8">
        <f>Intv_Ann_TA!M121</f>
        <v>0</v>
      </c>
      <c r="N125" s="8">
        <f>Intv_Ann_TA!N121</f>
        <v>0</v>
      </c>
      <c r="O125" s="8">
        <f>Intv_Ann_TA!O121</f>
        <v>0</v>
      </c>
    </row>
    <row r="126" spans="3:15" s="327" customFormat="1" outlineLevel="1" x14ac:dyDescent="0.2">
      <c r="D126" s="640" t="str">
        <f>Intv_BA!D170</f>
        <v>Muchinga</v>
      </c>
      <c r="J126" s="8">
        <f>Intv_Ann_TA!J122</f>
        <v>0</v>
      </c>
      <c r="K126" s="8">
        <f>Intv_Ann_TA!K122</f>
        <v>0</v>
      </c>
      <c r="L126" s="8">
        <f>Intv_Ann_TA!L122</f>
        <v>0</v>
      </c>
      <c r="M126" s="8">
        <f>Intv_Ann_TA!M122</f>
        <v>0</v>
      </c>
      <c r="N126" s="8">
        <f>Intv_Ann_TA!N122</f>
        <v>0</v>
      </c>
      <c r="O126" s="8">
        <f>Intv_Ann_TA!O122</f>
        <v>0</v>
      </c>
    </row>
    <row r="127" spans="3:15" s="327" customFormat="1" outlineLevel="1" x14ac:dyDescent="0.2">
      <c r="D127" s="640" t="str">
        <f>Intv_BA!D171</f>
        <v>Northern</v>
      </c>
      <c r="J127" s="8">
        <f>Intv_Ann_TA!J123</f>
        <v>0</v>
      </c>
      <c r="K127" s="8">
        <f>Intv_Ann_TA!K123</f>
        <v>0</v>
      </c>
      <c r="L127" s="8">
        <f>Intv_Ann_TA!L123</f>
        <v>0</v>
      </c>
      <c r="M127" s="8">
        <f>Intv_Ann_TA!M123</f>
        <v>0</v>
      </c>
      <c r="N127" s="8">
        <f>Intv_Ann_TA!N123</f>
        <v>0</v>
      </c>
      <c r="O127" s="8">
        <f>Intv_Ann_TA!O123</f>
        <v>0</v>
      </c>
    </row>
    <row r="128" spans="3:15" s="327" customFormat="1" outlineLevel="1" x14ac:dyDescent="0.2">
      <c r="D128" s="640" t="str">
        <f>Intv_BA!D172</f>
        <v>North-Western</v>
      </c>
      <c r="J128" s="8">
        <f>Intv_Ann_TA!J124</f>
        <v>0</v>
      </c>
      <c r="K128" s="8">
        <f>Intv_Ann_TA!K124</f>
        <v>0</v>
      </c>
      <c r="L128" s="8">
        <f>Intv_Ann_TA!L124</f>
        <v>0</v>
      </c>
      <c r="M128" s="8">
        <f>Intv_Ann_TA!M124</f>
        <v>0</v>
      </c>
      <c r="N128" s="8">
        <f>Intv_Ann_TA!N124</f>
        <v>0</v>
      </c>
      <c r="O128" s="8">
        <f>Intv_Ann_TA!O124</f>
        <v>0</v>
      </c>
    </row>
    <row r="129" spans="3:15" s="327" customFormat="1" outlineLevel="1" x14ac:dyDescent="0.2">
      <c r="D129" s="640" t="str">
        <f>Intv_BA!D173</f>
        <v>Southern</v>
      </c>
      <c r="J129" s="8">
        <f>Intv_Ann_TA!J125</f>
        <v>0</v>
      </c>
      <c r="K129" s="8">
        <f>Intv_Ann_TA!K125</f>
        <v>0</v>
      </c>
      <c r="L129" s="8">
        <f>Intv_Ann_TA!L125</f>
        <v>0</v>
      </c>
      <c r="M129" s="8">
        <f>Intv_Ann_TA!M125</f>
        <v>0</v>
      </c>
      <c r="N129" s="8">
        <f>Intv_Ann_TA!N125</f>
        <v>0</v>
      </c>
      <c r="O129" s="8">
        <f>Intv_Ann_TA!O125</f>
        <v>0</v>
      </c>
    </row>
    <row r="130" spans="3:15" s="327" customFormat="1" outlineLevel="1" x14ac:dyDescent="0.2">
      <c r="D130" s="640" t="str">
        <f>Intv_BA!D174</f>
        <v>Western</v>
      </c>
      <c r="J130" s="9">
        <f>Intv_Ann_TA!J126</f>
        <v>0</v>
      </c>
      <c r="K130" s="9">
        <f>Intv_Ann_TA!K126</f>
        <v>0</v>
      </c>
      <c r="L130" s="9">
        <f>Intv_Ann_TA!L126</f>
        <v>0</v>
      </c>
      <c r="M130" s="9">
        <f>Intv_Ann_TA!M126</f>
        <v>0</v>
      </c>
      <c r="N130" s="9">
        <f>Intv_Ann_TA!N126</f>
        <v>0</v>
      </c>
      <c r="O130" s="9">
        <f>Intv_Ann_TA!O126</f>
        <v>0</v>
      </c>
    </row>
    <row r="131" spans="3:15" s="327" customFormat="1" x14ac:dyDescent="0.2">
      <c r="D131" s="639" t="str">
        <f>"Total "&amp;C116</f>
        <v>Total Active CIDRZ Mobile Health Teams</v>
      </c>
      <c r="J131" s="5">
        <f t="shared" ref="J131:O131" si="10">SUM(J121:J130)</f>
        <v>0</v>
      </c>
      <c r="K131" s="5">
        <f t="shared" si="10"/>
        <v>0</v>
      </c>
      <c r="L131" s="5">
        <f t="shared" si="10"/>
        <v>0</v>
      </c>
      <c r="M131" s="5">
        <f t="shared" si="10"/>
        <v>0</v>
      </c>
      <c r="N131" s="5">
        <f t="shared" si="10"/>
        <v>0</v>
      </c>
      <c r="O131" s="5">
        <f t="shared" si="10"/>
        <v>0</v>
      </c>
    </row>
    <row r="132" spans="3:15" s="327" customFormat="1" outlineLevel="1" x14ac:dyDescent="0.2"/>
    <row r="133" spans="3:15" s="327" customFormat="1" ht="15.75" outlineLevel="1" x14ac:dyDescent="0.2">
      <c r="C133" s="26" t="str">
        <f>"Active "&amp;Intv_BA!D48&amp;"s"</f>
        <v>Active Facility Type 8s</v>
      </c>
    </row>
    <row r="134" spans="3:15" s="327" customFormat="1" outlineLevel="1" x14ac:dyDescent="0.2"/>
    <row r="135" spans="3:15" s="327" customFormat="1" outlineLevel="1" x14ac:dyDescent="0.2">
      <c r="D135" s="643" t="s">
        <v>82</v>
      </c>
      <c r="H135" s="27">
        <v>8</v>
      </c>
    </row>
    <row r="136" spans="3:15" s="327" customFormat="1" outlineLevel="1" x14ac:dyDescent="0.2"/>
    <row r="137" spans="3:15" s="327" customFormat="1" ht="15" outlineLevel="1" x14ac:dyDescent="0.2">
      <c r="D137" s="641" t="str">
        <f>Labels_BA!G10</f>
        <v>Province</v>
      </c>
    </row>
    <row r="138" spans="3:15" s="327" customFormat="1" outlineLevel="1" x14ac:dyDescent="0.2">
      <c r="D138" s="640" t="str">
        <f>Intv_BA!D165</f>
        <v>Central</v>
      </c>
      <c r="J138" s="8">
        <f>Intv_Ann_TA!J133</f>
        <v>0</v>
      </c>
      <c r="K138" s="8">
        <f>Intv_Ann_TA!K133</f>
        <v>0</v>
      </c>
      <c r="L138" s="8">
        <f>Intv_Ann_TA!L133</f>
        <v>0</v>
      </c>
      <c r="M138" s="8">
        <f>Intv_Ann_TA!M133</f>
        <v>0</v>
      </c>
      <c r="N138" s="8">
        <f>Intv_Ann_TA!N133</f>
        <v>0</v>
      </c>
      <c r="O138" s="8">
        <f>Intv_Ann_TA!O133</f>
        <v>0</v>
      </c>
    </row>
    <row r="139" spans="3:15" s="327" customFormat="1" outlineLevel="1" x14ac:dyDescent="0.2">
      <c r="D139" s="640" t="str">
        <f>Intv_BA!D166</f>
        <v>Copperbelt</v>
      </c>
      <c r="J139" s="8">
        <f>Intv_Ann_TA!J134</f>
        <v>0</v>
      </c>
      <c r="K139" s="8">
        <f>Intv_Ann_TA!K134</f>
        <v>0</v>
      </c>
      <c r="L139" s="8">
        <f>Intv_Ann_TA!L134</f>
        <v>0</v>
      </c>
      <c r="M139" s="8">
        <f>Intv_Ann_TA!M134</f>
        <v>0</v>
      </c>
      <c r="N139" s="8">
        <f>Intv_Ann_TA!N134</f>
        <v>0</v>
      </c>
      <c r="O139" s="8">
        <f>Intv_Ann_TA!O134</f>
        <v>0</v>
      </c>
    </row>
    <row r="140" spans="3:15" s="327" customFormat="1" outlineLevel="1" x14ac:dyDescent="0.2">
      <c r="D140" s="640" t="str">
        <f>Intv_BA!D167</f>
        <v>Eastern</v>
      </c>
      <c r="J140" s="8">
        <f>Intv_Ann_TA!J135</f>
        <v>0</v>
      </c>
      <c r="K140" s="8">
        <f>Intv_Ann_TA!K135</f>
        <v>0</v>
      </c>
      <c r="L140" s="8">
        <f>Intv_Ann_TA!L135</f>
        <v>0</v>
      </c>
      <c r="M140" s="8">
        <f>Intv_Ann_TA!M135</f>
        <v>0</v>
      </c>
      <c r="N140" s="8">
        <f>Intv_Ann_TA!N135</f>
        <v>0</v>
      </c>
      <c r="O140" s="8">
        <f>Intv_Ann_TA!O135</f>
        <v>0</v>
      </c>
    </row>
    <row r="141" spans="3:15" s="327" customFormat="1" outlineLevel="1" x14ac:dyDescent="0.2">
      <c r="D141" s="640" t="str">
        <f>Intv_BA!D168</f>
        <v>Luapula</v>
      </c>
      <c r="J141" s="8">
        <f>Intv_Ann_TA!J136</f>
        <v>0</v>
      </c>
      <c r="K141" s="8">
        <f>Intv_Ann_TA!K136</f>
        <v>0</v>
      </c>
      <c r="L141" s="8">
        <f>Intv_Ann_TA!L136</f>
        <v>0</v>
      </c>
      <c r="M141" s="8">
        <f>Intv_Ann_TA!M136</f>
        <v>0</v>
      </c>
      <c r="N141" s="8">
        <f>Intv_Ann_TA!N136</f>
        <v>0</v>
      </c>
      <c r="O141" s="8">
        <f>Intv_Ann_TA!O136</f>
        <v>0</v>
      </c>
    </row>
    <row r="142" spans="3:15" s="327" customFormat="1" outlineLevel="1" x14ac:dyDescent="0.2">
      <c r="D142" s="640" t="str">
        <f>Intv_BA!D169</f>
        <v>Lusaka</v>
      </c>
      <c r="J142" s="8">
        <f>Intv_Ann_TA!J137</f>
        <v>0</v>
      </c>
      <c r="K142" s="8">
        <f>Intv_Ann_TA!K137</f>
        <v>0</v>
      </c>
      <c r="L142" s="8">
        <f>Intv_Ann_TA!L137</f>
        <v>0</v>
      </c>
      <c r="M142" s="8">
        <f>Intv_Ann_TA!M137</f>
        <v>0</v>
      </c>
      <c r="N142" s="8">
        <f>Intv_Ann_TA!N137</f>
        <v>0</v>
      </c>
      <c r="O142" s="8">
        <f>Intv_Ann_TA!O137</f>
        <v>0</v>
      </c>
    </row>
    <row r="143" spans="3:15" s="327" customFormat="1" outlineLevel="1" x14ac:dyDescent="0.2">
      <c r="D143" s="640" t="str">
        <f>Intv_BA!D170</f>
        <v>Muchinga</v>
      </c>
      <c r="J143" s="8">
        <f>Intv_Ann_TA!J138</f>
        <v>0</v>
      </c>
      <c r="K143" s="8">
        <f>Intv_Ann_TA!K138</f>
        <v>0</v>
      </c>
      <c r="L143" s="8">
        <f>Intv_Ann_TA!L138</f>
        <v>0</v>
      </c>
      <c r="M143" s="8">
        <f>Intv_Ann_TA!M138</f>
        <v>0</v>
      </c>
      <c r="N143" s="8">
        <f>Intv_Ann_TA!N138</f>
        <v>0</v>
      </c>
      <c r="O143" s="8">
        <f>Intv_Ann_TA!O138</f>
        <v>0</v>
      </c>
    </row>
    <row r="144" spans="3:15" s="327" customFormat="1" outlineLevel="1" x14ac:dyDescent="0.2">
      <c r="D144" s="640" t="str">
        <f>Intv_BA!D171</f>
        <v>Northern</v>
      </c>
      <c r="J144" s="8">
        <f>Intv_Ann_TA!J139</f>
        <v>0</v>
      </c>
      <c r="K144" s="8">
        <f>Intv_Ann_TA!K139</f>
        <v>0</v>
      </c>
      <c r="L144" s="8">
        <f>Intv_Ann_TA!L139</f>
        <v>0</v>
      </c>
      <c r="M144" s="8">
        <f>Intv_Ann_TA!M139</f>
        <v>0</v>
      </c>
      <c r="N144" s="8">
        <f>Intv_Ann_TA!N139</f>
        <v>0</v>
      </c>
      <c r="O144" s="8">
        <f>Intv_Ann_TA!O139</f>
        <v>0</v>
      </c>
    </row>
    <row r="145" spans="3:15" s="327" customFormat="1" outlineLevel="1" x14ac:dyDescent="0.2">
      <c r="D145" s="640" t="str">
        <f>Intv_BA!D172</f>
        <v>North-Western</v>
      </c>
      <c r="J145" s="8">
        <f>Intv_Ann_TA!J140</f>
        <v>0</v>
      </c>
      <c r="K145" s="8">
        <f>Intv_Ann_TA!K140</f>
        <v>0</v>
      </c>
      <c r="L145" s="8">
        <f>Intv_Ann_TA!L140</f>
        <v>0</v>
      </c>
      <c r="M145" s="8">
        <f>Intv_Ann_TA!M140</f>
        <v>0</v>
      </c>
      <c r="N145" s="8">
        <f>Intv_Ann_TA!N140</f>
        <v>0</v>
      </c>
      <c r="O145" s="8">
        <f>Intv_Ann_TA!O140</f>
        <v>0</v>
      </c>
    </row>
    <row r="146" spans="3:15" s="327" customFormat="1" outlineLevel="1" x14ac:dyDescent="0.2">
      <c r="D146" s="640" t="str">
        <f>Intv_BA!D173</f>
        <v>Southern</v>
      </c>
      <c r="J146" s="8">
        <f>Intv_Ann_TA!J141</f>
        <v>0</v>
      </c>
      <c r="K146" s="8">
        <f>Intv_Ann_TA!K141</f>
        <v>0</v>
      </c>
      <c r="L146" s="8">
        <f>Intv_Ann_TA!L141</f>
        <v>0</v>
      </c>
      <c r="M146" s="8">
        <f>Intv_Ann_TA!M141</f>
        <v>0</v>
      </c>
      <c r="N146" s="8">
        <f>Intv_Ann_TA!N141</f>
        <v>0</v>
      </c>
      <c r="O146" s="8">
        <f>Intv_Ann_TA!O141</f>
        <v>0</v>
      </c>
    </row>
    <row r="147" spans="3:15" s="327" customFormat="1" outlineLevel="1" x14ac:dyDescent="0.2">
      <c r="D147" s="640" t="str">
        <f>Intv_BA!D174</f>
        <v>Western</v>
      </c>
      <c r="J147" s="9">
        <f>Intv_Ann_TA!J142</f>
        <v>0</v>
      </c>
      <c r="K147" s="9">
        <f>Intv_Ann_TA!K142</f>
        <v>0</v>
      </c>
      <c r="L147" s="9">
        <f>Intv_Ann_TA!L142</f>
        <v>0</v>
      </c>
      <c r="M147" s="9">
        <f>Intv_Ann_TA!M142</f>
        <v>0</v>
      </c>
      <c r="N147" s="9">
        <f>Intv_Ann_TA!N142</f>
        <v>0</v>
      </c>
      <c r="O147" s="9">
        <f>Intv_Ann_TA!O142</f>
        <v>0</v>
      </c>
    </row>
    <row r="148" spans="3:15" s="327" customFormat="1" x14ac:dyDescent="0.2">
      <c r="D148" s="639" t="str">
        <f>"Total "&amp;C133</f>
        <v>Total Active Facility Type 8s</v>
      </c>
      <c r="J148" s="5">
        <f t="shared" ref="J148:O148" si="11">SUM(J138:J147)</f>
        <v>0</v>
      </c>
      <c r="K148" s="5">
        <f t="shared" si="11"/>
        <v>0</v>
      </c>
      <c r="L148" s="5">
        <f t="shared" si="11"/>
        <v>0</v>
      </c>
      <c r="M148" s="5">
        <f t="shared" si="11"/>
        <v>0</v>
      </c>
      <c r="N148" s="5">
        <f t="shared" si="11"/>
        <v>0</v>
      </c>
      <c r="O148" s="5">
        <f t="shared" si="11"/>
        <v>0</v>
      </c>
    </row>
    <row r="149" spans="3:15" s="327" customFormat="1" outlineLevel="1" x14ac:dyDescent="0.2"/>
    <row r="150" spans="3:15" s="327" customFormat="1" ht="15.75" outlineLevel="1" x14ac:dyDescent="0.2">
      <c r="C150" s="26" t="str">
        <f>"Active "&amp;Intv_BA!D49&amp;"s"</f>
        <v>Active Facility Type 9s</v>
      </c>
    </row>
    <row r="151" spans="3:15" s="327" customFormat="1" outlineLevel="1" x14ac:dyDescent="0.2"/>
    <row r="152" spans="3:15" s="327" customFormat="1" outlineLevel="1" x14ac:dyDescent="0.2">
      <c r="D152" s="643" t="s">
        <v>82</v>
      </c>
      <c r="H152" s="27">
        <v>9</v>
      </c>
    </row>
    <row r="153" spans="3:15" s="327" customFormat="1" outlineLevel="1" x14ac:dyDescent="0.2"/>
    <row r="154" spans="3:15" s="327" customFormat="1" ht="15" outlineLevel="1" x14ac:dyDescent="0.2">
      <c r="D154" s="641" t="str">
        <f>Labels_BA!G10</f>
        <v>Province</v>
      </c>
    </row>
    <row r="155" spans="3:15" s="327" customFormat="1" outlineLevel="1" x14ac:dyDescent="0.2">
      <c r="D155" s="640" t="str">
        <f>Intv_BA!D165</f>
        <v>Central</v>
      </c>
      <c r="J155" s="8">
        <f>Intv_Ann_TA!J149</f>
        <v>0</v>
      </c>
      <c r="K155" s="8">
        <f>Intv_Ann_TA!K149</f>
        <v>0</v>
      </c>
      <c r="L155" s="8">
        <f>Intv_Ann_TA!L149</f>
        <v>0</v>
      </c>
      <c r="M155" s="8">
        <f>Intv_Ann_TA!M149</f>
        <v>0</v>
      </c>
      <c r="N155" s="8">
        <f>Intv_Ann_TA!N149</f>
        <v>0</v>
      </c>
      <c r="O155" s="8">
        <f>Intv_Ann_TA!O149</f>
        <v>0</v>
      </c>
    </row>
    <row r="156" spans="3:15" s="327" customFormat="1" outlineLevel="1" x14ac:dyDescent="0.2">
      <c r="D156" s="640" t="str">
        <f>Intv_BA!D166</f>
        <v>Copperbelt</v>
      </c>
      <c r="J156" s="8">
        <f>Intv_Ann_TA!J150</f>
        <v>0</v>
      </c>
      <c r="K156" s="8">
        <f>Intv_Ann_TA!K150</f>
        <v>0</v>
      </c>
      <c r="L156" s="8">
        <f>Intv_Ann_TA!L150</f>
        <v>0</v>
      </c>
      <c r="M156" s="8">
        <f>Intv_Ann_TA!M150</f>
        <v>0</v>
      </c>
      <c r="N156" s="8">
        <f>Intv_Ann_TA!N150</f>
        <v>0</v>
      </c>
      <c r="O156" s="8">
        <f>Intv_Ann_TA!O150</f>
        <v>0</v>
      </c>
    </row>
    <row r="157" spans="3:15" s="327" customFormat="1" outlineLevel="1" x14ac:dyDescent="0.2">
      <c r="D157" s="640" t="str">
        <f>Intv_BA!D167</f>
        <v>Eastern</v>
      </c>
      <c r="J157" s="8">
        <f>Intv_Ann_TA!J151</f>
        <v>0</v>
      </c>
      <c r="K157" s="8">
        <f>Intv_Ann_TA!K151</f>
        <v>0</v>
      </c>
      <c r="L157" s="8">
        <f>Intv_Ann_TA!L151</f>
        <v>0</v>
      </c>
      <c r="M157" s="8">
        <f>Intv_Ann_TA!M151</f>
        <v>0</v>
      </c>
      <c r="N157" s="8">
        <f>Intv_Ann_TA!N151</f>
        <v>0</v>
      </c>
      <c r="O157" s="8">
        <f>Intv_Ann_TA!O151</f>
        <v>0</v>
      </c>
    </row>
    <row r="158" spans="3:15" s="327" customFormat="1" outlineLevel="1" x14ac:dyDescent="0.2">
      <c r="D158" s="640" t="str">
        <f>Intv_BA!D168</f>
        <v>Luapula</v>
      </c>
      <c r="J158" s="8">
        <f>Intv_Ann_TA!J152</f>
        <v>0</v>
      </c>
      <c r="K158" s="8">
        <f>Intv_Ann_TA!K152</f>
        <v>0</v>
      </c>
      <c r="L158" s="8">
        <f>Intv_Ann_TA!L152</f>
        <v>0</v>
      </c>
      <c r="M158" s="8">
        <f>Intv_Ann_TA!M152</f>
        <v>0</v>
      </c>
      <c r="N158" s="8">
        <f>Intv_Ann_TA!N152</f>
        <v>0</v>
      </c>
      <c r="O158" s="8">
        <f>Intv_Ann_TA!O152</f>
        <v>0</v>
      </c>
    </row>
    <row r="159" spans="3:15" s="327" customFormat="1" outlineLevel="1" x14ac:dyDescent="0.2">
      <c r="D159" s="640" t="str">
        <f>Intv_BA!D169</f>
        <v>Lusaka</v>
      </c>
      <c r="J159" s="8">
        <f>Intv_Ann_TA!J153</f>
        <v>0</v>
      </c>
      <c r="K159" s="8">
        <f>Intv_Ann_TA!K153</f>
        <v>0</v>
      </c>
      <c r="L159" s="8">
        <f>Intv_Ann_TA!L153</f>
        <v>0</v>
      </c>
      <c r="M159" s="8">
        <f>Intv_Ann_TA!M153</f>
        <v>0</v>
      </c>
      <c r="N159" s="8">
        <f>Intv_Ann_TA!N153</f>
        <v>0</v>
      </c>
      <c r="O159" s="8">
        <f>Intv_Ann_TA!O153</f>
        <v>0</v>
      </c>
    </row>
    <row r="160" spans="3:15" s="327" customFormat="1" outlineLevel="1" x14ac:dyDescent="0.2">
      <c r="D160" s="640" t="str">
        <f>Intv_BA!D170</f>
        <v>Muchinga</v>
      </c>
      <c r="J160" s="8">
        <f>Intv_Ann_TA!J154</f>
        <v>0</v>
      </c>
      <c r="K160" s="8">
        <f>Intv_Ann_TA!K154</f>
        <v>0</v>
      </c>
      <c r="L160" s="8">
        <f>Intv_Ann_TA!L154</f>
        <v>0</v>
      </c>
      <c r="M160" s="8">
        <f>Intv_Ann_TA!M154</f>
        <v>0</v>
      </c>
      <c r="N160" s="8">
        <f>Intv_Ann_TA!N154</f>
        <v>0</v>
      </c>
      <c r="O160" s="8">
        <f>Intv_Ann_TA!O154</f>
        <v>0</v>
      </c>
    </row>
    <row r="161" spans="3:15" s="327" customFormat="1" outlineLevel="1" x14ac:dyDescent="0.2">
      <c r="D161" s="640" t="str">
        <f>Intv_BA!D171</f>
        <v>Northern</v>
      </c>
      <c r="J161" s="8">
        <f>Intv_Ann_TA!J155</f>
        <v>0</v>
      </c>
      <c r="K161" s="8">
        <f>Intv_Ann_TA!K155</f>
        <v>0</v>
      </c>
      <c r="L161" s="8">
        <f>Intv_Ann_TA!L155</f>
        <v>0</v>
      </c>
      <c r="M161" s="8">
        <f>Intv_Ann_TA!M155</f>
        <v>0</v>
      </c>
      <c r="N161" s="8">
        <f>Intv_Ann_TA!N155</f>
        <v>0</v>
      </c>
      <c r="O161" s="8">
        <f>Intv_Ann_TA!O155</f>
        <v>0</v>
      </c>
    </row>
    <row r="162" spans="3:15" s="327" customFormat="1" outlineLevel="1" x14ac:dyDescent="0.2">
      <c r="D162" s="640" t="str">
        <f>Intv_BA!D172</f>
        <v>North-Western</v>
      </c>
      <c r="J162" s="8">
        <f>Intv_Ann_TA!J156</f>
        <v>0</v>
      </c>
      <c r="K162" s="8">
        <f>Intv_Ann_TA!K156</f>
        <v>0</v>
      </c>
      <c r="L162" s="8">
        <f>Intv_Ann_TA!L156</f>
        <v>0</v>
      </c>
      <c r="M162" s="8">
        <f>Intv_Ann_TA!M156</f>
        <v>0</v>
      </c>
      <c r="N162" s="8">
        <f>Intv_Ann_TA!N156</f>
        <v>0</v>
      </c>
      <c r="O162" s="8">
        <f>Intv_Ann_TA!O156</f>
        <v>0</v>
      </c>
    </row>
    <row r="163" spans="3:15" s="327" customFormat="1" outlineLevel="1" x14ac:dyDescent="0.2">
      <c r="D163" s="640" t="str">
        <f>Intv_BA!D173</f>
        <v>Southern</v>
      </c>
      <c r="J163" s="8">
        <f>Intv_Ann_TA!J157</f>
        <v>0</v>
      </c>
      <c r="K163" s="8">
        <f>Intv_Ann_TA!K157</f>
        <v>0</v>
      </c>
      <c r="L163" s="8">
        <f>Intv_Ann_TA!L157</f>
        <v>0</v>
      </c>
      <c r="M163" s="8">
        <f>Intv_Ann_TA!M157</f>
        <v>0</v>
      </c>
      <c r="N163" s="8">
        <f>Intv_Ann_TA!N157</f>
        <v>0</v>
      </c>
      <c r="O163" s="8">
        <f>Intv_Ann_TA!O157</f>
        <v>0</v>
      </c>
    </row>
    <row r="164" spans="3:15" s="327" customFormat="1" outlineLevel="1" x14ac:dyDescent="0.2">
      <c r="D164" s="640" t="str">
        <f>Intv_BA!D174</f>
        <v>Western</v>
      </c>
      <c r="J164" s="9">
        <f>Intv_Ann_TA!J158</f>
        <v>0</v>
      </c>
      <c r="K164" s="9">
        <f>Intv_Ann_TA!K158</f>
        <v>0</v>
      </c>
      <c r="L164" s="9">
        <f>Intv_Ann_TA!L158</f>
        <v>0</v>
      </c>
      <c r="M164" s="9">
        <f>Intv_Ann_TA!M158</f>
        <v>0</v>
      </c>
      <c r="N164" s="9">
        <f>Intv_Ann_TA!N158</f>
        <v>0</v>
      </c>
      <c r="O164" s="9">
        <f>Intv_Ann_TA!O158</f>
        <v>0</v>
      </c>
    </row>
    <row r="165" spans="3:15" s="327" customFormat="1" x14ac:dyDescent="0.2">
      <c r="D165" s="639" t="str">
        <f>"Total "&amp;C150</f>
        <v>Total Active Facility Type 9s</v>
      </c>
      <c r="J165" s="5">
        <f t="shared" ref="J165:O165" si="12">SUM(J155:J164)</f>
        <v>0</v>
      </c>
      <c r="K165" s="5">
        <f t="shared" si="12"/>
        <v>0</v>
      </c>
      <c r="L165" s="5">
        <f t="shared" si="12"/>
        <v>0</v>
      </c>
      <c r="M165" s="5">
        <f t="shared" si="12"/>
        <v>0</v>
      </c>
      <c r="N165" s="5">
        <f t="shared" si="12"/>
        <v>0</v>
      </c>
      <c r="O165" s="5">
        <f t="shared" si="12"/>
        <v>0</v>
      </c>
    </row>
    <row r="166" spans="3:15" s="327" customFormat="1" outlineLevel="1" x14ac:dyDescent="0.2"/>
    <row r="167" spans="3:15" s="327" customFormat="1" ht="15.75" outlineLevel="2" x14ac:dyDescent="0.2">
      <c r="C167" s="26" t="str">
        <f>"Active "&amp;Intv_BA!D50&amp;"s"</f>
        <v>Active Facility Type 10s</v>
      </c>
    </row>
    <row r="168" spans="3:15" s="327" customFormat="1" outlineLevel="2" x14ac:dyDescent="0.2"/>
    <row r="169" spans="3:15" s="327" customFormat="1" outlineLevel="2" x14ac:dyDescent="0.2">
      <c r="D169" s="643" t="s">
        <v>82</v>
      </c>
      <c r="H169" s="27">
        <v>10</v>
      </c>
    </row>
    <row r="170" spans="3:15" s="327" customFormat="1" outlineLevel="2" x14ac:dyDescent="0.2"/>
    <row r="171" spans="3:15" s="327" customFormat="1" ht="15" outlineLevel="2" x14ac:dyDescent="0.2">
      <c r="D171" s="641" t="str">
        <f>Labels_BA!G10</f>
        <v>Province</v>
      </c>
    </row>
    <row r="172" spans="3:15" s="327" customFormat="1" outlineLevel="2" x14ac:dyDescent="0.2">
      <c r="D172" s="640" t="str">
        <f>Intv_BA!D165</f>
        <v>Central</v>
      </c>
      <c r="J172" s="8">
        <f>Intv_Ann_TA!J165</f>
        <v>0</v>
      </c>
      <c r="K172" s="8">
        <f>Intv_Ann_TA!K165</f>
        <v>0</v>
      </c>
      <c r="L172" s="8">
        <f>Intv_Ann_TA!L165</f>
        <v>0</v>
      </c>
      <c r="M172" s="8">
        <f>Intv_Ann_TA!M165</f>
        <v>0</v>
      </c>
      <c r="N172" s="8">
        <f>Intv_Ann_TA!N165</f>
        <v>0</v>
      </c>
      <c r="O172" s="8">
        <f>Intv_Ann_TA!O165</f>
        <v>0</v>
      </c>
    </row>
    <row r="173" spans="3:15" s="327" customFormat="1" outlineLevel="2" x14ac:dyDescent="0.2">
      <c r="D173" s="640" t="str">
        <f>Intv_BA!D166</f>
        <v>Copperbelt</v>
      </c>
      <c r="J173" s="8">
        <f>Intv_Ann_TA!J166</f>
        <v>0</v>
      </c>
      <c r="K173" s="8">
        <f>Intv_Ann_TA!K166</f>
        <v>0</v>
      </c>
      <c r="L173" s="8">
        <f>Intv_Ann_TA!L166</f>
        <v>0</v>
      </c>
      <c r="M173" s="8">
        <f>Intv_Ann_TA!M166</f>
        <v>0</v>
      </c>
      <c r="N173" s="8">
        <f>Intv_Ann_TA!N166</f>
        <v>0</v>
      </c>
      <c r="O173" s="8">
        <f>Intv_Ann_TA!O166</f>
        <v>0</v>
      </c>
    </row>
    <row r="174" spans="3:15" s="327" customFormat="1" outlineLevel="2" x14ac:dyDescent="0.2">
      <c r="D174" s="640" t="str">
        <f>Intv_BA!D167</f>
        <v>Eastern</v>
      </c>
      <c r="J174" s="8">
        <f>Intv_Ann_TA!J167</f>
        <v>0</v>
      </c>
      <c r="K174" s="8">
        <f>Intv_Ann_TA!K167</f>
        <v>0</v>
      </c>
      <c r="L174" s="8">
        <f>Intv_Ann_TA!L167</f>
        <v>0</v>
      </c>
      <c r="M174" s="8">
        <f>Intv_Ann_TA!M167</f>
        <v>0</v>
      </c>
      <c r="N174" s="8">
        <f>Intv_Ann_TA!N167</f>
        <v>0</v>
      </c>
      <c r="O174" s="8">
        <f>Intv_Ann_TA!O167</f>
        <v>0</v>
      </c>
    </row>
    <row r="175" spans="3:15" s="327" customFormat="1" outlineLevel="2" x14ac:dyDescent="0.2">
      <c r="D175" s="640" t="str">
        <f>Intv_BA!D168</f>
        <v>Luapula</v>
      </c>
      <c r="J175" s="8">
        <f>Intv_Ann_TA!J168</f>
        <v>0</v>
      </c>
      <c r="K175" s="8">
        <f>Intv_Ann_TA!K168</f>
        <v>0</v>
      </c>
      <c r="L175" s="8">
        <f>Intv_Ann_TA!L168</f>
        <v>0</v>
      </c>
      <c r="M175" s="8">
        <f>Intv_Ann_TA!M168</f>
        <v>0</v>
      </c>
      <c r="N175" s="8">
        <f>Intv_Ann_TA!N168</f>
        <v>0</v>
      </c>
      <c r="O175" s="8">
        <f>Intv_Ann_TA!O168</f>
        <v>0</v>
      </c>
    </row>
    <row r="176" spans="3:15" s="327" customFormat="1" outlineLevel="2" x14ac:dyDescent="0.2">
      <c r="D176" s="640" t="str">
        <f>Intv_BA!D169</f>
        <v>Lusaka</v>
      </c>
      <c r="J176" s="8">
        <f>Intv_Ann_TA!J169</f>
        <v>0</v>
      </c>
      <c r="K176" s="8">
        <f>Intv_Ann_TA!K169</f>
        <v>0</v>
      </c>
      <c r="L176" s="8">
        <f>Intv_Ann_TA!L169</f>
        <v>0</v>
      </c>
      <c r="M176" s="8">
        <f>Intv_Ann_TA!M169</f>
        <v>0</v>
      </c>
      <c r="N176" s="8">
        <f>Intv_Ann_TA!N169</f>
        <v>0</v>
      </c>
      <c r="O176" s="8">
        <f>Intv_Ann_TA!O169</f>
        <v>0</v>
      </c>
    </row>
    <row r="177" spans="3:15" s="327" customFormat="1" outlineLevel="2" x14ac:dyDescent="0.2">
      <c r="D177" s="640" t="str">
        <f>Intv_BA!D170</f>
        <v>Muchinga</v>
      </c>
      <c r="J177" s="8">
        <f>Intv_Ann_TA!J170</f>
        <v>0</v>
      </c>
      <c r="K177" s="8">
        <f>Intv_Ann_TA!K170</f>
        <v>0</v>
      </c>
      <c r="L177" s="8">
        <f>Intv_Ann_TA!L170</f>
        <v>0</v>
      </c>
      <c r="M177" s="8">
        <f>Intv_Ann_TA!M170</f>
        <v>0</v>
      </c>
      <c r="N177" s="8">
        <f>Intv_Ann_TA!N170</f>
        <v>0</v>
      </c>
      <c r="O177" s="8">
        <f>Intv_Ann_TA!O170</f>
        <v>0</v>
      </c>
    </row>
    <row r="178" spans="3:15" s="327" customFormat="1" outlineLevel="2" x14ac:dyDescent="0.2">
      <c r="D178" s="640" t="str">
        <f>Intv_BA!D171</f>
        <v>Northern</v>
      </c>
      <c r="J178" s="8">
        <f>Intv_Ann_TA!J171</f>
        <v>0</v>
      </c>
      <c r="K178" s="8">
        <f>Intv_Ann_TA!K171</f>
        <v>0</v>
      </c>
      <c r="L178" s="8">
        <f>Intv_Ann_TA!L171</f>
        <v>0</v>
      </c>
      <c r="M178" s="8">
        <f>Intv_Ann_TA!M171</f>
        <v>0</v>
      </c>
      <c r="N178" s="8">
        <f>Intv_Ann_TA!N171</f>
        <v>0</v>
      </c>
      <c r="O178" s="8">
        <f>Intv_Ann_TA!O171</f>
        <v>0</v>
      </c>
    </row>
    <row r="179" spans="3:15" s="327" customFormat="1" outlineLevel="2" x14ac:dyDescent="0.2">
      <c r="D179" s="640" t="str">
        <f>Intv_BA!D172</f>
        <v>North-Western</v>
      </c>
      <c r="J179" s="8">
        <f>Intv_Ann_TA!J172</f>
        <v>0</v>
      </c>
      <c r="K179" s="8">
        <f>Intv_Ann_TA!K172</f>
        <v>0</v>
      </c>
      <c r="L179" s="8">
        <f>Intv_Ann_TA!L172</f>
        <v>0</v>
      </c>
      <c r="M179" s="8">
        <f>Intv_Ann_TA!M172</f>
        <v>0</v>
      </c>
      <c r="N179" s="8">
        <f>Intv_Ann_TA!N172</f>
        <v>0</v>
      </c>
      <c r="O179" s="8">
        <f>Intv_Ann_TA!O172</f>
        <v>0</v>
      </c>
    </row>
    <row r="180" spans="3:15" s="327" customFormat="1" outlineLevel="2" x14ac:dyDescent="0.2">
      <c r="D180" s="640" t="str">
        <f>Intv_BA!D173</f>
        <v>Southern</v>
      </c>
      <c r="J180" s="8">
        <f>Intv_Ann_TA!J173</f>
        <v>0</v>
      </c>
      <c r="K180" s="8">
        <f>Intv_Ann_TA!K173</f>
        <v>0</v>
      </c>
      <c r="L180" s="8">
        <f>Intv_Ann_TA!L173</f>
        <v>0</v>
      </c>
      <c r="M180" s="8">
        <f>Intv_Ann_TA!M173</f>
        <v>0</v>
      </c>
      <c r="N180" s="8">
        <f>Intv_Ann_TA!N173</f>
        <v>0</v>
      </c>
      <c r="O180" s="8">
        <f>Intv_Ann_TA!O173</f>
        <v>0</v>
      </c>
    </row>
    <row r="181" spans="3:15" s="327" customFormat="1" outlineLevel="2" x14ac:dyDescent="0.2">
      <c r="D181" s="640" t="str">
        <f>Intv_BA!D174</f>
        <v>Western</v>
      </c>
      <c r="J181" s="9">
        <f>Intv_Ann_TA!J174</f>
        <v>0</v>
      </c>
      <c r="K181" s="9">
        <f>Intv_Ann_TA!K174</f>
        <v>0</v>
      </c>
      <c r="L181" s="9">
        <f>Intv_Ann_TA!L174</f>
        <v>0</v>
      </c>
      <c r="M181" s="9">
        <f>Intv_Ann_TA!M174</f>
        <v>0</v>
      </c>
      <c r="N181" s="9">
        <f>Intv_Ann_TA!N174</f>
        <v>0</v>
      </c>
      <c r="O181" s="9">
        <f>Intv_Ann_TA!O174</f>
        <v>0</v>
      </c>
    </row>
    <row r="182" spans="3:15" s="327" customFormat="1" x14ac:dyDescent="0.2">
      <c r="D182" s="639" t="str">
        <f>"Total "&amp;C167</f>
        <v>Total Active Facility Type 10s</v>
      </c>
      <c r="J182" s="5">
        <f t="shared" ref="J182:O182" si="13">SUM(J172:J181)</f>
        <v>0</v>
      </c>
      <c r="K182" s="5">
        <f t="shared" si="13"/>
        <v>0</v>
      </c>
      <c r="L182" s="5">
        <f t="shared" si="13"/>
        <v>0</v>
      </c>
      <c r="M182" s="5">
        <f t="shared" si="13"/>
        <v>0</v>
      </c>
      <c r="N182" s="5">
        <f t="shared" si="13"/>
        <v>0</v>
      </c>
      <c r="O182" s="5">
        <f t="shared" si="13"/>
        <v>0</v>
      </c>
    </row>
    <row r="183" spans="3:15" s="327" customFormat="1" x14ac:dyDescent="0.2"/>
    <row r="184" spans="3:15" s="327" customFormat="1" x14ac:dyDescent="0.2"/>
    <row r="185" spans="3:15" s="327" customFormat="1" ht="15" x14ac:dyDescent="0.2">
      <c r="D185" s="642" t="str">
        <f>"Total Active Facilities " &amp;Intv_BA!G10</f>
        <v>Total Active Facilities Cryo -SV</v>
      </c>
      <c r="I185" s="437"/>
      <c r="J185" s="14">
        <f t="shared" ref="J185:O185" si="14">SUM(J29,J46,J63,J80,J97,J114,J131,J148,J165,J182)</f>
        <v>31</v>
      </c>
      <c r="K185" s="14">
        <f t="shared" si="14"/>
        <v>31</v>
      </c>
      <c r="L185" s="14">
        <f t="shared" si="14"/>
        <v>31</v>
      </c>
      <c r="M185" s="14">
        <f t="shared" si="14"/>
        <v>31</v>
      </c>
      <c r="N185" s="14">
        <f t="shared" si="14"/>
        <v>31</v>
      </c>
      <c r="O185" s="14">
        <f t="shared" si="14"/>
        <v>31</v>
      </c>
    </row>
    <row r="186" spans="3:15" s="327" customFormat="1" x14ac:dyDescent="0.2"/>
    <row r="187" spans="3:15" s="327" customFormat="1" ht="15" x14ac:dyDescent="0.2">
      <c r="D187" s="642" t="str">
        <f>"Total New Active Facilities " &amp;Intv_BA!$G$10</f>
        <v>Total New Active Facilities Cryo -SV</v>
      </c>
      <c r="J187" s="14">
        <f t="shared" ref="J187:O187" si="15">J185-I185</f>
        <v>31</v>
      </c>
      <c r="K187" s="14">
        <f t="shared" si="15"/>
        <v>0</v>
      </c>
      <c r="L187" s="14">
        <f t="shared" si="15"/>
        <v>0</v>
      </c>
      <c r="M187" s="14">
        <f t="shared" si="15"/>
        <v>0</v>
      </c>
      <c r="N187" s="14">
        <f t="shared" si="15"/>
        <v>0</v>
      </c>
      <c r="O187" s="14">
        <f t="shared" si="15"/>
        <v>0</v>
      </c>
    </row>
    <row r="188" spans="3:15" s="327" customFormat="1" x14ac:dyDescent="0.2"/>
    <row r="189" spans="3:15" s="327" customFormat="1" ht="15.75" x14ac:dyDescent="0.2">
      <c r="C189" s="330" t="s">
        <v>123</v>
      </c>
    </row>
    <row r="190" spans="3:15" s="327" customFormat="1" outlineLevel="1" x14ac:dyDescent="0.2"/>
    <row r="191" spans="3:15" s="327" customFormat="1" ht="15" outlineLevel="1" x14ac:dyDescent="0.2">
      <c r="D191" s="233" t="str">
        <f>"Total Active Facilities Offering "&amp;Intv_BA!$G$10</f>
        <v>Total Active Facilities Offering Cryo -SV</v>
      </c>
    </row>
    <row r="192" spans="3:15" s="327" customFormat="1" outlineLevel="1" x14ac:dyDescent="0.2">
      <c r="D192" s="640" t="str">
        <f>Intv_BA!D165</f>
        <v>Central</v>
      </c>
      <c r="H192" s="640" t="str">
        <f>Intv_BA!$G$10</f>
        <v>Cryo -SV</v>
      </c>
      <c r="J192" s="8">
        <f t="shared" ref="J192:O201" si="16">SUM(J19,J36,J53,J70,J87,J104,J121,J138,J155,J172)</f>
        <v>2</v>
      </c>
      <c r="K192" s="8">
        <f t="shared" si="16"/>
        <v>2</v>
      </c>
      <c r="L192" s="8">
        <f t="shared" si="16"/>
        <v>2</v>
      </c>
      <c r="M192" s="8">
        <f t="shared" si="16"/>
        <v>2</v>
      </c>
      <c r="N192" s="8">
        <f t="shared" si="16"/>
        <v>2</v>
      </c>
      <c r="O192" s="8">
        <f t="shared" si="16"/>
        <v>2</v>
      </c>
    </row>
    <row r="193" spans="4:15" s="327" customFormat="1" outlineLevel="1" x14ac:dyDescent="0.2">
      <c r="D193" s="640" t="str">
        <f>Intv_BA!D166</f>
        <v>Copperbelt</v>
      </c>
      <c r="H193" s="640" t="str">
        <f>Intv_BA!$G$10</f>
        <v>Cryo -SV</v>
      </c>
      <c r="J193" s="8">
        <f t="shared" si="16"/>
        <v>3</v>
      </c>
      <c r="K193" s="8">
        <f t="shared" si="16"/>
        <v>3</v>
      </c>
      <c r="L193" s="8">
        <f t="shared" si="16"/>
        <v>3</v>
      </c>
      <c r="M193" s="8">
        <f t="shared" si="16"/>
        <v>3</v>
      </c>
      <c r="N193" s="8">
        <f t="shared" si="16"/>
        <v>3</v>
      </c>
      <c r="O193" s="8">
        <f t="shared" si="16"/>
        <v>3</v>
      </c>
    </row>
    <row r="194" spans="4:15" s="327" customFormat="1" outlineLevel="1" x14ac:dyDescent="0.2">
      <c r="D194" s="640" t="str">
        <f>Intv_BA!D167</f>
        <v>Eastern</v>
      </c>
      <c r="H194" s="640" t="str">
        <f>Intv_BA!$G$10</f>
        <v>Cryo -SV</v>
      </c>
      <c r="J194" s="8">
        <f t="shared" si="16"/>
        <v>4</v>
      </c>
      <c r="K194" s="8">
        <f t="shared" si="16"/>
        <v>4</v>
      </c>
      <c r="L194" s="8">
        <f t="shared" si="16"/>
        <v>4</v>
      </c>
      <c r="M194" s="8">
        <f t="shared" si="16"/>
        <v>4</v>
      </c>
      <c r="N194" s="8">
        <f t="shared" si="16"/>
        <v>4</v>
      </c>
      <c r="O194" s="8">
        <f t="shared" si="16"/>
        <v>4</v>
      </c>
    </row>
    <row r="195" spans="4:15" s="327" customFormat="1" outlineLevel="1" x14ac:dyDescent="0.2">
      <c r="D195" s="640" t="str">
        <f>Intv_BA!D168</f>
        <v>Luapula</v>
      </c>
      <c r="H195" s="640" t="str">
        <f>Intv_BA!$G$10</f>
        <v>Cryo -SV</v>
      </c>
      <c r="J195" s="8">
        <f t="shared" si="16"/>
        <v>2</v>
      </c>
      <c r="K195" s="8">
        <f t="shared" si="16"/>
        <v>2</v>
      </c>
      <c r="L195" s="8">
        <f t="shared" si="16"/>
        <v>2</v>
      </c>
      <c r="M195" s="8">
        <f t="shared" si="16"/>
        <v>2</v>
      </c>
      <c r="N195" s="8">
        <f t="shared" si="16"/>
        <v>2</v>
      </c>
      <c r="O195" s="8">
        <f t="shared" si="16"/>
        <v>2</v>
      </c>
    </row>
    <row r="196" spans="4:15" s="327" customFormat="1" outlineLevel="1" x14ac:dyDescent="0.2">
      <c r="D196" s="640" t="str">
        <f>Intv_BA!D169</f>
        <v>Lusaka</v>
      </c>
      <c r="H196" s="640" t="str">
        <f>Intv_BA!$G$10</f>
        <v>Cryo -SV</v>
      </c>
      <c r="J196" s="8">
        <f t="shared" si="16"/>
        <v>12</v>
      </c>
      <c r="K196" s="8">
        <f t="shared" si="16"/>
        <v>12</v>
      </c>
      <c r="L196" s="8">
        <f t="shared" si="16"/>
        <v>12</v>
      </c>
      <c r="M196" s="8">
        <f t="shared" si="16"/>
        <v>12</v>
      </c>
      <c r="N196" s="8">
        <f t="shared" si="16"/>
        <v>12</v>
      </c>
      <c r="O196" s="8">
        <f t="shared" si="16"/>
        <v>12</v>
      </c>
    </row>
    <row r="197" spans="4:15" s="327" customFormat="1" outlineLevel="1" x14ac:dyDescent="0.2">
      <c r="D197" s="640" t="str">
        <f>Intv_BA!D170</f>
        <v>Muchinga</v>
      </c>
      <c r="H197" s="640" t="str">
        <f>Intv_BA!$G$10</f>
        <v>Cryo -SV</v>
      </c>
      <c r="J197" s="8">
        <f t="shared" si="16"/>
        <v>0</v>
      </c>
      <c r="K197" s="8">
        <f t="shared" si="16"/>
        <v>0</v>
      </c>
      <c r="L197" s="8">
        <f t="shared" si="16"/>
        <v>0</v>
      </c>
      <c r="M197" s="8">
        <f t="shared" si="16"/>
        <v>0</v>
      </c>
      <c r="N197" s="8">
        <f t="shared" si="16"/>
        <v>0</v>
      </c>
      <c r="O197" s="8">
        <f t="shared" si="16"/>
        <v>0</v>
      </c>
    </row>
    <row r="198" spans="4:15" s="327" customFormat="1" outlineLevel="1" x14ac:dyDescent="0.2">
      <c r="D198" s="640" t="str">
        <f>Intv_BA!D171</f>
        <v>Northern</v>
      </c>
      <c r="H198" s="640" t="str">
        <f>Intv_BA!$G$10</f>
        <v>Cryo -SV</v>
      </c>
      <c r="J198" s="8">
        <f t="shared" si="16"/>
        <v>1</v>
      </c>
      <c r="K198" s="8">
        <f t="shared" si="16"/>
        <v>1</v>
      </c>
      <c r="L198" s="8">
        <f t="shared" si="16"/>
        <v>1</v>
      </c>
      <c r="M198" s="8">
        <f t="shared" si="16"/>
        <v>1</v>
      </c>
      <c r="N198" s="8">
        <f t="shared" si="16"/>
        <v>1</v>
      </c>
      <c r="O198" s="8">
        <f t="shared" si="16"/>
        <v>1</v>
      </c>
    </row>
    <row r="199" spans="4:15" s="327" customFormat="1" outlineLevel="1" x14ac:dyDescent="0.2">
      <c r="D199" s="640" t="str">
        <f>Intv_BA!D172</f>
        <v>North-Western</v>
      </c>
      <c r="H199" s="640" t="str">
        <f>Intv_BA!$G$10</f>
        <v>Cryo -SV</v>
      </c>
      <c r="J199" s="8">
        <f t="shared" si="16"/>
        <v>1</v>
      </c>
      <c r="K199" s="8">
        <f t="shared" si="16"/>
        <v>1</v>
      </c>
      <c r="L199" s="8">
        <f t="shared" si="16"/>
        <v>1</v>
      </c>
      <c r="M199" s="8">
        <f t="shared" si="16"/>
        <v>1</v>
      </c>
      <c r="N199" s="8">
        <f t="shared" si="16"/>
        <v>1</v>
      </c>
      <c r="O199" s="8">
        <f t="shared" si="16"/>
        <v>1</v>
      </c>
    </row>
    <row r="200" spans="4:15" s="327" customFormat="1" outlineLevel="1" x14ac:dyDescent="0.2">
      <c r="D200" s="640" t="str">
        <f>Intv_BA!D173</f>
        <v>Southern</v>
      </c>
      <c r="H200" s="640" t="str">
        <f>Intv_BA!$G$10</f>
        <v>Cryo -SV</v>
      </c>
      <c r="J200" s="8">
        <f t="shared" si="16"/>
        <v>3</v>
      </c>
      <c r="K200" s="8">
        <f t="shared" si="16"/>
        <v>3</v>
      </c>
      <c r="L200" s="8">
        <f t="shared" si="16"/>
        <v>3</v>
      </c>
      <c r="M200" s="8">
        <f t="shared" si="16"/>
        <v>3</v>
      </c>
      <c r="N200" s="8">
        <f t="shared" si="16"/>
        <v>3</v>
      </c>
      <c r="O200" s="8">
        <f t="shared" si="16"/>
        <v>3</v>
      </c>
    </row>
    <row r="201" spans="4:15" s="327" customFormat="1" outlineLevel="1" x14ac:dyDescent="0.2">
      <c r="D201" s="640" t="str">
        <f>Intv_BA!D174</f>
        <v>Western</v>
      </c>
      <c r="H201" s="640" t="str">
        <f>Intv_BA!$G$10</f>
        <v>Cryo -SV</v>
      </c>
      <c r="J201" s="9">
        <f t="shared" si="16"/>
        <v>3</v>
      </c>
      <c r="K201" s="9">
        <f t="shared" si="16"/>
        <v>3</v>
      </c>
      <c r="L201" s="9">
        <f t="shared" si="16"/>
        <v>3</v>
      </c>
      <c r="M201" s="9">
        <f t="shared" si="16"/>
        <v>3</v>
      </c>
      <c r="N201" s="9">
        <f t="shared" si="16"/>
        <v>3</v>
      </c>
      <c r="O201" s="9">
        <f t="shared" si="16"/>
        <v>3</v>
      </c>
    </row>
    <row r="202" spans="4:15" s="327" customFormat="1" ht="15" x14ac:dyDescent="0.2">
      <c r="D202" s="642" t="str">
        <f>D191&amp;" ("&amp;Intv_BA!$G$10&amp;")"</f>
        <v>Total Active Facilities Offering Cryo -SV (Cryo -SV)</v>
      </c>
      <c r="J202" s="5">
        <f t="shared" ref="J202:O202" si="17">SUM(J192:J201)</f>
        <v>31</v>
      </c>
      <c r="K202" s="5">
        <f t="shared" si="17"/>
        <v>31</v>
      </c>
      <c r="L202" s="5">
        <f t="shared" si="17"/>
        <v>31</v>
      </c>
      <c r="M202" s="5">
        <f t="shared" si="17"/>
        <v>31</v>
      </c>
      <c r="N202" s="5">
        <f t="shared" si="17"/>
        <v>31</v>
      </c>
      <c r="O202" s="5">
        <f t="shared" si="17"/>
        <v>31</v>
      </c>
    </row>
    <row r="203" spans="4:15" s="327" customFormat="1" x14ac:dyDescent="0.2"/>
    <row r="204" spans="4:15" s="327" customFormat="1" x14ac:dyDescent="0.2"/>
    <row r="205" spans="4:15" s="327" customFormat="1" ht="15" x14ac:dyDescent="0.2">
      <c r="D205" s="638" t="s">
        <v>114</v>
      </c>
    </row>
    <row r="206" spans="4:15" s="327" customFormat="1" outlineLevel="1" x14ac:dyDescent="0.2">
      <c r="D206" s="640" t="str">
        <f>Intv_Ann_TA!D185</f>
        <v>Central</v>
      </c>
      <c r="H206" s="640" t="str">
        <f>Intv_BA!$G$10</f>
        <v>Cryo -SV</v>
      </c>
      <c r="J206" s="13">
        <f t="shared" ref="J206:O215" si="18">IFERROR((J19+J36+J53)/J192,0)</f>
        <v>0.5</v>
      </c>
      <c r="K206" s="13">
        <f t="shared" si="18"/>
        <v>0.5</v>
      </c>
      <c r="L206" s="13">
        <f t="shared" si="18"/>
        <v>0.5</v>
      </c>
      <c r="M206" s="13">
        <f t="shared" si="18"/>
        <v>0.5</v>
      </c>
      <c r="N206" s="13">
        <f t="shared" si="18"/>
        <v>0.5</v>
      </c>
      <c r="O206" s="13">
        <f t="shared" si="18"/>
        <v>0.5</v>
      </c>
    </row>
    <row r="207" spans="4:15" s="327" customFormat="1" outlineLevel="1" x14ac:dyDescent="0.2">
      <c r="D207" s="640" t="str">
        <f>Intv_Ann_TA!D186</f>
        <v>Copperbelt</v>
      </c>
      <c r="H207" s="640" t="str">
        <f>Intv_BA!$G$10</f>
        <v>Cryo -SV</v>
      </c>
      <c r="J207" s="13">
        <f t="shared" si="18"/>
        <v>1</v>
      </c>
      <c r="K207" s="13">
        <f t="shared" si="18"/>
        <v>1</v>
      </c>
      <c r="L207" s="13">
        <f t="shared" si="18"/>
        <v>1</v>
      </c>
      <c r="M207" s="13">
        <f t="shared" si="18"/>
        <v>1</v>
      </c>
      <c r="N207" s="13">
        <f t="shared" si="18"/>
        <v>1</v>
      </c>
      <c r="O207" s="13">
        <f t="shared" si="18"/>
        <v>1</v>
      </c>
    </row>
    <row r="208" spans="4:15" s="327" customFormat="1" outlineLevel="1" x14ac:dyDescent="0.2">
      <c r="D208" s="640" t="str">
        <f>Intv_Ann_TA!D187</f>
        <v>Eastern</v>
      </c>
      <c r="H208" s="640" t="str">
        <f>Intv_BA!$G$10</f>
        <v>Cryo -SV</v>
      </c>
      <c r="J208" s="13">
        <f t="shared" si="18"/>
        <v>0.75</v>
      </c>
      <c r="K208" s="13">
        <f t="shared" si="18"/>
        <v>0.75</v>
      </c>
      <c r="L208" s="13">
        <f t="shared" si="18"/>
        <v>0.75</v>
      </c>
      <c r="M208" s="13">
        <f t="shared" si="18"/>
        <v>0.75</v>
      </c>
      <c r="N208" s="13">
        <f t="shared" si="18"/>
        <v>0.75</v>
      </c>
      <c r="O208" s="13">
        <f t="shared" si="18"/>
        <v>0.75</v>
      </c>
    </row>
    <row r="209" spans="3:15" s="327" customFormat="1" outlineLevel="1" x14ac:dyDescent="0.2">
      <c r="D209" s="640" t="str">
        <f>Intv_Ann_TA!D188</f>
        <v>Luapula</v>
      </c>
      <c r="H209" s="640" t="str">
        <f>Intv_BA!$G$10</f>
        <v>Cryo -SV</v>
      </c>
      <c r="J209" s="13">
        <f t="shared" si="18"/>
        <v>1</v>
      </c>
      <c r="K209" s="13">
        <f t="shared" si="18"/>
        <v>1</v>
      </c>
      <c r="L209" s="13">
        <f t="shared" si="18"/>
        <v>1</v>
      </c>
      <c r="M209" s="13">
        <f t="shared" si="18"/>
        <v>1</v>
      </c>
      <c r="N209" s="13">
        <f t="shared" si="18"/>
        <v>1</v>
      </c>
      <c r="O209" s="13">
        <f t="shared" si="18"/>
        <v>1</v>
      </c>
    </row>
    <row r="210" spans="3:15" s="327" customFormat="1" outlineLevel="1" x14ac:dyDescent="0.2">
      <c r="D210" s="640" t="str">
        <f>Intv_Ann_TA!D189</f>
        <v>Lusaka</v>
      </c>
      <c r="H210" s="640" t="str">
        <f>Intv_BA!$G$10</f>
        <v>Cryo -SV</v>
      </c>
      <c r="J210" s="13">
        <f t="shared" si="18"/>
        <v>8.3333333333333329E-2</v>
      </c>
      <c r="K210" s="13">
        <f t="shared" si="18"/>
        <v>8.3333333333333329E-2</v>
      </c>
      <c r="L210" s="13">
        <f t="shared" si="18"/>
        <v>8.3333333333333329E-2</v>
      </c>
      <c r="M210" s="13">
        <f t="shared" si="18"/>
        <v>8.3333333333333329E-2</v>
      </c>
      <c r="N210" s="13">
        <f t="shared" si="18"/>
        <v>8.3333333333333329E-2</v>
      </c>
      <c r="O210" s="13">
        <f t="shared" si="18"/>
        <v>8.3333333333333329E-2</v>
      </c>
    </row>
    <row r="211" spans="3:15" s="327" customFormat="1" outlineLevel="1" x14ac:dyDescent="0.2">
      <c r="D211" s="640" t="str">
        <f>Intv_Ann_TA!D190</f>
        <v>Muchinga</v>
      </c>
      <c r="H211" s="640" t="str">
        <f>Intv_BA!$G$10</f>
        <v>Cryo -SV</v>
      </c>
      <c r="J211" s="13">
        <f t="shared" si="18"/>
        <v>0</v>
      </c>
      <c r="K211" s="13">
        <f t="shared" si="18"/>
        <v>0</v>
      </c>
      <c r="L211" s="13">
        <f t="shared" si="18"/>
        <v>0</v>
      </c>
      <c r="M211" s="13">
        <f t="shared" si="18"/>
        <v>0</v>
      </c>
      <c r="N211" s="13">
        <f t="shared" si="18"/>
        <v>0</v>
      </c>
      <c r="O211" s="13">
        <f t="shared" si="18"/>
        <v>0</v>
      </c>
    </row>
    <row r="212" spans="3:15" s="327" customFormat="1" outlineLevel="1" x14ac:dyDescent="0.2">
      <c r="D212" s="640" t="str">
        <f>Intv_Ann_TA!D191</f>
        <v>Northern</v>
      </c>
      <c r="H212" s="640" t="str">
        <f>Intv_BA!$G$10</f>
        <v>Cryo -SV</v>
      </c>
      <c r="J212" s="13">
        <f t="shared" si="18"/>
        <v>1</v>
      </c>
      <c r="K212" s="13">
        <f t="shared" si="18"/>
        <v>1</v>
      </c>
      <c r="L212" s="13">
        <f t="shared" si="18"/>
        <v>1</v>
      </c>
      <c r="M212" s="13">
        <f t="shared" si="18"/>
        <v>1</v>
      </c>
      <c r="N212" s="13">
        <f t="shared" si="18"/>
        <v>1</v>
      </c>
      <c r="O212" s="13">
        <f t="shared" si="18"/>
        <v>1</v>
      </c>
    </row>
    <row r="213" spans="3:15" s="327" customFormat="1" outlineLevel="1" x14ac:dyDescent="0.2">
      <c r="D213" s="640" t="str">
        <f>Intv_Ann_TA!D192</f>
        <v>North-Western</v>
      </c>
      <c r="H213" s="640" t="str">
        <f>Intv_BA!$G$10</f>
        <v>Cryo -SV</v>
      </c>
      <c r="J213" s="13">
        <f t="shared" si="18"/>
        <v>1</v>
      </c>
      <c r="K213" s="13">
        <f t="shared" si="18"/>
        <v>1</v>
      </c>
      <c r="L213" s="13">
        <f t="shared" si="18"/>
        <v>1</v>
      </c>
      <c r="M213" s="13">
        <f t="shared" si="18"/>
        <v>1</v>
      </c>
      <c r="N213" s="13">
        <f t="shared" si="18"/>
        <v>1</v>
      </c>
      <c r="O213" s="13">
        <f t="shared" si="18"/>
        <v>1</v>
      </c>
    </row>
    <row r="214" spans="3:15" s="327" customFormat="1" outlineLevel="1" x14ac:dyDescent="0.2">
      <c r="D214" s="640" t="str">
        <f>Intv_Ann_TA!D193</f>
        <v>Southern</v>
      </c>
      <c r="H214" s="640" t="str">
        <f>Intv_BA!$G$10</f>
        <v>Cryo -SV</v>
      </c>
      <c r="J214" s="13">
        <f t="shared" si="18"/>
        <v>0.66666666666666663</v>
      </c>
      <c r="K214" s="13">
        <f t="shared" si="18"/>
        <v>0.66666666666666663</v>
      </c>
      <c r="L214" s="13">
        <f t="shared" si="18"/>
        <v>0.66666666666666663</v>
      </c>
      <c r="M214" s="13">
        <f t="shared" si="18"/>
        <v>0.66666666666666663</v>
      </c>
      <c r="N214" s="13">
        <f t="shared" si="18"/>
        <v>0.66666666666666663</v>
      </c>
      <c r="O214" s="13">
        <f t="shared" si="18"/>
        <v>0.66666666666666663</v>
      </c>
    </row>
    <row r="215" spans="3:15" s="327" customFormat="1" outlineLevel="1" x14ac:dyDescent="0.2">
      <c r="D215" s="640" t="str">
        <f>Intv_Ann_TA!D194</f>
        <v>Western</v>
      </c>
      <c r="H215" s="640" t="str">
        <f>Intv_BA!$G$10</f>
        <v>Cryo -SV</v>
      </c>
      <c r="J215" s="13">
        <f t="shared" si="18"/>
        <v>1</v>
      </c>
      <c r="K215" s="13">
        <f t="shared" si="18"/>
        <v>1</v>
      </c>
      <c r="L215" s="13">
        <f t="shared" si="18"/>
        <v>1</v>
      </c>
      <c r="M215" s="13">
        <f t="shared" si="18"/>
        <v>1</v>
      </c>
      <c r="N215" s="13">
        <f t="shared" si="18"/>
        <v>1</v>
      </c>
      <c r="O215" s="13">
        <f t="shared" si="18"/>
        <v>1</v>
      </c>
    </row>
    <row r="216" spans="3:15" s="327" customFormat="1" x14ac:dyDescent="0.2"/>
    <row r="217" spans="3:15" s="327" customFormat="1" ht="15.75" x14ac:dyDescent="0.2">
      <c r="C217" s="330" t="s">
        <v>102</v>
      </c>
    </row>
    <row r="218" spans="3:15" s="327" customFormat="1" x14ac:dyDescent="0.2"/>
    <row r="219" spans="3:15" s="327" customFormat="1" ht="15" outlineLevel="2" x14ac:dyDescent="0.2">
      <c r="D219" s="638" t="s">
        <v>103</v>
      </c>
    </row>
    <row r="220" spans="3:15" s="327" customFormat="1" outlineLevel="2" x14ac:dyDescent="0.2">
      <c r="D220" s="640" t="str">
        <f>Intv_Ann_TA!D185</f>
        <v>Central</v>
      </c>
      <c r="H220" s="640" t="str">
        <f>Intv_BA!$G$10</f>
        <v>Cryo -SV</v>
      </c>
      <c r="J220" s="8">
        <f>ROUND(J19*Intv_BA!$L$39+J36*Intv_BA!$L$40+J53*Intv_BA!$L$41+J70*Intv_BA!$L$44+J87*Intv_BA!$L$44+J104*Intv_BA!$L$46+J121*Intv_BA!$L$47+J138*Intv_BA!$L$48+J155*Intv_BA!$L$49+J172*Intv_BA!$L$50,0)</f>
        <v>2956</v>
      </c>
      <c r="K220" s="8">
        <f>ROUND(K19*Intv_BA!$L$39+K36*Intv_BA!$L$40+K53*Intv_BA!$L$41+K70*Intv_BA!$L$44+K87*Intv_BA!$L$44+K104*Intv_BA!$L$46+K121*Intv_BA!$L$47+K138*Intv_BA!$L$48+K155*Intv_BA!$L$49+K172*Intv_BA!$L$50,0)</f>
        <v>2956</v>
      </c>
      <c r="L220" s="8">
        <f>ROUND(L19*Intv_BA!$L$39+L36*Intv_BA!$L$40+L53*Intv_BA!$L$41+L70*Intv_BA!$L$44+L87*Intv_BA!$L$44+L104*Intv_BA!$L$46+L121*Intv_BA!$L$47+L138*Intv_BA!$L$48+L155*Intv_BA!$L$49+L172*Intv_BA!$L$50,0)</f>
        <v>2956</v>
      </c>
      <c r="M220" s="8">
        <f>ROUND(M19*Intv_BA!$L$39+M36*Intv_BA!$L$40+M53*Intv_BA!$L$41+M70*Intv_BA!$L$44+M87*Intv_BA!$L$44+M104*Intv_BA!$L$46+M121*Intv_BA!$L$47+M138*Intv_BA!$L$48+M155*Intv_BA!$L$49+M172*Intv_BA!$L$50,0)</f>
        <v>2956</v>
      </c>
      <c r="N220" s="8">
        <f>ROUND(N19*Intv_BA!$L$39+N36*Intv_BA!$L$40+N53*Intv_BA!$L$41+N70*Intv_BA!$L$44+N87*Intv_BA!$L$44+N104*Intv_BA!$L$46+N121*Intv_BA!$L$47+N138*Intv_BA!$L$48+N155*Intv_BA!$L$49+N172*Intv_BA!$L$50,0)</f>
        <v>2956</v>
      </c>
      <c r="O220" s="8">
        <f>ROUND(O19*Intv_BA!$L$39+O36*Intv_BA!$L$40+O53*Intv_BA!$L$41+O70*Intv_BA!$L$44+O87*Intv_BA!$L$44+O104*Intv_BA!$L$46+O121*Intv_BA!$L$47+O138*Intv_BA!$L$48+O155*Intv_BA!$L$49+O172*Intv_BA!$L$50,0)</f>
        <v>2956</v>
      </c>
    </row>
    <row r="221" spans="3:15" s="327" customFormat="1" outlineLevel="2" x14ac:dyDescent="0.2">
      <c r="D221" s="640" t="str">
        <f>Intv_Ann_TA!D186</f>
        <v>Copperbelt</v>
      </c>
      <c r="H221" s="640" t="str">
        <f>Intv_BA!$G$10</f>
        <v>Cryo -SV</v>
      </c>
      <c r="J221" s="8">
        <f>ROUND(J20*Intv_BA!$L$39+J37*Intv_BA!$L$40+J54*Intv_BA!$L$41+J71*Intv_BA!$L$44+J88*Intv_BA!$L$44+J105*Intv_BA!$L$46+J122*Intv_BA!$L$47+J139*Intv_BA!$L$48+J156*Intv_BA!$L$49+J173*Intv_BA!$L$50,0)</f>
        <v>4434</v>
      </c>
      <c r="K221" s="8">
        <f>ROUND(K20*Intv_BA!$L$39+K37*Intv_BA!$L$40+K54*Intv_BA!$L$41+K71*Intv_BA!$L$44+K88*Intv_BA!$L$44+K105*Intv_BA!$L$46+K122*Intv_BA!$L$47+K139*Intv_BA!$L$48+K156*Intv_BA!$L$49+K173*Intv_BA!$L$50,0)</f>
        <v>4434</v>
      </c>
      <c r="L221" s="8">
        <f>ROUND(L20*Intv_BA!$L$39+L37*Intv_BA!$L$40+L54*Intv_BA!$L$41+L71*Intv_BA!$L$44+L88*Intv_BA!$L$44+L105*Intv_BA!$L$46+L122*Intv_BA!$L$47+L139*Intv_BA!$L$48+L156*Intv_BA!$L$49+L173*Intv_BA!$L$50,0)</f>
        <v>4434</v>
      </c>
      <c r="M221" s="8">
        <f>ROUND(M20*Intv_BA!$L$39+M37*Intv_BA!$L$40+M54*Intv_BA!$L$41+M71*Intv_BA!$L$44+M88*Intv_BA!$L$44+M105*Intv_BA!$L$46+M122*Intv_BA!$L$47+M139*Intv_BA!$L$48+M156*Intv_BA!$L$49+M173*Intv_BA!$L$50,0)</f>
        <v>4434</v>
      </c>
      <c r="N221" s="8">
        <f>ROUND(N20*Intv_BA!$L$39+N37*Intv_BA!$L$40+N54*Intv_BA!$L$41+N71*Intv_BA!$L$44+N88*Intv_BA!$L$44+N105*Intv_BA!$L$46+N122*Intv_BA!$L$47+N139*Intv_BA!$L$48+N156*Intv_BA!$L$49+N173*Intv_BA!$L$50,0)</f>
        <v>4434</v>
      </c>
      <c r="O221" s="8">
        <f>ROUND(O20*Intv_BA!$L$39+O37*Intv_BA!$L$40+O54*Intv_BA!$L$41+O71*Intv_BA!$L$44+O88*Intv_BA!$L$44+O105*Intv_BA!$L$46+O122*Intv_BA!$L$47+O139*Intv_BA!$L$48+O156*Intv_BA!$L$49+O173*Intv_BA!$L$50,0)</f>
        <v>4434</v>
      </c>
    </row>
    <row r="222" spans="3:15" s="327" customFormat="1" outlineLevel="2" x14ac:dyDescent="0.2">
      <c r="D222" s="640" t="str">
        <f>Intv_Ann_TA!D187</f>
        <v>Eastern</v>
      </c>
      <c r="H222" s="640" t="str">
        <f>Intv_BA!$G$10</f>
        <v>Cryo -SV</v>
      </c>
      <c r="J222" s="8">
        <f>ROUND(J21*Intv_BA!$L$39+J38*Intv_BA!$L$40+J55*Intv_BA!$L$41+J72*Intv_BA!$L$44+J89*Intv_BA!$L$44+J106*Intv_BA!$L$46+J123*Intv_BA!$L$47+J140*Intv_BA!$L$48+J157*Intv_BA!$L$49+J174*Intv_BA!$L$50,0)</f>
        <v>5912</v>
      </c>
      <c r="K222" s="8">
        <f>ROUND(K21*Intv_BA!$L$39+K38*Intv_BA!$L$40+K55*Intv_BA!$L$41+K72*Intv_BA!$L$44+K89*Intv_BA!$L$44+K106*Intv_BA!$L$46+K123*Intv_BA!$L$47+K140*Intv_BA!$L$48+K157*Intv_BA!$L$49+K174*Intv_BA!$L$50,0)</f>
        <v>5912</v>
      </c>
      <c r="L222" s="8">
        <f>ROUND(L21*Intv_BA!$L$39+L38*Intv_BA!$L$40+L55*Intv_BA!$L$41+L72*Intv_BA!$L$44+L89*Intv_BA!$L$44+L106*Intv_BA!$L$46+L123*Intv_BA!$L$47+L140*Intv_BA!$L$48+L157*Intv_BA!$L$49+L174*Intv_BA!$L$50,0)</f>
        <v>5912</v>
      </c>
      <c r="M222" s="8">
        <f>ROUND(M21*Intv_BA!$L$39+M38*Intv_BA!$L$40+M55*Intv_BA!$L$41+M72*Intv_BA!$L$44+M89*Intv_BA!$L$44+M106*Intv_BA!$L$46+M123*Intv_BA!$L$47+M140*Intv_BA!$L$48+M157*Intv_BA!$L$49+M174*Intv_BA!$L$50,0)</f>
        <v>5912</v>
      </c>
      <c r="N222" s="8">
        <f>ROUND(N21*Intv_BA!$L$39+N38*Intv_BA!$L$40+N55*Intv_BA!$L$41+N72*Intv_BA!$L$44+N89*Intv_BA!$L$44+N106*Intv_BA!$L$46+N123*Intv_BA!$L$47+N140*Intv_BA!$L$48+N157*Intv_BA!$L$49+N174*Intv_BA!$L$50,0)</f>
        <v>5912</v>
      </c>
      <c r="O222" s="8">
        <f>ROUND(O21*Intv_BA!$L$39+O38*Intv_BA!$L$40+O55*Intv_BA!$L$41+O72*Intv_BA!$L$44+O89*Intv_BA!$L$44+O106*Intv_BA!$L$46+O123*Intv_BA!$L$47+O140*Intv_BA!$L$48+O157*Intv_BA!$L$49+O174*Intv_BA!$L$50,0)</f>
        <v>5912</v>
      </c>
    </row>
    <row r="223" spans="3:15" s="327" customFormat="1" outlineLevel="2" x14ac:dyDescent="0.2">
      <c r="D223" s="640" t="str">
        <f>Intv_Ann_TA!D188</f>
        <v>Luapula</v>
      </c>
      <c r="H223" s="640" t="str">
        <f>Intv_BA!$G$10</f>
        <v>Cryo -SV</v>
      </c>
      <c r="J223" s="8">
        <f>ROUND(J22*Intv_BA!$L$39+J39*Intv_BA!$L$40+J56*Intv_BA!$L$41+J73*Intv_BA!$L$44+J90*Intv_BA!$L$44+J107*Intv_BA!$L$46+J124*Intv_BA!$L$47+J141*Intv_BA!$L$48+J158*Intv_BA!$L$49+J175*Intv_BA!$L$50,0)</f>
        <v>2956</v>
      </c>
      <c r="K223" s="8">
        <f>ROUND(K22*Intv_BA!$L$39+K39*Intv_BA!$L$40+K56*Intv_BA!$L$41+K73*Intv_BA!$L$44+K90*Intv_BA!$L$44+K107*Intv_BA!$L$46+K124*Intv_BA!$L$47+K141*Intv_BA!$L$48+K158*Intv_BA!$L$49+K175*Intv_BA!$L$50,0)</f>
        <v>2956</v>
      </c>
      <c r="L223" s="8">
        <f>ROUND(L22*Intv_BA!$L$39+L39*Intv_BA!$L$40+L56*Intv_BA!$L$41+L73*Intv_BA!$L$44+L90*Intv_BA!$L$44+L107*Intv_BA!$L$46+L124*Intv_BA!$L$47+L141*Intv_BA!$L$48+L158*Intv_BA!$L$49+L175*Intv_BA!$L$50,0)</f>
        <v>2956</v>
      </c>
      <c r="M223" s="8">
        <f>ROUND(M22*Intv_BA!$L$39+M39*Intv_BA!$L$40+M56*Intv_BA!$L$41+M73*Intv_BA!$L$44+M90*Intv_BA!$L$44+M107*Intv_BA!$L$46+M124*Intv_BA!$L$47+M141*Intv_BA!$L$48+M158*Intv_BA!$L$49+M175*Intv_BA!$L$50,0)</f>
        <v>2956</v>
      </c>
      <c r="N223" s="8">
        <f>ROUND(N22*Intv_BA!$L$39+N39*Intv_BA!$L$40+N56*Intv_BA!$L$41+N73*Intv_BA!$L$44+N90*Intv_BA!$L$44+N107*Intv_BA!$L$46+N124*Intv_BA!$L$47+N141*Intv_BA!$L$48+N158*Intv_BA!$L$49+N175*Intv_BA!$L$50,0)</f>
        <v>2956</v>
      </c>
      <c r="O223" s="8">
        <f>ROUND(O22*Intv_BA!$L$39+O39*Intv_BA!$L$40+O56*Intv_BA!$L$41+O73*Intv_BA!$L$44+O90*Intv_BA!$L$44+O107*Intv_BA!$L$46+O124*Intv_BA!$L$47+O141*Intv_BA!$L$48+O158*Intv_BA!$L$49+O175*Intv_BA!$L$50,0)</f>
        <v>2956</v>
      </c>
    </row>
    <row r="224" spans="3:15" s="327" customFormat="1" outlineLevel="2" x14ac:dyDescent="0.2">
      <c r="D224" s="640" t="str">
        <f>Intv_Ann_TA!D189</f>
        <v>Lusaka</v>
      </c>
      <c r="H224" s="640" t="str">
        <f>Intv_BA!$G$10</f>
        <v>Cryo -SV</v>
      </c>
      <c r="J224" s="8">
        <f>ROUND(J23*Intv_BA!$L$39+J40*Intv_BA!$L$40+J57*Intv_BA!$L$41+J74*Intv_BA!$L$44+J91*Intv_BA!$L$44+J108*Intv_BA!$L$46+J125*Intv_BA!$L$47+J142*Intv_BA!$L$48+J159*Intv_BA!$L$49+J176*Intv_BA!$L$50,0)</f>
        <v>17735</v>
      </c>
      <c r="K224" s="8">
        <f>ROUND(K23*Intv_BA!$L$39+K40*Intv_BA!$L$40+K57*Intv_BA!$L$41+K74*Intv_BA!$L$44+K91*Intv_BA!$L$44+K108*Intv_BA!$L$46+K125*Intv_BA!$L$47+K142*Intv_BA!$L$48+K159*Intv_BA!$L$49+K176*Intv_BA!$L$50,0)</f>
        <v>17735</v>
      </c>
      <c r="L224" s="8">
        <f>ROUND(L23*Intv_BA!$L$39+L40*Intv_BA!$L$40+L57*Intv_BA!$L$41+L74*Intv_BA!$L$44+L91*Intv_BA!$L$44+L108*Intv_BA!$L$46+L125*Intv_BA!$L$47+L142*Intv_BA!$L$48+L159*Intv_BA!$L$49+L176*Intv_BA!$L$50,0)</f>
        <v>17735</v>
      </c>
      <c r="M224" s="8">
        <f>ROUND(M23*Intv_BA!$L$39+M40*Intv_BA!$L$40+M57*Intv_BA!$L$41+M74*Intv_BA!$L$44+M91*Intv_BA!$L$44+M108*Intv_BA!$L$46+M125*Intv_BA!$L$47+M142*Intv_BA!$L$48+M159*Intv_BA!$L$49+M176*Intv_BA!$L$50,0)</f>
        <v>17735</v>
      </c>
      <c r="N224" s="8">
        <f>ROUND(N23*Intv_BA!$L$39+N40*Intv_BA!$L$40+N57*Intv_BA!$L$41+N74*Intv_BA!$L$44+N91*Intv_BA!$L$44+N108*Intv_BA!$L$46+N125*Intv_BA!$L$47+N142*Intv_BA!$L$48+N159*Intv_BA!$L$49+N176*Intv_BA!$L$50,0)</f>
        <v>17735</v>
      </c>
      <c r="O224" s="8">
        <f>ROUND(O23*Intv_BA!$L$39+O40*Intv_BA!$L$40+O57*Intv_BA!$L$41+O74*Intv_BA!$L$44+O91*Intv_BA!$L$44+O108*Intv_BA!$L$46+O125*Intv_BA!$L$47+O142*Intv_BA!$L$48+O159*Intv_BA!$L$49+O176*Intv_BA!$L$50,0)</f>
        <v>17735</v>
      </c>
    </row>
    <row r="225" spans="4:15" s="327" customFormat="1" outlineLevel="2" x14ac:dyDescent="0.2">
      <c r="D225" s="640" t="str">
        <f>Intv_Ann_TA!D190</f>
        <v>Muchinga</v>
      </c>
      <c r="H225" s="640" t="str">
        <f>Intv_BA!$G$10</f>
        <v>Cryo -SV</v>
      </c>
      <c r="J225" s="8">
        <f>ROUND(J24*Intv_BA!$L$39+J41*Intv_BA!$L$40+J58*Intv_BA!$L$41+J75*Intv_BA!$L$44+J92*Intv_BA!$L$44+J109*Intv_BA!$L$46+J126*Intv_BA!$L$47+J143*Intv_BA!$L$48+J160*Intv_BA!$L$49+J177*Intv_BA!$L$50,0)</f>
        <v>0</v>
      </c>
      <c r="K225" s="8">
        <f>ROUND(K24*Intv_BA!$L$39+K41*Intv_BA!$L$40+K58*Intv_BA!$L$41+K75*Intv_BA!$L$44+K92*Intv_BA!$L$44+K109*Intv_BA!$L$46+K126*Intv_BA!$L$47+K143*Intv_BA!$L$48+K160*Intv_BA!$L$49+K177*Intv_BA!$L$50,0)</f>
        <v>0</v>
      </c>
      <c r="L225" s="8">
        <f>ROUND(L24*Intv_BA!$L$39+L41*Intv_BA!$L$40+L58*Intv_BA!$L$41+L75*Intv_BA!$L$44+L92*Intv_BA!$L$44+L109*Intv_BA!$L$46+L126*Intv_BA!$L$47+L143*Intv_BA!$L$48+L160*Intv_BA!$L$49+L177*Intv_BA!$L$50,0)</f>
        <v>0</v>
      </c>
      <c r="M225" s="8">
        <f>ROUND(M24*Intv_BA!$L$39+M41*Intv_BA!$L$40+M58*Intv_BA!$L$41+M75*Intv_BA!$L$44+M92*Intv_BA!$L$44+M109*Intv_BA!$L$46+M126*Intv_BA!$L$47+M143*Intv_BA!$L$48+M160*Intv_BA!$L$49+M177*Intv_BA!$L$50,0)</f>
        <v>0</v>
      </c>
      <c r="N225" s="8">
        <f>ROUND(N24*Intv_BA!$L$39+N41*Intv_BA!$L$40+N58*Intv_BA!$L$41+N75*Intv_BA!$L$44+N92*Intv_BA!$L$44+N109*Intv_BA!$L$46+N126*Intv_BA!$L$47+N143*Intv_BA!$L$48+N160*Intv_BA!$L$49+N177*Intv_BA!$L$50,0)</f>
        <v>0</v>
      </c>
      <c r="O225" s="8">
        <f>ROUND(O24*Intv_BA!$L$39+O41*Intv_BA!$L$40+O58*Intv_BA!$L$41+O75*Intv_BA!$L$44+O92*Intv_BA!$L$44+O109*Intv_BA!$L$46+O126*Intv_BA!$L$47+O143*Intv_BA!$L$48+O160*Intv_BA!$L$49+O177*Intv_BA!$L$50,0)</f>
        <v>0</v>
      </c>
    </row>
    <row r="226" spans="4:15" s="327" customFormat="1" outlineLevel="2" x14ac:dyDescent="0.2">
      <c r="D226" s="640" t="str">
        <f>Intv_Ann_TA!D191</f>
        <v>Northern</v>
      </c>
      <c r="H226" s="640" t="str">
        <f>Intv_BA!$G$10</f>
        <v>Cryo -SV</v>
      </c>
      <c r="J226" s="8">
        <f>ROUND(J25*Intv_BA!$L$39+J42*Intv_BA!$L$40+J59*Intv_BA!$L$41+J76*Intv_BA!$L$44+J93*Intv_BA!$L$44+J110*Intv_BA!$L$46+J127*Intv_BA!$L$47+J144*Intv_BA!$L$48+J161*Intv_BA!$L$49+J178*Intv_BA!$L$50,0)</f>
        <v>1478</v>
      </c>
      <c r="K226" s="8">
        <f>ROUND(K25*Intv_BA!$L$39+K42*Intv_BA!$L$40+K59*Intv_BA!$L$41+K76*Intv_BA!$L$44+K93*Intv_BA!$L$44+K110*Intv_BA!$L$46+K127*Intv_BA!$L$47+K144*Intv_BA!$L$48+K161*Intv_BA!$L$49+K178*Intv_BA!$L$50,0)</f>
        <v>1478</v>
      </c>
      <c r="L226" s="8">
        <f>ROUND(L25*Intv_BA!$L$39+L42*Intv_BA!$L$40+L59*Intv_BA!$L$41+L76*Intv_BA!$L$44+L93*Intv_BA!$L$44+L110*Intv_BA!$L$46+L127*Intv_BA!$L$47+L144*Intv_BA!$L$48+L161*Intv_BA!$L$49+L178*Intv_BA!$L$50,0)</f>
        <v>1478</v>
      </c>
      <c r="M226" s="8">
        <f>ROUND(M25*Intv_BA!$L$39+M42*Intv_BA!$L$40+M59*Intv_BA!$L$41+M76*Intv_BA!$L$44+M93*Intv_BA!$L$44+M110*Intv_BA!$L$46+M127*Intv_BA!$L$47+M144*Intv_BA!$L$48+M161*Intv_BA!$L$49+M178*Intv_BA!$L$50,0)</f>
        <v>1478</v>
      </c>
      <c r="N226" s="8">
        <f>ROUND(N25*Intv_BA!$L$39+N42*Intv_BA!$L$40+N59*Intv_BA!$L$41+N76*Intv_BA!$L$44+N93*Intv_BA!$L$44+N110*Intv_BA!$L$46+N127*Intv_BA!$L$47+N144*Intv_BA!$L$48+N161*Intv_BA!$L$49+N178*Intv_BA!$L$50,0)</f>
        <v>1478</v>
      </c>
      <c r="O226" s="8">
        <f>ROUND(O25*Intv_BA!$L$39+O42*Intv_BA!$L$40+O59*Intv_BA!$L$41+O76*Intv_BA!$L$44+O93*Intv_BA!$L$44+O110*Intv_BA!$L$46+O127*Intv_BA!$L$47+O144*Intv_BA!$L$48+O161*Intv_BA!$L$49+O178*Intv_BA!$L$50,0)</f>
        <v>1478</v>
      </c>
    </row>
    <row r="227" spans="4:15" s="327" customFormat="1" outlineLevel="2" x14ac:dyDescent="0.2">
      <c r="D227" s="640" t="str">
        <f>Intv_Ann_TA!D192</f>
        <v>North-Western</v>
      </c>
      <c r="H227" s="640" t="str">
        <f>Intv_BA!$G$10</f>
        <v>Cryo -SV</v>
      </c>
      <c r="J227" s="8">
        <f>ROUND(J26*Intv_BA!$L$39+J43*Intv_BA!$L$40+J60*Intv_BA!$L$41+J77*Intv_BA!$L$44+J94*Intv_BA!$L$44+J111*Intv_BA!$L$46+J128*Intv_BA!$L$47+J145*Intv_BA!$L$48+J162*Intv_BA!$L$49+J179*Intv_BA!$L$50,0)</f>
        <v>1478</v>
      </c>
      <c r="K227" s="8">
        <f>ROUND(K26*Intv_BA!$L$39+K43*Intv_BA!$L$40+K60*Intv_BA!$L$41+K77*Intv_BA!$L$44+K94*Intv_BA!$L$44+K111*Intv_BA!$L$46+K128*Intv_BA!$L$47+K145*Intv_BA!$L$48+K162*Intv_BA!$L$49+K179*Intv_BA!$L$50,0)</f>
        <v>1478</v>
      </c>
      <c r="L227" s="8">
        <f>ROUND(L26*Intv_BA!$L$39+L43*Intv_BA!$L$40+L60*Intv_BA!$L$41+L77*Intv_BA!$L$44+L94*Intv_BA!$L$44+L111*Intv_BA!$L$46+L128*Intv_BA!$L$47+L145*Intv_BA!$L$48+L162*Intv_BA!$L$49+L179*Intv_BA!$L$50,0)</f>
        <v>1478</v>
      </c>
      <c r="M227" s="8">
        <f>ROUND(M26*Intv_BA!$L$39+M43*Intv_BA!$L$40+M60*Intv_BA!$L$41+M77*Intv_BA!$L$44+M94*Intv_BA!$L$44+M111*Intv_BA!$L$46+M128*Intv_BA!$L$47+M145*Intv_BA!$L$48+M162*Intv_BA!$L$49+M179*Intv_BA!$L$50,0)</f>
        <v>1478</v>
      </c>
      <c r="N227" s="8">
        <f>ROUND(N26*Intv_BA!$L$39+N43*Intv_BA!$L$40+N60*Intv_BA!$L$41+N77*Intv_BA!$L$44+N94*Intv_BA!$L$44+N111*Intv_BA!$L$46+N128*Intv_BA!$L$47+N145*Intv_BA!$L$48+N162*Intv_BA!$L$49+N179*Intv_BA!$L$50,0)</f>
        <v>1478</v>
      </c>
      <c r="O227" s="8">
        <f>ROUND(O26*Intv_BA!$L$39+O43*Intv_BA!$L$40+O60*Intv_BA!$L$41+O77*Intv_BA!$L$44+O94*Intv_BA!$L$44+O111*Intv_BA!$L$46+O128*Intv_BA!$L$47+O145*Intv_BA!$L$48+O162*Intv_BA!$L$49+O179*Intv_BA!$L$50,0)</f>
        <v>1478</v>
      </c>
    </row>
    <row r="228" spans="4:15" s="327" customFormat="1" outlineLevel="2" x14ac:dyDescent="0.2">
      <c r="D228" s="640" t="str">
        <f>Intv_Ann_TA!D193</f>
        <v>Southern</v>
      </c>
      <c r="H228" s="640" t="str">
        <f>Intv_BA!$G$10</f>
        <v>Cryo -SV</v>
      </c>
      <c r="J228" s="8">
        <f>ROUND(J27*Intv_BA!$L$39+J44*Intv_BA!$L$40+J61*Intv_BA!$L$41+J78*Intv_BA!$L$44+J95*Intv_BA!$L$44+J112*Intv_BA!$L$46+J129*Intv_BA!$L$47+J146*Intv_BA!$L$48+J163*Intv_BA!$L$49+J180*Intv_BA!$L$50,0)</f>
        <v>4434</v>
      </c>
      <c r="K228" s="8">
        <f>ROUND(K27*Intv_BA!$L$39+K44*Intv_BA!$L$40+K61*Intv_BA!$L$41+K78*Intv_BA!$L$44+K95*Intv_BA!$L$44+K112*Intv_BA!$L$46+K129*Intv_BA!$L$47+K146*Intv_BA!$L$48+K163*Intv_BA!$L$49+K180*Intv_BA!$L$50,0)</f>
        <v>4434</v>
      </c>
      <c r="L228" s="8">
        <f>ROUND(L27*Intv_BA!$L$39+L44*Intv_BA!$L$40+L61*Intv_BA!$L$41+L78*Intv_BA!$L$44+L95*Intv_BA!$L$44+L112*Intv_BA!$L$46+L129*Intv_BA!$L$47+L146*Intv_BA!$L$48+L163*Intv_BA!$L$49+L180*Intv_BA!$L$50,0)</f>
        <v>4434</v>
      </c>
      <c r="M228" s="8">
        <f>ROUND(M27*Intv_BA!$L$39+M44*Intv_BA!$L$40+M61*Intv_BA!$L$41+M78*Intv_BA!$L$44+M95*Intv_BA!$L$44+M112*Intv_BA!$L$46+M129*Intv_BA!$L$47+M146*Intv_BA!$L$48+M163*Intv_BA!$L$49+M180*Intv_BA!$L$50,0)</f>
        <v>4434</v>
      </c>
      <c r="N228" s="8">
        <f>ROUND(N27*Intv_BA!$L$39+N44*Intv_BA!$L$40+N61*Intv_BA!$L$41+N78*Intv_BA!$L$44+N95*Intv_BA!$L$44+N112*Intv_BA!$L$46+N129*Intv_BA!$L$47+N146*Intv_BA!$L$48+N163*Intv_BA!$L$49+N180*Intv_BA!$L$50,0)</f>
        <v>4434</v>
      </c>
      <c r="O228" s="8">
        <f>ROUND(O27*Intv_BA!$L$39+O44*Intv_BA!$L$40+O61*Intv_BA!$L$41+O78*Intv_BA!$L$44+O95*Intv_BA!$L$44+O112*Intv_BA!$L$46+O129*Intv_BA!$L$47+O146*Intv_BA!$L$48+O163*Intv_BA!$L$49+O180*Intv_BA!$L$50,0)</f>
        <v>4434</v>
      </c>
    </row>
    <row r="229" spans="4:15" s="327" customFormat="1" outlineLevel="2" x14ac:dyDescent="0.2">
      <c r="D229" s="640" t="str">
        <f>Intv_Ann_TA!D194</f>
        <v>Western</v>
      </c>
      <c r="H229" s="640" t="str">
        <f>Intv_BA!$G$10</f>
        <v>Cryo -SV</v>
      </c>
      <c r="J229" s="9">
        <f>ROUND(J28*Intv_BA!$L$39+J45*Intv_BA!$L$40+J62*Intv_BA!$L$41+J79*Intv_BA!$L$44+J96*Intv_BA!$L$44+J113*Intv_BA!$L$46+J130*Intv_BA!$L$47+J147*Intv_BA!$L$48+J164*Intv_BA!$L$49+J181*Intv_BA!$L$50,0)</f>
        <v>4434</v>
      </c>
      <c r="K229" s="9">
        <f>ROUND(K28*Intv_BA!$L$39+K45*Intv_BA!$L$40+K62*Intv_BA!$L$41+K79*Intv_BA!$L$44+K96*Intv_BA!$L$44+K113*Intv_BA!$L$46+K130*Intv_BA!$L$47+K147*Intv_BA!$L$48+K164*Intv_BA!$L$49+K181*Intv_BA!$L$50,0)</f>
        <v>4434</v>
      </c>
      <c r="L229" s="9">
        <f>ROUND(L28*Intv_BA!$L$39+L45*Intv_BA!$L$40+L62*Intv_BA!$L$41+L79*Intv_BA!$L$44+L96*Intv_BA!$L$44+L113*Intv_BA!$L$46+L130*Intv_BA!$L$47+L147*Intv_BA!$L$48+L164*Intv_BA!$L$49+L181*Intv_BA!$L$50,0)</f>
        <v>4434</v>
      </c>
      <c r="M229" s="9">
        <f>ROUND(M28*Intv_BA!$L$39+M45*Intv_BA!$L$40+M62*Intv_BA!$L$41+M79*Intv_BA!$L$44+M96*Intv_BA!$L$44+M113*Intv_BA!$L$46+M130*Intv_BA!$L$47+M147*Intv_BA!$L$48+M164*Intv_BA!$L$49+M181*Intv_BA!$L$50,0)</f>
        <v>4434</v>
      </c>
      <c r="N229" s="9">
        <f>ROUND(N28*Intv_BA!$L$39+N45*Intv_BA!$L$40+N62*Intv_BA!$L$41+N79*Intv_BA!$L$44+N96*Intv_BA!$L$44+N113*Intv_BA!$L$46+N130*Intv_BA!$L$47+N147*Intv_BA!$L$48+N164*Intv_BA!$L$49+N181*Intv_BA!$L$50,0)</f>
        <v>4434</v>
      </c>
      <c r="O229" s="9">
        <f>ROUND(O28*Intv_BA!$L$39+O45*Intv_BA!$L$40+O62*Intv_BA!$L$41+O79*Intv_BA!$L$44+O96*Intv_BA!$L$44+O113*Intv_BA!$L$46+O130*Intv_BA!$L$47+O147*Intv_BA!$L$48+O164*Intv_BA!$L$49+O181*Intv_BA!$L$50,0)</f>
        <v>4434</v>
      </c>
    </row>
    <row r="230" spans="4:15" s="327" customFormat="1" x14ac:dyDescent="0.2">
      <c r="D230" s="639" t="str">
        <f>"Total "&amp;D219</f>
        <v>Total Maximum Procedures</v>
      </c>
      <c r="H230" s="640" t="str">
        <f>Intv_BA!$G$10</f>
        <v>Cryo -SV</v>
      </c>
      <c r="J230" s="5">
        <f t="shared" ref="J230:O230" si="19">SUM(J220:J229)</f>
        <v>45817</v>
      </c>
      <c r="K230" s="5">
        <f t="shared" si="19"/>
        <v>45817</v>
      </c>
      <c r="L230" s="5">
        <f t="shared" si="19"/>
        <v>45817</v>
      </c>
      <c r="M230" s="5">
        <f t="shared" si="19"/>
        <v>45817</v>
      </c>
      <c r="N230" s="5">
        <f t="shared" si="19"/>
        <v>45817</v>
      </c>
      <c r="O230" s="5">
        <f t="shared" si="19"/>
        <v>45817</v>
      </c>
    </row>
    <row r="231" spans="4:15" s="327" customFormat="1" x14ac:dyDescent="0.2"/>
    <row r="232" spans="4:15" s="327" customFormat="1" outlineLevel="2" x14ac:dyDescent="0.2"/>
    <row r="233" spans="4:15" s="327" customFormat="1" ht="15" outlineLevel="2" x14ac:dyDescent="0.2">
      <c r="D233" s="638" t="s">
        <v>383</v>
      </c>
    </row>
    <row r="234" spans="4:15" s="327" customFormat="1" outlineLevel="2" x14ac:dyDescent="0.2">
      <c r="D234" s="640" t="str">
        <f>Intv_Ann_TA!D185</f>
        <v>Central</v>
      </c>
      <c r="H234" s="640" t="str">
        <f>Intv_BA!$G$10</f>
        <v>Cryo -SV</v>
      </c>
      <c r="J234" s="8">
        <f ca="1">ROUND(Intv_Ann_TA!J185*Intv_BA!$J$12*(1-Intv_BA!$J$13),0)</f>
        <v>583</v>
      </c>
      <c r="K234" s="8">
        <f ca="1">ROUND(Intv_Ann_TA!K185*Intv_BA!$J$12*(1-Intv_BA!$J$13),0)</f>
        <v>583</v>
      </c>
      <c r="L234" s="8">
        <f ca="1">ROUND(Intv_Ann_TA!L185*Intv_BA!$J$12*(1-Intv_BA!$J$13),0)</f>
        <v>583</v>
      </c>
      <c r="M234" s="8">
        <f ca="1">ROUND(Intv_Ann_TA!M185*Intv_BA!$J$12*(1-Intv_BA!$J$13),0)</f>
        <v>583</v>
      </c>
      <c r="N234" s="8">
        <f ca="1">ROUND(Intv_Ann_TA!N185*Intv_BA!$J$12*(1-Intv_BA!$J$13),0)</f>
        <v>583</v>
      </c>
      <c r="O234" s="8">
        <f ca="1">ROUND(Intv_Ann_TA!O185*Intv_BA!$J$12*(1-Intv_BA!$J$13),0)</f>
        <v>583</v>
      </c>
    </row>
    <row r="235" spans="4:15" s="327" customFormat="1" outlineLevel="2" x14ac:dyDescent="0.2">
      <c r="D235" s="640" t="str">
        <f>Intv_Ann_TA!D186</f>
        <v>Copperbelt</v>
      </c>
      <c r="H235" s="640" t="str">
        <f>Intv_BA!$G$10</f>
        <v>Cryo -SV</v>
      </c>
      <c r="J235" s="8">
        <f ca="1">ROUND(Intv_Ann_TA!J186*Intv_BA!$J$12*(1-Intv_BA!$J$13),0)</f>
        <v>818</v>
      </c>
      <c r="K235" s="8">
        <f ca="1">ROUND(Intv_Ann_TA!K186*Intv_BA!$J$12*(1-Intv_BA!$J$13),0)</f>
        <v>818</v>
      </c>
      <c r="L235" s="8">
        <f ca="1">ROUND(Intv_Ann_TA!L186*Intv_BA!$J$12*(1-Intv_BA!$J$13),0)</f>
        <v>818</v>
      </c>
      <c r="M235" s="8">
        <f ca="1">ROUND(Intv_Ann_TA!M186*Intv_BA!$J$12*(1-Intv_BA!$J$13),0)</f>
        <v>818</v>
      </c>
      <c r="N235" s="8">
        <f ca="1">ROUND(Intv_Ann_TA!N186*Intv_BA!$J$12*(1-Intv_BA!$J$13),0)</f>
        <v>818</v>
      </c>
      <c r="O235" s="8">
        <f ca="1">ROUND(Intv_Ann_TA!O186*Intv_BA!$J$12*(1-Intv_BA!$J$13),0)</f>
        <v>818</v>
      </c>
    </row>
    <row r="236" spans="4:15" s="327" customFormat="1" outlineLevel="2" x14ac:dyDescent="0.2">
      <c r="D236" s="640" t="str">
        <f>Intv_Ann_TA!D187</f>
        <v>Eastern</v>
      </c>
      <c r="H236" s="640" t="str">
        <f>Intv_BA!$G$10</f>
        <v>Cryo -SV</v>
      </c>
      <c r="J236" s="8">
        <f ca="1">ROUND(Intv_Ann_TA!J187*Intv_BA!$J$12*(1-Intv_BA!$J$13),0)</f>
        <v>1054</v>
      </c>
      <c r="K236" s="8">
        <f ca="1">ROUND(Intv_Ann_TA!K187*Intv_BA!$J$12*(1-Intv_BA!$J$13),0)</f>
        <v>1054</v>
      </c>
      <c r="L236" s="8">
        <f ca="1">ROUND(Intv_Ann_TA!L187*Intv_BA!$J$12*(1-Intv_BA!$J$13),0)</f>
        <v>1054</v>
      </c>
      <c r="M236" s="8">
        <f ca="1">ROUND(Intv_Ann_TA!M187*Intv_BA!$J$12*(1-Intv_BA!$J$13),0)</f>
        <v>1054</v>
      </c>
      <c r="N236" s="8">
        <f ca="1">ROUND(Intv_Ann_TA!N187*Intv_BA!$J$12*(1-Intv_BA!$J$13),0)</f>
        <v>1054</v>
      </c>
      <c r="O236" s="8">
        <f ca="1">ROUND(Intv_Ann_TA!O187*Intv_BA!$J$12*(1-Intv_BA!$J$13),0)</f>
        <v>1054</v>
      </c>
    </row>
    <row r="237" spans="4:15" s="327" customFormat="1" outlineLevel="2" x14ac:dyDescent="0.2">
      <c r="D237" s="640" t="str">
        <f>Intv_Ann_TA!D188</f>
        <v>Luapula</v>
      </c>
      <c r="H237" s="640" t="str">
        <f>Intv_BA!$G$10</f>
        <v>Cryo -SV</v>
      </c>
      <c r="J237" s="8">
        <f ca="1">ROUND(Intv_Ann_TA!J188*Intv_BA!$J$12*(1-Intv_BA!$J$13),0)</f>
        <v>818</v>
      </c>
      <c r="K237" s="8">
        <f ca="1">ROUND(Intv_Ann_TA!K188*Intv_BA!$J$12*(1-Intv_BA!$J$13),0)</f>
        <v>818</v>
      </c>
      <c r="L237" s="8">
        <f ca="1">ROUND(Intv_Ann_TA!L188*Intv_BA!$J$12*(1-Intv_BA!$J$13),0)</f>
        <v>818</v>
      </c>
      <c r="M237" s="8">
        <f ca="1">ROUND(Intv_Ann_TA!M188*Intv_BA!$J$12*(1-Intv_BA!$J$13),0)</f>
        <v>818</v>
      </c>
      <c r="N237" s="8">
        <f ca="1">ROUND(Intv_Ann_TA!N188*Intv_BA!$J$12*(1-Intv_BA!$J$13),0)</f>
        <v>818</v>
      </c>
      <c r="O237" s="8">
        <f ca="1">ROUND(Intv_Ann_TA!O188*Intv_BA!$J$12*(1-Intv_BA!$J$13),0)</f>
        <v>818</v>
      </c>
    </row>
    <row r="238" spans="4:15" s="327" customFormat="1" outlineLevel="2" x14ac:dyDescent="0.2">
      <c r="D238" s="640" t="str">
        <f>Intv_Ann_TA!D189</f>
        <v>Lusaka</v>
      </c>
      <c r="H238" s="640" t="str">
        <f>Intv_BA!$G$10</f>
        <v>Cryo -SV</v>
      </c>
      <c r="J238" s="8">
        <f ca="1">ROUND(Intv_Ann_TA!J189*Intv_BA!$J$12*(1-Intv_BA!$J$13),0)</f>
        <v>2939</v>
      </c>
      <c r="K238" s="8">
        <f ca="1">ROUND(Intv_Ann_TA!K189*Intv_BA!$J$12*(1-Intv_BA!$J$13),0)</f>
        <v>2939</v>
      </c>
      <c r="L238" s="8">
        <f ca="1">ROUND(Intv_Ann_TA!L189*Intv_BA!$J$12*(1-Intv_BA!$J$13),0)</f>
        <v>2939</v>
      </c>
      <c r="M238" s="8">
        <f ca="1">ROUND(Intv_Ann_TA!M189*Intv_BA!$J$12*(1-Intv_BA!$J$13),0)</f>
        <v>2939</v>
      </c>
      <c r="N238" s="8">
        <f ca="1">ROUND(Intv_Ann_TA!N189*Intv_BA!$J$12*(1-Intv_BA!$J$13),0)</f>
        <v>2939</v>
      </c>
      <c r="O238" s="8">
        <f ca="1">ROUND(Intv_Ann_TA!O189*Intv_BA!$J$12*(1-Intv_BA!$J$13),0)</f>
        <v>2939</v>
      </c>
    </row>
    <row r="239" spans="4:15" s="327" customFormat="1" outlineLevel="2" x14ac:dyDescent="0.2">
      <c r="D239" s="640" t="str">
        <f>Intv_Ann_TA!D190</f>
        <v>Muchinga</v>
      </c>
      <c r="H239" s="640" t="str">
        <f>Intv_BA!$G$10</f>
        <v>Cryo -SV</v>
      </c>
      <c r="J239" s="8">
        <f ca="1">ROUND(Intv_Ann_TA!J190*Intv_BA!$J$12*(1-Intv_BA!$J$13),0)</f>
        <v>56</v>
      </c>
      <c r="K239" s="8">
        <f ca="1">ROUND(Intv_Ann_TA!K190*Intv_BA!$J$12*(1-Intv_BA!$J$13),0)</f>
        <v>56</v>
      </c>
      <c r="L239" s="8">
        <f ca="1">ROUND(Intv_Ann_TA!L190*Intv_BA!$J$12*(1-Intv_BA!$J$13),0)</f>
        <v>56</v>
      </c>
      <c r="M239" s="8">
        <f ca="1">ROUND(Intv_Ann_TA!M190*Intv_BA!$J$12*(1-Intv_BA!$J$13),0)</f>
        <v>56</v>
      </c>
      <c r="N239" s="8">
        <f ca="1">ROUND(Intv_Ann_TA!N190*Intv_BA!$J$12*(1-Intv_BA!$J$13),0)</f>
        <v>56</v>
      </c>
      <c r="O239" s="8">
        <f ca="1">ROUND(Intv_Ann_TA!O190*Intv_BA!$J$12*(1-Intv_BA!$J$13),0)</f>
        <v>56</v>
      </c>
    </row>
    <row r="240" spans="4:15" s="327" customFormat="1" outlineLevel="2" x14ac:dyDescent="0.2">
      <c r="D240" s="640" t="str">
        <f>Intv_Ann_TA!D191</f>
        <v>Northern</v>
      </c>
      <c r="H240" s="640" t="str">
        <f>Intv_BA!$G$10</f>
        <v>Cryo -SV</v>
      </c>
      <c r="J240" s="8">
        <f ca="1">ROUND(Intv_Ann_TA!J191*Intv_BA!$J$12*(1-Intv_BA!$J$13),0)</f>
        <v>291</v>
      </c>
      <c r="K240" s="8">
        <f ca="1">ROUND(Intv_Ann_TA!K191*Intv_BA!$J$12*(1-Intv_BA!$J$13),0)</f>
        <v>291</v>
      </c>
      <c r="L240" s="8">
        <f ca="1">ROUND(Intv_Ann_TA!L191*Intv_BA!$J$12*(1-Intv_BA!$J$13),0)</f>
        <v>291</v>
      </c>
      <c r="M240" s="8">
        <f ca="1">ROUND(Intv_Ann_TA!M191*Intv_BA!$J$12*(1-Intv_BA!$J$13),0)</f>
        <v>291</v>
      </c>
      <c r="N240" s="8">
        <f ca="1">ROUND(Intv_Ann_TA!N191*Intv_BA!$J$12*(1-Intv_BA!$J$13),0)</f>
        <v>291</v>
      </c>
      <c r="O240" s="8">
        <f ca="1">ROUND(Intv_Ann_TA!O191*Intv_BA!$J$12*(1-Intv_BA!$J$13),0)</f>
        <v>291</v>
      </c>
    </row>
    <row r="241" spans="4:15" s="327" customFormat="1" outlineLevel="2" x14ac:dyDescent="0.2">
      <c r="D241" s="640" t="str">
        <f>Intv_Ann_TA!D192</f>
        <v>North-Western</v>
      </c>
      <c r="H241" s="640" t="str">
        <f>Intv_BA!$G$10</f>
        <v>Cryo -SV</v>
      </c>
      <c r="J241" s="8">
        <f ca="1">ROUND(Intv_Ann_TA!J192*Intv_BA!$J$12*(1-Intv_BA!$J$13),0)</f>
        <v>347</v>
      </c>
      <c r="K241" s="8">
        <f ca="1">ROUND(Intv_Ann_TA!K192*Intv_BA!$J$12*(1-Intv_BA!$J$13),0)</f>
        <v>347</v>
      </c>
      <c r="L241" s="8">
        <f ca="1">ROUND(Intv_Ann_TA!L192*Intv_BA!$J$12*(1-Intv_BA!$J$13),0)</f>
        <v>347</v>
      </c>
      <c r="M241" s="8">
        <f ca="1">ROUND(Intv_Ann_TA!M192*Intv_BA!$J$12*(1-Intv_BA!$J$13),0)</f>
        <v>347</v>
      </c>
      <c r="N241" s="8">
        <f ca="1">ROUND(Intv_Ann_TA!N192*Intv_BA!$J$12*(1-Intv_BA!$J$13),0)</f>
        <v>347</v>
      </c>
      <c r="O241" s="8">
        <f ca="1">ROUND(Intv_Ann_TA!O192*Intv_BA!$J$12*(1-Intv_BA!$J$13),0)</f>
        <v>347</v>
      </c>
    </row>
    <row r="242" spans="4:15" s="327" customFormat="1" outlineLevel="2" x14ac:dyDescent="0.2">
      <c r="D242" s="640" t="str">
        <f>Intv_Ann_TA!D193</f>
        <v>Southern</v>
      </c>
      <c r="H242" s="640" t="str">
        <f>Intv_BA!$G$10</f>
        <v>Cryo -SV</v>
      </c>
      <c r="J242" s="8">
        <f ca="1">ROUND(Intv_Ann_TA!J193*Intv_BA!$J$12*(1-Intv_BA!$J$13),0)</f>
        <v>818</v>
      </c>
      <c r="K242" s="8">
        <f ca="1">ROUND(Intv_Ann_TA!K193*Intv_BA!$J$12*(1-Intv_BA!$J$13),0)</f>
        <v>818</v>
      </c>
      <c r="L242" s="8">
        <f ca="1">ROUND(Intv_Ann_TA!L193*Intv_BA!$J$12*(1-Intv_BA!$J$13),0)</f>
        <v>818</v>
      </c>
      <c r="M242" s="8">
        <f ca="1">ROUND(Intv_Ann_TA!M193*Intv_BA!$J$12*(1-Intv_BA!$J$13),0)</f>
        <v>818</v>
      </c>
      <c r="N242" s="8">
        <f ca="1">ROUND(Intv_Ann_TA!N193*Intv_BA!$J$12*(1-Intv_BA!$J$13),0)</f>
        <v>818</v>
      </c>
      <c r="O242" s="8">
        <f ca="1">ROUND(Intv_Ann_TA!O193*Intv_BA!$J$12*(1-Intv_BA!$J$13),0)</f>
        <v>818</v>
      </c>
    </row>
    <row r="243" spans="4:15" s="327" customFormat="1" outlineLevel="2" x14ac:dyDescent="0.2">
      <c r="D243" s="640" t="str">
        <f>Intv_Ann_TA!D194</f>
        <v>Western</v>
      </c>
      <c r="H243" s="640" t="str">
        <f>Intv_BA!$G$10</f>
        <v>Cryo -SV</v>
      </c>
      <c r="J243" s="9">
        <f ca="1">ROUND(Intv_Ann_TA!J194*Intv_BA!$J$12*(1-Intv_BA!$J$13),0)</f>
        <v>818</v>
      </c>
      <c r="K243" s="9">
        <f ca="1">ROUND(Intv_Ann_TA!K194*Intv_BA!$J$12*(1-Intv_BA!$J$13),0)</f>
        <v>818</v>
      </c>
      <c r="L243" s="9">
        <f ca="1">ROUND(Intv_Ann_TA!L194*Intv_BA!$J$12*(1-Intv_BA!$J$13),0)</f>
        <v>818</v>
      </c>
      <c r="M243" s="9">
        <f ca="1">ROUND(Intv_Ann_TA!M194*Intv_BA!$J$12*(1-Intv_BA!$J$13),0)</f>
        <v>818</v>
      </c>
      <c r="N243" s="9">
        <f ca="1">ROUND(Intv_Ann_TA!N194*Intv_BA!$J$12*(1-Intv_BA!$J$13),0)</f>
        <v>818</v>
      </c>
      <c r="O243" s="9">
        <f ca="1">ROUND(Intv_Ann_TA!O194*Intv_BA!$J$12*(1-Intv_BA!$J$13),0)</f>
        <v>818</v>
      </c>
    </row>
    <row r="244" spans="4:15" s="327" customFormat="1" outlineLevel="2" x14ac:dyDescent="0.2">
      <c r="D244" s="639" t="str">
        <f>"Total "&amp;D233</f>
        <v>Total Population Seeking Service (New)</v>
      </c>
      <c r="H244" s="640" t="str">
        <f>Intv_BA!$G$10</f>
        <v>Cryo -SV</v>
      </c>
      <c r="J244" s="5">
        <f t="shared" ref="J244:O244" ca="1" si="20">SUM(J234:J243)</f>
        <v>8542</v>
      </c>
      <c r="K244" s="5">
        <f t="shared" ca="1" si="20"/>
        <v>8542</v>
      </c>
      <c r="L244" s="5">
        <f t="shared" ca="1" si="20"/>
        <v>8542</v>
      </c>
      <c r="M244" s="5">
        <f t="shared" ca="1" si="20"/>
        <v>8542</v>
      </c>
      <c r="N244" s="5">
        <f t="shared" ca="1" si="20"/>
        <v>8542</v>
      </c>
      <c r="O244" s="5">
        <f t="shared" ca="1" si="20"/>
        <v>8542</v>
      </c>
    </row>
    <row r="245" spans="4:15" s="327" customFormat="1" outlineLevel="2" x14ac:dyDescent="0.2"/>
    <row r="246" spans="4:15" s="327" customFormat="1" ht="15" outlineLevel="2" x14ac:dyDescent="0.2">
      <c r="D246" s="638" t="s">
        <v>390</v>
      </c>
    </row>
    <row r="247" spans="4:15" s="327" customFormat="1" outlineLevel="2" x14ac:dyDescent="0.2">
      <c r="D247" s="640" t="str">
        <f>Intv_Ann_TA!D185</f>
        <v>Central</v>
      </c>
      <c r="H247" s="640" t="str">
        <f>Intv_BA!$G$10</f>
        <v>Cryo -SV</v>
      </c>
      <c r="J247" s="8">
        <f t="shared" ref="J247:O256" ca="1" si="21">I247+J234-I274</f>
        <v>583</v>
      </c>
      <c r="K247" s="8">
        <f t="shared" ca="1" si="21"/>
        <v>583</v>
      </c>
      <c r="L247" s="8">
        <f t="shared" ca="1" si="21"/>
        <v>583</v>
      </c>
      <c r="M247" s="8">
        <f t="shared" ca="1" si="21"/>
        <v>583</v>
      </c>
      <c r="N247" s="8">
        <f t="shared" ca="1" si="21"/>
        <v>583</v>
      </c>
      <c r="O247" s="8">
        <f t="shared" ca="1" si="21"/>
        <v>583</v>
      </c>
    </row>
    <row r="248" spans="4:15" s="327" customFormat="1" outlineLevel="2" x14ac:dyDescent="0.2">
      <c r="D248" s="640" t="str">
        <f>Intv_Ann_TA!D186</f>
        <v>Copperbelt</v>
      </c>
      <c r="H248" s="640" t="str">
        <f>Intv_BA!$G$10</f>
        <v>Cryo -SV</v>
      </c>
      <c r="J248" s="8">
        <f t="shared" ca="1" si="21"/>
        <v>818</v>
      </c>
      <c r="K248" s="8">
        <f t="shared" ca="1" si="21"/>
        <v>818</v>
      </c>
      <c r="L248" s="8">
        <f t="shared" ca="1" si="21"/>
        <v>818</v>
      </c>
      <c r="M248" s="8">
        <f t="shared" ca="1" si="21"/>
        <v>818</v>
      </c>
      <c r="N248" s="8">
        <f t="shared" ca="1" si="21"/>
        <v>818</v>
      </c>
      <c r="O248" s="8">
        <f t="shared" ca="1" si="21"/>
        <v>818</v>
      </c>
    </row>
    <row r="249" spans="4:15" s="327" customFormat="1" outlineLevel="2" x14ac:dyDescent="0.2">
      <c r="D249" s="640" t="str">
        <f>Intv_Ann_TA!D187</f>
        <v>Eastern</v>
      </c>
      <c r="H249" s="640" t="str">
        <f>Intv_BA!$G$10</f>
        <v>Cryo -SV</v>
      </c>
      <c r="J249" s="8">
        <f t="shared" ca="1" si="21"/>
        <v>1054</v>
      </c>
      <c r="K249" s="8">
        <f t="shared" ca="1" si="21"/>
        <v>1054</v>
      </c>
      <c r="L249" s="8">
        <f t="shared" ca="1" si="21"/>
        <v>1054</v>
      </c>
      <c r="M249" s="8">
        <f t="shared" ca="1" si="21"/>
        <v>1054</v>
      </c>
      <c r="N249" s="8">
        <f t="shared" ca="1" si="21"/>
        <v>1054</v>
      </c>
      <c r="O249" s="8">
        <f t="shared" ca="1" si="21"/>
        <v>1054</v>
      </c>
    </row>
    <row r="250" spans="4:15" s="327" customFormat="1" outlineLevel="2" x14ac:dyDescent="0.2">
      <c r="D250" s="640" t="str">
        <f>Intv_Ann_TA!D188</f>
        <v>Luapula</v>
      </c>
      <c r="H250" s="640" t="str">
        <f>Intv_BA!$G$10</f>
        <v>Cryo -SV</v>
      </c>
      <c r="J250" s="8">
        <f t="shared" ca="1" si="21"/>
        <v>818</v>
      </c>
      <c r="K250" s="8">
        <f t="shared" ca="1" si="21"/>
        <v>818</v>
      </c>
      <c r="L250" s="8">
        <f t="shared" ca="1" si="21"/>
        <v>818</v>
      </c>
      <c r="M250" s="8">
        <f t="shared" ca="1" si="21"/>
        <v>818</v>
      </c>
      <c r="N250" s="8">
        <f t="shared" ca="1" si="21"/>
        <v>818</v>
      </c>
      <c r="O250" s="8">
        <f t="shared" ca="1" si="21"/>
        <v>818</v>
      </c>
    </row>
    <row r="251" spans="4:15" s="327" customFormat="1" outlineLevel="2" x14ac:dyDescent="0.2">
      <c r="D251" s="640" t="str">
        <f>Intv_Ann_TA!D189</f>
        <v>Lusaka</v>
      </c>
      <c r="H251" s="640" t="str">
        <f>Intv_BA!$G$10</f>
        <v>Cryo -SV</v>
      </c>
      <c r="J251" s="8">
        <f t="shared" ca="1" si="21"/>
        <v>2939</v>
      </c>
      <c r="K251" s="8">
        <f t="shared" ca="1" si="21"/>
        <v>2939</v>
      </c>
      <c r="L251" s="8">
        <f t="shared" ca="1" si="21"/>
        <v>2939</v>
      </c>
      <c r="M251" s="8">
        <f t="shared" ca="1" si="21"/>
        <v>2939</v>
      </c>
      <c r="N251" s="8">
        <f t="shared" ca="1" si="21"/>
        <v>2939</v>
      </c>
      <c r="O251" s="8">
        <f t="shared" ca="1" si="21"/>
        <v>2939</v>
      </c>
    </row>
    <row r="252" spans="4:15" s="327" customFormat="1" outlineLevel="2" x14ac:dyDescent="0.2">
      <c r="D252" s="640" t="str">
        <f>Intv_Ann_TA!D190</f>
        <v>Muchinga</v>
      </c>
      <c r="H252" s="640" t="str">
        <f>Intv_BA!$G$10</f>
        <v>Cryo -SV</v>
      </c>
      <c r="J252" s="8">
        <f t="shared" ca="1" si="21"/>
        <v>56</v>
      </c>
      <c r="K252" s="8">
        <f t="shared" ca="1" si="21"/>
        <v>56</v>
      </c>
      <c r="L252" s="8">
        <f t="shared" ca="1" si="21"/>
        <v>56</v>
      </c>
      <c r="M252" s="8">
        <f t="shared" ca="1" si="21"/>
        <v>56</v>
      </c>
      <c r="N252" s="8">
        <f t="shared" ca="1" si="21"/>
        <v>56</v>
      </c>
      <c r="O252" s="8">
        <f t="shared" ca="1" si="21"/>
        <v>56</v>
      </c>
    </row>
    <row r="253" spans="4:15" s="327" customFormat="1" outlineLevel="2" x14ac:dyDescent="0.2">
      <c r="D253" s="640" t="str">
        <f>Intv_Ann_TA!D191</f>
        <v>Northern</v>
      </c>
      <c r="H253" s="640" t="str">
        <f>Intv_BA!$G$10</f>
        <v>Cryo -SV</v>
      </c>
      <c r="J253" s="8">
        <f t="shared" ca="1" si="21"/>
        <v>291</v>
      </c>
      <c r="K253" s="8">
        <f t="shared" ca="1" si="21"/>
        <v>291</v>
      </c>
      <c r="L253" s="8">
        <f t="shared" ca="1" si="21"/>
        <v>291</v>
      </c>
      <c r="M253" s="8">
        <f t="shared" ca="1" si="21"/>
        <v>291</v>
      </c>
      <c r="N253" s="8">
        <f t="shared" ca="1" si="21"/>
        <v>291</v>
      </c>
      <c r="O253" s="8">
        <f t="shared" ca="1" si="21"/>
        <v>291</v>
      </c>
    </row>
    <row r="254" spans="4:15" s="327" customFormat="1" outlineLevel="2" x14ac:dyDescent="0.2">
      <c r="D254" s="640" t="str">
        <f>Intv_Ann_TA!D192</f>
        <v>North-Western</v>
      </c>
      <c r="H254" s="640" t="str">
        <f>Intv_BA!$G$10</f>
        <v>Cryo -SV</v>
      </c>
      <c r="J254" s="8">
        <f t="shared" ca="1" si="21"/>
        <v>347</v>
      </c>
      <c r="K254" s="8">
        <f t="shared" ca="1" si="21"/>
        <v>347</v>
      </c>
      <c r="L254" s="8">
        <f t="shared" ca="1" si="21"/>
        <v>347</v>
      </c>
      <c r="M254" s="8">
        <f t="shared" ca="1" si="21"/>
        <v>347</v>
      </c>
      <c r="N254" s="8">
        <f t="shared" ca="1" si="21"/>
        <v>347</v>
      </c>
      <c r="O254" s="8">
        <f t="shared" ca="1" si="21"/>
        <v>347</v>
      </c>
    </row>
    <row r="255" spans="4:15" s="327" customFormat="1" outlineLevel="2" x14ac:dyDescent="0.2">
      <c r="D255" s="640" t="str">
        <f>Intv_Ann_TA!D193</f>
        <v>Southern</v>
      </c>
      <c r="H255" s="640" t="str">
        <f>Intv_BA!$G$10</f>
        <v>Cryo -SV</v>
      </c>
      <c r="J255" s="8">
        <f t="shared" ca="1" si="21"/>
        <v>818</v>
      </c>
      <c r="K255" s="8">
        <f t="shared" ca="1" si="21"/>
        <v>818</v>
      </c>
      <c r="L255" s="8">
        <f t="shared" ca="1" si="21"/>
        <v>818</v>
      </c>
      <c r="M255" s="8">
        <f t="shared" ca="1" si="21"/>
        <v>818</v>
      </c>
      <c r="N255" s="8">
        <f t="shared" ca="1" si="21"/>
        <v>818</v>
      </c>
      <c r="O255" s="8">
        <f t="shared" ca="1" si="21"/>
        <v>818</v>
      </c>
    </row>
    <row r="256" spans="4:15" s="327" customFormat="1" outlineLevel="2" x14ac:dyDescent="0.2">
      <c r="D256" s="640" t="str">
        <f>Intv_Ann_TA!D194</f>
        <v>Western</v>
      </c>
      <c r="H256" s="640" t="str">
        <f>Intv_BA!$G$10</f>
        <v>Cryo -SV</v>
      </c>
      <c r="J256" s="9">
        <f t="shared" ca="1" si="21"/>
        <v>818</v>
      </c>
      <c r="K256" s="9">
        <f t="shared" ca="1" si="21"/>
        <v>818</v>
      </c>
      <c r="L256" s="9">
        <f t="shared" ca="1" si="21"/>
        <v>818</v>
      </c>
      <c r="M256" s="9">
        <f t="shared" ca="1" si="21"/>
        <v>818</v>
      </c>
      <c r="N256" s="9">
        <f t="shared" ca="1" si="21"/>
        <v>818</v>
      </c>
      <c r="O256" s="9">
        <f t="shared" ca="1" si="21"/>
        <v>818</v>
      </c>
    </row>
    <row r="257" spans="4:15" s="327" customFormat="1" x14ac:dyDescent="0.2">
      <c r="D257" s="639" t="str">
        <f>"Total "&amp;D246</f>
        <v>Total Population Seeking Service (Cumulative)</v>
      </c>
      <c r="H257" s="640" t="str">
        <f>Intv_BA!$G$10</f>
        <v>Cryo -SV</v>
      </c>
      <c r="J257" s="5">
        <f t="shared" ref="J257:O257" ca="1" si="22">SUM(J247:J256)</f>
        <v>8542</v>
      </c>
      <c r="K257" s="5">
        <f t="shared" ca="1" si="22"/>
        <v>8542</v>
      </c>
      <c r="L257" s="5">
        <f t="shared" ca="1" si="22"/>
        <v>8542</v>
      </c>
      <c r="M257" s="5">
        <f t="shared" ca="1" si="22"/>
        <v>8542</v>
      </c>
      <c r="N257" s="5">
        <f t="shared" ca="1" si="22"/>
        <v>8542</v>
      </c>
      <c r="O257" s="5">
        <f t="shared" ca="1" si="22"/>
        <v>8542</v>
      </c>
    </row>
    <row r="258" spans="4:15" s="327" customFormat="1" x14ac:dyDescent="0.2"/>
    <row r="259" spans="4:15" s="327" customFormat="1" outlineLevel="2" x14ac:dyDescent="0.2"/>
    <row r="260" spans="4:15" s="327" customFormat="1" ht="15" outlineLevel="2" x14ac:dyDescent="0.2">
      <c r="D260" s="638" t="s">
        <v>185</v>
      </c>
    </row>
    <row r="261" spans="4:15" s="327" customFormat="1" outlineLevel="2" x14ac:dyDescent="0.2">
      <c r="D261" s="640" t="str">
        <f t="shared" ref="D261:D270" si="23">D220</f>
        <v>Central</v>
      </c>
      <c r="H261" s="640" t="str">
        <f>Intv_BA!$G$10</f>
        <v>Cryo -SV</v>
      </c>
      <c r="J261" s="8">
        <f t="shared" ref="J261:O270" ca="1" si="24">MAX(J220-J247,0)</f>
        <v>2373</v>
      </c>
      <c r="K261" s="8">
        <f t="shared" ca="1" si="24"/>
        <v>2373</v>
      </c>
      <c r="L261" s="8">
        <f t="shared" ca="1" si="24"/>
        <v>2373</v>
      </c>
      <c r="M261" s="8">
        <f t="shared" ca="1" si="24"/>
        <v>2373</v>
      </c>
      <c r="N261" s="8">
        <f t="shared" ca="1" si="24"/>
        <v>2373</v>
      </c>
      <c r="O261" s="8">
        <f t="shared" ca="1" si="24"/>
        <v>2373</v>
      </c>
    </row>
    <row r="262" spans="4:15" s="327" customFormat="1" outlineLevel="2" x14ac:dyDescent="0.2">
      <c r="D262" s="640" t="str">
        <f t="shared" si="23"/>
        <v>Copperbelt</v>
      </c>
      <c r="H262" s="640" t="str">
        <f>Intv_BA!$G$10</f>
        <v>Cryo -SV</v>
      </c>
      <c r="J262" s="8">
        <f t="shared" ca="1" si="24"/>
        <v>3616</v>
      </c>
      <c r="K262" s="8">
        <f t="shared" ca="1" si="24"/>
        <v>3616</v>
      </c>
      <c r="L262" s="8">
        <f t="shared" ca="1" si="24"/>
        <v>3616</v>
      </c>
      <c r="M262" s="8">
        <f t="shared" ca="1" si="24"/>
        <v>3616</v>
      </c>
      <c r="N262" s="8">
        <f t="shared" ca="1" si="24"/>
        <v>3616</v>
      </c>
      <c r="O262" s="8">
        <f t="shared" ca="1" si="24"/>
        <v>3616</v>
      </c>
    </row>
    <row r="263" spans="4:15" s="327" customFormat="1" outlineLevel="2" x14ac:dyDescent="0.2">
      <c r="D263" s="640" t="str">
        <f t="shared" si="23"/>
        <v>Eastern</v>
      </c>
      <c r="H263" s="640" t="str">
        <f>Intv_BA!$G$10</f>
        <v>Cryo -SV</v>
      </c>
      <c r="J263" s="8">
        <f t="shared" ca="1" si="24"/>
        <v>4858</v>
      </c>
      <c r="K263" s="8">
        <f t="shared" ca="1" si="24"/>
        <v>4858</v>
      </c>
      <c r="L263" s="8">
        <f t="shared" ca="1" si="24"/>
        <v>4858</v>
      </c>
      <c r="M263" s="8">
        <f t="shared" ca="1" si="24"/>
        <v>4858</v>
      </c>
      <c r="N263" s="8">
        <f t="shared" ca="1" si="24"/>
        <v>4858</v>
      </c>
      <c r="O263" s="8">
        <f t="shared" ca="1" si="24"/>
        <v>4858</v>
      </c>
    </row>
    <row r="264" spans="4:15" s="327" customFormat="1" outlineLevel="2" x14ac:dyDescent="0.2">
      <c r="D264" s="640" t="str">
        <f t="shared" si="23"/>
        <v>Luapula</v>
      </c>
      <c r="H264" s="640" t="str">
        <f>Intv_BA!$G$10</f>
        <v>Cryo -SV</v>
      </c>
      <c r="J264" s="8">
        <f t="shared" ca="1" si="24"/>
        <v>2138</v>
      </c>
      <c r="K264" s="8">
        <f t="shared" ca="1" si="24"/>
        <v>2138</v>
      </c>
      <c r="L264" s="8">
        <f t="shared" ca="1" si="24"/>
        <v>2138</v>
      </c>
      <c r="M264" s="8">
        <f t="shared" ca="1" si="24"/>
        <v>2138</v>
      </c>
      <c r="N264" s="8">
        <f t="shared" ca="1" si="24"/>
        <v>2138</v>
      </c>
      <c r="O264" s="8">
        <f t="shared" ca="1" si="24"/>
        <v>2138</v>
      </c>
    </row>
    <row r="265" spans="4:15" s="327" customFormat="1" outlineLevel="2" x14ac:dyDescent="0.2">
      <c r="D265" s="640" t="str">
        <f t="shared" si="23"/>
        <v>Lusaka</v>
      </c>
      <c r="H265" s="640" t="str">
        <f>Intv_BA!$G$10</f>
        <v>Cryo -SV</v>
      </c>
      <c r="J265" s="8">
        <f t="shared" ca="1" si="24"/>
        <v>14796</v>
      </c>
      <c r="K265" s="8">
        <f t="shared" ca="1" si="24"/>
        <v>14796</v>
      </c>
      <c r="L265" s="8">
        <f t="shared" ca="1" si="24"/>
        <v>14796</v>
      </c>
      <c r="M265" s="8">
        <f t="shared" ca="1" si="24"/>
        <v>14796</v>
      </c>
      <c r="N265" s="8">
        <f t="shared" ca="1" si="24"/>
        <v>14796</v>
      </c>
      <c r="O265" s="8">
        <f t="shared" ca="1" si="24"/>
        <v>14796</v>
      </c>
    </row>
    <row r="266" spans="4:15" s="327" customFormat="1" outlineLevel="2" x14ac:dyDescent="0.2">
      <c r="D266" s="640" t="str">
        <f t="shared" si="23"/>
        <v>Muchinga</v>
      </c>
      <c r="H266" s="640" t="str">
        <f>Intv_BA!$G$10</f>
        <v>Cryo -SV</v>
      </c>
      <c r="J266" s="8">
        <f t="shared" ca="1" si="24"/>
        <v>0</v>
      </c>
      <c r="K266" s="8">
        <f t="shared" ca="1" si="24"/>
        <v>0</v>
      </c>
      <c r="L266" s="8">
        <f t="shared" ca="1" si="24"/>
        <v>0</v>
      </c>
      <c r="M266" s="8">
        <f t="shared" ca="1" si="24"/>
        <v>0</v>
      </c>
      <c r="N266" s="8">
        <f t="shared" ca="1" si="24"/>
        <v>0</v>
      </c>
      <c r="O266" s="8">
        <f t="shared" ca="1" si="24"/>
        <v>0</v>
      </c>
    </row>
    <row r="267" spans="4:15" s="327" customFormat="1" outlineLevel="2" x14ac:dyDescent="0.2">
      <c r="D267" s="640" t="str">
        <f t="shared" si="23"/>
        <v>Northern</v>
      </c>
      <c r="H267" s="640" t="str">
        <f>Intv_BA!$G$10</f>
        <v>Cryo -SV</v>
      </c>
      <c r="J267" s="8">
        <f t="shared" ca="1" si="24"/>
        <v>1187</v>
      </c>
      <c r="K267" s="8">
        <f t="shared" ca="1" si="24"/>
        <v>1187</v>
      </c>
      <c r="L267" s="8">
        <f t="shared" ca="1" si="24"/>
        <v>1187</v>
      </c>
      <c r="M267" s="8">
        <f t="shared" ca="1" si="24"/>
        <v>1187</v>
      </c>
      <c r="N267" s="8">
        <f t="shared" ca="1" si="24"/>
        <v>1187</v>
      </c>
      <c r="O267" s="8">
        <f t="shared" ca="1" si="24"/>
        <v>1187</v>
      </c>
    </row>
    <row r="268" spans="4:15" s="327" customFormat="1" outlineLevel="2" x14ac:dyDescent="0.2">
      <c r="D268" s="640" t="str">
        <f t="shared" si="23"/>
        <v>North-Western</v>
      </c>
      <c r="H268" s="640" t="str">
        <f>Intv_BA!$G$10</f>
        <v>Cryo -SV</v>
      </c>
      <c r="J268" s="8">
        <f t="shared" ca="1" si="24"/>
        <v>1131</v>
      </c>
      <c r="K268" s="8">
        <f t="shared" ca="1" si="24"/>
        <v>1131</v>
      </c>
      <c r="L268" s="8">
        <f t="shared" ca="1" si="24"/>
        <v>1131</v>
      </c>
      <c r="M268" s="8">
        <f t="shared" ca="1" si="24"/>
        <v>1131</v>
      </c>
      <c r="N268" s="8">
        <f t="shared" ca="1" si="24"/>
        <v>1131</v>
      </c>
      <c r="O268" s="8">
        <f t="shared" ca="1" si="24"/>
        <v>1131</v>
      </c>
    </row>
    <row r="269" spans="4:15" s="327" customFormat="1" outlineLevel="2" x14ac:dyDescent="0.2">
      <c r="D269" s="640" t="str">
        <f t="shared" si="23"/>
        <v>Southern</v>
      </c>
      <c r="H269" s="640" t="str">
        <f>Intv_BA!$G$10</f>
        <v>Cryo -SV</v>
      </c>
      <c r="J269" s="8">
        <f t="shared" ca="1" si="24"/>
        <v>3616</v>
      </c>
      <c r="K269" s="8">
        <f t="shared" ca="1" si="24"/>
        <v>3616</v>
      </c>
      <c r="L269" s="8">
        <f t="shared" ca="1" si="24"/>
        <v>3616</v>
      </c>
      <c r="M269" s="8">
        <f t="shared" ca="1" si="24"/>
        <v>3616</v>
      </c>
      <c r="N269" s="8">
        <f t="shared" ca="1" si="24"/>
        <v>3616</v>
      </c>
      <c r="O269" s="8">
        <f t="shared" ca="1" si="24"/>
        <v>3616</v>
      </c>
    </row>
    <row r="270" spans="4:15" s="327" customFormat="1" outlineLevel="2" x14ac:dyDescent="0.2">
      <c r="D270" s="640" t="str">
        <f t="shared" si="23"/>
        <v>Western</v>
      </c>
      <c r="H270" s="640" t="str">
        <f>Intv_BA!$G$10</f>
        <v>Cryo -SV</v>
      </c>
      <c r="J270" s="9">
        <f t="shared" ca="1" si="24"/>
        <v>3616</v>
      </c>
      <c r="K270" s="9">
        <f t="shared" ca="1" si="24"/>
        <v>3616</v>
      </c>
      <c r="L270" s="9">
        <f t="shared" ca="1" si="24"/>
        <v>3616</v>
      </c>
      <c r="M270" s="9">
        <f t="shared" ca="1" si="24"/>
        <v>3616</v>
      </c>
      <c r="N270" s="9">
        <f t="shared" ca="1" si="24"/>
        <v>3616</v>
      </c>
      <c r="O270" s="9">
        <f t="shared" ca="1" si="24"/>
        <v>3616</v>
      </c>
    </row>
    <row r="271" spans="4:15" s="327" customFormat="1" outlineLevel="2" x14ac:dyDescent="0.2">
      <c r="D271" s="639" t="str">
        <f>"Total "&amp;D260</f>
        <v>Total Excess Capacity</v>
      </c>
      <c r="H271" s="640" t="str">
        <f>Intv_BA!$G$10</f>
        <v>Cryo -SV</v>
      </c>
      <c r="J271" s="5">
        <f t="shared" ref="J271:O271" ca="1" si="25">SUM(J261:J270)</f>
        <v>37331</v>
      </c>
      <c r="K271" s="5">
        <f t="shared" ca="1" si="25"/>
        <v>37331</v>
      </c>
      <c r="L271" s="5">
        <f t="shared" ca="1" si="25"/>
        <v>37331</v>
      </c>
      <c r="M271" s="5">
        <f t="shared" ca="1" si="25"/>
        <v>37331</v>
      </c>
      <c r="N271" s="5">
        <f t="shared" ca="1" si="25"/>
        <v>37331</v>
      </c>
      <c r="O271" s="5">
        <f t="shared" ca="1" si="25"/>
        <v>37331</v>
      </c>
    </row>
    <row r="272" spans="4:15" s="327" customFormat="1" outlineLevel="2" x14ac:dyDescent="0.2"/>
    <row r="273" spans="4:15" s="327" customFormat="1" ht="15" outlineLevel="2" x14ac:dyDescent="0.2">
      <c r="D273" s="638" t="s">
        <v>384</v>
      </c>
    </row>
    <row r="274" spans="4:15" s="327" customFormat="1" outlineLevel="2" x14ac:dyDescent="0.2">
      <c r="D274" s="640" t="str">
        <f t="shared" ref="D274:D283" si="26">D220</f>
        <v>Central</v>
      </c>
      <c r="H274" s="640" t="str">
        <f>Intv_BA!$G$10</f>
        <v>Cryo -SV</v>
      </c>
      <c r="J274" s="8">
        <f ca="1">ROUND(IF(Intv_Ann_TA!$H$182,IF(J247&lt;=J220,J247,J247-MAX((J$257-J$230),0)*IFERROR((J247-J220)/SUMPRODUCT((J$247:J$256&gt;J$220:J$229)*(J$247:J$256-J$220:J$229)),0)),J287),0)</f>
        <v>583</v>
      </c>
      <c r="K274" s="8">
        <f ca="1">ROUND(IF(Intv_Ann_TA!$H$182,IF(K247&lt;=K220,K247,K247-MAX((K$257-K$230),0)*IFERROR((K247-K220)/SUMPRODUCT((K$247:K$256&gt;K$220:K$229)*(K$247:K$256-K$220:K$229)),0)),K287),0)</f>
        <v>583</v>
      </c>
      <c r="L274" s="8">
        <f ca="1">ROUND(IF(Intv_Ann_TA!$H$182,IF(L247&lt;=L220,L247,L247-MAX((L$257-L$230),0)*IFERROR((L247-L220)/SUMPRODUCT((L$247:L$256&gt;L$220:L$229)*(L$247:L$256-L$220:L$229)),0)),L287),0)</f>
        <v>583</v>
      </c>
      <c r="M274" s="8">
        <f ca="1">ROUND(IF(Intv_Ann_TA!$H$182,IF(M247&lt;=M220,M247,M247-MAX((M$257-M$230),0)*IFERROR((M247-M220)/SUMPRODUCT((M$247:M$256&gt;M$220:M$229)*(M$247:M$256-M$220:M$229)),0)),M287),0)</f>
        <v>583</v>
      </c>
      <c r="N274" s="8">
        <f ca="1">ROUND(IF(Intv_Ann_TA!$H$182,IF(N247&lt;=N220,N247,N247-MAX((N$257-N$230),0)*IFERROR((N247-N220)/SUMPRODUCT((N$247:N$256&gt;N$220:N$229)*(N$247:N$256-N$220:N$229)),0)),N287),0)</f>
        <v>583</v>
      </c>
      <c r="O274" s="8">
        <f ca="1">ROUND(IF(Intv_Ann_TA!$H$182,IF(O247&lt;=O220,O247,O247-MAX((O$257-O$230),0)*IFERROR((O247-O220)/SUMPRODUCT((O$247:O$256&gt;O$220:O$229)*(O$247:O$256-O$220:O$229)),0)),O287),0)</f>
        <v>583</v>
      </c>
    </row>
    <row r="275" spans="4:15" s="327" customFormat="1" outlineLevel="2" x14ac:dyDescent="0.2">
      <c r="D275" s="640" t="str">
        <f t="shared" si="26"/>
        <v>Copperbelt</v>
      </c>
      <c r="H275" s="640" t="str">
        <f>Intv_BA!$G$10</f>
        <v>Cryo -SV</v>
      </c>
      <c r="J275" s="8">
        <f ca="1">ROUND(IF(Intv_Ann_TA!$H$182,IF(J248&lt;=J221,J248,J248-MAX((J$257-J$230),0)*IFERROR((J248-J221)/SUMPRODUCT((J$247:J$256&gt;J$220:J$229)*(J$247:J$256-J$220:J$229)),0)),J288),0)</f>
        <v>818</v>
      </c>
      <c r="K275" s="8">
        <f ca="1">ROUND(IF(Intv_Ann_TA!$H$182,IF(K248&lt;=K221,K248,K248-MAX((K$257-K$230),0)*IFERROR((K248-K221)/SUMPRODUCT((K$247:K$256&gt;K$220:K$229)*(K$247:K$256-K$220:K$229)),0)),K288),0)</f>
        <v>818</v>
      </c>
      <c r="L275" s="8">
        <f ca="1">ROUND(IF(Intv_Ann_TA!$H$182,IF(L248&lt;=L221,L248,L248-MAX((L$257-L$230),0)*IFERROR((L248-L221)/SUMPRODUCT((L$247:L$256&gt;L$220:L$229)*(L$247:L$256-L$220:L$229)),0)),L288),0)</f>
        <v>818</v>
      </c>
      <c r="M275" s="8">
        <f ca="1">ROUND(IF(Intv_Ann_TA!$H$182,IF(M248&lt;=M221,M248,M248-MAX((M$257-M$230),0)*IFERROR((M248-M221)/SUMPRODUCT((M$247:M$256&gt;M$220:M$229)*(M$247:M$256-M$220:M$229)),0)),M288),0)</f>
        <v>818</v>
      </c>
      <c r="N275" s="8">
        <f ca="1">ROUND(IF(Intv_Ann_TA!$H$182,IF(N248&lt;=N221,N248,N248-MAX((N$257-N$230),0)*IFERROR((N248-N221)/SUMPRODUCT((N$247:N$256&gt;N$220:N$229)*(N$247:N$256-N$220:N$229)),0)),N288),0)</f>
        <v>818</v>
      </c>
      <c r="O275" s="8">
        <f ca="1">ROUND(IF(Intv_Ann_TA!$H$182,IF(O248&lt;=O221,O248,O248-MAX((O$257-O$230),0)*IFERROR((O248-O221)/SUMPRODUCT((O$247:O$256&gt;O$220:O$229)*(O$247:O$256-O$220:O$229)),0)),O288),0)</f>
        <v>818</v>
      </c>
    </row>
    <row r="276" spans="4:15" s="327" customFormat="1" outlineLevel="2" x14ac:dyDescent="0.2">
      <c r="D276" s="640" t="str">
        <f t="shared" si="26"/>
        <v>Eastern</v>
      </c>
      <c r="H276" s="640" t="str">
        <f>Intv_BA!$G$10</f>
        <v>Cryo -SV</v>
      </c>
      <c r="J276" s="8">
        <f ca="1">ROUND(IF(Intv_Ann_TA!$H$182,IF(J249&lt;=J222,J249,J249-MAX((J$257-J$230),0)*IFERROR((J249-J222)/SUMPRODUCT((J$247:J$256&gt;J$220:J$229)*(J$247:J$256-J$220:J$229)),0)),J289),0)</f>
        <v>1054</v>
      </c>
      <c r="K276" s="8">
        <f ca="1">ROUND(IF(Intv_Ann_TA!$H$182,IF(K249&lt;=K222,K249,K249-MAX((K$257-K$230),0)*IFERROR((K249-K222)/SUMPRODUCT((K$247:K$256&gt;K$220:K$229)*(K$247:K$256-K$220:K$229)),0)),K289),0)</f>
        <v>1054</v>
      </c>
      <c r="L276" s="8">
        <f ca="1">ROUND(IF(Intv_Ann_TA!$H$182,IF(L249&lt;=L222,L249,L249-MAX((L$257-L$230),0)*IFERROR((L249-L222)/SUMPRODUCT((L$247:L$256&gt;L$220:L$229)*(L$247:L$256-L$220:L$229)),0)),L289),0)</f>
        <v>1054</v>
      </c>
      <c r="M276" s="8">
        <f ca="1">ROUND(IF(Intv_Ann_TA!$H$182,IF(M249&lt;=M222,M249,M249-MAX((M$257-M$230),0)*IFERROR((M249-M222)/SUMPRODUCT((M$247:M$256&gt;M$220:M$229)*(M$247:M$256-M$220:M$229)),0)),M289),0)</f>
        <v>1054</v>
      </c>
      <c r="N276" s="8">
        <f ca="1">ROUND(IF(Intv_Ann_TA!$H$182,IF(N249&lt;=N222,N249,N249-MAX((N$257-N$230),0)*IFERROR((N249-N222)/SUMPRODUCT((N$247:N$256&gt;N$220:N$229)*(N$247:N$256-N$220:N$229)),0)),N289),0)</f>
        <v>1054</v>
      </c>
      <c r="O276" s="8">
        <f ca="1">ROUND(IF(Intv_Ann_TA!$H$182,IF(O249&lt;=O222,O249,O249-MAX((O$257-O$230),0)*IFERROR((O249-O222)/SUMPRODUCT((O$247:O$256&gt;O$220:O$229)*(O$247:O$256-O$220:O$229)),0)),O289),0)</f>
        <v>1054</v>
      </c>
    </row>
    <row r="277" spans="4:15" s="327" customFormat="1" outlineLevel="2" x14ac:dyDescent="0.2">
      <c r="D277" s="640" t="str">
        <f t="shared" si="26"/>
        <v>Luapula</v>
      </c>
      <c r="H277" s="640" t="str">
        <f>Intv_BA!$G$10</f>
        <v>Cryo -SV</v>
      </c>
      <c r="J277" s="8">
        <f ca="1">ROUND(IF(Intv_Ann_TA!$H$182,IF(J250&lt;=J223,J250,J250-MAX((J$257-J$230),0)*IFERROR((J250-J223)/SUMPRODUCT((J$247:J$256&gt;J$220:J$229)*(J$247:J$256-J$220:J$229)),0)),J290),0)</f>
        <v>818</v>
      </c>
      <c r="K277" s="8">
        <f ca="1">ROUND(IF(Intv_Ann_TA!$H$182,IF(K250&lt;=K223,K250,K250-MAX((K$257-K$230),0)*IFERROR((K250-K223)/SUMPRODUCT((K$247:K$256&gt;K$220:K$229)*(K$247:K$256-K$220:K$229)),0)),K290),0)</f>
        <v>818</v>
      </c>
      <c r="L277" s="8">
        <f ca="1">ROUND(IF(Intv_Ann_TA!$H$182,IF(L250&lt;=L223,L250,L250-MAX((L$257-L$230),0)*IFERROR((L250-L223)/SUMPRODUCT((L$247:L$256&gt;L$220:L$229)*(L$247:L$256-L$220:L$229)),0)),L290),0)</f>
        <v>818</v>
      </c>
      <c r="M277" s="8">
        <f ca="1">ROUND(IF(Intv_Ann_TA!$H$182,IF(M250&lt;=M223,M250,M250-MAX((M$257-M$230),0)*IFERROR((M250-M223)/SUMPRODUCT((M$247:M$256&gt;M$220:M$229)*(M$247:M$256-M$220:M$229)),0)),M290),0)</f>
        <v>818</v>
      </c>
      <c r="N277" s="8">
        <f ca="1">ROUND(IF(Intv_Ann_TA!$H$182,IF(N250&lt;=N223,N250,N250-MAX((N$257-N$230),0)*IFERROR((N250-N223)/SUMPRODUCT((N$247:N$256&gt;N$220:N$229)*(N$247:N$256-N$220:N$229)),0)),N290),0)</f>
        <v>818</v>
      </c>
      <c r="O277" s="8">
        <f ca="1">ROUND(IF(Intv_Ann_TA!$H$182,IF(O250&lt;=O223,O250,O250-MAX((O$257-O$230),0)*IFERROR((O250-O223)/SUMPRODUCT((O$247:O$256&gt;O$220:O$229)*(O$247:O$256-O$220:O$229)),0)),O290),0)</f>
        <v>818</v>
      </c>
    </row>
    <row r="278" spans="4:15" s="327" customFormat="1" outlineLevel="2" x14ac:dyDescent="0.2">
      <c r="D278" s="640" t="str">
        <f t="shared" si="26"/>
        <v>Lusaka</v>
      </c>
      <c r="H278" s="640" t="str">
        <f>Intv_BA!$G$10</f>
        <v>Cryo -SV</v>
      </c>
      <c r="J278" s="8">
        <f ca="1">ROUND(IF(Intv_Ann_TA!$H$182,IF(J251&lt;=J224,J251,J251-MAX((J$257-J$230),0)*IFERROR((J251-J224)/SUMPRODUCT((J$247:J$256&gt;J$220:J$229)*(J$247:J$256-J$220:J$229)),0)),J291),0)</f>
        <v>2939</v>
      </c>
      <c r="K278" s="8">
        <f ca="1">ROUND(IF(Intv_Ann_TA!$H$182,IF(K251&lt;=K224,K251,K251-MAX((K$257-K$230),0)*IFERROR((K251-K224)/SUMPRODUCT((K$247:K$256&gt;K$220:K$229)*(K$247:K$256-K$220:K$229)),0)),K291),0)</f>
        <v>2939</v>
      </c>
      <c r="L278" s="8">
        <f ca="1">ROUND(IF(Intv_Ann_TA!$H$182,IF(L251&lt;=L224,L251,L251-MAX((L$257-L$230),0)*IFERROR((L251-L224)/SUMPRODUCT((L$247:L$256&gt;L$220:L$229)*(L$247:L$256-L$220:L$229)),0)),L291),0)</f>
        <v>2939</v>
      </c>
      <c r="M278" s="8">
        <f ca="1">ROUND(IF(Intv_Ann_TA!$H$182,IF(M251&lt;=M224,M251,M251-MAX((M$257-M$230),0)*IFERROR((M251-M224)/SUMPRODUCT((M$247:M$256&gt;M$220:M$229)*(M$247:M$256-M$220:M$229)),0)),M291),0)</f>
        <v>2939</v>
      </c>
      <c r="N278" s="8">
        <f ca="1">ROUND(IF(Intv_Ann_TA!$H$182,IF(N251&lt;=N224,N251,N251-MAX((N$257-N$230),0)*IFERROR((N251-N224)/SUMPRODUCT((N$247:N$256&gt;N$220:N$229)*(N$247:N$256-N$220:N$229)),0)),N291),0)</f>
        <v>2939</v>
      </c>
      <c r="O278" s="8">
        <f ca="1">ROUND(IF(Intv_Ann_TA!$H$182,IF(O251&lt;=O224,O251,O251-MAX((O$257-O$230),0)*IFERROR((O251-O224)/SUMPRODUCT((O$247:O$256&gt;O$220:O$229)*(O$247:O$256-O$220:O$229)),0)),O291),0)</f>
        <v>2939</v>
      </c>
    </row>
    <row r="279" spans="4:15" s="327" customFormat="1" outlineLevel="2" x14ac:dyDescent="0.2">
      <c r="D279" s="640" t="str">
        <f t="shared" si="26"/>
        <v>Muchinga</v>
      </c>
      <c r="H279" s="640" t="str">
        <f>Intv_BA!$G$10</f>
        <v>Cryo -SV</v>
      </c>
      <c r="J279" s="8">
        <f ca="1">ROUND(IF(Intv_Ann_TA!$H$182,IF(J252&lt;=J225,J252,J252-MAX((J$257-J$230),0)*IFERROR((J252-J225)/SUMPRODUCT((J$247:J$256&gt;J$220:J$229)*(J$247:J$256-J$220:J$229)),0)),J292),0)</f>
        <v>56</v>
      </c>
      <c r="K279" s="8">
        <f ca="1">ROUND(IF(Intv_Ann_TA!$H$182,IF(K252&lt;=K225,K252,K252-MAX((K$257-K$230),0)*IFERROR((K252-K225)/SUMPRODUCT((K$247:K$256&gt;K$220:K$229)*(K$247:K$256-K$220:K$229)),0)),K292),0)</f>
        <v>56</v>
      </c>
      <c r="L279" s="8">
        <f ca="1">ROUND(IF(Intv_Ann_TA!$H$182,IF(L252&lt;=L225,L252,L252-MAX((L$257-L$230),0)*IFERROR((L252-L225)/SUMPRODUCT((L$247:L$256&gt;L$220:L$229)*(L$247:L$256-L$220:L$229)),0)),L292),0)</f>
        <v>56</v>
      </c>
      <c r="M279" s="8">
        <f ca="1">ROUND(IF(Intv_Ann_TA!$H$182,IF(M252&lt;=M225,M252,M252-MAX((M$257-M$230),0)*IFERROR((M252-M225)/SUMPRODUCT((M$247:M$256&gt;M$220:M$229)*(M$247:M$256-M$220:M$229)),0)),M292),0)</f>
        <v>56</v>
      </c>
      <c r="N279" s="8">
        <f ca="1">ROUND(IF(Intv_Ann_TA!$H$182,IF(N252&lt;=N225,N252,N252-MAX((N$257-N$230),0)*IFERROR((N252-N225)/SUMPRODUCT((N$247:N$256&gt;N$220:N$229)*(N$247:N$256-N$220:N$229)),0)),N292),0)</f>
        <v>56</v>
      </c>
      <c r="O279" s="8">
        <f ca="1">ROUND(IF(Intv_Ann_TA!$H$182,IF(O252&lt;=O225,O252,O252-MAX((O$257-O$230),0)*IFERROR((O252-O225)/SUMPRODUCT((O$247:O$256&gt;O$220:O$229)*(O$247:O$256-O$220:O$229)),0)),O292),0)</f>
        <v>56</v>
      </c>
    </row>
    <row r="280" spans="4:15" s="327" customFormat="1" outlineLevel="2" x14ac:dyDescent="0.2">
      <c r="D280" s="640" t="str">
        <f t="shared" si="26"/>
        <v>Northern</v>
      </c>
      <c r="H280" s="640" t="str">
        <f>Intv_BA!$G$10</f>
        <v>Cryo -SV</v>
      </c>
      <c r="J280" s="8">
        <f ca="1">ROUND(IF(Intv_Ann_TA!$H$182,IF(J253&lt;=J226,J253,J253-MAX((J$257-J$230),0)*IFERROR((J253-J226)/SUMPRODUCT((J$247:J$256&gt;J$220:J$229)*(J$247:J$256-J$220:J$229)),0)),J293),0)</f>
        <v>291</v>
      </c>
      <c r="K280" s="8">
        <f ca="1">ROUND(IF(Intv_Ann_TA!$H$182,IF(K253&lt;=K226,K253,K253-MAX((K$257-K$230),0)*IFERROR((K253-K226)/SUMPRODUCT((K$247:K$256&gt;K$220:K$229)*(K$247:K$256-K$220:K$229)),0)),K293),0)</f>
        <v>291</v>
      </c>
      <c r="L280" s="8">
        <f ca="1">ROUND(IF(Intv_Ann_TA!$H$182,IF(L253&lt;=L226,L253,L253-MAX((L$257-L$230),0)*IFERROR((L253-L226)/SUMPRODUCT((L$247:L$256&gt;L$220:L$229)*(L$247:L$256-L$220:L$229)),0)),L293),0)</f>
        <v>291</v>
      </c>
      <c r="M280" s="8">
        <f ca="1">ROUND(IF(Intv_Ann_TA!$H$182,IF(M253&lt;=M226,M253,M253-MAX((M$257-M$230),0)*IFERROR((M253-M226)/SUMPRODUCT((M$247:M$256&gt;M$220:M$229)*(M$247:M$256-M$220:M$229)),0)),M293),0)</f>
        <v>291</v>
      </c>
      <c r="N280" s="8">
        <f ca="1">ROUND(IF(Intv_Ann_TA!$H$182,IF(N253&lt;=N226,N253,N253-MAX((N$257-N$230),0)*IFERROR((N253-N226)/SUMPRODUCT((N$247:N$256&gt;N$220:N$229)*(N$247:N$256-N$220:N$229)),0)),N293),0)</f>
        <v>291</v>
      </c>
      <c r="O280" s="8">
        <f ca="1">ROUND(IF(Intv_Ann_TA!$H$182,IF(O253&lt;=O226,O253,O253-MAX((O$257-O$230),0)*IFERROR((O253-O226)/SUMPRODUCT((O$247:O$256&gt;O$220:O$229)*(O$247:O$256-O$220:O$229)),0)),O293),0)</f>
        <v>291</v>
      </c>
    </row>
    <row r="281" spans="4:15" s="327" customFormat="1" outlineLevel="2" x14ac:dyDescent="0.2">
      <c r="D281" s="640" t="str">
        <f t="shared" si="26"/>
        <v>North-Western</v>
      </c>
      <c r="H281" s="640" t="str">
        <f>Intv_BA!$G$10</f>
        <v>Cryo -SV</v>
      </c>
      <c r="J281" s="8">
        <f ca="1">ROUND(IF(Intv_Ann_TA!$H$182,IF(J254&lt;=J227,J254,J254-MAX((J$257-J$230),0)*IFERROR((J254-J227)/SUMPRODUCT((J$247:J$256&gt;J$220:J$229)*(J$247:J$256-J$220:J$229)),0)),J294),0)</f>
        <v>347</v>
      </c>
      <c r="K281" s="8">
        <f ca="1">ROUND(IF(Intv_Ann_TA!$H$182,IF(K254&lt;=K227,K254,K254-MAX((K$257-K$230),0)*IFERROR((K254-K227)/SUMPRODUCT((K$247:K$256&gt;K$220:K$229)*(K$247:K$256-K$220:K$229)),0)),K294),0)</f>
        <v>347</v>
      </c>
      <c r="L281" s="8">
        <f ca="1">ROUND(IF(Intv_Ann_TA!$H$182,IF(L254&lt;=L227,L254,L254-MAX((L$257-L$230),0)*IFERROR((L254-L227)/SUMPRODUCT((L$247:L$256&gt;L$220:L$229)*(L$247:L$256-L$220:L$229)),0)),L294),0)</f>
        <v>347</v>
      </c>
      <c r="M281" s="8">
        <f ca="1">ROUND(IF(Intv_Ann_TA!$H$182,IF(M254&lt;=M227,M254,M254-MAX((M$257-M$230),0)*IFERROR((M254-M227)/SUMPRODUCT((M$247:M$256&gt;M$220:M$229)*(M$247:M$256-M$220:M$229)),0)),M294),0)</f>
        <v>347</v>
      </c>
      <c r="N281" s="8">
        <f ca="1">ROUND(IF(Intv_Ann_TA!$H$182,IF(N254&lt;=N227,N254,N254-MAX((N$257-N$230),0)*IFERROR((N254-N227)/SUMPRODUCT((N$247:N$256&gt;N$220:N$229)*(N$247:N$256-N$220:N$229)),0)),N294),0)</f>
        <v>347</v>
      </c>
      <c r="O281" s="8">
        <f ca="1">ROUND(IF(Intv_Ann_TA!$H$182,IF(O254&lt;=O227,O254,O254-MAX((O$257-O$230),0)*IFERROR((O254-O227)/SUMPRODUCT((O$247:O$256&gt;O$220:O$229)*(O$247:O$256-O$220:O$229)),0)),O294),0)</f>
        <v>347</v>
      </c>
    </row>
    <row r="282" spans="4:15" s="327" customFormat="1" outlineLevel="2" x14ac:dyDescent="0.2">
      <c r="D282" s="640" t="str">
        <f t="shared" si="26"/>
        <v>Southern</v>
      </c>
      <c r="H282" s="640" t="str">
        <f>Intv_BA!$G$10</f>
        <v>Cryo -SV</v>
      </c>
      <c r="J282" s="8">
        <f ca="1">ROUND(IF(Intv_Ann_TA!$H$182,IF(J255&lt;=J228,J255,J255-MAX((J$257-J$230),0)*IFERROR((J255-J228)/SUMPRODUCT((J$247:J$256&gt;J$220:J$229)*(J$247:J$256-J$220:J$229)),0)),J295),0)</f>
        <v>818</v>
      </c>
      <c r="K282" s="8">
        <f ca="1">ROUND(IF(Intv_Ann_TA!$H$182,IF(K255&lt;=K228,K255,K255-MAX((K$257-K$230),0)*IFERROR((K255-K228)/SUMPRODUCT((K$247:K$256&gt;K$220:K$229)*(K$247:K$256-K$220:K$229)),0)),K295),0)</f>
        <v>818</v>
      </c>
      <c r="L282" s="8">
        <f ca="1">ROUND(IF(Intv_Ann_TA!$H$182,IF(L255&lt;=L228,L255,L255-MAX((L$257-L$230),0)*IFERROR((L255-L228)/SUMPRODUCT((L$247:L$256&gt;L$220:L$229)*(L$247:L$256-L$220:L$229)),0)),L295),0)</f>
        <v>818</v>
      </c>
      <c r="M282" s="8">
        <f ca="1">ROUND(IF(Intv_Ann_TA!$H$182,IF(M255&lt;=M228,M255,M255-MAX((M$257-M$230),0)*IFERROR((M255-M228)/SUMPRODUCT((M$247:M$256&gt;M$220:M$229)*(M$247:M$256-M$220:M$229)),0)),M295),0)</f>
        <v>818</v>
      </c>
      <c r="N282" s="8">
        <f ca="1">ROUND(IF(Intv_Ann_TA!$H$182,IF(N255&lt;=N228,N255,N255-MAX((N$257-N$230),0)*IFERROR((N255-N228)/SUMPRODUCT((N$247:N$256&gt;N$220:N$229)*(N$247:N$256-N$220:N$229)),0)),N295),0)</f>
        <v>818</v>
      </c>
      <c r="O282" s="8">
        <f ca="1">ROUND(IF(Intv_Ann_TA!$H$182,IF(O255&lt;=O228,O255,O255-MAX((O$257-O$230),0)*IFERROR((O255-O228)/SUMPRODUCT((O$247:O$256&gt;O$220:O$229)*(O$247:O$256-O$220:O$229)),0)),O295),0)</f>
        <v>818</v>
      </c>
    </row>
    <row r="283" spans="4:15" s="327" customFormat="1" outlineLevel="2" x14ac:dyDescent="0.2">
      <c r="D283" s="640" t="str">
        <f t="shared" si="26"/>
        <v>Western</v>
      </c>
      <c r="H283" s="640" t="str">
        <f>Intv_BA!$G$10</f>
        <v>Cryo -SV</v>
      </c>
      <c r="J283" s="9">
        <f ca="1">ROUND(IF(Intv_Ann_TA!$H$182,IF(J256&lt;=J229,J256,J256-MAX((J$257-J$230),0)*IFERROR((J256-J229)/SUMPRODUCT((J$247:J$256&gt;J$220:J$229)*(J$247:J$256-J$220:J$229)),0)),J296),0)</f>
        <v>818</v>
      </c>
      <c r="K283" s="9">
        <f ca="1">ROUND(IF(Intv_Ann_TA!$H$182,IF(K256&lt;=K229,K256,K256-MAX((K$257-K$230),0)*IFERROR((K256-K229)/SUMPRODUCT((K$247:K$256&gt;K$220:K$229)*(K$247:K$256-K$220:K$229)),0)),K296),0)</f>
        <v>818</v>
      </c>
      <c r="L283" s="9">
        <f ca="1">ROUND(IF(Intv_Ann_TA!$H$182,IF(L256&lt;=L229,L256,L256-MAX((L$257-L$230),0)*IFERROR((L256-L229)/SUMPRODUCT((L$247:L$256&gt;L$220:L$229)*(L$247:L$256-L$220:L$229)),0)),L296),0)</f>
        <v>818</v>
      </c>
      <c r="M283" s="9">
        <f ca="1">ROUND(IF(Intv_Ann_TA!$H$182,IF(M256&lt;=M229,M256,M256-MAX((M$257-M$230),0)*IFERROR((M256-M229)/SUMPRODUCT((M$247:M$256&gt;M$220:M$229)*(M$247:M$256-M$220:M$229)),0)),M296),0)</f>
        <v>818</v>
      </c>
      <c r="N283" s="9">
        <f ca="1">ROUND(IF(Intv_Ann_TA!$H$182,IF(N256&lt;=N229,N256,N256-MAX((N$257-N$230),0)*IFERROR((N256-N229)/SUMPRODUCT((N$247:N$256&gt;N$220:N$229)*(N$247:N$256-N$220:N$229)),0)),N296),0)</f>
        <v>818</v>
      </c>
      <c r="O283" s="9">
        <f ca="1">ROUND(IF(Intv_Ann_TA!$H$182,IF(O256&lt;=O229,O256,O256-MAX((O$257-O$230),0)*IFERROR((O256-O229)/SUMPRODUCT((O$247:O$256&gt;O$220:O$229)*(O$247:O$256-O$220:O$229)),0)),O296),0)</f>
        <v>818</v>
      </c>
    </row>
    <row r="284" spans="4:15" s="327" customFormat="1" outlineLevel="2" x14ac:dyDescent="0.2">
      <c r="D284" s="639" t="str">
        <f>"Total "&amp;D273</f>
        <v>Total Procedures Performed (According to Home Region)</v>
      </c>
      <c r="H284" s="640" t="str">
        <f>Intv_BA!$G$10</f>
        <v>Cryo -SV</v>
      </c>
      <c r="J284" s="5">
        <f t="shared" ref="J284:O284" ca="1" si="27">SUM(J274:J283)</f>
        <v>8542</v>
      </c>
      <c r="K284" s="5">
        <f t="shared" ca="1" si="27"/>
        <v>8542</v>
      </c>
      <c r="L284" s="5">
        <f t="shared" ca="1" si="27"/>
        <v>8542</v>
      </c>
      <c r="M284" s="5">
        <f t="shared" ca="1" si="27"/>
        <v>8542</v>
      </c>
      <c r="N284" s="5">
        <f t="shared" ca="1" si="27"/>
        <v>8542</v>
      </c>
      <c r="O284" s="5">
        <f t="shared" ca="1" si="27"/>
        <v>8542</v>
      </c>
    </row>
    <row r="285" spans="4:15" s="327" customFormat="1" outlineLevel="2" x14ac:dyDescent="0.2"/>
    <row r="286" spans="4:15" s="327" customFormat="1" ht="15" outlineLevel="2" x14ac:dyDescent="0.2">
      <c r="D286" s="638" t="s">
        <v>104</v>
      </c>
    </row>
    <row r="287" spans="4:15" s="327" customFormat="1" outlineLevel="2" x14ac:dyDescent="0.2">
      <c r="D287" s="640" t="str">
        <f>Intv_Ann_TA!D185</f>
        <v>Central</v>
      </c>
      <c r="J287" s="8">
        <f ca="1">ROUND(MIN(J220,IF(Intv_Ann_TA!$H$182,MAX(0,J247+IFERROR((SUMPRODUCT((J$220:J$229=0)*J$247:J$256)+SUMPRODUCT((J$220:J$229&gt;0)*(J$247:J$256&gt;J$220:J$229)*(J$247:J$256-J$220:J$229)))*J261/J$271,0)),J247)),0)</f>
        <v>587</v>
      </c>
      <c r="K287" s="8">
        <f ca="1">ROUND(MIN(K220,IF(Intv_Ann_TA!$H$182,MAX(0,K247+IFERROR((SUMPRODUCT((K$220:K$229=0)*K$247:K$256)+SUMPRODUCT((K$220:K$229&gt;0)*(K$247:K$256&gt;K$220:K$229)*(K$247:K$256-K$220:K$229)))*K261/K$271,0)),K247)),0)</f>
        <v>587</v>
      </c>
      <c r="L287" s="8">
        <f ca="1">ROUND(MIN(L220,IF(Intv_Ann_TA!$H$182,MAX(0,L247+IFERROR((SUMPRODUCT((L$220:L$229=0)*L$247:L$256)+SUMPRODUCT((L$220:L$229&gt;0)*(L$247:L$256&gt;L$220:L$229)*(L$247:L$256-L$220:L$229)))*L261/L$271,0)),L247)),0)</f>
        <v>587</v>
      </c>
      <c r="M287" s="8">
        <f ca="1">ROUND(MIN(M220,IF(Intv_Ann_TA!$H$182,MAX(0,M247+IFERROR((SUMPRODUCT((M$220:M$229=0)*M$247:M$256)+SUMPRODUCT((M$220:M$229&gt;0)*(M$247:M$256&gt;M$220:M$229)*(M$247:M$256-M$220:M$229)))*M261/M$271,0)),M247)),0)</f>
        <v>587</v>
      </c>
      <c r="N287" s="8">
        <f ca="1">ROUND(MIN(N220,IF(Intv_Ann_TA!$H$182,MAX(0,N247+IFERROR((SUMPRODUCT((N$220:N$229=0)*N$247:N$256)+SUMPRODUCT((N$220:N$229&gt;0)*(N$247:N$256&gt;N$220:N$229)*(N$247:N$256-N$220:N$229)))*N261/N$271,0)),N247)),0)</f>
        <v>587</v>
      </c>
      <c r="O287" s="8">
        <f ca="1">ROUND(MIN(O220,IF(Intv_Ann_TA!$H$182,MAX(0,O247+IFERROR((SUMPRODUCT((O$220:O$229=0)*O$247:O$256)+SUMPRODUCT((O$220:O$229&gt;0)*(O$247:O$256&gt;O$220:O$229)*(O$247:O$256-O$220:O$229)))*O261/O$271,0)),O247)),0)</f>
        <v>587</v>
      </c>
    </row>
    <row r="288" spans="4:15" s="327" customFormat="1" outlineLevel="2" x14ac:dyDescent="0.2">
      <c r="D288" s="640" t="str">
        <f>Intv_Ann_TA!D186</f>
        <v>Copperbelt</v>
      </c>
      <c r="J288" s="8">
        <f ca="1">ROUND(MIN(J221,IF(Intv_Ann_TA!$H$182,MAX(0,J248+IFERROR((SUMPRODUCT((J$220:J$229=0)*J$247:J$256)+SUMPRODUCT((J$220:J$229&gt;0)*(J$247:J$256&gt;J$220:J$229)*(J$247:J$256-J$220:J$229)))*J262/J$271,0)),J248)),0)</f>
        <v>823</v>
      </c>
      <c r="K288" s="8">
        <f ca="1">ROUND(MIN(K221,IF(Intv_Ann_TA!$H$182,MAX(0,K248+IFERROR((SUMPRODUCT((K$220:K$229=0)*K$247:K$256)+SUMPRODUCT((K$220:K$229&gt;0)*(K$247:K$256&gt;K$220:K$229)*(K$247:K$256-K$220:K$229)))*K262/K$271,0)),K248)),0)</f>
        <v>823</v>
      </c>
      <c r="L288" s="8">
        <f ca="1">ROUND(MIN(L221,IF(Intv_Ann_TA!$H$182,MAX(0,L248+IFERROR((SUMPRODUCT((L$220:L$229=0)*L$247:L$256)+SUMPRODUCT((L$220:L$229&gt;0)*(L$247:L$256&gt;L$220:L$229)*(L$247:L$256-L$220:L$229)))*L262/L$271,0)),L248)),0)</f>
        <v>823</v>
      </c>
      <c r="M288" s="8">
        <f ca="1">ROUND(MIN(M221,IF(Intv_Ann_TA!$H$182,MAX(0,M248+IFERROR((SUMPRODUCT((M$220:M$229=0)*M$247:M$256)+SUMPRODUCT((M$220:M$229&gt;0)*(M$247:M$256&gt;M$220:M$229)*(M$247:M$256-M$220:M$229)))*M262/M$271,0)),M248)),0)</f>
        <v>823</v>
      </c>
      <c r="N288" s="8">
        <f ca="1">ROUND(MIN(N221,IF(Intv_Ann_TA!$H$182,MAX(0,N248+IFERROR((SUMPRODUCT((N$220:N$229=0)*N$247:N$256)+SUMPRODUCT((N$220:N$229&gt;0)*(N$247:N$256&gt;N$220:N$229)*(N$247:N$256-N$220:N$229)))*N262/N$271,0)),N248)),0)</f>
        <v>823</v>
      </c>
      <c r="O288" s="8">
        <f ca="1">ROUND(MIN(O221,IF(Intv_Ann_TA!$H$182,MAX(0,O248+IFERROR((SUMPRODUCT((O$220:O$229=0)*O$247:O$256)+SUMPRODUCT((O$220:O$229&gt;0)*(O$247:O$256&gt;O$220:O$229)*(O$247:O$256-O$220:O$229)))*O262/O$271,0)),O248)),0)</f>
        <v>823</v>
      </c>
    </row>
    <row r="289" spans="3:15" s="327" customFormat="1" outlineLevel="2" x14ac:dyDescent="0.2">
      <c r="D289" s="640" t="str">
        <f>Intv_Ann_TA!D187</f>
        <v>Eastern</v>
      </c>
      <c r="J289" s="8">
        <f ca="1">ROUND(MIN(J222,IF(Intv_Ann_TA!$H$182,MAX(0,J249+IFERROR((SUMPRODUCT((J$220:J$229=0)*J$247:J$256)+SUMPRODUCT((J$220:J$229&gt;0)*(J$247:J$256&gt;J$220:J$229)*(J$247:J$256-J$220:J$229)))*J263/J$271,0)),J249)),0)</f>
        <v>1061</v>
      </c>
      <c r="K289" s="8">
        <f ca="1">ROUND(MIN(K222,IF(Intv_Ann_TA!$H$182,MAX(0,K249+IFERROR((SUMPRODUCT((K$220:K$229=0)*K$247:K$256)+SUMPRODUCT((K$220:K$229&gt;0)*(K$247:K$256&gt;K$220:K$229)*(K$247:K$256-K$220:K$229)))*K263/K$271,0)),K249)),0)</f>
        <v>1061</v>
      </c>
      <c r="L289" s="8">
        <f ca="1">ROUND(MIN(L222,IF(Intv_Ann_TA!$H$182,MAX(0,L249+IFERROR((SUMPRODUCT((L$220:L$229=0)*L$247:L$256)+SUMPRODUCT((L$220:L$229&gt;0)*(L$247:L$256&gt;L$220:L$229)*(L$247:L$256-L$220:L$229)))*L263/L$271,0)),L249)),0)</f>
        <v>1061</v>
      </c>
      <c r="M289" s="8">
        <f ca="1">ROUND(MIN(M222,IF(Intv_Ann_TA!$H$182,MAX(0,M249+IFERROR((SUMPRODUCT((M$220:M$229=0)*M$247:M$256)+SUMPRODUCT((M$220:M$229&gt;0)*(M$247:M$256&gt;M$220:M$229)*(M$247:M$256-M$220:M$229)))*M263/M$271,0)),M249)),0)</f>
        <v>1061</v>
      </c>
      <c r="N289" s="8">
        <f ca="1">ROUND(MIN(N222,IF(Intv_Ann_TA!$H$182,MAX(0,N249+IFERROR((SUMPRODUCT((N$220:N$229=0)*N$247:N$256)+SUMPRODUCT((N$220:N$229&gt;0)*(N$247:N$256&gt;N$220:N$229)*(N$247:N$256-N$220:N$229)))*N263/N$271,0)),N249)),0)</f>
        <v>1061</v>
      </c>
      <c r="O289" s="8">
        <f ca="1">ROUND(MIN(O222,IF(Intv_Ann_TA!$H$182,MAX(0,O249+IFERROR((SUMPRODUCT((O$220:O$229=0)*O$247:O$256)+SUMPRODUCT((O$220:O$229&gt;0)*(O$247:O$256&gt;O$220:O$229)*(O$247:O$256-O$220:O$229)))*O263/O$271,0)),O249)),0)</f>
        <v>1061</v>
      </c>
    </row>
    <row r="290" spans="3:15" s="327" customFormat="1" outlineLevel="2" x14ac:dyDescent="0.2">
      <c r="D290" s="640" t="str">
        <f>Intv_Ann_TA!D188</f>
        <v>Luapula</v>
      </c>
      <c r="J290" s="8">
        <f ca="1">ROUND(MIN(J223,IF(Intv_Ann_TA!$H$182,MAX(0,J250+IFERROR((SUMPRODUCT((J$220:J$229=0)*J$247:J$256)+SUMPRODUCT((J$220:J$229&gt;0)*(J$247:J$256&gt;J$220:J$229)*(J$247:J$256-J$220:J$229)))*J264/J$271,0)),J250)),0)</f>
        <v>821</v>
      </c>
      <c r="K290" s="8">
        <f ca="1">ROUND(MIN(K223,IF(Intv_Ann_TA!$H$182,MAX(0,K250+IFERROR((SUMPRODUCT((K$220:K$229=0)*K$247:K$256)+SUMPRODUCT((K$220:K$229&gt;0)*(K$247:K$256&gt;K$220:K$229)*(K$247:K$256-K$220:K$229)))*K264/K$271,0)),K250)),0)</f>
        <v>821</v>
      </c>
      <c r="L290" s="8">
        <f ca="1">ROUND(MIN(L223,IF(Intv_Ann_TA!$H$182,MAX(0,L250+IFERROR((SUMPRODUCT((L$220:L$229=0)*L$247:L$256)+SUMPRODUCT((L$220:L$229&gt;0)*(L$247:L$256&gt;L$220:L$229)*(L$247:L$256-L$220:L$229)))*L264/L$271,0)),L250)),0)</f>
        <v>821</v>
      </c>
      <c r="M290" s="8">
        <f ca="1">ROUND(MIN(M223,IF(Intv_Ann_TA!$H$182,MAX(0,M250+IFERROR((SUMPRODUCT((M$220:M$229=0)*M$247:M$256)+SUMPRODUCT((M$220:M$229&gt;0)*(M$247:M$256&gt;M$220:M$229)*(M$247:M$256-M$220:M$229)))*M264/M$271,0)),M250)),0)</f>
        <v>821</v>
      </c>
      <c r="N290" s="8">
        <f ca="1">ROUND(MIN(N223,IF(Intv_Ann_TA!$H$182,MAX(0,N250+IFERROR((SUMPRODUCT((N$220:N$229=0)*N$247:N$256)+SUMPRODUCT((N$220:N$229&gt;0)*(N$247:N$256&gt;N$220:N$229)*(N$247:N$256-N$220:N$229)))*N264/N$271,0)),N250)),0)</f>
        <v>821</v>
      </c>
      <c r="O290" s="8">
        <f ca="1">ROUND(MIN(O223,IF(Intv_Ann_TA!$H$182,MAX(0,O250+IFERROR((SUMPRODUCT((O$220:O$229=0)*O$247:O$256)+SUMPRODUCT((O$220:O$229&gt;0)*(O$247:O$256&gt;O$220:O$229)*(O$247:O$256-O$220:O$229)))*O264/O$271,0)),O250)),0)</f>
        <v>821</v>
      </c>
    </row>
    <row r="291" spans="3:15" s="327" customFormat="1" outlineLevel="2" x14ac:dyDescent="0.2">
      <c r="D291" s="640" t="str">
        <f>Intv_Ann_TA!D189</f>
        <v>Lusaka</v>
      </c>
      <c r="J291" s="8">
        <f ca="1">ROUND(MIN(J224,IF(Intv_Ann_TA!$H$182,MAX(0,J251+IFERROR((SUMPRODUCT((J$220:J$229=0)*J$247:J$256)+SUMPRODUCT((J$220:J$229&gt;0)*(J$247:J$256&gt;J$220:J$229)*(J$247:J$256-J$220:J$229)))*J265/J$271,0)),J251)),0)</f>
        <v>2961</v>
      </c>
      <c r="K291" s="8">
        <f ca="1">ROUND(MIN(K224,IF(Intv_Ann_TA!$H$182,MAX(0,K251+IFERROR((SUMPRODUCT((K$220:K$229=0)*K$247:K$256)+SUMPRODUCT((K$220:K$229&gt;0)*(K$247:K$256&gt;K$220:K$229)*(K$247:K$256-K$220:K$229)))*K265/K$271,0)),K251)),0)</f>
        <v>2961</v>
      </c>
      <c r="L291" s="8">
        <f ca="1">ROUND(MIN(L224,IF(Intv_Ann_TA!$H$182,MAX(0,L251+IFERROR((SUMPRODUCT((L$220:L$229=0)*L$247:L$256)+SUMPRODUCT((L$220:L$229&gt;0)*(L$247:L$256&gt;L$220:L$229)*(L$247:L$256-L$220:L$229)))*L265/L$271,0)),L251)),0)</f>
        <v>2961</v>
      </c>
      <c r="M291" s="8">
        <f ca="1">ROUND(MIN(M224,IF(Intv_Ann_TA!$H$182,MAX(0,M251+IFERROR((SUMPRODUCT((M$220:M$229=0)*M$247:M$256)+SUMPRODUCT((M$220:M$229&gt;0)*(M$247:M$256&gt;M$220:M$229)*(M$247:M$256-M$220:M$229)))*M265/M$271,0)),M251)),0)</f>
        <v>2961</v>
      </c>
      <c r="N291" s="8">
        <f ca="1">ROUND(MIN(N224,IF(Intv_Ann_TA!$H$182,MAX(0,N251+IFERROR((SUMPRODUCT((N$220:N$229=0)*N$247:N$256)+SUMPRODUCT((N$220:N$229&gt;0)*(N$247:N$256&gt;N$220:N$229)*(N$247:N$256-N$220:N$229)))*N265/N$271,0)),N251)),0)</f>
        <v>2961</v>
      </c>
      <c r="O291" s="8">
        <f ca="1">ROUND(MIN(O224,IF(Intv_Ann_TA!$H$182,MAX(0,O251+IFERROR((SUMPRODUCT((O$220:O$229=0)*O$247:O$256)+SUMPRODUCT((O$220:O$229&gt;0)*(O$247:O$256&gt;O$220:O$229)*(O$247:O$256-O$220:O$229)))*O265/O$271,0)),O251)),0)</f>
        <v>2961</v>
      </c>
    </row>
    <row r="292" spans="3:15" s="327" customFormat="1" outlineLevel="2" x14ac:dyDescent="0.2">
      <c r="D292" s="640" t="str">
        <f>Intv_Ann_TA!D190</f>
        <v>Muchinga</v>
      </c>
      <c r="J292" s="8">
        <f ca="1">ROUND(MIN(J225,IF(Intv_Ann_TA!$H$182,MAX(0,J252+IFERROR((SUMPRODUCT((J$220:J$229=0)*J$247:J$256)+SUMPRODUCT((J$220:J$229&gt;0)*(J$247:J$256&gt;J$220:J$229)*(J$247:J$256-J$220:J$229)))*J266/J$271,0)),J252)),0)</f>
        <v>0</v>
      </c>
      <c r="K292" s="8">
        <f ca="1">ROUND(MIN(K225,IF(Intv_Ann_TA!$H$182,MAX(0,K252+IFERROR((SUMPRODUCT((K$220:K$229=0)*K$247:K$256)+SUMPRODUCT((K$220:K$229&gt;0)*(K$247:K$256&gt;K$220:K$229)*(K$247:K$256-K$220:K$229)))*K266/K$271,0)),K252)),0)</f>
        <v>0</v>
      </c>
      <c r="L292" s="8">
        <f ca="1">ROUND(MIN(L225,IF(Intv_Ann_TA!$H$182,MAX(0,L252+IFERROR((SUMPRODUCT((L$220:L$229=0)*L$247:L$256)+SUMPRODUCT((L$220:L$229&gt;0)*(L$247:L$256&gt;L$220:L$229)*(L$247:L$256-L$220:L$229)))*L266/L$271,0)),L252)),0)</f>
        <v>0</v>
      </c>
      <c r="M292" s="8">
        <f ca="1">ROUND(MIN(M225,IF(Intv_Ann_TA!$H$182,MAX(0,M252+IFERROR((SUMPRODUCT((M$220:M$229=0)*M$247:M$256)+SUMPRODUCT((M$220:M$229&gt;0)*(M$247:M$256&gt;M$220:M$229)*(M$247:M$256-M$220:M$229)))*M266/M$271,0)),M252)),0)</f>
        <v>0</v>
      </c>
      <c r="N292" s="8">
        <f ca="1">ROUND(MIN(N225,IF(Intv_Ann_TA!$H$182,MAX(0,N252+IFERROR((SUMPRODUCT((N$220:N$229=0)*N$247:N$256)+SUMPRODUCT((N$220:N$229&gt;0)*(N$247:N$256&gt;N$220:N$229)*(N$247:N$256-N$220:N$229)))*N266/N$271,0)),N252)),0)</f>
        <v>0</v>
      </c>
      <c r="O292" s="8">
        <f ca="1">ROUND(MIN(O225,IF(Intv_Ann_TA!$H$182,MAX(0,O252+IFERROR((SUMPRODUCT((O$220:O$229=0)*O$247:O$256)+SUMPRODUCT((O$220:O$229&gt;0)*(O$247:O$256&gt;O$220:O$229)*(O$247:O$256-O$220:O$229)))*O266/O$271,0)),O252)),0)</f>
        <v>0</v>
      </c>
    </row>
    <row r="293" spans="3:15" s="327" customFormat="1" outlineLevel="2" x14ac:dyDescent="0.2">
      <c r="D293" s="640" t="str">
        <f>Intv_Ann_TA!D191</f>
        <v>Northern</v>
      </c>
      <c r="J293" s="8">
        <f ca="1">ROUND(MIN(J226,IF(Intv_Ann_TA!$H$182,MAX(0,J253+IFERROR((SUMPRODUCT((J$220:J$229=0)*J$247:J$256)+SUMPRODUCT((J$220:J$229&gt;0)*(J$247:J$256&gt;J$220:J$229)*(J$247:J$256-J$220:J$229)))*J267/J$271,0)),J253)),0)</f>
        <v>293</v>
      </c>
      <c r="K293" s="8">
        <f ca="1">ROUND(MIN(K226,IF(Intv_Ann_TA!$H$182,MAX(0,K253+IFERROR((SUMPRODUCT((K$220:K$229=0)*K$247:K$256)+SUMPRODUCT((K$220:K$229&gt;0)*(K$247:K$256&gt;K$220:K$229)*(K$247:K$256-K$220:K$229)))*K267/K$271,0)),K253)),0)</f>
        <v>293</v>
      </c>
      <c r="L293" s="8">
        <f ca="1">ROUND(MIN(L226,IF(Intv_Ann_TA!$H$182,MAX(0,L253+IFERROR((SUMPRODUCT((L$220:L$229=0)*L$247:L$256)+SUMPRODUCT((L$220:L$229&gt;0)*(L$247:L$256&gt;L$220:L$229)*(L$247:L$256-L$220:L$229)))*L267/L$271,0)),L253)),0)</f>
        <v>293</v>
      </c>
      <c r="M293" s="8">
        <f ca="1">ROUND(MIN(M226,IF(Intv_Ann_TA!$H$182,MAX(0,M253+IFERROR((SUMPRODUCT((M$220:M$229=0)*M$247:M$256)+SUMPRODUCT((M$220:M$229&gt;0)*(M$247:M$256&gt;M$220:M$229)*(M$247:M$256-M$220:M$229)))*M267/M$271,0)),M253)),0)</f>
        <v>293</v>
      </c>
      <c r="N293" s="8">
        <f ca="1">ROUND(MIN(N226,IF(Intv_Ann_TA!$H$182,MAX(0,N253+IFERROR((SUMPRODUCT((N$220:N$229=0)*N$247:N$256)+SUMPRODUCT((N$220:N$229&gt;0)*(N$247:N$256&gt;N$220:N$229)*(N$247:N$256-N$220:N$229)))*N267/N$271,0)),N253)),0)</f>
        <v>293</v>
      </c>
      <c r="O293" s="8">
        <f ca="1">ROUND(MIN(O226,IF(Intv_Ann_TA!$H$182,MAX(0,O253+IFERROR((SUMPRODUCT((O$220:O$229=0)*O$247:O$256)+SUMPRODUCT((O$220:O$229&gt;0)*(O$247:O$256&gt;O$220:O$229)*(O$247:O$256-O$220:O$229)))*O267/O$271,0)),O253)),0)</f>
        <v>293</v>
      </c>
    </row>
    <row r="294" spans="3:15" s="327" customFormat="1" outlineLevel="2" x14ac:dyDescent="0.2">
      <c r="D294" s="640" t="str">
        <f>Intv_Ann_TA!D192</f>
        <v>North-Western</v>
      </c>
      <c r="J294" s="8">
        <f ca="1">ROUND(MIN(J227,IF(Intv_Ann_TA!$H$182,MAX(0,J254+IFERROR((SUMPRODUCT((J$220:J$229=0)*J$247:J$256)+SUMPRODUCT((J$220:J$229&gt;0)*(J$247:J$256&gt;J$220:J$229)*(J$247:J$256-J$220:J$229)))*J268/J$271,0)),J254)),0)</f>
        <v>349</v>
      </c>
      <c r="K294" s="8">
        <f ca="1">ROUND(MIN(K227,IF(Intv_Ann_TA!$H$182,MAX(0,K254+IFERROR((SUMPRODUCT((K$220:K$229=0)*K$247:K$256)+SUMPRODUCT((K$220:K$229&gt;0)*(K$247:K$256&gt;K$220:K$229)*(K$247:K$256-K$220:K$229)))*K268/K$271,0)),K254)),0)</f>
        <v>349</v>
      </c>
      <c r="L294" s="8">
        <f ca="1">ROUND(MIN(L227,IF(Intv_Ann_TA!$H$182,MAX(0,L254+IFERROR((SUMPRODUCT((L$220:L$229=0)*L$247:L$256)+SUMPRODUCT((L$220:L$229&gt;0)*(L$247:L$256&gt;L$220:L$229)*(L$247:L$256-L$220:L$229)))*L268/L$271,0)),L254)),0)</f>
        <v>349</v>
      </c>
      <c r="M294" s="8">
        <f ca="1">ROUND(MIN(M227,IF(Intv_Ann_TA!$H$182,MAX(0,M254+IFERROR((SUMPRODUCT((M$220:M$229=0)*M$247:M$256)+SUMPRODUCT((M$220:M$229&gt;0)*(M$247:M$256&gt;M$220:M$229)*(M$247:M$256-M$220:M$229)))*M268/M$271,0)),M254)),0)</f>
        <v>349</v>
      </c>
      <c r="N294" s="8">
        <f ca="1">ROUND(MIN(N227,IF(Intv_Ann_TA!$H$182,MAX(0,N254+IFERROR((SUMPRODUCT((N$220:N$229=0)*N$247:N$256)+SUMPRODUCT((N$220:N$229&gt;0)*(N$247:N$256&gt;N$220:N$229)*(N$247:N$256-N$220:N$229)))*N268/N$271,0)),N254)),0)</f>
        <v>349</v>
      </c>
      <c r="O294" s="8">
        <f ca="1">ROUND(MIN(O227,IF(Intv_Ann_TA!$H$182,MAX(0,O254+IFERROR((SUMPRODUCT((O$220:O$229=0)*O$247:O$256)+SUMPRODUCT((O$220:O$229&gt;0)*(O$247:O$256&gt;O$220:O$229)*(O$247:O$256-O$220:O$229)))*O268/O$271,0)),O254)),0)</f>
        <v>349</v>
      </c>
    </row>
    <row r="295" spans="3:15" s="327" customFormat="1" outlineLevel="2" x14ac:dyDescent="0.2">
      <c r="D295" s="640" t="str">
        <f>Intv_Ann_TA!D193</f>
        <v>Southern</v>
      </c>
      <c r="J295" s="8">
        <f ca="1">ROUND(MIN(J228,IF(Intv_Ann_TA!$H$182,MAX(0,J255+IFERROR((SUMPRODUCT((J$220:J$229=0)*J$247:J$256)+SUMPRODUCT((J$220:J$229&gt;0)*(J$247:J$256&gt;J$220:J$229)*(J$247:J$256-J$220:J$229)))*J269/J$271,0)),J255)),0)</f>
        <v>823</v>
      </c>
      <c r="K295" s="8">
        <f ca="1">ROUND(MIN(K228,IF(Intv_Ann_TA!$H$182,MAX(0,K255+IFERROR((SUMPRODUCT((K$220:K$229=0)*K$247:K$256)+SUMPRODUCT((K$220:K$229&gt;0)*(K$247:K$256&gt;K$220:K$229)*(K$247:K$256-K$220:K$229)))*K269/K$271,0)),K255)),0)</f>
        <v>823</v>
      </c>
      <c r="L295" s="8">
        <f ca="1">ROUND(MIN(L228,IF(Intv_Ann_TA!$H$182,MAX(0,L255+IFERROR((SUMPRODUCT((L$220:L$229=0)*L$247:L$256)+SUMPRODUCT((L$220:L$229&gt;0)*(L$247:L$256&gt;L$220:L$229)*(L$247:L$256-L$220:L$229)))*L269/L$271,0)),L255)),0)</f>
        <v>823</v>
      </c>
      <c r="M295" s="8">
        <f ca="1">ROUND(MIN(M228,IF(Intv_Ann_TA!$H$182,MAX(0,M255+IFERROR((SUMPRODUCT((M$220:M$229=0)*M$247:M$256)+SUMPRODUCT((M$220:M$229&gt;0)*(M$247:M$256&gt;M$220:M$229)*(M$247:M$256-M$220:M$229)))*M269/M$271,0)),M255)),0)</f>
        <v>823</v>
      </c>
      <c r="N295" s="8">
        <f ca="1">ROUND(MIN(N228,IF(Intv_Ann_TA!$H$182,MAX(0,N255+IFERROR((SUMPRODUCT((N$220:N$229=0)*N$247:N$256)+SUMPRODUCT((N$220:N$229&gt;0)*(N$247:N$256&gt;N$220:N$229)*(N$247:N$256-N$220:N$229)))*N269/N$271,0)),N255)),0)</f>
        <v>823</v>
      </c>
      <c r="O295" s="8">
        <f ca="1">ROUND(MIN(O228,IF(Intv_Ann_TA!$H$182,MAX(0,O255+IFERROR((SUMPRODUCT((O$220:O$229=0)*O$247:O$256)+SUMPRODUCT((O$220:O$229&gt;0)*(O$247:O$256&gt;O$220:O$229)*(O$247:O$256-O$220:O$229)))*O269/O$271,0)),O255)),0)</f>
        <v>823</v>
      </c>
    </row>
    <row r="296" spans="3:15" s="327" customFormat="1" outlineLevel="2" x14ac:dyDescent="0.2">
      <c r="D296" s="640" t="str">
        <f>Intv_Ann_TA!D194</f>
        <v>Western</v>
      </c>
      <c r="J296" s="9">
        <f ca="1">ROUND(MIN(J229,IF(Intv_Ann_TA!$H$182,MAX(0,J256+IFERROR((SUMPRODUCT((J$220:J$229=0)*J$247:J$256)+SUMPRODUCT((J$220:J$229&gt;0)*(J$247:J$256&gt;J$220:J$229)*(J$247:J$256-J$220:J$229)))*J270/J$271,0)),J256)),0)</f>
        <v>823</v>
      </c>
      <c r="K296" s="9">
        <f ca="1">ROUND(MIN(K229,IF(Intv_Ann_TA!$H$182,MAX(0,K256+IFERROR((SUMPRODUCT((K$220:K$229=0)*K$247:K$256)+SUMPRODUCT((K$220:K$229&gt;0)*(K$247:K$256&gt;K$220:K$229)*(K$247:K$256-K$220:K$229)))*K270/K$271,0)),K256)),0)</f>
        <v>823</v>
      </c>
      <c r="L296" s="9">
        <f ca="1">ROUND(MIN(L229,IF(Intv_Ann_TA!$H$182,MAX(0,L256+IFERROR((SUMPRODUCT((L$220:L$229=0)*L$247:L$256)+SUMPRODUCT((L$220:L$229&gt;0)*(L$247:L$256&gt;L$220:L$229)*(L$247:L$256-L$220:L$229)))*L270/L$271,0)),L256)),0)</f>
        <v>823</v>
      </c>
      <c r="M296" s="9">
        <f ca="1">ROUND(MIN(M229,IF(Intv_Ann_TA!$H$182,MAX(0,M256+IFERROR((SUMPRODUCT((M$220:M$229=0)*M$247:M$256)+SUMPRODUCT((M$220:M$229&gt;0)*(M$247:M$256&gt;M$220:M$229)*(M$247:M$256-M$220:M$229)))*M270/M$271,0)),M256)),0)</f>
        <v>823</v>
      </c>
      <c r="N296" s="9">
        <f ca="1">ROUND(MIN(N229,IF(Intv_Ann_TA!$H$182,MAX(0,N256+IFERROR((SUMPRODUCT((N$220:N$229=0)*N$247:N$256)+SUMPRODUCT((N$220:N$229&gt;0)*(N$247:N$256&gt;N$220:N$229)*(N$247:N$256-N$220:N$229)))*N270/N$271,0)),N256)),0)</f>
        <v>823</v>
      </c>
      <c r="O296" s="9">
        <f ca="1">ROUND(MIN(O229,IF(Intv_Ann_TA!$H$182,MAX(0,O256+IFERROR((SUMPRODUCT((O$220:O$229=0)*O$247:O$256)+SUMPRODUCT((O$220:O$229&gt;0)*(O$247:O$256&gt;O$220:O$229)*(O$247:O$256-O$220:O$229)))*O270/O$271,0)),O256)),0)</f>
        <v>823</v>
      </c>
    </row>
    <row r="297" spans="3:15" s="327" customFormat="1" x14ac:dyDescent="0.2">
      <c r="D297" s="639" t="str">
        <f>"Total "&amp;D286&amp;" ("&amp;Intv_BA!G10&amp;")"</f>
        <v>Total Number of Procedures Performed (Cryo -SV)</v>
      </c>
      <c r="H297" s="640" t="str">
        <f>Intv_BA!G10</f>
        <v>Cryo -SV</v>
      </c>
      <c r="J297" s="25">
        <f t="shared" ref="J297:O297" ca="1" si="28">SUM(J287:J296)</f>
        <v>8541</v>
      </c>
      <c r="K297" s="25">
        <f t="shared" ca="1" si="28"/>
        <v>8541</v>
      </c>
      <c r="L297" s="25">
        <f t="shared" ca="1" si="28"/>
        <v>8541</v>
      </c>
      <c r="M297" s="25">
        <f t="shared" ca="1" si="28"/>
        <v>8541</v>
      </c>
      <c r="N297" s="25">
        <f t="shared" ca="1" si="28"/>
        <v>8541</v>
      </c>
      <c r="O297" s="25">
        <f t="shared" ca="1" si="28"/>
        <v>8541</v>
      </c>
    </row>
    <row r="298" spans="3:15" s="327" customFormat="1" x14ac:dyDescent="0.2"/>
    <row r="299" spans="3:15" s="327" customFormat="1" ht="15.75" x14ac:dyDescent="0.2">
      <c r="C299" s="26" t="str">
        <f>"Expected Costs ("&amp;INDEX(LU_Intv_Denom,DD_TS_Denom)&amp;")"</f>
        <v>Expected Costs (USD)</v>
      </c>
    </row>
    <row r="300" spans="3:15" s="327" customFormat="1" x14ac:dyDescent="0.2"/>
    <row r="301" spans="3:15" s="327" customFormat="1" ht="15" outlineLevel="2" x14ac:dyDescent="0.2">
      <c r="D301" s="638" t="s">
        <v>105</v>
      </c>
    </row>
    <row r="302" spans="3:15" s="327" customFormat="1" ht="10.5" customHeight="1" outlineLevel="2" x14ac:dyDescent="0.2">
      <c r="D302" s="640" t="str">
        <f>Intv_BA!D165</f>
        <v>Central</v>
      </c>
      <c r="J302" s="8">
        <f ca="1">J287*Intv_BA!$M$122/TS_Denom_Conv_Fact</f>
        <v>22026.78366666667</v>
      </c>
      <c r="K302" s="8">
        <f ca="1">K287*Intv_BA!$M$122/TS_Denom_Conv_Fact</f>
        <v>22026.78366666667</v>
      </c>
      <c r="L302" s="8">
        <f ca="1">L287*Intv_BA!$M$122/TS_Denom_Conv_Fact</f>
        <v>22026.78366666667</v>
      </c>
      <c r="M302" s="8">
        <f ca="1">M287*Intv_BA!$M$122/TS_Denom_Conv_Fact</f>
        <v>22026.78366666667</v>
      </c>
      <c r="N302" s="8">
        <f ca="1">N287*Intv_BA!$M$122/TS_Denom_Conv_Fact</f>
        <v>22026.78366666667</v>
      </c>
      <c r="O302" s="8">
        <f ca="1">O287*Intv_BA!$M$122/TS_Denom_Conv_Fact</f>
        <v>22026.78366666667</v>
      </c>
    </row>
    <row r="303" spans="3:15" s="327" customFormat="1" ht="12.95" customHeight="1" outlineLevel="2" x14ac:dyDescent="0.2">
      <c r="D303" s="640" t="str">
        <f>Intv_BA!D166</f>
        <v>Copperbelt</v>
      </c>
      <c r="J303" s="8">
        <f ca="1">J288*Intv_BA!$M$122/TS_Denom_Conv_Fact</f>
        <v>30882.526333333339</v>
      </c>
      <c r="K303" s="8">
        <f ca="1">K288*Intv_BA!$M$122/TS_Denom_Conv_Fact</f>
        <v>30882.526333333339</v>
      </c>
      <c r="L303" s="8">
        <f ca="1">L288*Intv_BA!$M$122/TS_Denom_Conv_Fact</f>
        <v>30882.526333333339</v>
      </c>
      <c r="M303" s="8">
        <f ca="1">M288*Intv_BA!$M$122/TS_Denom_Conv_Fact</f>
        <v>30882.526333333339</v>
      </c>
      <c r="N303" s="8">
        <f ca="1">N288*Intv_BA!$M$122/TS_Denom_Conv_Fact</f>
        <v>30882.526333333339</v>
      </c>
      <c r="O303" s="8">
        <f ca="1">O288*Intv_BA!$M$122/TS_Denom_Conv_Fact</f>
        <v>30882.526333333339</v>
      </c>
    </row>
    <row r="304" spans="3:15" s="327" customFormat="1" ht="12.95" customHeight="1" outlineLevel="2" x14ac:dyDescent="0.2">
      <c r="D304" s="640" t="str">
        <f>Intv_BA!D167</f>
        <v>Eastern</v>
      </c>
      <c r="J304" s="8">
        <f ca="1">J289*Intv_BA!$M$122/TS_Denom_Conv_Fact</f>
        <v>39813.31766666667</v>
      </c>
      <c r="K304" s="8">
        <f ca="1">K289*Intv_BA!$M$122/TS_Denom_Conv_Fact</f>
        <v>39813.31766666667</v>
      </c>
      <c r="L304" s="8">
        <f ca="1">L289*Intv_BA!$M$122/TS_Denom_Conv_Fact</f>
        <v>39813.31766666667</v>
      </c>
      <c r="M304" s="8">
        <f ca="1">M289*Intv_BA!$M$122/TS_Denom_Conv_Fact</f>
        <v>39813.31766666667</v>
      </c>
      <c r="N304" s="8">
        <f ca="1">N289*Intv_BA!$M$122/TS_Denom_Conv_Fact</f>
        <v>39813.31766666667</v>
      </c>
      <c r="O304" s="8">
        <f ca="1">O289*Intv_BA!$M$122/TS_Denom_Conv_Fact</f>
        <v>39813.31766666667</v>
      </c>
    </row>
    <row r="305" spans="4:15" s="327" customFormat="1" ht="10.5" customHeight="1" outlineLevel="2" x14ac:dyDescent="0.2">
      <c r="D305" s="640" t="str">
        <f>Intv_BA!D168</f>
        <v>Luapula</v>
      </c>
      <c r="J305" s="8">
        <f ca="1">J290*Intv_BA!$M$122/TS_Denom_Conv_Fact</f>
        <v>30807.477666666669</v>
      </c>
      <c r="K305" s="8">
        <f ca="1">K290*Intv_BA!$M$122/TS_Denom_Conv_Fact</f>
        <v>30807.477666666669</v>
      </c>
      <c r="L305" s="8">
        <f ca="1">L290*Intv_BA!$M$122/TS_Denom_Conv_Fact</f>
        <v>30807.477666666669</v>
      </c>
      <c r="M305" s="8">
        <f ca="1">M290*Intv_BA!$M$122/TS_Denom_Conv_Fact</f>
        <v>30807.477666666669</v>
      </c>
      <c r="N305" s="8">
        <f ca="1">N290*Intv_BA!$M$122/TS_Denom_Conv_Fact</f>
        <v>30807.477666666669</v>
      </c>
      <c r="O305" s="8">
        <f ca="1">O290*Intv_BA!$M$122/TS_Denom_Conv_Fact</f>
        <v>30807.477666666669</v>
      </c>
    </row>
    <row r="306" spans="4:15" s="327" customFormat="1" ht="10.5" customHeight="1" outlineLevel="2" x14ac:dyDescent="0.2">
      <c r="D306" s="640" t="str">
        <f>Intv_BA!D169</f>
        <v>Lusaka</v>
      </c>
      <c r="J306" s="8">
        <f ca="1">J291*Intv_BA!$M$122/TS_Denom_Conv_Fact</f>
        <v>111109.55100000002</v>
      </c>
      <c r="K306" s="8">
        <f ca="1">K291*Intv_BA!$M$122/TS_Denom_Conv_Fact</f>
        <v>111109.55100000002</v>
      </c>
      <c r="L306" s="8">
        <f ca="1">L291*Intv_BA!$M$122/TS_Denom_Conv_Fact</f>
        <v>111109.55100000002</v>
      </c>
      <c r="M306" s="8">
        <f ca="1">M291*Intv_BA!$M$122/TS_Denom_Conv_Fact</f>
        <v>111109.55100000002</v>
      </c>
      <c r="N306" s="8">
        <f ca="1">N291*Intv_BA!$M$122/TS_Denom_Conv_Fact</f>
        <v>111109.55100000002</v>
      </c>
      <c r="O306" s="8">
        <f ca="1">O291*Intv_BA!$M$122/TS_Denom_Conv_Fact</f>
        <v>111109.55100000002</v>
      </c>
    </row>
    <row r="307" spans="4:15" s="327" customFormat="1" ht="12.75" customHeight="1" outlineLevel="2" x14ac:dyDescent="0.2">
      <c r="D307" s="640" t="str">
        <f>Intv_BA!D170</f>
        <v>Muchinga</v>
      </c>
      <c r="J307" s="8">
        <f ca="1">J292*Intv_BA!$M$122/TS_Denom_Conv_Fact</f>
        <v>0</v>
      </c>
      <c r="K307" s="8">
        <f ca="1">K292*Intv_BA!$M$122/TS_Denom_Conv_Fact</f>
        <v>0</v>
      </c>
      <c r="L307" s="8">
        <f ca="1">L292*Intv_BA!$M$122/TS_Denom_Conv_Fact</f>
        <v>0</v>
      </c>
      <c r="M307" s="8">
        <f ca="1">M292*Intv_BA!$M$122/TS_Denom_Conv_Fact</f>
        <v>0</v>
      </c>
      <c r="N307" s="8">
        <f ca="1">N292*Intv_BA!$M$122/TS_Denom_Conv_Fact</f>
        <v>0</v>
      </c>
      <c r="O307" s="8">
        <f ca="1">O292*Intv_BA!$M$122/TS_Denom_Conv_Fact</f>
        <v>0</v>
      </c>
    </row>
    <row r="308" spans="4:15" s="327" customFormat="1" ht="12.75" customHeight="1" outlineLevel="2" x14ac:dyDescent="0.2">
      <c r="D308" s="640" t="str">
        <f>Intv_BA!D171</f>
        <v>Northern</v>
      </c>
      <c r="J308" s="8">
        <f ca="1">J293*Intv_BA!$M$122/TS_Denom_Conv_Fact</f>
        <v>10994.629666666668</v>
      </c>
      <c r="K308" s="8">
        <f ca="1">K293*Intv_BA!$M$122/TS_Denom_Conv_Fact</f>
        <v>10994.629666666668</v>
      </c>
      <c r="L308" s="8">
        <f ca="1">L293*Intv_BA!$M$122/TS_Denom_Conv_Fact</f>
        <v>10994.629666666668</v>
      </c>
      <c r="M308" s="8">
        <f ca="1">M293*Intv_BA!$M$122/TS_Denom_Conv_Fact</f>
        <v>10994.629666666668</v>
      </c>
      <c r="N308" s="8">
        <f ca="1">N293*Intv_BA!$M$122/TS_Denom_Conv_Fact</f>
        <v>10994.629666666668</v>
      </c>
      <c r="O308" s="8">
        <f ca="1">O293*Intv_BA!$M$122/TS_Denom_Conv_Fact</f>
        <v>10994.629666666668</v>
      </c>
    </row>
    <row r="309" spans="4:15" s="327" customFormat="1" ht="12.75" customHeight="1" outlineLevel="2" x14ac:dyDescent="0.2">
      <c r="D309" s="640" t="str">
        <f>Intv_BA!D172</f>
        <v>North-Western</v>
      </c>
      <c r="J309" s="8">
        <f ca="1">J294*Intv_BA!$M$122/TS_Denom_Conv_Fact</f>
        <v>13095.992333333335</v>
      </c>
      <c r="K309" s="8">
        <f ca="1">K294*Intv_BA!$M$122/TS_Denom_Conv_Fact</f>
        <v>13095.992333333335</v>
      </c>
      <c r="L309" s="8">
        <f ca="1">L294*Intv_BA!$M$122/TS_Denom_Conv_Fact</f>
        <v>13095.992333333335</v>
      </c>
      <c r="M309" s="8">
        <f ca="1">M294*Intv_BA!$M$122/TS_Denom_Conv_Fact</f>
        <v>13095.992333333335</v>
      </c>
      <c r="N309" s="8">
        <f ca="1">N294*Intv_BA!$M$122/TS_Denom_Conv_Fact</f>
        <v>13095.992333333335</v>
      </c>
      <c r="O309" s="8">
        <f ca="1">O294*Intv_BA!$M$122/TS_Denom_Conv_Fact</f>
        <v>13095.992333333335</v>
      </c>
    </row>
    <row r="310" spans="4:15" s="327" customFormat="1" ht="12.75" customHeight="1" outlineLevel="2" x14ac:dyDescent="0.2">
      <c r="D310" s="640" t="str">
        <f>Intv_BA!D173</f>
        <v>Southern</v>
      </c>
      <c r="J310" s="8">
        <f ca="1">J295*Intv_BA!$M$122/TS_Denom_Conv_Fact</f>
        <v>30882.526333333339</v>
      </c>
      <c r="K310" s="8">
        <f ca="1">K295*Intv_BA!$M$122/TS_Denom_Conv_Fact</f>
        <v>30882.526333333339</v>
      </c>
      <c r="L310" s="8">
        <f ca="1">L295*Intv_BA!$M$122/TS_Denom_Conv_Fact</f>
        <v>30882.526333333339</v>
      </c>
      <c r="M310" s="8">
        <f ca="1">M295*Intv_BA!$M$122/TS_Denom_Conv_Fact</f>
        <v>30882.526333333339</v>
      </c>
      <c r="N310" s="8">
        <f ca="1">N295*Intv_BA!$M$122/TS_Denom_Conv_Fact</f>
        <v>30882.526333333339</v>
      </c>
      <c r="O310" s="8">
        <f ca="1">O295*Intv_BA!$M$122/TS_Denom_Conv_Fact</f>
        <v>30882.526333333339</v>
      </c>
    </row>
    <row r="311" spans="4:15" s="327" customFormat="1" ht="12.75" customHeight="1" outlineLevel="2" x14ac:dyDescent="0.2">
      <c r="D311" s="640" t="str">
        <f>Intv_BA!D174</f>
        <v>Western</v>
      </c>
      <c r="J311" s="9">
        <f ca="1">J296*Intv_BA!$M$122/TS_Denom_Conv_Fact</f>
        <v>30882.526333333339</v>
      </c>
      <c r="K311" s="9">
        <f ca="1">K296*Intv_BA!$M$122/TS_Denom_Conv_Fact</f>
        <v>30882.526333333339</v>
      </c>
      <c r="L311" s="9">
        <f ca="1">L296*Intv_BA!$M$122/TS_Denom_Conv_Fact</f>
        <v>30882.526333333339</v>
      </c>
      <c r="M311" s="9">
        <f ca="1">M296*Intv_BA!$M$122/TS_Denom_Conv_Fact</f>
        <v>30882.526333333339</v>
      </c>
      <c r="N311" s="9">
        <f ca="1">N296*Intv_BA!$M$122/TS_Denom_Conv_Fact</f>
        <v>30882.526333333339</v>
      </c>
      <c r="O311" s="9">
        <f ca="1">O296*Intv_BA!$M$122/TS_Denom_Conv_Fact</f>
        <v>30882.526333333339</v>
      </c>
    </row>
    <row r="312" spans="4:15" s="327" customFormat="1" x14ac:dyDescent="0.2">
      <c r="D312" s="639" t="str">
        <f>"Total "&amp;D301&amp;" ("&amp;INDEX(LU_Intv_Denom,DD_TS_Denom)&amp;")"</f>
        <v>Total Supply Costs (USD)</v>
      </c>
      <c r="J312" s="5">
        <f t="shared" ref="J312:O312" ca="1" si="29">SUM(J302:J311)</f>
        <v>320495.33100000006</v>
      </c>
      <c r="K312" s="5">
        <f t="shared" ca="1" si="29"/>
        <v>320495.33100000006</v>
      </c>
      <c r="L312" s="5">
        <f t="shared" ca="1" si="29"/>
        <v>320495.33100000006</v>
      </c>
      <c r="M312" s="5">
        <f t="shared" ca="1" si="29"/>
        <v>320495.33100000006</v>
      </c>
      <c r="N312" s="5">
        <f t="shared" ca="1" si="29"/>
        <v>320495.33100000006</v>
      </c>
      <c r="O312" s="5">
        <f t="shared" ca="1" si="29"/>
        <v>320495.33100000006</v>
      </c>
    </row>
    <row r="313" spans="4:15" s="327" customFormat="1" outlineLevel="2" x14ac:dyDescent="0.2"/>
    <row r="314" spans="4:15" s="327" customFormat="1" ht="15" outlineLevel="2" x14ac:dyDescent="0.2">
      <c r="D314" s="638" t="s">
        <v>288</v>
      </c>
    </row>
    <row r="315" spans="4:15" s="327" customFormat="1" outlineLevel="2" x14ac:dyDescent="0.2">
      <c r="D315" s="640" t="str">
        <f>Intv_BA!D165</f>
        <v>Central</v>
      </c>
      <c r="J315" s="8">
        <f ca="1">Intv_BA!$O$90*J287*J206/TS_Denom_Conv_Fact</f>
        <v>83.816090078328955</v>
      </c>
      <c r="K315" s="8">
        <f ca="1">Intv_BA!$O$90*K287*K206/TS_Denom_Conv_Fact</f>
        <v>83.816090078328955</v>
      </c>
      <c r="L315" s="8">
        <f ca="1">Intv_BA!$O$90*L287*L206/TS_Denom_Conv_Fact</f>
        <v>83.816090078328955</v>
      </c>
      <c r="M315" s="8">
        <f ca="1">Intv_BA!$O$90*M287*M206/TS_Denom_Conv_Fact</f>
        <v>83.816090078328955</v>
      </c>
      <c r="N315" s="8">
        <f ca="1">Intv_BA!$O$90*N287*N206/TS_Denom_Conv_Fact</f>
        <v>83.816090078328955</v>
      </c>
      <c r="O315" s="8">
        <f ca="1">Intv_BA!$O$90*O287*O206/TS_Denom_Conv_Fact</f>
        <v>83.816090078328955</v>
      </c>
    </row>
    <row r="316" spans="4:15" s="327" customFormat="1" outlineLevel="2" x14ac:dyDescent="0.2">
      <c r="D316" s="640" t="str">
        <f>Intv_BA!D166</f>
        <v>Copperbelt</v>
      </c>
      <c r="J316" s="8">
        <f ca="1">Intv_BA!$O$90*J288*J207/TS_Denom_Conv_Fact</f>
        <v>235.02774151436023</v>
      </c>
      <c r="K316" s="8">
        <f ca="1">Intv_BA!$O$90*K288*K207/TS_Denom_Conv_Fact</f>
        <v>235.02774151436023</v>
      </c>
      <c r="L316" s="8">
        <f ca="1">Intv_BA!$O$90*L288*L207/TS_Denom_Conv_Fact</f>
        <v>235.02774151436023</v>
      </c>
      <c r="M316" s="8">
        <f ca="1">Intv_BA!$O$90*M288*M207/TS_Denom_Conv_Fact</f>
        <v>235.02774151436023</v>
      </c>
      <c r="N316" s="8">
        <f ca="1">Intv_BA!$O$90*N288*N207/TS_Denom_Conv_Fact</f>
        <v>235.02774151436023</v>
      </c>
      <c r="O316" s="8">
        <f ca="1">Intv_BA!$O$90*O288*O207/TS_Denom_Conv_Fact</f>
        <v>235.02774151436023</v>
      </c>
    </row>
    <row r="317" spans="4:15" s="327" customFormat="1" outlineLevel="2" x14ac:dyDescent="0.2">
      <c r="D317" s="640" t="str">
        <f>Intv_BA!D167</f>
        <v>Eastern</v>
      </c>
      <c r="J317" s="8">
        <f ca="1">Intv_BA!$O$90*J289*J208/TS_Denom_Conv_Fact</f>
        <v>227.24583877284587</v>
      </c>
      <c r="K317" s="8">
        <f ca="1">Intv_BA!$O$90*K289*K208/TS_Denom_Conv_Fact</f>
        <v>227.24583877284587</v>
      </c>
      <c r="L317" s="8">
        <f ca="1">Intv_BA!$O$90*L289*L208/TS_Denom_Conv_Fact</f>
        <v>227.24583877284587</v>
      </c>
      <c r="M317" s="8">
        <f ca="1">Intv_BA!$O$90*M289*M208/TS_Denom_Conv_Fact</f>
        <v>227.24583877284587</v>
      </c>
      <c r="N317" s="8">
        <f ca="1">Intv_BA!$O$90*N289*N208/TS_Denom_Conv_Fact</f>
        <v>227.24583877284587</v>
      </c>
      <c r="O317" s="8">
        <f ca="1">Intv_BA!$O$90*O289*O208/TS_Denom_Conv_Fact</f>
        <v>227.24583877284587</v>
      </c>
    </row>
    <row r="318" spans="4:15" s="327" customFormat="1" outlineLevel="2" x14ac:dyDescent="0.2">
      <c r="D318" s="640" t="str">
        <f>Intv_BA!D168</f>
        <v>Luapula</v>
      </c>
      <c r="J318" s="8">
        <f ca="1">Intv_BA!$O$90*J290*J209/TS_Denom_Conv_Fact</f>
        <v>234.45659268929498</v>
      </c>
      <c r="K318" s="8">
        <f ca="1">Intv_BA!$O$90*K290*K209/TS_Denom_Conv_Fact</f>
        <v>234.45659268929498</v>
      </c>
      <c r="L318" s="8">
        <f ca="1">Intv_BA!$O$90*L290*L209/TS_Denom_Conv_Fact</f>
        <v>234.45659268929498</v>
      </c>
      <c r="M318" s="8">
        <f ca="1">Intv_BA!$O$90*M290*M209/TS_Denom_Conv_Fact</f>
        <v>234.45659268929498</v>
      </c>
      <c r="N318" s="8">
        <f ca="1">Intv_BA!$O$90*N290*N209/TS_Denom_Conv_Fact</f>
        <v>234.45659268929498</v>
      </c>
      <c r="O318" s="8">
        <f ca="1">Intv_BA!$O$90*O290*O209/TS_Denom_Conv_Fact</f>
        <v>234.45659268929498</v>
      </c>
    </row>
    <row r="319" spans="4:15" s="327" customFormat="1" outlineLevel="2" x14ac:dyDescent="0.2">
      <c r="D319" s="640" t="str">
        <f>Intv_BA!D169</f>
        <v>Lusaka</v>
      </c>
      <c r="J319" s="8">
        <f ca="1">Intv_BA!$O$90*J291*J210/TS_Denom_Conv_Fact</f>
        <v>70.465486292428182</v>
      </c>
      <c r="K319" s="8">
        <f ca="1">Intv_BA!$O$90*K291*K210/TS_Denom_Conv_Fact</f>
        <v>70.465486292428182</v>
      </c>
      <c r="L319" s="8">
        <f ca="1">Intv_BA!$O$90*L291*L210/TS_Denom_Conv_Fact</f>
        <v>70.465486292428182</v>
      </c>
      <c r="M319" s="8">
        <f ca="1">Intv_BA!$O$90*M291*M210/TS_Denom_Conv_Fact</f>
        <v>70.465486292428182</v>
      </c>
      <c r="N319" s="8">
        <f ca="1">Intv_BA!$O$90*N291*N210/TS_Denom_Conv_Fact</f>
        <v>70.465486292428182</v>
      </c>
      <c r="O319" s="8">
        <f ca="1">Intv_BA!$O$90*O291*O210/TS_Denom_Conv_Fact</f>
        <v>70.465486292428182</v>
      </c>
    </row>
    <row r="320" spans="4:15" s="327" customFormat="1" outlineLevel="2" x14ac:dyDescent="0.2">
      <c r="D320" s="640" t="str">
        <f>Intv_BA!D170</f>
        <v>Muchinga</v>
      </c>
      <c r="J320" s="8">
        <f ca="1">Intv_BA!$O$90*J292*J211/TS_Denom_Conv_Fact</f>
        <v>0</v>
      </c>
      <c r="K320" s="8">
        <f ca="1">Intv_BA!$O$90*K292*K211/TS_Denom_Conv_Fact</f>
        <v>0</v>
      </c>
      <c r="L320" s="8">
        <f ca="1">Intv_BA!$O$90*L292*L211/TS_Denom_Conv_Fact</f>
        <v>0</v>
      </c>
      <c r="M320" s="8">
        <f ca="1">Intv_BA!$O$90*M292*M211/TS_Denom_Conv_Fact</f>
        <v>0</v>
      </c>
      <c r="N320" s="8">
        <f ca="1">Intv_BA!$O$90*N292*N211/TS_Denom_Conv_Fact</f>
        <v>0</v>
      </c>
      <c r="O320" s="8">
        <f ca="1">Intv_BA!$O$90*O292*O211/TS_Denom_Conv_Fact</f>
        <v>0</v>
      </c>
    </row>
    <row r="321" spans="4:15" s="327" customFormat="1" outlineLevel="2" x14ac:dyDescent="0.2">
      <c r="D321" s="640" t="str">
        <f>Intv_BA!D171</f>
        <v>Northern</v>
      </c>
      <c r="J321" s="8">
        <f ca="1">Intv_BA!$O$90*J293*J212/TS_Denom_Conv_Fact</f>
        <v>83.673302872062635</v>
      </c>
      <c r="K321" s="8">
        <f ca="1">Intv_BA!$O$90*K293*K212/TS_Denom_Conv_Fact</f>
        <v>83.673302872062635</v>
      </c>
      <c r="L321" s="8">
        <f ca="1">Intv_BA!$O$90*L293*L212/TS_Denom_Conv_Fact</f>
        <v>83.673302872062635</v>
      </c>
      <c r="M321" s="8">
        <f ca="1">Intv_BA!$O$90*M293*M212/TS_Denom_Conv_Fact</f>
        <v>83.673302872062635</v>
      </c>
      <c r="N321" s="8">
        <f ca="1">Intv_BA!$O$90*N293*N212/TS_Denom_Conv_Fact</f>
        <v>83.673302872062635</v>
      </c>
      <c r="O321" s="8">
        <f ca="1">Intv_BA!$O$90*O293*O212/TS_Denom_Conv_Fact</f>
        <v>83.673302872062635</v>
      </c>
    </row>
    <row r="322" spans="4:15" s="327" customFormat="1" outlineLevel="2" x14ac:dyDescent="0.2">
      <c r="D322" s="640" t="str">
        <f>Intv_BA!D172</f>
        <v>North-Western</v>
      </c>
      <c r="J322" s="8">
        <f ca="1">Intv_BA!$O$90*J294*J213/TS_Denom_Conv_Fact</f>
        <v>99.66546997389031</v>
      </c>
      <c r="K322" s="8">
        <f ca="1">Intv_BA!$O$90*K294*K213/TS_Denom_Conv_Fact</f>
        <v>99.66546997389031</v>
      </c>
      <c r="L322" s="8">
        <f ca="1">Intv_BA!$O$90*L294*L213/TS_Denom_Conv_Fact</f>
        <v>99.66546997389031</v>
      </c>
      <c r="M322" s="8">
        <f ca="1">Intv_BA!$O$90*M294*M213/TS_Denom_Conv_Fact</f>
        <v>99.66546997389031</v>
      </c>
      <c r="N322" s="8">
        <f ca="1">Intv_BA!$O$90*N294*N213/TS_Denom_Conv_Fact</f>
        <v>99.66546997389031</v>
      </c>
      <c r="O322" s="8">
        <f ca="1">Intv_BA!$O$90*O294*O213/TS_Denom_Conv_Fact</f>
        <v>99.66546997389031</v>
      </c>
    </row>
    <row r="323" spans="4:15" s="327" customFormat="1" outlineLevel="2" x14ac:dyDescent="0.2">
      <c r="D323" s="640" t="str">
        <f>Intv_BA!D173</f>
        <v>Southern</v>
      </c>
      <c r="J323" s="8">
        <f ca="1">Intv_BA!$O$90*J295*J214/TS_Denom_Conv_Fact</f>
        <v>156.68516100957348</v>
      </c>
      <c r="K323" s="8">
        <f ca="1">Intv_BA!$O$90*K295*K214/TS_Denom_Conv_Fact</f>
        <v>156.68516100957348</v>
      </c>
      <c r="L323" s="8">
        <f ca="1">Intv_BA!$O$90*L295*L214/TS_Denom_Conv_Fact</f>
        <v>156.68516100957348</v>
      </c>
      <c r="M323" s="8">
        <f ca="1">Intv_BA!$O$90*M295*M214/TS_Denom_Conv_Fact</f>
        <v>156.68516100957348</v>
      </c>
      <c r="N323" s="8">
        <f ca="1">Intv_BA!$O$90*N295*N214/TS_Denom_Conv_Fact</f>
        <v>156.68516100957348</v>
      </c>
      <c r="O323" s="8">
        <f ca="1">Intv_BA!$O$90*O295*O214/TS_Denom_Conv_Fact</f>
        <v>156.68516100957348</v>
      </c>
    </row>
    <row r="324" spans="4:15" s="327" customFormat="1" outlineLevel="2" x14ac:dyDescent="0.2">
      <c r="D324" s="640" t="str">
        <f>Intv_BA!D174</f>
        <v>Western</v>
      </c>
      <c r="J324" s="9">
        <f ca="1">Intv_BA!$O$90*J296*J215/TS_Denom_Conv_Fact</f>
        <v>235.02774151436023</v>
      </c>
      <c r="K324" s="9">
        <f ca="1">Intv_BA!$O$90*K296*K215/TS_Denom_Conv_Fact</f>
        <v>235.02774151436023</v>
      </c>
      <c r="L324" s="9">
        <f ca="1">Intv_BA!$O$90*L296*L215/TS_Denom_Conv_Fact</f>
        <v>235.02774151436023</v>
      </c>
      <c r="M324" s="9">
        <f ca="1">Intv_BA!$O$90*M296*M215/TS_Denom_Conv_Fact</f>
        <v>235.02774151436023</v>
      </c>
      <c r="N324" s="9">
        <f ca="1">Intv_BA!$O$90*N296*N215/TS_Denom_Conv_Fact</f>
        <v>235.02774151436023</v>
      </c>
      <c r="O324" s="9">
        <f ca="1">Intv_BA!$O$90*O296*O215/TS_Denom_Conv_Fact</f>
        <v>235.02774151436023</v>
      </c>
    </row>
    <row r="325" spans="4:15" s="327" customFormat="1" x14ac:dyDescent="0.2">
      <c r="D325" s="639" t="str">
        <f>"Total "&amp;D314&amp;" ("&amp;INDEX(LU_Intv_Denom,DD_TS_Denom)&amp;")"</f>
        <v>Total Personnel Costs (Hospital) (USD)</v>
      </c>
      <c r="J325" s="5">
        <f t="shared" ref="J325:O325" ca="1" si="30">SUM(J315:J324)</f>
        <v>1426.0634247171449</v>
      </c>
      <c r="K325" s="5">
        <f t="shared" ca="1" si="30"/>
        <v>1426.0634247171449</v>
      </c>
      <c r="L325" s="5">
        <f t="shared" ca="1" si="30"/>
        <v>1426.0634247171449</v>
      </c>
      <c r="M325" s="5">
        <f t="shared" ca="1" si="30"/>
        <v>1426.0634247171449</v>
      </c>
      <c r="N325" s="5">
        <f t="shared" ca="1" si="30"/>
        <v>1426.0634247171449</v>
      </c>
      <c r="O325" s="5">
        <f t="shared" ca="1" si="30"/>
        <v>1426.0634247171449</v>
      </c>
    </row>
    <row r="326" spans="4:15" s="327" customFormat="1" outlineLevel="2" x14ac:dyDescent="0.2"/>
    <row r="327" spans="4:15" s="327" customFormat="1" ht="15" outlineLevel="2" x14ac:dyDescent="0.2">
      <c r="D327" s="638" t="s">
        <v>115</v>
      </c>
    </row>
    <row r="328" spans="4:15" s="327" customFormat="1" outlineLevel="2" x14ac:dyDescent="0.2">
      <c r="D328" s="640" t="str">
        <f>Intv_BA!D165</f>
        <v>Central</v>
      </c>
      <c r="J328" s="8">
        <f ca="1">Intv_BA!$O$103*J287*(1-J206)/TS_Denom_Conv_Fact</f>
        <v>83.816090078328955</v>
      </c>
      <c r="K328" s="8">
        <f ca="1">Intv_BA!$O$103*K287*(1-K206)/TS_Denom_Conv_Fact</f>
        <v>83.816090078328955</v>
      </c>
      <c r="L328" s="8">
        <f ca="1">Intv_BA!$O$103*L287*(1-L206)/TS_Denom_Conv_Fact</f>
        <v>83.816090078328955</v>
      </c>
      <c r="M328" s="8">
        <f ca="1">Intv_BA!$O$103*M287*(1-M206)/TS_Denom_Conv_Fact</f>
        <v>83.816090078328955</v>
      </c>
      <c r="N328" s="8">
        <f ca="1">Intv_BA!$O$103*N287*(1-N206)/TS_Denom_Conv_Fact</f>
        <v>83.816090078328955</v>
      </c>
      <c r="O328" s="8">
        <f ca="1">Intv_BA!$O$103*O287*(1-O206)/TS_Denom_Conv_Fact</f>
        <v>83.816090078328955</v>
      </c>
    </row>
    <row r="329" spans="4:15" s="327" customFormat="1" outlineLevel="2" x14ac:dyDescent="0.2">
      <c r="D329" s="640" t="str">
        <f>Intv_BA!D166</f>
        <v>Copperbelt</v>
      </c>
      <c r="J329" s="8">
        <f ca="1">Intv_BA!$O$103*J288*(1-J207)/TS_Denom_Conv_Fact</f>
        <v>0</v>
      </c>
      <c r="K329" s="8">
        <f ca="1">Intv_BA!$O$103*K288*(1-K207)/TS_Denom_Conv_Fact</f>
        <v>0</v>
      </c>
      <c r="L329" s="8">
        <f ca="1">Intv_BA!$O$103*L288*(1-L207)/TS_Denom_Conv_Fact</f>
        <v>0</v>
      </c>
      <c r="M329" s="8">
        <f ca="1">Intv_BA!$O$103*M288*(1-M207)/TS_Denom_Conv_Fact</f>
        <v>0</v>
      </c>
      <c r="N329" s="8">
        <f ca="1">Intv_BA!$O$103*N288*(1-N207)/TS_Denom_Conv_Fact</f>
        <v>0</v>
      </c>
      <c r="O329" s="8">
        <f ca="1">Intv_BA!$O$103*O288*(1-O207)/TS_Denom_Conv_Fact</f>
        <v>0</v>
      </c>
    </row>
    <row r="330" spans="4:15" s="327" customFormat="1" outlineLevel="2" x14ac:dyDescent="0.2">
      <c r="D330" s="640" t="str">
        <f>Intv_BA!D167</f>
        <v>Eastern</v>
      </c>
      <c r="J330" s="8">
        <f ca="1">Intv_BA!$O$103*J289*(1-J208)/TS_Denom_Conv_Fact</f>
        <v>75.748612924281957</v>
      </c>
      <c r="K330" s="8">
        <f ca="1">Intv_BA!$O$103*K289*(1-K208)/TS_Denom_Conv_Fact</f>
        <v>75.748612924281957</v>
      </c>
      <c r="L330" s="8">
        <f ca="1">Intv_BA!$O$103*L289*(1-L208)/TS_Denom_Conv_Fact</f>
        <v>75.748612924281957</v>
      </c>
      <c r="M330" s="8">
        <f ca="1">Intv_BA!$O$103*M289*(1-M208)/TS_Denom_Conv_Fact</f>
        <v>75.748612924281957</v>
      </c>
      <c r="N330" s="8">
        <f ca="1">Intv_BA!$O$103*N289*(1-N208)/TS_Denom_Conv_Fact</f>
        <v>75.748612924281957</v>
      </c>
      <c r="O330" s="8">
        <f ca="1">Intv_BA!$O$103*O289*(1-O208)/TS_Denom_Conv_Fact</f>
        <v>75.748612924281957</v>
      </c>
    </row>
    <row r="331" spans="4:15" s="327" customFormat="1" outlineLevel="2" x14ac:dyDescent="0.2">
      <c r="D331" s="640" t="str">
        <f>Intv_BA!D168</f>
        <v>Luapula</v>
      </c>
      <c r="J331" s="8">
        <f ca="1">Intv_BA!$O$103*J290*(1-J209)/TS_Denom_Conv_Fact</f>
        <v>0</v>
      </c>
      <c r="K331" s="8">
        <f ca="1">Intv_BA!$O$103*K290*(1-K209)/TS_Denom_Conv_Fact</f>
        <v>0</v>
      </c>
      <c r="L331" s="8">
        <f ca="1">Intv_BA!$O$103*L290*(1-L209)/TS_Denom_Conv_Fact</f>
        <v>0</v>
      </c>
      <c r="M331" s="8">
        <f ca="1">Intv_BA!$O$103*M290*(1-M209)/TS_Denom_Conv_Fact</f>
        <v>0</v>
      </c>
      <c r="N331" s="8">
        <f ca="1">Intv_BA!$O$103*N290*(1-N209)/TS_Denom_Conv_Fact</f>
        <v>0</v>
      </c>
      <c r="O331" s="8">
        <f ca="1">Intv_BA!$O$103*O290*(1-O209)/TS_Denom_Conv_Fact</f>
        <v>0</v>
      </c>
    </row>
    <row r="332" spans="4:15" s="327" customFormat="1" outlineLevel="2" x14ac:dyDescent="0.2">
      <c r="D332" s="640" t="str">
        <f>Intv_BA!D169</f>
        <v>Lusaka</v>
      </c>
      <c r="J332" s="8">
        <f ca="1">Intv_BA!$O$103*J291*(1-J210)/TS_Denom_Conv_Fact</f>
        <v>775.12034921671</v>
      </c>
      <c r="K332" s="8">
        <f ca="1">Intv_BA!$O$103*K291*(1-K210)/TS_Denom_Conv_Fact</f>
        <v>775.12034921671</v>
      </c>
      <c r="L332" s="8">
        <f ca="1">Intv_BA!$O$103*L291*(1-L210)/TS_Denom_Conv_Fact</f>
        <v>775.12034921671</v>
      </c>
      <c r="M332" s="8">
        <f ca="1">Intv_BA!$O$103*M291*(1-M210)/TS_Denom_Conv_Fact</f>
        <v>775.12034921671</v>
      </c>
      <c r="N332" s="8">
        <f ca="1">Intv_BA!$O$103*N291*(1-N210)/TS_Denom_Conv_Fact</f>
        <v>775.12034921671</v>
      </c>
      <c r="O332" s="8">
        <f ca="1">Intv_BA!$O$103*O291*(1-O210)/TS_Denom_Conv_Fact</f>
        <v>775.12034921671</v>
      </c>
    </row>
    <row r="333" spans="4:15" s="327" customFormat="1" outlineLevel="2" x14ac:dyDescent="0.2">
      <c r="D333" s="640" t="str">
        <f>Intv_BA!D170</f>
        <v>Muchinga</v>
      </c>
      <c r="J333" s="8">
        <f ca="1">Intv_BA!$O$103*J292*(1-J211)/TS_Denom_Conv_Fact</f>
        <v>0</v>
      </c>
      <c r="K333" s="8">
        <f ca="1">Intv_BA!$O$103*K292*(1-K211)/TS_Denom_Conv_Fact</f>
        <v>0</v>
      </c>
      <c r="L333" s="8">
        <f ca="1">Intv_BA!$O$103*L292*(1-L211)/TS_Denom_Conv_Fact</f>
        <v>0</v>
      </c>
      <c r="M333" s="8">
        <f ca="1">Intv_BA!$O$103*M292*(1-M211)/TS_Denom_Conv_Fact</f>
        <v>0</v>
      </c>
      <c r="N333" s="8">
        <f ca="1">Intv_BA!$O$103*N292*(1-N211)/TS_Denom_Conv_Fact</f>
        <v>0</v>
      </c>
      <c r="O333" s="8">
        <f ca="1">Intv_BA!$O$103*O292*(1-O211)/TS_Denom_Conv_Fact</f>
        <v>0</v>
      </c>
    </row>
    <row r="334" spans="4:15" s="327" customFormat="1" outlineLevel="2" x14ac:dyDescent="0.2">
      <c r="D334" s="640" t="str">
        <f>Intv_BA!D171</f>
        <v>Northern</v>
      </c>
      <c r="J334" s="8">
        <f ca="1">Intv_BA!$O$103*J293*(1-J212)/TS_Denom_Conv_Fact</f>
        <v>0</v>
      </c>
      <c r="K334" s="8">
        <f ca="1">Intv_BA!$O$103*K293*(1-K212)/TS_Denom_Conv_Fact</f>
        <v>0</v>
      </c>
      <c r="L334" s="8">
        <f ca="1">Intv_BA!$O$103*L293*(1-L212)/TS_Denom_Conv_Fact</f>
        <v>0</v>
      </c>
      <c r="M334" s="8">
        <f ca="1">Intv_BA!$O$103*M293*(1-M212)/TS_Denom_Conv_Fact</f>
        <v>0</v>
      </c>
      <c r="N334" s="8">
        <f ca="1">Intv_BA!$O$103*N293*(1-N212)/TS_Denom_Conv_Fact</f>
        <v>0</v>
      </c>
      <c r="O334" s="8">
        <f ca="1">Intv_BA!$O$103*O293*(1-O212)/TS_Denom_Conv_Fact</f>
        <v>0</v>
      </c>
    </row>
    <row r="335" spans="4:15" s="327" customFormat="1" outlineLevel="2" x14ac:dyDescent="0.2">
      <c r="D335" s="640" t="str">
        <f>Intv_BA!D172</f>
        <v>North-Western</v>
      </c>
      <c r="J335" s="8">
        <f ca="1">Intv_BA!$O$103*J294*(1-J213)/TS_Denom_Conv_Fact</f>
        <v>0</v>
      </c>
      <c r="K335" s="8">
        <f ca="1">Intv_BA!$O$103*K294*(1-K213)/TS_Denom_Conv_Fact</f>
        <v>0</v>
      </c>
      <c r="L335" s="8">
        <f ca="1">Intv_BA!$O$103*L294*(1-L213)/TS_Denom_Conv_Fact</f>
        <v>0</v>
      </c>
      <c r="M335" s="8">
        <f ca="1">Intv_BA!$O$103*M294*(1-M213)/TS_Denom_Conv_Fact</f>
        <v>0</v>
      </c>
      <c r="N335" s="8">
        <f ca="1">Intv_BA!$O$103*N294*(1-N213)/TS_Denom_Conv_Fact</f>
        <v>0</v>
      </c>
      <c r="O335" s="8">
        <f ca="1">Intv_BA!$O$103*O294*(1-O213)/TS_Denom_Conv_Fact</f>
        <v>0</v>
      </c>
    </row>
    <row r="336" spans="4:15" s="327" customFormat="1" outlineLevel="2" x14ac:dyDescent="0.2">
      <c r="D336" s="640" t="str">
        <f>Intv_BA!D173</f>
        <v>Southern</v>
      </c>
      <c r="J336" s="8">
        <f ca="1">Intv_BA!$O$103*J295*(1-J214)/TS_Denom_Conv_Fact</f>
        <v>78.342580504786753</v>
      </c>
      <c r="K336" s="8">
        <f ca="1">Intv_BA!$O$103*K295*(1-K214)/TS_Denom_Conv_Fact</f>
        <v>78.342580504786753</v>
      </c>
      <c r="L336" s="8">
        <f ca="1">Intv_BA!$O$103*L295*(1-L214)/TS_Denom_Conv_Fact</f>
        <v>78.342580504786753</v>
      </c>
      <c r="M336" s="8">
        <f ca="1">Intv_BA!$O$103*M295*(1-M214)/TS_Denom_Conv_Fact</f>
        <v>78.342580504786753</v>
      </c>
      <c r="N336" s="8">
        <f ca="1">Intv_BA!$O$103*N295*(1-N214)/TS_Denom_Conv_Fact</f>
        <v>78.342580504786753</v>
      </c>
      <c r="O336" s="8">
        <f ca="1">Intv_BA!$O$103*O295*(1-O214)/TS_Denom_Conv_Fact</f>
        <v>78.342580504786753</v>
      </c>
    </row>
    <row r="337" spans="4:15" s="327" customFormat="1" outlineLevel="2" x14ac:dyDescent="0.2">
      <c r="D337" s="640" t="str">
        <f>Intv_BA!D174</f>
        <v>Western</v>
      </c>
      <c r="J337" s="9">
        <f ca="1">Intv_BA!$O$103*J296*(1-J215)/TS_Denom_Conv_Fact</f>
        <v>0</v>
      </c>
      <c r="K337" s="9">
        <f ca="1">Intv_BA!$O$103*K296*(1-K215)/TS_Denom_Conv_Fact</f>
        <v>0</v>
      </c>
      <c r="L337" s="9">
        <f ca="1">Intv_BA!$O$103*L296*(1-L215)/TS_Denom_Conv_Fact</f>
        <v>0</v>
      </c>
      <c r="M337" s="9">
        <f ca="1">Intv_BA!$O$103*M296*(1-M215)/TS_Denom_Conv_Fact</f>
        <v>0</v>
      </c>
      <c r="N337" s="9">
        <f ca="1">Intv_BA!$O$103*N296*(1-N215)/TS_Denom_Conv_Fact</f>
        <v>0</v>
      </c>
      <c r="O337" s="9">
        <f ca="1">Intv_BA!$O$103*O296*(1-O215)/TS_Denom_Conv_Fact</f>
        <v>0</v>
      </c>
    </row>
    <row r="338" spans="4:15" s="327" customFormat="1" x14ac:dyDescent="0.2">
      <c r="D338" s="639" t="str">
        <f>"Total "&amp;D327&amp;" ("&amp;INDEX(LU_Intv_Denom,DD_TS_Denom)&amp;")"</f>
        <v>Total Personnel Costs (Other) (USD)</v>
      </c>
      <c r="J338" s="5">
        <f t="shared" ref="J338:O338" ca="1" si="31">SUM(J328:J337)</f>
        <v>1013.0276327241077</v>
      </c>
      <c r="K338" s="5">
        <f t="shared" ca="1" si="31"/>
        <v>1013.0276327241077</v>
      </c>
      <c r="L338" s="5">
        <f t="shared" ca="1" si="31"/>
        <v>1013.0276327241077</v>
      </c>
      <c r="M338" s="5">
        <f t="shared" ca="1" si="31"/>
        <v>1013.0276327241077</v>
      </c>
      <c r="N338" s="5">
        <f t="shared" ca="1" si="31"/>
        <v>1013.0276327241077</v>
      </c>
      <c r="O338" s="5">
        <f t="shared" ca="1" si="31"/>
        <v>1013.0276327241077</v>
      </c>
    </row>
    <row r="339" spans="4:15" s="327" customFormat="1" outlineLevel="2" x14ac:dyDescent="0.2"/>
    <row r="340" spans="4:15" s="327" customFormat="1" ht="15" outlineLevel="2" x14ac:dyDescent="0.2">
      <c r="D340" s="638" t="s">
        <v>143</v>
      </c>
    </row>
    <row r="341" spans="4:15" s="327" customFormat="1" outlineLevel="2" x14ac:dyDescent="0.2">
      <c r="D341" s="640" t="str">
        <f>Intv_BA!D165</f>
        <v>Central</v>
      </c>
      <c r="J341" s="8">
        <f ca="1">J287*Intv_BA!$M$155/TS_Denom_Conv_Fact</f>
        <v>0</v>
      </c>
      <c r="K341" s="8">
        <f ca="1">K287*Intv_BA!$M$155/TS_Denom_Conv_Fact</f>
        <v>0</v>
      </c>
      <c r="L341" s="8">
        <f ca="1">L287*Intv_BA!$M$155/TS_Denom_Conv_Fact</f>
        <v>0</v>
      </c>
      <c r="M341" s="8">
        <f ca="1">M287*Intv_BA!$M$155/TS_Denom_Conv_Fact</f>
        <v>0</v>
      </c>
      <c r="N341" s="8">
        <f ca="1">N287*Intv_BA!$M$155/TS_Denom_Conv_Fact</f>
        <v>0</v>
      </c>
      <c r="O341" s="8">
        <f ca="1">O287*Intv_BA!$M$155/TS_Denom_Conv_Fact</f>
        <v>0</v>
      </c>
    </row>
    <row r="342" spans="4:15" s="327" customFormat="1" outlineLevel="2" x14ac:dyDescent="0.2">
      <c r="D342" s="640" t="str">
        <f>Intv_BA!D166</f>
        <v>Copperbelt</v>
      </c>
      <c r="J342" s="8">
        <f ca="1">J288*Intv_BA!$M$155/TS_Denom_Conv_Fact</f>
        <v>0</v>
      </c>
      <c r="K342" s="8">
        <f ca="1">K288*Intv_BA!$M$155/TS_Denom_Conv_Fact</f>
        <v>0</v>
      </c>
      <c r="L342" s="8">
        <f ca="1">L288*Intv_BA!$M$155/TS_Denom_Conv_Fact</f>
        <v>0</v>
      </c>
      <c r="M342" s="8">
        <f ca="1">M288*Intv_BA!$M$155/TS_Denom_Conv_Fact</f>
        <v>0</v>
      </c>
      <c r="N342" s="8">
        <f ca="1">N288*Intv_BA!$M$155/TS_Denom_Conv_Fact</f>
        <v>0</v>
      </c>
      <c r="O342" s="8">
        <f ca="1">O288*Intv_BA!$M$155/TS_Denom_Conv_Fact</f>
        <v>0</v>
      </c>
    </row>
    <row r="343" spans="4:15" s="327" customFormat="1" outlineLevel="2" x14ac:dyDescent="0.2">
      <c r="D343" s="640" t="str">
        <f>Intv_BA!D167</f>
        <v>Eastern</v>
      </c>
      <c r="J343" s="8">
        <f ca="1">J289*Intv_BA!$M$155/TS_Denom_Conv_Fact</f>
        <v>0</v>
      </c>
      <c r="K343" s="8">
        <f ca="1">K289*Intv_BA!$M$155/TS_Denom_Conv_Fact</f>
        <v>0</v>
      </c>
      <c r="L343" s="8">
        <f ca="1">L289*Intv_BA!$M$155/TS_Denom_Conv_Fact</f>
        <v>0</v>
      </c>
      <c r="M343" s="8">
        <f ca="1">M289*Intv_BA!$M$155/TS_Denom_Conv_Fact</f>
        <v>0</v>
      </c>
      <c r="N343" s="8">
        <f ca="1">N289*Intv_BA!$M$155/TS_Denom_Conv_Fact</f>
        <v>0</v>
      </c>
      <c r="O343" s="8">
        <f ca="1">O289*Intv_BA!$M$155/TS_Denom_Conv_Fact</f>
        <v>0</v>
      </c>
    </row>
    <row r="344" spans="4:15" s="327" customFormat="1" outlineLevel="2" x14ac:dyDescent="0.2">
      <c r="D344" s="640" t="str">
        <f>Intv_BA!D168</f>
        <v>Luapula</v>
      </c>
      <c r="J344" s="8">
        <f ca="1">J290*Intv_BA!$M$155/TS_Denom_Conv_Fact</f>
        <v>0</v>
      </c>
      <c r="K344" s="8">
        <f ca="1">K290*Intv_BA!$M$155/TS_Denom_Conv_Fact</f>
        <v>0</v>
      </c>
      <c r="L344" s="8">
        <f ca="1">L290*Intv_BA!$M$155/TS_Denom_Conv_Fact</f>
        <v>0</v>
      </c>
      <c r="M344" s="8">
        <f ca="1">M290*Intv_BA!$M$155/TS_Denom_Conv_Fact</f>
        <v>0</v>
      </c>
      <c r="N344" s="8">
        <f ca="1">N290*Intv_BA!$M$155/TS_Denom_Conv_Fact</f>
        <v>0</v>
      </c>
      <c r="O344" s="8">
        <f ca="1">O290*Intv_BA!$M$155/TS_Denom_Conv_Fact</f>
        <v>0</v>
      </c>
    </row>
    <row r="345" spans="4:15" s="327" customFormat="1" outlineLevel="2" x14ac:dyDescent="0.2">
      <c r="D345" s="640" t="str">
        <f>Intv_BA!D169</f>
        <v>Lusaka</v>
      </c>
      <c r="J345" s="8">
        <f ca="1">J291*Intv_BA!$M$155/TS_Denom_Conv_Fact</f>
        <v>0</v>
      </c>
      <c r="K345" s="8">
        <f ca="1">K291*Intv_BA!$M$155/TS_Denom_Conv_Fact</f>
        <v>0</v>
      </c>
      <c r="L345" s="8">
        <f ca="1">L291*Intv_BA!$M$155/TS_Denom_Conv_Fact</f>
        <v>0</v>
      </c>
      <c r="M345" s="8">
        <f ca="1">M291*Intv_BA!$M$155/TS_Denom_Conv_Fact</f>
        <v>0</v>
      </c>
      <c r="N345" s="8">
        <f ca="1">N291*Intv_BA!$M$155/TS_Denom_Conv_Fact</f>
        <v>0</v>
      </c>
      <c r="O345" s="8">
        <f ca="1">O291*Intv_BA!$M$155/TS_Denom_Conv_Fact</f>
        <v>0</v>
      </c>
    </row>
    <row r="346" spans="4:15" s="327" customFormat="1" outlineLevel="2" x14ac:dyDescent="0.2">
      <c r="D346" s="640" t="str">
        <f>Intv_BA!D170</f>
        <v>Muchinga</v>
      </c>
      <c r="J346" s="8">
        <f ca="1">J292*Intv_BA!$M$155/TS_Denom_Conv_Fact</f>
        <v>0</v>
      </c>
      <c r="K346" s="8">
        <f ca="1">K292*Intv_BA!$M$155/TS_Denom_Conv_Fact</f>
        <v>0</v>
      </c>
      <c r="L346" s="8">
        <f ca="1">L292*Intv_BA!$M$155/TS_Denom_Conv_Fact</f>
        <v>0</v>
      </c>
      <c r="M346" s="8">
        <f ca="1">M292*Intv_BA!$M$155/TS_Denom_Conv_Fact</f>
        <v>0</v>
      </c>
      <c r="N346" s="8">
        <f ca="1">N292*Intv_BA!$M$155/TS_Denom_Conv_Fact</f>
        <v>0</v>
      </c>
      <c r="O346" s="8">
        <f ca="1">O292*Intv_BA!$M$155/TS_Denom_Conv_Fact</f>
        <v>0</v>
      </c>
    </row>
    <row r="347" spans="4:15" s="327" customFormat="1" outlineLevel="2" x14ac:dyDescent="0.2">
      <c r="D347" s="640" t="str">
        <f>Intv_BA!D171</f>
        <v>Northern</v>
      </c>
      <c r="J347" s="8">
        <f ca="1">J293*Intv_BA!$M$155/TS_Denom_Conv_Fact</f>
        <v>0</v>
      </c>
      <c r="K347" s="8">
        <f ca="1">K293*Intv_BA!$M$155/TS_Denom_Conv_Fact</f>
        <v>0</v>
      </c>
      <c r="L347" s="8">
        <f ca="1">L293*Intv_BA!$M$155/TS_Denom_Conv_Fact</f>
        <v>0</v>
      </c>
      <c r="M347" s="8">
        <f ca="1">M293*Intv_BA!$M$155/TS_Denom_Conv_Fact</f>
        <v>0</v>
      </c>
      <c r="N347" s="8">
        <f ca="1">N293*Intv_BA!$M$155/TS_Denom_Conv_Fact</f>
        <v>0</v>
      </c>
      <c r="O347" s="8">
        <f ca="1">O293*Intv_BA!$M$155/TS_Denom_Conv_Fact</f>
        <v>0</v>
      </c>
    </row>
    <row r="348" spans="4:15" s="327" customFormat="1" outlineLevel="2" x14ac:dyDescent="0.2">
      <c r="D348" s="640" t="str">
        <f>Intv_BA!D172</f>
        <v>North-Western</v>
      </c>
      <c r="J348" s="8">
        <f ca="1">J294*Intv_BA!$M$155/TS_Denom_Conv_Fact</f>
        <v>0</v>
      </c>
      <c r="K348" s="8">
        <f ca="1">K294*Intv_BA!$M$155/TS_Denom_Conv_Fact</f>
        <v>0</v>
      </c>
      <c r="L348" s="8">
        <f ca="1">L294*Intv_BA!$M$155/TS_Denom_Conv_Fact</f>
        <v>0</v>
      </c>
      <c r="M348" s="8">
        <f ca="1">M294*Intv_BA!$M$155/TS_Denom_Conv_Fact</f>
        <v>0</v>
      </c>
      <c r="N348" s="8">
        <f ca="1">N294*Intv_BA!$M$155/TS_Denom_Conv_Fact</f>
        <v>0</v>
      </c>
      <c r="O348" s="8">
        <f ca="1">O294*Intv_BA!$M$155/TS_Denom_Conv_Fact</f>
        <v>0</v>
      </c>
    </row>
    <row r="349" spans="4:15" s="327" customFormat="1" outlineLevel="2" x14ac:dyDescent="0.2">
      <c r="D349" s="640" t="str">
        <f>Intv_BA!D173</f>
        <v>Southern</v>
      </c>
      <c r="J349" s="8">
        <f ca="1">J295*Intv_BA!$M$155/TS_Denom_Conv_Fact</f>
        <v>0</v>
      </c>
      <c r="K349" s="8">
        <f ca="1">K295*Intv_BA!$M$155/TS_Denom_Conv_Fact</f>
        <v>0</v>
      </c>
      <c r="L349" s="8">
        <f ca="1">L295*Intv_BA!$M$155/TS_Denom_Conv_Fact</f>
        <v>0</v>
      </c>
      <c r="M349" s="8">
        <f ca="1">M295*Intv_BA!$M$155/TS_Denom_Conv_Fact</f>
        <v>0</v>
      </c>
      <c r="N349" s="8">
        <f ca="1">N295*Intv_BA!$M$155/TS_Denom_Conv_Fact</f>
        <v>0</v>
      </c>
      <c r="O349" s="8">
        <f ca="1">O295*Intv_BA!$M$155/TS_Denom_Conv_Fact</f>
        <v>0</v>
      </c>
    </row>
    <row r="350" spans="4:15" s="327" customFormat="1" outlineLevel="2" x14ac:dyDescent="0.2">
      <c r="D350" s="640" t="str">
        <f>Intv_BA!D174</f>
        <v>Western</v>
      </c>
      <c r="J350" s="9">
        <f ca="1">J296*Intv_BA!$M$155/TS_Denom_Conv_Fact</f>
        <v>0</v>
      </c>
      <c r="K350" s="9">
        <f ca="1">K296*Intv_BA!$M$155/TS_Denom_Conv_Fact</f>
        <v>0</v>
      </c>
      <c r="L350" s="9">
        <f ca="1">L296*Intv_BA!$M$155/TS_Denom_Conv_Fact</f>
        <v>0</v>
      </c>
      <c r="M350" s="9">
        <f ca="1">M296*Intv_BA!$M$155/TS_Denom_Conv_Fact</f>
        <v>0</v>
      </c>
      <c r="N350" s="9">
        <f ca="1">N296*Intv_BA!$M$155/TS_Denom_Conv_Fact</f>
        <v>0</v>
      </c>
      <c r="O350" s="9">
        <f ca="1">O296*Intv_BA!$M$155/TS_Denom_Conv_Fact</f>
        <v>0</v>
      </c>
    </row>
    <row r="351" spans="4:15" s="327" customFormat="1" x14ac:dyDescent="0.2">
      <c r="D351" s="639" t="str">
        <f>"Total "&amp;D340&amp;" ("&amp;INDEX(LU_Intv_Denom,DD_TS_Denom)&amp;")"</f>
        <v>Total Other Direct Costs (Lab Tests) (USD)</v>
      </c>
      <c r="J351" s="5">
        <f t="shared" ref="J351:O351" ca="1" si="32">SUM(J341:J350)</f>
        <v>0</v>
      </c>
      <c r="K351" s="5">
        <f t="shared" ca="1" si="32"/>
        <v>0</v>
      </c>
      <c r="L351" s="5">
        <f t="shared" ca="1" si="32"/>
        <v>0</v>
      </c>
      <c r="M351" s="5">
        <f t="shared" ca="1" si="32"/>
        <v>0</v>
      </c>
      <c r="N351" s="5">
        <f t="shared" ca="1" si="32"/>
        <v>0</v>
      </c>
      <c r="O351" s="5">
        <f t="shared" ca="1" si="32"/>
        <v>0</v>
      </c>
    </row>
    <row r="352" spans="4:15" s="327" customFormat="1" x14ac:dyDescent="0.2"/>
    <row r="353" spans="4:15" s="327" customFormat="1" x14ac:dyDescent="0.2">
      <c r="D353" s="639" t="str">
        <f>"Financial Costs [excl. Capex] ("&amp;INDEX(LU_Intv_Denom,DD_TS_Denom)&amp;")"</f>
        <v>Financial Costs [excl. Capex] (USD)</v>
      </c>
      <c r="H353" s="640" t="str">
        <f>Intv_BA!G10</f>
        <v>Cryo -SV</v>
      </c>
      <c r="J353" s="5">
        <f t="shared" ref="J353:O353" ca="1" si="33">J312+J351</f>
        <v>320495.33100000006</v>
      </c>
      <c r="K353" s="5">
        <f t="shared" ca="1" si="33"/>
        <v>320495.33100000006</v>
      </c>
      <c r="L353" s="5">
        <f t="shared" ca="1" si="33"/>
        <v>320495.33100000006</v>
      </c>
      <c r="M353" s="5">
        <f t="shared" ca="1" si="33"/>
        <v>320495.33100000006</v>
      </c>
      <c r="N353" s="5">
        <f t="shared" ca="1" si="33"/>
        <v>320495.33100000006</v>
      </c>
      <c r="O353" s="5">
        <f t="shared" ca="1" si="33"/>
        <v>320495.33100000006</v>
      </c>
    </row>
    <row r="354" spans="4:15" s="327" customFormat="1" x14ac:dyDescent="0.2">
      <c r="D354" s="639" t="str">
        <f>"Economic Costs [excl. Capex] ("&amp;INDEX(LU_Intv_Denom,DD_TS_Denom)&amp;")"</f>
        <v>Economic Costs [excl. Capex] (USD)</v>
      </c>
      <c r="H354" s="640" t="str">
        <f>Intv_BA!G10</f>
        <v>Cryo -SV</v>
      </c>
      <c r="J354" s="5">
        <f t="shared" ref="J354:O354" ca="1" si="34">J312+J325+J338+J351</f>
        <v>322934.42205744132</v>
      </c>
      <c r="K354" s="5">
        <f t="shared" ca="1" si="34"/>
        <v>322934.42205744132</v>
      </c>
      <c r="L354" s="5">
        <f t="shared" ca="1" si="34"/>
        <v>322934.42205744132</v>
      </c>
      <c r="M354" s="5">
        <f t="shared" ca="1" si="34"/>
        <v>322934.42205744132</v>
      </c>
      <c r="N354" s="5">
        <f t="shared" ca="1" si="34"/>
        <v>322934.42205744132</v>
      </c>
      <c r="O354" s="5">
        <f t="shared" ca="1" si="34"/>
        <v>322934.42205744132</v>
      </c>
    </row>
    <row r="355" spans="4:15" s="327" customFormat="1" x14ac:dyDescent="0.2"/>
    <row r="356" spans="4:15" s="327" customFormat="1" ht="15" outlineLevel="1" x14ac:dyDescent="0.2">
      <c r="D356" s="638" t="s">
        <v>1690</v>
      </c>
    </row>
    <row r="357" spans="4:15" s="327" customFormat="1" outlineLevel="1" x14ac:dyDescent="0.2">
      <c r="D357" s="640" t="str">
        <f>Intv_BA!D165</f>
        <v>Central</v>
      </c>
      <c r="H357" s="640" t="str">
        <f>Intv_BA!G$10</f>
        <v>Cryo -SV</v>
      </c>
      <c r="J357" s="5">
        <f>(J192-I192)*Intv_BA!$L$139/TS_Denom_Conv_Fact</f>
        <v>1000</v>
      </c>
      <c r="K357" s="5">
        <f>(K192-J192)*Intv_BA!$L$139/TS_Denom_Conv_Fact</f>
        <v>0</v>
      </c>
      <c r="L357" s="5">
        <f>(L192-K192)*Intv_BA!$L$139/TS_Denom_Conv_Fact</f>
        <v>0</v>
      </c>
      <c r="M357" s="5">
        <f>(M192-L192)*Intv_BA!$L$139/TS_Denom_Conv_Fact</f>
        <v>0</v>
      </c>
      <c r="N357" s="5">
        <f>(N192-M192)*Intv_BA!$L$139/TS_Denom_Conv_Fact</f>
        <v>0</v>
      </c>
      <c r="O357" s="5">
        <f>(O192-N192)*Intv_BA!$L$139/TS_Denom_Conv_Fact</f>
        <v>0</v>
      </c>
    </row>
    <row r="358" spans="4:15" s="327" customFormat="1" outlineLevel="1" x14ac:dyDescent="0.2">
      <c r="D358" s="640" t="str">
        <f>Intv_BA!D166</f>
        <v>Copperbelt</v>
      </c>
      <c r="H358" s="640" t="str">
        <f>Intv_BA!G$10</f>
        <v>Cryo -SV</v>
      </c>
      <c r="J358" s="5">
        <f>(J193-I193)*Intv_BA!$L$139/TS_Denom_Conv_Fact</f>
        <v>1500</v>
      </c>
      <c r="K358" s="5">
        <f>(K193-J193)*Intv_BA!$L$139/TS_Denom_Conv_Fact</f>
        <v>0</v>
      </c>
      <c r="L358" s="5">
        <f>(L193-K193)*Intv_BA!$L$139/TS_Denom_Conv_Fact</f>
        <v>0</v>
      </c>
      <c r="M358" s="5">
        <f>(M193-L193)*Intv_BA!$L$139/TS_Denom_Conv_Fact</f>
        <v>0</v>
      </c>
      <c r="N358" s="5">
        <f>(N193-M193)*Intv_BA!$L$139/TS_Denom_Conv_Fact</f>
        <v>0</v>
      </c>
      <c r="O358" s="5">
        <f>(O193-N193)*Intv_BA!$L$139/TS_Denom_Conv_Fact</f>
        <v>0</v>
      </c>
    </row>
    <row r="359" spans="4:15" s="327" customFormat="1" outlineLevel="1" x14ac:dyDescent="0.2">
      <c r="D359" s="640" t="str">
        <f>Intv_BA!D167</f>
        <v>Eastern</v>
      </c>
      <c r="H359" s="640" t="str">
        <f>Intv_BA!G$10</f>
        <v>Cryo -SV</v>
      </c>
      <c r="J359" s="5">
        <f>(J194-I194)*Intv_BA!$L$139/TS_Denom_Conv_Fact</f>
        <v>2000</v>
      </c>
      <c r="K359" s="5">
        <f>(K194-J194)*Intv_BA!$L$139/TS_Denom_Conv_Fact</f>
        <v>0</v>
      </c>
      <c r="L359" s="5">
        <f>(L194-K194)*Intv_BA!$L$139/TS_Denom_Conv_Fact</f>
        <v>0</v>
      </c>
      <c r="M359" s="5">
        <f>(M194-L194)*Intv_BA!$L$139/TS_Denom_Conv_Fact</f>
        <v>0</v>
      </c>
      <c r="N359" s="5">
        <f>(N194-M194)*Intv_BA!$L$139/TS_Denom_Conv_Fact</f>
        <v>0</v>
      </c>
      <c r="O359" s="5">
        <f>(O194-N194)*Intv_BA!$L$139/TS_Denom_Conv_Fact</f>
        <v>0</v>
      </c>
    </row>
    <row r="360" spans="4:15" s="327" customFormat="1" outlineLevel="1" x14ac:dyDescent="0.2">
      <c r="D360" s="640" t="str">
        <f>Intv_BA!D168</f>
        <v>Luapula</v>
      </c>
      <c r="H360" s="640" t="str">
        <f>Intv_BA!G$10</f>
        <v>Cryo -SV</v>
      </c>
      <c r="J360" s="5">
        <f>(J195-I195)*Intv_BA!$L$139/TS_Denom_Conv_Fact</f>
        <v>1000</v>
      </c>
      <c r="K360" s="5">
        <f>(K195-J195)*Intv_BA!$L$139/TS_Denom_Conv_Fact</f>
        <v>0</v>
      </c>
      <c r="L360" s="5">
        <f>(L195-K195)*Intv_BA!$L$139/TS_Denom_Conv_Fact</f>
        <v>0</v>
      </c>
      <c r="M360" s="5">
        <f>(M195-L195)*Intv_BA!$L$139/TS_Denom_Conv_Fact</f>
        <v>0</v>
      </c>
      <c r="N360" s="5">
        <f>(N195-M195)*Intv_BA!$L$139/TS_Denom_Conv_Fact</f>
        <v>0</v>
      </c>
      <c r="O360" s="5">
        <f>(O195-N195)*Intv_BA!$L$139/TS_Denom_Conv_Fact</f>
        <v>0</v>
      </c>
    </row>
    <row r="361" spans="4:15" s="327" customFormat="1" outlineLevel="1" x14ac:dyDescent="0.2">
      <c r="D361" s="640" t="str">
        <f>Intv_BA!D169</f>
        <v>Lusaka</v>
      </c>
      <c r="H361" s="640" t="str">
        <f>Intv_BA!G$10</f>
        <v>Cryo -SV</v>
      </c>
      <c r="J361" s="5">
        <f>(J196-I196)*Intv_BA!$L$139/TS_Denom_Conv_Fact</f>
        <v>6000</v>
      </c>
      <c r="K361" s="5">
        <f>(K196-J196)*Intv_BA!$L$139/TS_Denom_Conv_Fact</f>
        <v>0</v>
      </c>
      <c r="L361" s="5">
        <f>(L196-K196)*Intv_BA!$L$139/TS_Denom_Conv_Fact</f>
        <v>0</v>
      </c>
      <c r="M361" s="5">
        <f>(M196-L196)*Intv_BA!$L$139/TS_Denom_Conv_Fact</f>
        <v>0</v>
      </c>
      <c r="N361" s="5">
        <f>(N196-M196)*Intv_BA!$L$139/TS_Denom_Conv_Fact</f>
        <v>0</v>
      </c>
      <c r="O361" s="5">
        <f>(O196-N196)*Intv_BA!$L$139/TS_Denom_Conv_Fact</f>
        <v>0</v>
      </c>
    </row>
    <row r="362" spans="4:15" s="327" customFormat="1" outlineLevel="1" x14ac:dyDescent="0.2">
      <c r="D362" s="640" t="str">
        <f>Intv_BA!D170</f>
        <v>Muchinga</v>
      </c>
      <c r="H362" s="640" t="str">
        <f>Intv_BA!G$10</f>
        <v>Cryo -SV</v>
      </c>
      <c r="J362" s="5">
        <f>(J197-I197)*Intv_BA!$L$139/TS_Denom_Conv_Fact</f>
        <v>0</v>
      </c>
      <c r="K362" s="5">
        <f>(K197-J197)*Intv_BA!$L$139/TS_Denom_Conv_Fact</f>
        <v>0</v>
      </c>
      <c r="L362" s="5">
        <f>(L197-K197)*Intv_BA!$L$139/TS_Denom_Conv_Fact</f>
        <v>0</v>
      </c>
      <c r="M362" s="5">
        <f>(M197-L197)*Intv_BA!$L$139/TS_Denom_Conv_Fact</f>
        <v>0</v>
      </c>
      <c r="N362" s="5">
        <f>(N197-M197)*Intv_BA!$L$139/TS_Denom_Conv_Fact</f>
        <v>0</v>
      </c>
      <c r="O362" s="5">
        <f>(O197-N197)*Intv_BA!$L$139/TS_Denom_Conv_Fact</f>
        <v>0</v>
      </c>
    </row>
    <row r="363" spans="4:15" s="327" customFormat="1" outlineLevel="1" x14ac:dyDescent="0.2">
      <c r="D363" s="640" t="str">
        <f>Intv_BA!D171</f>
        <v>Northern</v>
      </c>
      <c r="H363" s="640" t="str">
        <f>Intv_BA!G$10</f>
        <v>Cryo -SV</v>
      </c>
      <c r="J363" s="5">
        <f>(J198-I198)*Intv_BA!$L$139/TS_Denom_Conv_Fact</f>
        <v>500</v>
      </c>
      <c r="K363" s="5">
        <f>(K198-J198)*Intv_BA!$L$139/TS_Denom_Conv_Fact</f>
        <v>0</v>
      </c>
      <c r="L363" s="5">
        <f>(L198-K198)*Intv_BA!$L$139/TS_Denom_Conv_Fact</f>
        <v>0</v>
      </c>
      <c r="M363" s="5">
        <f>(M198-L198)*Intv_BA!$L$139/TS_Denom_Conv_Fact</f>
        <v>0</v>
      </c>
      <c r="N363" s="5">
        <f>(N198-M198)*Intv_BA!$L$139/TS_Denom_Conv_Fact</f>
        <v>0</v>
      </c>
      <c r="O363" s="5">
        <f>(O198-N198)*Intv_BA!$L$139/TS_Denom_Conv_Fact</f>
        <v>0</v>
      </c>
    </row>
    <row r="364" spans="4:15" s="327" customFormat="1" outlineLevel="1" x14ac:dyDescent="0.2">
      <c r="D364" s="640" t="str">
        <f>Intv_BA!D172</f>
        <v>North-Western</v>
      </c>
      <c r="H364" s="640" t="str">
        <f>Intv_BA!G$10</f>
        <v>Cryo -SV</v>
      </c>
      <c r="J364" s="5">
        <f>(J199-I199)*Intv_BA!$L$139/TS_Denom_Conv_Fact</f>
        <v>500</v>
      </c>
      <c r="K364" s="5">
        <f>(K199-J199)*Intv_BA!$L$139/TS_Denom_Conv_Fact</f>
        <v>0</v>
      </c>
      <c r="L364" s="5">
        <f>(L199-K199)*Intv_BA!$L$139/TS_Denom_Conv_Fact</f>
        <v>0</v>
      </c>
      <c r="M364" s="5">
        <f>(M199-L199)*Intv_BA!$L$139/TS_Denom_Conv_Fact</f>
        <v>0</v>
      </c>
      <c r="N364" s="5">
        <f>(N199-M199)*Intv_BA!$L$139/TS_Denom_Conv_Fact</f>
        <v>0</v>
      </c>
      <c r="O364" s="5">
        <f>(O199-N199)*Intv_BA!$L$139/TS_Denom_Conv_Fact</f>
        <v>0</v>
      </c>
    </row>
    <row r="365" spans="4:15" s="327" customFormat="1" outlineLevel="1" x14ac:dyDescent="0.2">
      <c r="D365" s="640" t="str">
        <f>Intv_BA!D173</f>
        <v>Southern</v>
      </c>
      <c r="H365" s="640" t="str">
        <f>Intv_BA!G$10</f>
        <v>Cryo -SV</v>
      </c>
      <c r="J365" s="5">
        <f>(J200-I200)*Intv_BA!$L$139/TS_Denom_Conv_Fact</f>
        <v>1500</v>
      </c>
      <c r="K365" s="5">
        <f>(K200-J200)*Intv_BA!$L$139/TS_Denom_Conv_Fact</f>
        <v>0</v>
      </c>
      <c r="L365" s="5">
        <f>(L200-K200)*Intv_BA!$L$139/TS_Denom_Conv_Fact</f>
        <v>0</v>
      </c>
      <c r="M365" s="5">
        <f>(M200-L200)*Intv_BA!$L$139/TS_Denom_Conv_Fact</f>
        <v>0</v>
      </c>
      <c r="N365" s="5">
        <f>(N200-M200)*Intv_BA!$L$139/TS_Denom_Conv_Fact</f>
        <v>0</v>
      </c>
      <c r="O365" s="5">
        <f>(O200-N200)*Intv_BA!$L$139/TS_Denom_Conv_Fact</f>
        <v>0</v>
      </c>
    </row>
    <row r="366" spans="4:15" s="327" customFormat="1" outlineLevel="1" x14ac:dyDescent="0.2">
      <c r="D366" s="640" t="str">
        <f>Intv_BA!D174</f>
        <v>Western</v>
      </c>
      <c r="H366" s="640" t="str">
        <f>Intv_BA!G$10</f>
        <v>Cryo -SV</v>
      </c>
      <c r="J366" s="5">
        <f>(J201-I201)*Intv_BA!$L$139/TS_Denom_Conv_Fact</f>
        <v>1500</v>
      </c>
      <c r="K366" s="5">
        <f>(K201-J201)*Intv_BA!$L$139/TS_Denom_Conv_Fact</f>
        <v>0</v>
      </c>
      <c r="L366" s="5">
        <f>(L201-K201)*Intv_BA!$L$139/TS_Denom_Conv_Fact</f>
        <v>0</v>
      </c>
      <c r="M366" s="5">
        <f>(M201-L201)*Intv_BA!$L$139/TS_Denom_Conv_Fact</f>
        <v>0</v>
      </c>
      <c r="N366" s="5">
        <f>(N201-M201)*Intv_BA!$L$139/TS_Denom_Conv_Fact</f>
        <v>0</v>
      </c>
      <c r="O366" s="5">
        <f>(O201-N201)*Intv_BA!$L$139/TS_Denom_Conv_Fact</f>
        <v>0</v>
      </c>
    </row>
    <row r="367" spans="4:15" s="327" customFormat="1" ht="15" x14ac:dyDescent="0.2">
      <c r="D367" s="639" t="str">
        <f>D356&amp;" ("&amp;INDEX(LU_Intv_Denom,DD_TS_Denom)&amp;")"</f>
        <v>Financial Capital Expenditures (Capex) (NonAnnualized) (USD)</v>
      </c>
      <c r="H367" s="641" t="str">
        <f>Intv_BA!$G$10</f>
        <v>Cryo -SV</v>
      </c>
      <c r="J367" s="5">
        <f t="shared" ref="J367:O367" si="35">SUM(J357:J366)</f>
        <v>15500</v>
      </c>
      <c r="K367" s="5">
        <f t="shared" si="35"/>
        <v>0</v>
      </c>
      <c r="L367" s="5">
        <f t="shared" si="35"/>
        <v>0</v>
      </c>
      <c r="M367" s="5">
        <f t="shared" si="35"/>
        <v>0</v>
      </c>
      <c r="N367" s="5">
        <f t="shared" si="35"/>
        <v>0</v>
      </c>
      <c r="O367" s="5">
        <f t="shared" si="35"/>
        <v>0</v>
      </c>
    </row>
    <row r="368" spans="4:15" s="327" customFormat="1" ht="15" outlineLevel="2" x14ac:dyDescent="0.2">
      <c r="D368" s="638" t="s">
        <v>1691</v>
      </c>
    </row>
    <row r="369" spans="4:15" s="327" customFormat="1" outlineLevel="2" x14ac:dyDescent="0.2">
      <c r="D369" s="640" t="str">
        <f>Intv_BA!D165</f>
        <v>Central</v>
      </c>
      <c r="H369" s="640" t="str">
        <f>Intv_BA!G$10</f>
        <v>Cryo -SV</v>
      </c>
      <c r="J369" s="8">
        <f>J192*Intv_BA!$M$141/TS_Denom_Conv_Fact</f>
        <v>287.5</v>
      </c>
      <c r="K369" s="8">
        <f>K192*Intv_BA!$M$141/TS_Denom_Conv_Fact</f>
        <v>287.5</v>
      </c>
      <c r="L369" s="8">
        <f>L192*Intv_BA!$M$141/TS_Denom_Conv_Fact</f>
        <v>287.5</v>
      </c>
      <c r="M369" s="8">
        <f>M192*Intv_BA!$M$141/TS_Denom_Conv_Fact</f>
        <v>287.5</v>
      </c>
      <c r="N369" s="8">
        <f>N192*Intv_BA!$M$141/TS_Denom_Conv_Fact</f>
        <v>287.5</v>
      </c>
      <c r="O369" s="8">
        <f>O192*Intv_BA!$M$141/TS_Denom_Conv_Fact</f>
        <v>287.5</v>
      </c>
    </row>
    <row r="370" spans="4:15" s="327" customFormat="1" outlineLevel="2" x14ac:dyDescent="0.2">
      <c r="D370" s="640" t="str">
        <f>Intv_BA!D166</f>
        <v>Copperbelt</v>
      </c>
      <c r="H370" s="640" t="str">
        <f>Intv_BA!G$10</f>
        <v>Cryo -SV</v>
      </c>
      <c r="J370" s="8">
        <f>J193*Intv_BA!$M$141/TS_Denom_Conv_Fact</f>
        <v>431.25</v>
      </c>
      <c r="K370" s="8">
        <f>K193*Intv_BA!$M$141/TS_Denom_Conv_Fact</f>
        <v>431.25</v>
      </c>
      <c r="L370" s="8">
        <f>L193*Intv_BA!$M$141/TS_Denom_Conv_Fact</f>
        <v>431.25</v>
      </c>
      <c r="M370" s="8">
        <f>M193*Intv_BA!$M$141/TS_Denom_Conv_Fact</f>
        <v>431.25</v>
      </c>
      <c r="N370" s="8">
        <f>N193*Intv_BA!$M$141/TS_Denom_Conv_Fact</f>
        <v>431.25</v>
      </c>
      <c r="O370" s="8">
        <f>O193*Intv_BA!$M$141/TS_Denom_Conv_Fact</f>
        <v>431.25</v>
      </c>
    </row>
    <row r="371" spans="4:15" s="327" customFormat="1" outlineLevel="2" x14ac:dyDescent="0.2">
      <c r="D371" s="640" t="str">
        <f>Intv_BA!D167</f>
        <v>Eastern</v>
      </c>
      <c r="H371" s="640" t="str">
        <f>Intv_BA!G$10</f>
        <v>Cryo -SV</v>
      </c>
      <c r="J371" s="8">
        <f>J194*Intv_BA!$M$141/TS_Denom_Conv_Fact</f>
        <v>575</v>
      </c>
      <c r="K371" s="8">
        <f>K194*Intv_BA!$M$141/TS_Denom_Conv_Fact</f>
        <v>575</v>
      </c>
      <c r="L371" s="8">
        <f>L194*Intv_BA!$M$141/TS_Denom_Conv_Fact</f>
        <v>575</v>
      </c>
      <c r="M371" s="8">
        <f>M194*Intv_BA!$M$141/TS_Denom_Conv_Fact</f>
        <v>575</v>
      </c>
      <c r="N371" s="8">
        <f>N194*Intv_BA!$M$141/TS_Denom_Conv_Fact</f>
        <v>575</v>
      </c>
      <c r="O371" s="8">
        <f>O194*Intv_BA!$M$141/TS_Denom_Conv_Fact</f>
        <v>575</v>
      </c>
    </row>
    <row r="372" spans="4:15" s="327" customFormat="1" outlineLevel="2" x14ac:dyDescent="0.2">
      <c r="D372" s="640" t="str">
        <f>Intv_BA!D168</f>
        <v>Luapula</v>
      </c>
      <c r="H372" s="640" t="str">
        <f>Intv_BA!G$10</f>
        <v>Cryo -SV</v>
      </c>
      <c r="J372" s="8">
        <f>J195*Intv_BA!$M$141/TS_Denom_Conv_Fact</f>
        <v>287.5</v>
      </c>
      <c r="K372" s="8">
        <f>K195*Intv_BA!$M$141/TS_Denom_Conv_Fact</f>
        <v>287.5</v>
      </c>
      <c r="L372" s="8">
        <f>L195*Intv_BA!$M$141/TS_Denom_Conv_Fact</f>
        <v>287.5</v>
      </c>
      <c r="M372" s="8">
        <f>M195*Intv_BA!$M$141/TS_Denom_Conv_Fact</f>
        <v>287.5</v>
      </c>
      <c r="N372" s="8">
        <f>N195*Intv_BA!$M$141/TS_Denom_Conv_Fact</f>
        <v>287.5</v>
      </c>
      <c r="O372" s="8">
        <f>O195*Intv_BA!$M$141/TS_Denom_Conv_Fact</f>
        <v>287.5</v>
      </c>
    </row>
    <row r="373" spans="4:15" s="327" customFormat="1" outlineLevel="2" x14ac:dyDescent="0.2">
      <c r="D373" s="640" t="str">
        <f>Intv_BA!D169</f>
        <v>Lusaka</v>
      </c>
      <c r="H373" s="640" t="str">
        <f>Intv_BA!G$10</f>
        <v>Cryo -SV</v>
      </c>
      <c r="J373" s="8">
        <f>J196*Intv_BA!$M$141/TS_Denom_Conv_Fact</f>
        <v>1725</v>
      </c>
      <c r="K373" s="8">
        <f>K196*Intv_BA!$M$141/TS_Denom_Conv_Fact</f>
        <v>1725</v>
      </c>
      <c r="L373" s="8">
        <f>L196*Intv_BA!$M$141/TS_Denom_Conv_Fact</f>
        <v>1725</v>
      </c>
      <c r="M373" s="8">
        <f>M196*Intv_BA!$M$141/TS_Denom_Conv_Fact</f>
        <v>1725</v>
      </c>
      <c r="N373" s="8">
        <f>N196*Intv_BA!$M$141/TS_Denom_Conv_Fact</f>
        <v>1725</v>
      </c>
      <c r="O373" s="8">
        <f>O196*Intv_BA!$M$141/TS_Denom_Conv_Fact</f>
        <v>1725</v>
      </c>
    </row>
    <row r="374" spans="4:15" s="327" customFormat="1" outlineLevel="2" x14ac:dyDescent="0.2">
      <c r="D374" s="640" t="str">
        <f>Intv_BA!D170</f>
        <v>Muchinga</v>
      </c>
      <c r="H374" s="640" t="str">
        <f>Intv_BA!G$10</f>
        <v>Cryo -SV</v>
      </c>
      <c r="J374" s="8">
        <f>J197*Intv_BA!$M$141/TS_Denom_Conv_Fact</f>
        <v>0</v>
      </c>
      <c r="K374" s="8">
        <f>K197*Intv_BA!$M$141/TS_Denom_Conv_Fact</f>
        <v>0</v>
      </c>
      <c r="L374" s="8">
        <f>L197*Intv_BA!$M$141/TS_Denom_Conv_Fact</f>
        <v>0</v>
      </c>
      <c r="M374" s="8">
        <f>M197*Intv_BA!$M$141/TS_Denom_Conv_Fact</f>
        <v>0</v>
      </c>
      <c r="N374" s="8">
        <f>N197*Intv_BA!$M$141/TS_Denom_Conv_Fact</f>
        <v>0</v>
      </c>
      <c r="O374" s="8">
        <f>O197*Intv_BA!$M$141/TS_Denom_Conv_Fact</f>
        <v>0</v>
      </c>
    </row>
    <row r="375" spans="4:15" s="327" customFormat="1" outlineLevel="2" x14ac:dyDescent="0.2">
      <c r="D375" s="640" t="str">
        <f>Intv_BA!D171</f>
        <v>Northern</v>
      </c>
      <c r="H375" s="640" t="str">
        <f>Intv_BA!G$10</f>
        <v>Cryo -SV</v>
      </c>
      <c r="J375" s="8">
        <f>J198*Intv_BA!$M$141/TS_Denom_Conv_Fact</f>
        <v>143.75</v>
      </c>
      <c r="K375" s="8">
        <f>K198*Intv_BA!$M$141/TS_Denom_Conv_Fact</f>
        <v>143.75</v>
      </c>
      <c r="L375" s="8">
        <f>L198*Intv_BA!$M$141/TS_Denom_Conv_Fact</f>
        <v>143.75</v>
      </c>
      <c r="M375" s="8">
        <f>M198*Intv_BA!$M$141/TS_Denom_Conv_Fact</f>
        <v>143.75</v>
      </c>
      <c r="N375" s="8">
        <f>N198*Intv_BA!$M$141/TS_Denom_Conv_Fact</f>
        <v>143.75</v>
      </c>
      <c r="O375" s="8">
        <f>O198*Intv_BA!$M$141/TS_Denom_Conv_Fact</f>
        <v>143.75</v>
      </c>
    </row>
    <row r="376" spans="4:15" s="327" customFormat="1" outlineLevel="2" x14ac:dyDescent="0.2">
      <c r="D376" s="640" t="str">
        <f>Intv_BA!D172</f>
        <v>North-Western</v>
      </c>
      <c r="H376" s="640" t="str">
        <f>Intv_BA!G$10</f>
        <v>Cryo -SV</v>
      </c>
      <c r="J376" s="8">
        <f>J199*Intv_BA!$M$141/TS_Denom_Conv_Fact</f>
        <v>143.75</v>
      </c>
      <c r="K376" s="8">
        <f>K199*Intv_BA!$M$141/TS_Denom_Conv_Fact</f>
        <v>143.75</v>
      </c>
      <c r="L376" s="8">
        <f>L199*Intv_BA!$M$141/TS_Denom_Conv_Fact</f>
        <v>143.75</v>
      </c>
      <c r="M376" s="8">
        <f>M199*Intv_BA!$M$141/TS_Denom_Conv_Fact</f>
        <v>143.75</v>
      </c>
      <c r="N376" s="8">
        <f>N199*Intv_BA!$M$141/TS_Denom_Conv_Fact</f>
        <v>143.75</v>
      </c>
      <c r="O376" s="8">
        <f>O199*Intv_BA!$M$141/TS_Denom_Conv_Fact</f>
        <v>143.75</v>
      </c>
    </row>
    <row r="377" spans="4:15" s="327" customFormat="1" outlineLevel="2" x14ac:dyDescent="0.2">
      <c r="D377" s="640" t="str">
        <f>Intv_BA!D173</f>
        <v>Southern</v>
      </c>
      <c r="H377" s="640" t="str">
        <f>Intv_BA!G$10</f>
        <v>Cryo -SV</v>
      </c>
      <c r="J377" s="8">
        <f>J200*Intv_BA!$M$141/TS_Denom_Conv_Fact</f>
        <v>431.25</v>
      </c>
      <c r="K377" s="8">
        <f>K200*Intv_BA!$M$141/TS_Denom_Conv_Fact</f>
        <v>431.25</v>
      </c>
      <c r="L377" s="8">
        <f>L200*Intv_BA!$M$141/TS_Denom_Conv_Fact</f>
        <v>431.25</v>
      </c>
      <c r="M377" s="8">
        <f>M200*Intv_BA!$M$141/TS_Denom_Conv_Fact</f>
        <v>431.25</v>
      </c>
      <c r="N377" s="8">
        <f>N200*Intv_BA!$M$141/TS_Denom_Conv_Fact</f>
        <v>431.25</v>
      </c>
      <c r="O377" s="8">
        <f>O200*Intv_BA!$M$141/TS_Denom_Conv_Fact</f>
        <v>431.25</v>
      </c>
    </row>
    <row r="378" spans="4:15" s="327" customFormat="1" outlineLevel="2" x14ac:dyDescent="0.2">
      <c r="D378" s="640" t="str">
        <f>Intv_BA!D174</f>
        <v>Western</v>
      </c>
      <c r="H378" s="640" t="str">
        <f>Intv_BA!G$10</f>
        <v>Cryo -SV</v>
      </c>
      <c r="J378" s="9">
        <f>J201*Intv_BA!$M$141/TS_Denom_Conv_Fact</f>
        <v>431.25</v>
      </c>
      <c r="K378" s="9">
        <f>K201*Intv_BA!$M$141/TS_Denom_Conv_Fact</f>
        <v>431.25</v>
      </c>
      <c r="L378" s="9">
        <f>L201*Intv_BA!$M$141/TS_Denom_Conv_Fact</f>
        <v>431.25</v>
      </c>
      <c r="M378" s="9">
        <f>M201*Intv_BA!$M$141/TS_Denom_Conv_Fact</f>
        <v>431.25</v>
      </c>
      <c r="N378" s="9">
        <f>N201*Intv_BA!$M$141/TS_Denom_Conv_Fact</f>
        <v>431.25</v>
      </c>
      <c r="O378" s="9">
        <f>O201*Intv_BA!$M$141/TS_Denom_Conv_Fact</f>
        <v>431.25</v>
      </c>
    </row>
    <row r="379" spans="4:15" s="327" customFormat="1" ht="15" x14ac:dyDescent="0.2">
      <c r="D379" s="639" t="str">
        <f>D368&amp;" ("&amp;INDEX(LU_Intv_Denom,DD_TS_Denom)&amp;")"</f>
        <v>Financial Capital Expenditures (Capex) (Annualized) (USD)</v>
      </c>
      <c r="H379" s="641" t="str">
        <f>Intv_BA!$G$10</f>
        <v>Cryo -SV</v>
      </c>
      <c r="J379" s="5">
        <f t="shared" ref="J379:O379" si="36">SUM(J369:J378)</f>
        <v>4456.25</v>
      </c>
      <c r="K379" s="5">
        <f t="shared" si="36"/>
        <v>4456.25</v>
      </c>
      <c r="L379" s="5">
        <f t="shared" si="36"/>
        <v>4456.25</v>
      </c>
      <c r="M379" s="5">
        <f t="shared" si="36"/>
        <v>4456.25</v>
      </c>
      <c r="N379" s="5">
        <f t="shared" si="36"/>
        <v>4456.25</v>
      </c>
      <c r="O379" s="5">
        <f t="shared" si="36"/>
        <v>4456.25</v>
      </c>
    </row>
    <row r="380" spans="4:15" s="327" customFormat="1" x14ac:dyDescent="0.2"/>
    <row r="381" spans="4:15" s="327" customFormat="1" ht="15" outlineLevel="1" x14ac:dyDescent="0.2">
      <c r="D381" s="638" t="s">
        <v>731</v>
      </c>
    </row>
    <row r="382" spans="4:15" s="327" customFormat="1" outlineLevel="1" x14ac:dyDescent="0.2">
      <c r="D382" s="640" t="str">
        <f>Intv_BA!D165</f>
        <v>Central</v>
      </c>
      <c r="H382" s="640" t="str">
        <f>Intv_BA!G$10</f>
        <v>Cryo -SV</v>
      </c>
      <c r="J382" s="14">
        <f>(J192-I192)*Intv_BA!$L$139/TS_Denom_Conv_Fact</f>
        <v>1000</v>
      </c>
      <c r="K382" s="14">
        <f>(K192-J192)*Intv_BA!$L$139/TS_Denom_Conv_Fact</f>
        <v>0</v>
      </c>
      <c r="L382" s="14">
        <f>(L192-K192)*Intv_BA!$L$139/TS_Denom_Conv_Fact</f>
        <v>0</v>
      </c>
      <c r="M382" s="14">
        <f>(M192-L192)*Intv_BA!$L$139/TS_Denom_Conv_Fact</f>
        <v>0</v>
      </c>
      <c r="N382" s="14">
        <f>(N192-M192)*Intv_BA!$L$139/TS_Denom_Conv_Fact</f>
        <v>0</v>
      </c>
      <c r="O382" s="14">
        <f>(O192-N192)*Intv_BA!$L$139/TS_Denom_Conv_Fact</f>
        <v>0</v>
      </c>
    </row>
    <row r="383" spans="4:15" s="327" customFormat="1" outlineLevel="1" x14ac:dyDescent="0.2">
      <c r="D383" s="640" t="str">
        <f>Intv_BA!D166</f>
        <v>Copperbelt</v>
      </c>
      <c r="H383" s="640" t="str">
        <f>Intv_BA!G$10</f>
        <v>Cryo -SV</v>
      </c>
      <c r="J383" s="14">
        <f>(J193-I193)*Intv_BA!$L$139/TS_Denom_Conv_Fact</f>
        <v>1500</v>
      </c>
      <c r="K383" s="14">
        <f>(K193-J193)*Intv_BA!$L$139/TS_Denom_Conv_Fact</f>
        <v>0</v>
      </c>
      <c r="L383" s="14">
        <f>(L193-K193)*Intv_BA!$L$139/TS_Denom_Conv_Fact</f>
        <v>0</v>
      </c>
      <c r="M383" s="14">
        <f>(M193-L193)*Intv_BA!$L$139/TS_Denom_Conv_Fact</f>
        <v>0</v>
      </c>
      <c r="N383" s="14">
        <f>(N193-M193)*Intv_BA!$L$139/TS_Denom_Conv_Fact</f>
        <v>0</v>
      </c>
      <c r="O383" s="14">
        <f>(O193-N193)*Intv_BA!$L$139/TS_Denom_Conv_Fact</f>
        <v>0</v>
      </c>
    </row>
    <row r="384" spans="4:15" s="327" customFormat="1" outlineLevel="1" x14ac:dyDescent="0.2">
      <c r="D384" s="640" t="str">
        <f>Intv_BA!D167</f>
        <v>Eastern</v>
      </c>
      <c r="H384" s="640" t="str">
        <f>Intv_BA!G$10</f>
        <v>Cryo -SV</v>
      </c>
      <c r="J384" s="14">
        <f>(J194-I194)*Intv_BA!$L$139/TS_Denom_Conv_Fact</f>
        <v>2000</v>
      </c>
      <c r="K384" s="14">
        <f>(K194-J194)*Intv_BA!$L$139/TS_Denom_Conv_Fact</f>
        <v>0</v>
      </c>
      <c r="L384" s="14">
        <f>(L194-K194)*Intv_BA!$L$139/TS_Denom_Conv_Fact</f>
        <v>0</v>
      </c>
      <c r="M384" s="14">
        <f>(M194-L194)*Intv_BA!$L$139/TS_Denom_Conv_Fact</f>
        <v>0</v>
      </c>
      <c r="N384" s="14">
        <f>(N194-M194)*Intv_BA!$L$139/TS_Denom_Conv_Fact</f>
        <v>0</v>
      </c>
      <c r="O384" s="14">
        <f>(O194-N194)*Intv_BA!$L$139/TS_Denom_Conv_Fact</f>
        <v>0</v>
      </c>
    </row>
    <row r="385" spans="4:15" s="327" customFormat="1" outlineLevel="1" x14ac:dyDescent="0.2">
      <c r="D385" s="640" t="str">
        <f>Intv_BA!D168</f>
        <v>Luapula</v>
      </c>
      <c r="H385" s="640" t="str">
        <f>Intv_BA!G$10</f>
        <v>Cryo -SV</v>
      </c>
      <c r="J385" s="14">
        <f>(J195-I195)*Intv_BA!$L$139/TS_Denom_Conv_Fact</f>
        <v>1000</v>
      </c>
      <c r="K385" s="14">
        <f>(K195-J195)*Intv_BA!$L$139/TS_Denom_Conv_Fact</f>
        <v>0</v>
      </c>
      <c r="L385" s="14">
        <f>(L195-K195)*Intv_BA!$L$139/TS_Denom_Conv_Fact</f>
        <v>0</v>
      </c>
      <c r="M385" s="14">
        <f>(M195-L195)*Intv_BA!$L$139/TS_Denom_Conv_Fact</f>
        <v>0</v>
      </c>
      <c r="N385" s="14">
        <f>(N195-M195)*Intv_BA!$L$139/TS_Denom_Conv_Fact</f>
        <v>0</v>
      </c>
      <c r="O385" s="14">
        <f>(O195-N195)*Intv_BA!$L$139/TS_Denom_Conv_Fact</f>
        <v>0</v>
      </c>
    </row>
    <row r="386" spans="4:15" s="327" customFormat="1" outlineLevel="1" x14ac:dyDescent="0.2">
      <c r="D386" s="640" t="str">
        <f>Intv_BA!D169</f>
        <v>Lusaka</v>
      </c>
      <c r="H386" s="640" t="str">
        <f>Intv_BA!G$10</f>
        <v>Cryo -SV</v>
      </c>
      <c r="J386" s="14">
        <f>(J196-I196)*Intv_BA!$L$139/TS_Denom_Conv_Fact</f>
        <v>6000</v>
      </c>
      <c r="K386" s="14">
        <f>(K196-J196)*Intv_BA!$L$139/TS_Denom_Conv_Fact</f>
        <v>0</v>
      </c>
      <c r="L386" s="14">
        <f>(L196-K196)*Intv_BA!$L$139/TS_Denom_Conv_Fact</f>
        <v>0</v>
      </c>
      <c r="M386" s="14">
        <f>(M196-L196)*Intv_BA!$L$139/TS_Denom_Conv_Fact</f>
        <v>0</v>
      </c>
      <c r="N386" s="14">
        <f>(N196-M196)*Intv_BA!$L$139/TS_Denom_Conv_Fact</f>
        <v>0</v>
      </c>
      <c r="O386" s="14">
        <f>(O196-N196)*Intv_BA!$L$139/TS_Denom_Conv_Fact</f>
        <v>0</v>
      </c>
    </row>
    <row r="387" spans="4:15" s="327" customFormat="1" outlineLevel="1" x14ac:dyDescent="0.2">
      <c r="D387" s="640" t="str">
        <f>Intv_BA!D170</f>
        <v>Muchinga</v>
      </c>
      <c r="H387" s="640" t="str">
        <f>Intv_BA!G$10</f>
        <v>Cryo -SV</v>
      </c>
      <c r="J387" s="14">
        <f>(J197-I197)*Intv_BA!$L$139/TS_Denom_Conv_Fact</f>
        <v>0</v>
      </c>
      <c r="K387" s="14">
        <f>(K197-J197)*Intv_BA!$L$139/TS_Denom_Conv_Fact</f>
        <v>0</v>
      </c>
      <c r="L387" s="14">
        <f>(L197-K197)*Intv_BA!$L$139/TS_Denom_Conv_Fact</f>
        <v>0</v>
      </c>
      <c r="M387" s="14">
        <f>(M197-L197)*Intv_BA!$L$139/TS_Denom_Conv_Fact</f>
        <v>0</v>
      </c>
      <c r="N387" s="14">
        <f>(N197-M197)*Intv_BA!$L$139/TS_Denom_Conv_Fact</f>
        <v>0</v>
      </c>
      <c r="O387" s="14">
        <f>(O197-N197)*Intv_BA!$L$139/TS_Denom_Conv_Fact</f>
        <v>0</v>
      </c>
    </row>
    <row r="388" spans="4:15" s="327" customFormat="1" outlineLevel="1" x14ac:dyDescent="0.2">
      <c r="D388" s="640" t="str">
        <f>Intv_BA!D171</f>
        <v>Northern</v>
      </c>
      <c r="H388" s="640" t="str">
        <f>Intv_BA!G$10</f>
        <v>Cryo -SV</v>
      </c>
      <c r="J388" s="14">
        <f>(J198-I198)*Intv_BA!$L$139/TS_Denom_Conv_Fact</f>
        <v>500</v>
      </c>
      <c r="K388" s="14">
        <f>(K198-J198)*Intv_BA!$L$139/TS_Denom_Conv_Fact</f>
        <v>0</v>
      </c>
      <c r="L388" s="14">
        <f>(L198-K198)*Intv_BA!$L$139/TS_Denom_Conv_Fact</f>
        <v>0</v>
      </c>
      <c r="M388" s="14">
        <f>(M198-L198)*Intv_BA!$L$139/TS_Denom_Conv_Fact</f>
        <v>0</v>
      </c>
      <c r="N388" s="14">
        <f>(N198-M198)*Intv_BA!$L$139/TS_Denom_Conv_Fact</f>
        <v>0</v>
      </c>
      <c r="O388" s="14">
        <f>(O198-N198)*Intv_BA!$L$139/TS_Denom_Conv_Fact</f>
        <v>0</v>
      </c>
    </row>
    <row r="389" spans="4:15" s="327" customFormat="1" outlineLevel="1" x14ac:dyDescent="0.2">
      <c r="D389" s="640" t="str">
        <f>Intv_BA!D172</f>
        <v>North-Western</v>
      </c>
      <c r="H389" s="640" t="str">
        <f>Intv_BA!G$10</f>
        <v>Cryo -SV</v>
      </c>
      <c r="J389" s="14">
        <f>(J199-I199)*Intv_BA!$L$139/TS_Denom_Conv_Fact</f>
        <v>500</v>
      </c>
      <c r="K389" s="14">
        <f>(K199-J199)*Intv_BA!$L$139/TS_Denom_Conv_Fact</f>
        <v>0</v>
      </c>
      <c r="L389" s="14">
        <f>(L199-K199)*Intv_BA!$L$139/TS_Denom_Conv_Fact</f>
        <v>0</v>
      </c>
      <c r="M389" s="14">
        <f>(M199-L199)*Intv_BA!$L$139/TS_Denom_Conv_Fact</f>
        <v>0</v>
      </c>
      <c r="N389" s="14">
        <f>(N199-M199)*Intv_BA!$L$139/TS_Denom_Conv_Fact</f>
        <v>0</v>
      </c>
      <c r="O389" s="14">
        <f>(O199-N199)*Intv_BA!$L$139/TS_Denom_Conv_Fact</f>
        <v>0</v>
      </c>
    </row>
    <row r="390" spans="4:15" s="327" customFormat="1" outlineLevel="1" x14ac:dyDescent="0.2">
      <c r="D390" s="640" t="str">
        <f>Intv_BA!D173</f>
        <v>Southern</v>
      </c>
      <c r="H390" s="640" t="str">
        <f>Intv_BA!G$10</f>
        <v>Cryo -SV</v>
      </c>
      <c r="J390" s="14">
        <f>(J200-I200)*Intv_BA!$L$139/TS_Denom_Conv_Fact</f>
        <v>1500</v>
      </c>
      <c r="K390" s="14">
        <f>(K200-J200)*Intv_BA!$L$139/TS_Denom_Conv_Fact</f>
        <v>0</v>
      </c>
      <c r="L390" s="14">
        <f>(L200-K200)*Intv_BA!$L$139/TS_Denom_Conv_Fact</f>
        <v>0</v>
      </c>
      <c r="M390" s="14">
        <f>(M200-L200)*Intv_BA!$L$139/TS_Denom_Conv_Fact</f>
        <v>0</v>
      </c>
      <c r="N390" s="14">
        <f>(N200-M200)*Intv_BA!$L$139/TS_Denom_Conv_Fact</f>
        <v>0</v>
      </c>
      <c r="O390" s="14">
        <f>(O200-N200)*Intv_BA!$L$139/TS_Denom_Conv_Fact</f>
        <v>0</v>
      </c>
    </row>
    <row r="391" spans="4:15" s="327" customFormat="1" outlineLevel="1" x14ac:dyDescent="0.2">
      <c r="D391" s="640" t="str">
        <f>Intv_BA!D174</f>
        <v>Western</v>
      </c>
      <c r="H391" s="640" t="str">
        <f>Intv_BA!G$10</f>
        <v>Cryo -SV</v>
      </c>
      <c r="J391" s="14">
        <f>(J201-I201)*Intv_BA!$L$139/TS_Denom_Conv_Fact</f>
        <v>1500</v>
      </c>
      <c r="K391" s="14">
        <f>(K201-J201)*Intv_BA!$L$139/TS_Denom_Conv_Fact</f>
        <v>0</v>
      </c>
      <c r="L391" s="14">
        <f>(L201-K201)*Intv_BA!$L$139/TS_Denom_Conv_Fact</f>
        <v>0</v>
      </c>
      <c r="M391" s="14">
        <f>(M201-L201)*Intv_BA!$L$139/TS_Denom_Conv_Fact</f>
        <v>0</v>
      </c>
      <c r="N391" s="14">
        <f>(N201-M201)*Intv_BA!$L$139/TS_Denom_Conv_Fact</f>
        <v>0</v>
      </c>
      <c r="O391" s="14">
        <f>(O201-N201)*Intv_BA!$L$139/TS_Denom_Conv_Fact</f>
        <v>0</v>
      </c>
    </row>
    <row r="392" spans="4:15" s="327" customFormat="1" ht="15" x14ac:dyDescent="0.2">
      <c r="D392" s="639" t="str">
        <f>D381&amp;" ("&amp;INDEX(LU_Intv_Denom,DD_TS_Denom)&amp;")"</f>
        <v>Economic Capex (NonAnnualized) (USD)</v>
      </c>
      <c r="H392" s="641" t="str">
        <f>Intv_BA!$G$10</f>
        <v>Cryo -SV</v>
      </c>
      <c r="J392" s="5">
        <f t="shared" ref="J392:O392" si="37">SUM(J382:J391)</f>
        <v>15500</v>
      </c>
      <c r="K392" s="5">
        <f t="shared" si="37"/>
        <v>0</v>
      </c>
      <c r="L392" s="5">
        <f t="shared" si="37"/>
        <v>0</v>
      </c>
      <c r="M392" s="5">
        <f t="shared" si="37"/>
        <v>0</v>
      </c>
      <c r="N392" s="5">
        <f t="shared" si="37"/>
        <v>0</v>
      </c>
      <c r="O392" s="5">
        <f t="shared" si="37"/>
        <v>0</v>
      </c>
    </row>
    <row r="393" spans="4:15" s="327" customFormat="1" ht="15" outlineLevel="2" x14ac:dyDescent="0.2">
      <c r="D393" s="638" t="s">
        <v>1692</v>
      </c>
    </row>
    <row r="394" spans="4:15" s="327" customFormat="1" outlineLevel="2" x14ac:dyDescent="0.2">
      <c r="D394" s="640" t="str">
        <f>Intv_BA!D165</f>
        <v>Central</v>
      </c>
      <c r="H394" s="640" t="str">
        <f>Intv_BA!G$10</f>
        <v>Cryo -SV</v>
      </c>
      <c r="J394" s="8">
        <f>J192*Intv_BA!$N$141/TS_Denom_Conv_Fact</f>
        <v>309.38110197204497</v>
      </c>
      <c r="K394" s="8">
        <f>K192*Intv_BA!$N$141/TS_Denom_Conv_Fact</f>
        <v>309.38110197204497</v>
      </c>
      <c r="L394" s="8">
        <f>L192*Intv_BA!$N$141/TS_Denom_Conv_Fact</f>
        <v>309.38110197204497</v>
      </c>
      <c r="M394" s="8">
        <f>M192*Intv_BA!$N$141/TS_Denom_Conv_Fact</f>
        <v>309.38110197204497</v>
      </c>
      <c r="N394" s="8">
        <f>N192*Intv_BA!$N$141/TS_Denom_Conv_Fact</f>
        <v>309.38110197204497</v>
      </c>
      <c r="O394" s="8">
        <f>O192*Intv_BA!$N$141/TS_Denom_Conv_Fact</f>
        <v>309.38110197204497</v>
      </c>
    </row>
    <row r="395" spans="4:15" s="327" customFormat="1" outlineLevel="2" x14ac:dyDescent="0.2">
      <c r="D395" s="640" t="str">
        <f>Intv_BA!D166</f>
        <v>Copperbelt</v>
      </c>
      <c r="H395" s="640" t="str">
        <f>Intv_BA!G$10</f>
        <v>Cryo -SV</v>
      </c>
      <c r="J395" s="8">
        <f>J193*Intv_BA!$N$141/TS_Denom_Conv_Fact</f>
        <v>464.07165295806749</v>
      </c>
      <c r="K395" s="8">
        <f>K193*Intv_BA!$N$141/TS_Denom_Conv_Fact</f>
        <v>464.07165295806749</v>
      </c>
      <c r="L395" s="8">
        <f>L193*Intv_BA!$N$141/TS_Denom_Conv_Fact</f>
        <v>464.07165295806749</v>
      </c>
      <c r="M395" s="8">
        <f>M193*Intv_BA!$N$141/TS_Denom_Conv_Fact</f>
        <v>464.07165295806749</v>
      </c>
      <c r="N395" s="8">
        <f>N193*Intv_BA!$N$141/TS_Denom_Conv_Fact</f>
        <v>464.07165295806749</v>
      </c>
      <c r="O395" s="8">
        <f>O193*Intv_BA!$N$141/TS_Denom_Conv_Fact</f>
        <v>464.07165295806749</v>
      </c>
    </row>
    <row r="396" spans="4:15" s="327" customFormat="1" outlineLevel="2" x14ac:dyDescent="0.2">
      <c r="D396" s="640" t="str">
        <f>Intv_BA!D167</f>
        <v>Eastern</v>
      </c>
      <c r="H396" s="640" t="str">
        <f>Intv_BA!G$10</f>
        <v>Cryo -SV</v>
      </c>
      <c r="J396" s="8">
        <f>J194*Intv_BA!$N$141/TS_Denom_Conv_Fact</f>
        <v>618.76220394408995</v>
      </c>
      <c r="K396" s="8">
        <f>K194*Intv_BA!$N$141/TS_Denom_Conv_Fact</f>
        <v>618.76220394408995</v>
      </c>
      <c r="L396" s="8">
        <f>L194*Intv_BA!$N$141/TS_Denom_Conv_Fact</f>
        <v>618.76220394408995</v>
      </c>
      <c r="M396" s="8">
        <f>M194*Intv_BA!$N$141/TS_Denom_Conv_Fact</f>
        <v>618.76220394408995</v>
      </c>
      <c r="N396" s="8">
        <f>N194*Intv_BA!$N$141/TS_Denom_Conv_Fact</f>
        <v>618.76220394408995</v>
      </c>
      <c r="O396" s="8">
        <f>O194*Intv_BA!$N$141/TS_Denom_Conv_Fact</f>
        <v>618.76220394408995</v>
      </c>
    </row>
    <row r="397" spans="4:15" s="327" customFormat="1" outlineLevel="2" x14ac:dyDescent="0.2">
      <c r="D397" s="640" t="str">
        <f>Intv_BA!D168</f>
        <v>Luapula</v>
      </c>
      <c r="H397" s="640" t="str">
        <f>Intv_BA!G$10</f>
        <v>Cryo -SV</v>
      </c>
      <c r="J397" s="8">
        <f>J195*Intv_BA!$N$141/TS_Denom_Conv_Fact</f>
        <v>309.38110197204497</v>
      </c>
      <c r="K397" s="8">
        <f>K195*Intv_BA!$N$141/TS_Denom_Conv_Fact</f>
        <v>309.38110197204497</v>
      </c>
      <c r="L397" s="8">
        <f>L195*Intv_BA!$N$141/TS_Denom_Conv_Fact</f>
        <v>309.38110197204497</v>
      </c>
      <c r="M397" s="8">
        <f>M195*Intv_BA!$N$141/TS_Denom_Conv_Fact</f>
        <v>309.38110197204497</v>
      </c>
      <c r="N397" s="8">
        <f>N195*Intv_BA!$N$141/TS_Denom_Conv_Fact</f>
        <v>309.38110197204497</v>
      </c>
      <c r="O397" s="8">
        <f>O195*Intv_BA!$N$141/TS_Denom_Conv_Fact</f>
        <v>309.38110197204497</v>
      </c>
    </row>
    <row r="398" spans="4:15" s="327" customFormat="1" outlineLevel="2" x14ac:dyDescent="0.2">
      <c r="D398" s="640" t="str">
        <f>Intv_BA!D169</f>
        <v>Lusaka</v>
      </c>
      <c r="H398" s="640" t="str">
        <f>Intv_BA!G$10</f>
        <v>Cryo -SV</v>
      </c>
      <c r="J398" s="8">
        <f>J196*Intv_BA!$N$141/TS_Denom_Conv_Fact</f>
        <v>1856.28661183227</v>
      </c>
      <c r="K398" s="8">
        <f>K196*Intv_BA!$N$141/TS_Denom_Conv_Fact</f>
        <v>1856.28661183227</v>
      </c>
      <c r="L398" s="8">
        <f>L196*Intv_BA!$N$141/TS_Denom_Conv_Fact</f>
        <v>1856.28661183227</v>
      </c>
      <c r="M398" s="8">
        <f>M196*Intv_BA!$N$141/TS_Denom_Conv_Fact</f>
        <v>1856.28661183227</v>
      </c>
      <c r="N398" s="8">
        <f>N196*Intv_BA!$N$141/TS_Denom_Conv_Fact</f>
        <v>1856.28661183227</v>
      </c>
      <c r="O398" s="8">
        <f>O196*Intv_BA!$N$141/TS_Denom_Conv_Fact</f>
        <v>1856.28661183227</v>
      </c>
    </row>
    <row r="399" spans="4:15" s="327" customFormat="1" outlineLevel="2" x14ac:dyDescent="0.2">
      <c r="D399" s="640" t="str">
        <f>Intv_BA!D170</f>
        <v>Muchinga</v>
      </c>
      <c r="H399" s="640" t="str">
        <f>Intv_BA!G$10</f>
        <v>Cryo -SV</v>
      </c>
      <c r="J399" s="8">
        <f>J197*Intv_BA!$N$141/TS_Denom_Conv_Fact</f>
        <v>0</v>
      </c>
      <c r="K399" s="8">
        <f>K197*Intv_BA!$N$141/TS_Denom_Conv_Fact</f>
        <v>0</v>
      </c>
      <c r="L399" s="8">
        <f>L197*Intv_BA!$N$141/TS_Denom_Conv_Fact</f>
        <v>0</v>
      </c>
      <c r="M399" s="8">
        <f>M197*Intv_BA!$N$141/TS_Denom_Conv_Fact</f>
        <v>0</v>
      </c>
      <c r="N399" s="8">
        <f>N197*Intv_BA!$N$141/TS_Denom_Conv_Fact</f>
        <v>0</v>
      </c>
      <c r="O399" s="8">
        <f>O197*Intv_BA!$N$141/TS_Denom_Conv_Fact</f>
        <v>0</v>
      </c>
    </row>
    <row r="400" spans="4:15" s="327" customFormat="1" outlineLevel="2" x14ac:dyDescent="0.2">
      <c r="D400" s="640" t="str">
        <f>Intv_BA!D171</f>
        <v>Northern</v>
      </c>
      <c r="H400" s="640" t="str">
        <f>Intv_BA!G$10</f>
        <v>Cryo -SV</v>
      </c>
      <c r="J400" s="8">
        <f>J198*Intv_BA!$N$141/TS_Denom_Conv_Fact</f>
        <v>154.69055098602249</v>
      </c>
      <c r="K400" s="8">
        <f>K198*Intv_BA!$N$141/TS_Denom_Conv_Fact</f>
        <v>154.69055098602249</v>
      </c>
      <c r="L400" s="8">
        <f>L198*Intv_BA!$N$141/TS_Denom_Conv_Fact</f>
        <v>154.69055098602249</v>
      </c>
      <c r="M400" s="8">
        <f>M198*Intv_BA!$N$141/TS_Denom_Conv_Fact</f>
        <v>154.69055098602249</v>
      </c>
      <c r="N400" s="8">
        <f>N198*Intv_BA!$N$141/TS_Denom_Conv_Fact</f>
        <v>154.69055098602249</v>
      </c>
      <c r="O400" s="8">
        <f>O198*Intv_BA!$N$141/TS_Denom_Conv_Fact</f>
        <v>154.69055098602249</v>
      </c>
    </row>
    <row r="401" spans="3:15" s="327" customFormat="1" outlineLevel="2" x14ac:dyDescent="0.2">
      <c r="D401" s="640" t="str">
        <f>Intv_BA!D172</f>
        <v>North-Western</v>
      </c>
      <c r="H401" s="640" t="str">
        <f>Intv_BA!G$10</f>
        <v>Cryo -SV</v>
      </c>
      <c r="J401" s="8">
        <f>J199*Intv_BA!$N$141/TS_Denom_Conv_Fact</f>
        <v>154.69055098602249</v>
      </c>
      <c r="K401" s="8">
        <f>K199*Intv_BA!$N$141/TS_Denom_Conv_Fact</f>
        <v>154.69055098602249</v>
      </c>
      <c r="L401" s="8">
        <f>L199*Intv_BA!$N$141/TS_Denom_Conv_Fact</f>
        <v>154.69055098602249</v>
      </c>
      <c r="M401" s="8">
        <f>M199*Intv_BA!$N$141/TS_Denom_Conv_Fact</f>
        <v>154.69055098602249</v>
      </c>
      <c r="N401" s="8">
        <f>N199*Intv_BA!$N$141/TS_Denom_Conv_Fact</f>
        <v>154.69055098602249</v>
      </c>
      <c r="O401" s="8">
        <f>O199*Intv_BA!$N$141/TS_Denom_Conv_Fact</f>
        <v>154.69055098602249</v>
      </c>
    </row>
    <row r="402" spans="3:15" s="327" customFormat="1" outlineLevel="2" x14ac:dyDescent="0.2">
      <c r="D402" s="640" t="str">
        <f>Intv_BA!D173</f>
        <v>Southern</v>
      </c>
      <c r="H402" s="640" t="str">
        <f>Intv_BA!G$10</f>
        <v>Cryo -SV</v>
      </c>
      <c r="J402" s="8">
        <f>J200*Intv_BA!$N$141/TS_Denom_Conv_Fact</f>
        <v>464.07165295806749</v>
      </c>
      <c r="K402" s="8">
        <f>K200*Intv_BA!$N$141/TS_Denom_Conv_Fact</f>
        <v>464.07165295806749</v>
      </c>
      <c r="L402" s="8">
        <f>L200*Intv_BA!$N$141/TS_Denom_Conv_Fact</f>
        <v>464.07165295806749</v>
      </c>
      <c r="M402" s="8">
        <f>M200*Intv_BA!$N$141/TS_Denom_Conv_Fact</f>
        <v>464.07165295806749</v>
      </c>
      <c r="N402" s="8">
        <f>N200*Intv_BA!$N$141/TS_Denom_Conv_Fact</f>
        <v>464.07165295806749</v>
      </c>
      <c r="O402" s="8">
        <f>O200*Intv_BA!$N$141/TS_Denom_Conv_Fact</f>
        <v>464.07165295806749</v>
      </c>
    </row>
    <row r="403" spans="3:15" s="327" customFormat="1" outlineLevel="2" x14ac:dyDescent="0.2">
      <c r="D403" s="640" t="str">
        <f>Intv_BA!D174</f>
        <v>Western</v>
      </c>
      <c r="H403" s="640" t="str">
        <f>Intv_BA!G$10</f>
        <v>Cryo -SV</v>
      </c>
      <c r="J403" s="9">
        <f>J201*Intv_BA!$N$141/TS_Denom_Conv_Fact</f>
        <v>464.07165295806749</v>
      </c>
      <c r="K403" s="9">
        <f>K201*Intv_BA!$N$141/TS_Denom_Conv_Fact</f>
        <v>464.07165295806749</v>
      </c>
      <c r="L403" s="9">
        <f>L201*Intv_BA!$N$141/TS_Denom_Conv_Fact</f>
        <v>464.07165295806749</v>
      </c>
      <c r="M403" s="9">
        <f>M201*Intv_BA!$N$141/TS_Denom_Conv_Fact</f>
        <v>464.07165295806749</v>
      </c>
      <c r="N403" s="9">
        <f>N201*Intv_BA!$N$141/TS_Denom_Conv_Fact</f>
        <v>464.07165295806749</v>
      </c>
      <c r="O403" s="9">
        <f>O201*Intv_BA!$N$141/TS_Denom_Conv_Fact</f>
        <v>464.07165295806749</v>
      </c>
    </row>
    <row r="404" spans="3:15" s="327" customFormat="1" ht="15" x14ac:dyDescent="0.2">
      <c r="D404" s="639" t="str">
        <f>D393&amp;" ("&amp;INDEX(LU_Intv_Denom,DD_TS_Denom)&amp;")"</f>
        <v>Economic Capital Expenditures (Capex) (Annualized) (USD)</v>
      </c>
      <c r="H404" s="641" t="str">
        <f>Intv_BA!$G$10</f>
        <v>Cryo -SV</v>
      </c>
      <c r="J404" s="5">
        <f t="shared" ref="J404:O404" si="38">SUM(J394:J403)</f>
        <v>4795.4070805666979</v>
      </c>
      <c r="K404" s="5">
        <f t="shared" si="38"/>
        <v>4795.4070805666979</v>
      </c>
      <c r="L404" s="5">
        <f t="shared" si="38"/>
        <v>4795.4070805666979</v>
      </c>
      <c r="M404" s="5">
        <f t="shared" si="38"/>
        <v>4795.4070805666979</v>
      </c>
      <c r="N404" s="5">
        <f t="shared" si="38"/>
        <v>4795.4070805666979</v>
      </c>
      <c r="O404" s="5">
        <f t="shared" si="38"/>
        <v>4795.4070805666979</v>
      </c>
    </row>
    <row r="405" spans="3:15" s="327" customFormat="1" x14ac:dyDescent="0.2"/>
    <row r="406" spans="3:15" s="327" customFormat="1" ht="15.75" x14ac:dyDescent="0.2">
      <c r="D406" s="330" t="s">
        <v>732</v>
      </c>
    </row>
    <row r="407" spans="3:15" s="327" customFormat="1" ht="26.1" customHeight="1" x14ac:dyDescent="0.2">
      <c r="D407" s="930" t="str">
        <f>"Total Fin Costs [incl. Capex] (NonAnnualized) ("&amp;INDEX(LU_Intv_Denom,DD_TS_Denom)&amp;")"</f>
        <v>Total Fin Costs [incl. Capex] (NonAnnualized) (USD)</v>
      </c>
      <c r="E407" s="930"/>
      <c r="F407" s="930"/>
      <c r="G407" s="930"/>
      <c r="H407" s="640" t="str">
        <f>Intv_BA!$G$10</f>
        <v>Cryo -SV</v>
      </c>
      <c r="J407" s="5">
        <f t="shared" ref="J407:O407" ca="1" si="39">J353+J367</f>
        <v>335995.33100000006</v>
      </c>
      <c r="K407" s="5">
        <f t="shared" ca="1" si="39"/>
        <v>320495.33100000006</v>
      </c>
      <c r="L407" s="5">
        <f t="shared" ca="1" si="39"/>
        <v>320495.33100000006</v>
      </c>
      <c r="M407" s="5">
        <f t="shared" ca="1" si="39"/>
        <v>320495.33100000006</v>
      </c>
      <c r="N407" s="5">
        <f t="shared" ca="1" si="39"/>
        <v>320495.33100000006</v>
      </c>
      <c r="O407" s="5">
        <f t="shared" ca="1" si="39"/>
        <v>320495.33100000006</v>
      </c>
    </row>
    <row r="408" spans="3:15" s="327" customFormat="1" ht="24.95" customHeight="1" x14ac:dyDescent="0.2">
      <c r="D408" s="930" t="str">
        <f>"Total Fin Costs [incl. Capex] (Annualized) ("&amp;INDEX(LU_Intv_Denom,DD_TS_Denom)&amp;")"</f>
        <v>Total Fin Costs [incl. Capex] (Annualized) (USD)</v>
      </c>
      <c r="E408" s="930"/>
      <c r="F408" s="930"/>
      <c r="G408" s="930"/>
      <c r="H408" s="640" t="str">
        <f>Intv_BA!$G$10</f>
        <v>Cryo -SV</v>
      </c>
      <c r="J408" s="5">
        <f t="shared" ref="J408:O408" ca="1" si="40">J353+J379</f>
        <v>324951.58100000006</v>
      </c>
      <c r="K408" s="5">
        <f t="shared" ca="1" si="40"/>
        <v>324951.58100000006</v>
      </c>
      <c r="L408" s="5">
        <f t="shared" ca="1" si="40"/>
        <v>324951.58100000006</v>
      </c>
      <c r="M408" s="5">
        <f t="shared" ca="1" si="40"/>
        <v>324951.58100000006</v>
      </c>
      <c r="N408" s="5">
        <f t="shared" ca="1" si="40"/>
        <v>324951.58100000006</v>
      </c>
      <c r="O408" s="5">
        <f t="shared" ca="1" si="40"/>
        <v>324951.58100000006</v>
      </c>
    </row>
    <row r="409" spans="3:15" s="327" customFormat="1" x14ac:dyDescent="0.2"/>
    <row r="410" spans="3:15" s="327" customFormat="1" ht="15.75" x14ac:dyDescent="0.2">
      <c r="D410" s="330" t="s">
        <v>733</v>
      </c>
    </row>
    <row r="411" spans="3:15" s="327" customFormat="1" ht="24.6" customHeight="1" x14ac:dyDescent="0.2">
      <c r="D411" s="930" t="str">
        <f>"Total Econ Costs [incl. Capex] (NonAnnualized) ("&amp;INDEX(LU_Intv_Denom,DD_TS_Denom)&amp;")"</f>
        <v>Total Econ Costs [incl. Capex] (NonAnnualized) (USD)</v>
      </c>
      <c r="E411" s="930"/>
      <c r="F411" s="930"/>
      <c r="G411" s="930"/>
      <c r="H411" s="640" t="str">
        <f>Intv_BA!$G$10</f>
        <v>Cryo -SV</v>
      </c>
      <c r="J411" s="5">
        <f t="shared" ref="J411:O411" ca="1" si="41">J354+J392</f>
        <v>338434.42205744132</v>
      </c>
      <c r="K411" s="5">
        <f t="shared" ca="1" si="41"/>
        <v>322934.42205744132</v>
      </c>
      <c r="L411" s="5">
        <f t="shared" ca="1" si="41"/>
        <v>322934.42205744132</v>
      </c>
      <c r="M411" s="5">
        <f t="shared" ca="1" si="41"/>
        <v>322934.42205744132</v>
      </c>
      <c r="N411" s="5">
        <f t="shared" ca="1" si="41"/>
        <v>322934.42205744132</v>
      </c>
      <c r="O411" s="5">
        <f t="shared" ca="1" si="41"/>
        <v>322934.42205744132</v>
      </c>
    </row>
    <row r="412" spans="3:15" s="327" customFormat="1" ht="23.1" customHeight="1" x14ac:dyDescent="0.2">
      <c r="D412" s="931" t="str">
        <f>"Econ Costs [incl. Capex] (Annualized) ("&amp;INDEX(LU_Intv_Denom,DD_TS_Denom)&amp;")"</f>
        <v>Econ Costs [incl. Capex] (Annualized) (USD)</v>
      </c>
      <c r="E412" s="931"/>
      <c r="F412" s="931"/>
      <c r="G412" s="931"/>
      <c r="H412" s="640" t="str">
        <f>Intv_BA!$G$10</f>
        <v>Cryo -SV</v>
      </c>
      <c r="J412" s="5">
        <f t="shared" ref="J412:O412" ca="1" si="42">J354+J404</f>
        <v>327729.829138008</v>
      </c>
      <c r="K412" s="5">
        <f t="shared" ca="1" si="42"/>
        <v>327729.829138008</v>
      </c>
      <c r="L412" s="5">
        <f t="shared" ca="1" si="42"/>
        <v>327729.829138008</v>
      </c>
      <c r="M412" s="5">
        <f t="shared" ca="1" si="42"/>
        <v>327729.829138008</v>
      </c>
      <c r="N412" s="5">
        <f t="shared" ca="1" si="42"/>
        <v>327729.829138008</v>
      </c>
      <c r="O412" s="5">
        <f t="shared" ca="1" si="42"/>
        <v>327729.829138008</v>
      </c>
    </row>
    <row r="413" spans="3:15" s="327" customFormat="1" x14ac:dyDescent="0.2"/>
    <row r="414" spans="3:15" s="327" customFormat="1" x14ac:dyDescent="0.2"/>
    <row r="415" spans="3:15" s="327" customFormat="1" x14ac:dyDescent="0.2">
      <c r="C415" s="716" t="str">
        <f>"Go to "&amp;HL_Intv_Ass</f>
        <v>Go to Cryotherapy - Same Visit</v>
      </c>
      <c r="D415" s="716"/>
      <c r="E415" s="716"/>
      <c r="F415" s="716"/>
      <c r="G415" s="716"/>
      <c r="H415" s="716"/>
      <c r="I415" s="716"/>
    </row>
    <row r="416" spans="3:15" s="327" customFormat="1" x14ac:dyDescent="0.2">
      <c r="C416" s="716" t="str">
        <f>"Go to "&amp;HL_Intv_Ann_Ass</f>
        <v>Go to Intervention Services - Annual Assumptions</v>
      </c>
      <c r="D416" s="716"/>
      <c r="E416" s="716"/>
      <c r="F416" s="716"/>
      <c r="G416" s="716"/>
      <c r="H416" s="716"/>
      <c r="I416" s="716"/>
    </row>
    <row r="417" spans="2:15" s="327" customFormat="1" x14ac:dyDescent="0.2"/>
    <row r="418" spans="2:15" s="327" customFormat="1" x14ac:dyDescent="0.2"/>
    <row r="419" spans="2:15" s="327" customFormat="1" ht="18.75" x14ac:dyDescent="0.2">
      <c r="B419" s="452" t="str">
        <f>Intv_2_Name</f>
        <v>Loop Electrosurgical Excision Procedure  with BIOP-H</v>
      </c>
    </row>
    <row r="420" spans="2:15" s="327" customFormat="1" x14ac:dyDescent="0.2"/>
    <row r="421" spans="2:15" s="327" customFormat="1" ht="15.75" outlineLevel="2" x14ac:dyDescent="0.2">
      <c r="C421" s="26" t="str">
        <f>"Active "&amp;Intv_BA!D616&amp;"s"</f>
        <v>Active Central Referral Hospitals</v>
      </c>
    </row>
    <row r="422" spans="2:15" s="327" customFormat="1" outlineLevel="2" x14ac:dyDescent="0.2"/>
    <row r="423" spans="2:15" s="327" customFormat="1" outlineLevel="2" x14ac:dyDescent="0.2">
      <c r="D423" s="633" t="s">
        <v>82</v>
      </c>
      <c r="H423" s="27">
        <v>1</v>
      </c>
    </row>
    <row r="424" spans="2:15" s="327" customFormat="1" outlineLevel="2" x14ac:dyDescent="0.2"/>
    <row r="425" spans="2:15" s="327" customFormat="1" ht="15" outlineLevel="2" x14ac:dyDescent="0.2">
      <c r="D425" s="628" t="str">
        <f>Labels_BA!G10</f>
        <v>Province</v>
      </c>
    </row>
    <row r="426" spans="2:15" s="327" customFormat="1" outlineLevel="2" x14ac:dyDescent="0.2">
      <c r="D426" s="631" t="str">
        <f>Intv_BA!D758</f>
        <v>Central</v>
      </c>
      <c r="J426" s="8">
        <f>Intv_Ann_TA!J216</f>
        <v>1</v>
      </c>
      <c r="K426" s="8">
        <f>Intv_Ann_TA!K216</f>
        <v>1</v>
      </c>
      <c r="L426" s="8">
        <f>Intv_Ann_TA!L216</f>
        <v>1</v>
      </c>
      <c r="M426" s="8">
        <f>Intv_Ann_TA!M216</f>
        <v>1</v>
      </c>
      <c r="N426" s="8">
        <f>Intv_Ann_TA!N216</f>
        <v>1</v>
      </c>
      <c r="O426" s="8">
        <f>Intv_Ann_TA!O216</f>
        <v>1</v>
      </c>
    </row>
    <row r="427" spans="2:15" s="327" customFormat="1" outlineLevel="2" x14ac:dyDescent="0.2">
      <c r="D427" s="631" t="str">
        <f>Intv_BA!D759</f>
        <v>Copperbelt</v>
      </c>
      <c r="J427" s="8">
        <f>Intv_Ann_TA!J217</f>
        <v>2</v>
      </c>
      <c r="K427" s="8">
        <f>Intv_Ann_TA!K217</f>
        <v>2</v>
      </c>
      <c r="L427" s="8">
        <f>Intv_Ann_TA!L217</f>
        <v>2</v>
      </c>
      <c r="M427" s="8">
        <f>Intv_Ann_TA!M217</f>
        <v>2</v>
      </c>
      <c r="N427" s="8">
        <f>Intv_Ann_TA!N217</f>
        <v>2</v>
      </c>
      <c r="O427" s="8">
        <f>Intv_Ann_TA!O217</f>
        <v>2</v>
      </c>
    </row>
    <row r="428" spans="2:15" s="327" customFormat="1" outlineLevel="2" x14ac:dyDescent="0.2">
      <c r="D428" s="631" t="str">
        <f>Intv_BA!D760</f>
        <v>Eastern</v>
      </c>
      <c r="J428" s="8">
        <f>Intv_Ann_TA!J218</f>
        <v>0</v>
      </c>
      <c r="K428" s="8">
        <f>Intv_Ann_TA!K218</f>
        <v>0</v>
      </c>
      <c r="L428" s="8">
        <f>Intv_Ann_TA!L218</f>
        <v>0</v>
      </c>
      <c r="M428" s="8">
        <f>Intv_Ann_TA!M218</f>
        <v>0</v>
      </c>
      <c r="N428" s="8">
        <f>Intv_Ann_TA!N218</f>
        <v>0</v>
      </c>
      <c r="O428" s="8">
        <f>Intv_Ann_TA!O218</f>
        <v>0</v>
      </c>
    </row>
    <row r="429" spans="2:15" s="327" customFormat="1" outlineLevel="2" x14ac:dyDescent="0.2">
      <c r="D429" s="631" t="str">
        <f>Intv_BA!D761</f>
        <v>Luapula</v>
      </c>
      <c r="J429" s="8">
        <f>Intv_Ann_TA!J219</f>
        <v>0</v>
      </c>
      <c r="K429" s="8">
        <f>Intv_Ann_TA!K219</f>
        <v>0</v>
      </c>
      <c r="L429" s="8">
        <f>Intv_Ann_TA!L219</f>
        <v>0</v>
      </c>
      <c r="M429" s="8">
        <f>Intv_Ann_TA!M219</f>
        <v>0</v>
      </c>
      <c r="N429" s="8">
        <f>Intv_Ann_TA!N219</f>
        <v>0</v>
      </c>
      <c r="O429" s="8">
        <f>Intv_Ann_TA!O219</f>
        <v>0</v>
      </c>
    </row>
    <row r="430" spans="2:15" s="327" customFormat="1" outlineLevel="2" x14ac:dyDescent="0.2">
      <c r="D430" s="631" t="str">
        <f>Intv_BA!D762</f>
        <v>Lusaka</v>
      </c>
      <c r="J430" s="8">
        <f>Intv_Ann_TA!J220</f>
        <v>1</v>
      </c>
      <c r="K430" s="8">
        <f>Intv_Ann_TA!K220</f>
        <v>1</v>
      </c>
      <c r="L430" s="8">
        <f>Intv_Ann_TA!L220</f>
        <v>1</v>
      </c>
      <c r="M430" s="8">
        <f>Intv_Ann_TA!M220</f>
        <v>1</v>
      </c>
      <c r="N430" s="8">
        <f>Intv_Ann_TA!N220</f>
        <v>1</v>
      </c>
      <c r="O430" s="8">
        <f>Intv_Ann_TA!O220</f>
        <v>1</v>
      </c>
    </row>
    <row r="431" spans="2:15" s="327" customFormat="1" outlineLevel="2" x14ac:dyDescent="0.2">
      <c r="D431" s="631" t="str">
        <f>Intv_BA!D763</f>
        <v>Muchinga</v>
      </c>
      <c r="J431" s="8">
        <f>Intv_Ann_TA!J221</f>
        <v>0</v>
      </c>
      <c r="K431" s="8">
        <f>Intv_Ann_TA!K221</f>
        <v>0</v>
      </c>
      <c r="L431" s="8">
        <f>Intv_Ann_TA!L221</f>
        <v>0</v>
      </c>
      <c r="M431" s="8">
        <f>Intv_Ann_TA!M221</f>
        <v>0</v>
      </c>
      <c r="N431" s="8">
        <f>Intv_Ann_TA!N221</f>
        <v>0</v>
      </c>
      <c r="O431" s="8">
        <f>Intv_Ann_TA!O221</f>
        <v>0</v>
      </c>
    </row>
    <row r="432" spans="2:15" s="327" customFormat="1" outlineLevel="2" x14ac:dyDescent="0.2">
      <c r="D432" s="631" t="str">
        <f>Intv_BA!D764</f>
        <v>Northern</v>
      </c>
      <c r="J432" s="8">
        <f>Intv_Ann_TA!J222</f>
        <v>0</v>
      </c>
      <c r="K432" s="8">
        <f>Intv_Ann_TA!K222</f>
        <v>0</v>
      </c>
      <c r="L432" s="8">
        <f>Intv_Ann_TA!L222</f>
        <v>0</v>
      </c>
      <c r="M432" s="8">
        <f>Intv_Ann_TA!M222</f>
        <v>0</v>
      </c>
      <c r="N432" s="8">
        <f>Intv_Ann_TA!N222</f>
        <v>0</v>
      </c>
      <c r="O432" s="8">
        <f>Intv_Ann_TA!O222</f>
        <v>0</v>
      </c>
    </row>
    <row r="433" spans="3:15" s="327" customFormat="1" outlineLevel="2" x14ac:dyDescent="0.2">
      <c r="D433" s="631" t="str">
        <f>Intv_BA!D765</f>
        <v>North-Western</v>
      </c>
      <c r="J433" s="8">
        <f>Intv_Ann_TA!J223</f>
        <v>0</v>
      </c>
      <c r="K433" s="8">
        <f>Intv_Ann_TA!K223</f>
        <v>0</v>
      </c>
      <c r="L433" s="8">
        <f>Intv_Ann_TA!L223</f>
        <v>0</v>
      </c>
      <c r="M433" s="8">
        <f>Intv_Ann_TA!M223</f>
        <v>0</v>
      </c>
      <c r="N433" s="8">
        <f>Intv_Ann_TA!N223</f>
        <v>0</v>
      </c>
      <c r="O433" s="8">
        <f>Intv_Ann_TA!O223</f>
        <v>0</v>
      </c>
    </row>
    <row r="434" spans="3:15" s="327" customFormat="1" outlineLevel="2" x14ac:dyDescent="0.2">
      <c r="D434" s="631" t="str">
        <f>Intv_BA!D766</f>
        <v>Southern</v>
      </c>
      <c r="J434" s="8">
        <f>Intv_Ann_TA!J224</f>
        <v>0</v>
      </c>
      <c r="K434" s="8">
        <f>Intv_Ann_TA!K224</f>
        <v>0</v>
      </c>
      <c r="L434" s="8">
        <f>Intv_Ann_TA!L224</f>
        <v>0</v>
      </c>
      <c r="M434" s="8">
        <f>Intv_Ann_TA!M224</f>
        <v>0</v>
      </c>
      <c r="N434" s="8">
        <f>Intv_Ann_TA!N224</f>
        <v>0</v>
      </c>
      <c r="O434" s="8">
        <f>Intv_Ann_TA!O224</f>
        <v>0</v>
      </c>
    </row>
    <row r="435" spans="3:15" s="327" customFormat="1" outlineLevel="2" x14ac:dyDescent="0.2">
      <c r="D435" s="631" t="str">
        <f>Intv_BA!D767</f>
        <v>Western</v>
      </c>
      <c r="J435" s="9">
        <f>Intv_Ann_TA!J225</f>
        <v>0</v>
      </c>
      <c r="K435" s="9">
        <f>Intv_Ann_TA!K225</f>
        <v>0</v>
      </c>
      <c r="L435" s="9">
        <f>Intv_Ann_TA!L225</f>
        <v>0</v>
      </c>
      <c r="M435" s="9">
        <f>Intv_Ann_TA!M225</f>
        <v>0</v>
      </c>
      <c r="N435" s="9">
        <f>Intv_Ann_TA!N225</f>
        <v>0</v>
      </c>
      <c r="O435" s="9">
        <f>Intv_Ann_TA!O225</f>
        <v>0</v>
      </c>
    </row>
    <row r="436" spans="3:15" s="327" customFormat="1" x14ac:dyDescent="0.2">
      <c r="D436" s="630" t="str">
        <f>"Total "&amp;C421</f>
        <v>Total Active Central Referral Hospitals</v>
      </c>
      <c r="J436" s="5">
        <f t="shared" ref="J436:O436" si="43">SUM(J426:J435)</f>
        <v>4</v>
      </c>
      <c r="K436" s="5">
        <f t="shared" si="43"/>
        <v>4</v>
      </c>
      <c r="L436" s="5">
        <f t="shared" si="43"/>
        <v>4</v>
      </c>
      <c r="M436" s="5">
        <f t="shared" si="43"/>
        <v>4</v>
      </c>
      <c r="N436" s="5">
        <f t="shared" si="43"/>
        <v>4</v>
      </c>
      <c r="O436" s="5">
        <f t="shared" si="43"/>
        <v>4</v>
      </c>
    </row>
    <row r="437" spans="3:15" s="327" customFormat="1" outlineLevel="2" x14ac:dyDescent="0.2"/>
    <row r="438" spans="3:15" s="327" customFormat="1" ht="15.75" outlineLevel="2" x14ac:dyDescent="0.2">
      <c r="C438" s="26" t="str">
        <f>"Active "&amp;Intv_BA!D617&amp;"s"</f>
        <v>Active Provincial Hospitals</v>
      </c>
    </row>
    <row r="439" spans="3:15" s="327" customFormat="1" outlineLevel="2" x14ac:dyDescent="0.2"/>
    <row r="440" spans="3:15" s="327" customFormat="1" outlineLevel="2" x14ac:dyDescent="0.2">
      <c r="D440" s="633" t="s">
        <v>82</v>
      </c>
      <c r="H440" s="27">
        <v>2</v>
      </c>
    </row>
    <row r="441" spans="3:15" s="327" customFormat="1" outlineLevel="2" x14ac:dyDescent="0.2"/>
    <row r="442" spans="3:15" s="327" customFormat="1" ht="15" outlineLevel="2" x14ac:dyDescent="0.2">
      <c r="D442" s="628" t="str">
        <f>Labels_BA!G10</f>
        <v>Province</v>
      </c>
    </row>
    <row r="443" spans="3:15" s="327" customFormat="1" outlineLevel="2" x14ac:dyDescent="0.2">
      <c r="D443" s="631" t="str">
        <f>Intv_BA!D758</f>
        <v>Central</v>
      </c>
      <c r="J443" s="8">
        <f>Intv_Ann_TA!J232</f>
        <v>0</v>
      </c>
      <c r="K443" s="8">
        <f>Intv_Ann_TA!K232</f>
        <v>0</v>
      </c>
      <c r="L443" s="8">
        <f>Intv_Ann_TA!L232</f>
        <v>0</v>
      </c>
      <c r="M443" s="8">
        <f>Intv_Ann_TA!M232</f>
        <v>0</v>
      </c>
      <c r="N443" s="8">
        <f>Intv_Ann_TA!N232</f>
        <v>0</v>
      </c>
      <c r="O443" s="8">
        <f>Intv_Ann_TA!O232</f>
        <v>0</v>
      </c>
    </row>
    <row r="444" spans="3:15" s="327" customFormat="1" outlineLevel="2" x14ac:dyDescent="0.2">
      <c r="D444" s="631" t="str">
        <f>Intv_BA!D759</f>
        <v>Copperbelt</v>
      </c>
      <c r="J444" s="8">
        <f>Intv_Ann_TA!J233</f>
        <v>1</v>
      </c>
      <c r="K444" s="8">
        <f>Intv_Ann_TA!K233</f>
        <v>1</v>
      </c>
      <c r="L444" s="8">
        <f>Intv_Ann_TA!L233</f>
        <v>1</v>
      </c>
      <c r="M444" s="8">
        <f>Intv_Ann_TA!M233</f>
        <v>1</v>
      </c>
      <c r="N444" s="8">
        <f>Intv_Ann_TA!N233</f>
        <v>1</v>
      </c>
      <c r="O444" s="8">
        <f>Intv_Ann_TA!O233</f>
        <v>1</v>
      </c>
    </row>
    <row r="445" spans="3:15" s="327" customFormat="1" outlineLevel="2" x14ac:dyDescent="0.2">
      <c r="D445" s="631" t="str">
        <f>Intv_BA!D760</f>
        <v>Eastern</v>
      </c>
      <c r="J445" s="8">
        <f>Intv_Ann_TA!J234</f>
        <v>2</v>
      </c>
      <c r="K445" s="8">
        <f>Intv_Ann_TA!K234</f>
        <v>2</v>
      </c>
      <c r="L445" s="8">
        <f>Intv_Ann_TA!L234</f>
        <v>2</v>
      </c>
      <c r="M445" s="8">
        <f>Intv_Ann_TA!M234</f>
        <v>2</v>
      </c>
      <c r="N445" s="8">
        <f>Intv_Ann_TA!N234</f>
        <v>2</v>
      </c>
      <c r="O445" s="8">
        <f>Intv_Ann_TA!O234</f>
        <v>2</v>
      </c>
    </row>
    <row r="446" spans="3:15" s="327" customFormat="1" outlineLevel="2" x14ac:dyDescent="0.2">
      <c r="D446" s="631" t="str">
        <f>Intv_BA!D761</f>
        <v>Luapula</v>
      </c>
      <c r="J446" s="8">
        <f>Intv_Ann_TA!J235</f>
        <v>1</v>
      </c>
      <c r="K446" s="8">
        <f>Intv_Ann_TA!K235</f>
        <v>1</v>
      </c>
      <c r="L446" s="8">
        <f>Intv_Ann_TA!L235</f>
        <v>1</v>
      </c>
      <c r="M446" s="8">
        <f>Intv_Ann_TA!M235</f>
        <v>1</v>
      </c>
      <c r="N446" s="8">
        <f>Intv_Ann_TA!N235</f>
        <v>1</v>
      </c>
      <c r="O446" s="8">
        <f>Intv_Ann_TA!O235</f>
        <v>1</v>
      </c>
    </row>
    <row r="447" spans="3:15" s="327" customFormat="1" outlineLevel="2" x14ac:dyDescent="0.2">
      <c r="D447" s="631" t="str">
        <f>Intv_BA!D762</f>
        <v>Lusaka</v>
      </c>
      <c r="J447" s="8">
        <f>Intv_Ann_TA!J236</f>
        <v>0</v>
      </c>
      <c r="K447" s="8">
        <f>Intv_Ann_TA!K236</f>
        <v>0</v>
      </c>
      <c r="L447" s="8">
        <f>Intv_Ann_TA!L236</f>
        <v>0</v>
      </c>
      <c r="M447" s="8">
        <f>Intv_Ann_TA!M236</f>
        <v>0</v>
      </c>
      <c r="N447" s="8">
        <f>Intv_Ann_TA!N236</f>
        <v>0</v>
      </c>
      <c r="O447" s="8">
        <f>Intv_Ann_TA!O236</f>
        <v>0</v>
      </c>
    </row>
    <row r="448" spans="3:15" s="327" customFormat="1" outlineLevel="2" x14ac:dyDescent="0.2">
      <c r="D448" s="631" t="str">
        <f>Intv_BA!D763</f>
        <v>Muchinga</v>
      </c>
      <c r="J448" s="8">
        <f>Intv_Ann_TA!J237</f>
        <v>0</v>
      </c>
      <c r="K448" s="8">
        <f>Intv_Ann_TA!K237</f>
        <v>0</v>
      </c>
      <c r="L448" s="8">
        <f>Intv_Ann_TA!L237</f>
        <v>0</v>
      </c>
      <c r="M448" s="8">
        <f>Intv_Ann_TA!M237</f>
        <v>0</v>
      </c>
      <c r="N448" s="8">
        <f>Intv_Ann_TA!N237</f>
        <v>0</v>
      </c>
      <c r="O448" s="8">
        <f>Intv_Ann_TA!O237</f>
        <v>0</v>
      </c>
    </row>
    <row r="449" spans="3:15" s="327" customFormat="1" outlineLevel="2" x14ac:dyDescent="0.2">
      <c r="D449" s="631" t="str">
        <f>Intv_BA!D764</f>
        <v>Northern</v>
      </c>
      <c r="J449" s="8">
        <f>Intv_Ann_TA!J238</f>
        <v>1</v>
      </c>
      <c r="K449" s="8">
        <f>Intv_Ann_TA!K238</f>
        <v>1</v>
      </c>
      <c r="L449" s="8">
        <f>Intv_Ann_TA!L238</f>
        <v>1</v>
      </c>
      <c r="M449" s="8">
        <f>Intv_Ann_TA!M238</f>
        <v>1</v>
      </c>
      <c r="N449" s="8">
        <f>Intv_Ann_TA!N238</f>
        <v>1</v>
      </c>
      <c r="O449" s="8">
        <f>Intv_Ann_TA!O238</f>
        <v>1</v>
      </c>
    </row>
    <row r="450" spans="3:15" s="327" customFormat="1" outlineLevel="2" x14ac:dyDescent="0.2">
      <c r="D450" s="631" t="str">
        <f>Intv_BA!D765</f>
        <v>North-Western</v>
      </c>
      <c r="J450" s="8">
        <f>Intv_Ann_TA!J239</f>
        <v>1</v>
      </c>
      <c r="K450" s="8">
        <f>Intv_Ann_TA!K239</f>
        <v>1</v>
      </c>
      <c r="L450" s="8">
        <f>Intv_Ann_TA!L239</f>
        <v>1</v>
      </c>
      <c r="M450" s="8">
        <f>Intv_Ann_TA!M239</f>
        <v>1</v>
      </c>
      <c r="N450" s="8">
        <f>Intv_Ann_TA!N239</f>
        <v>1</v>
      </c>
      <c r="O450" s="8">
        <f>Intv_Ann_TA!O239</f>
        <v>1</v>
      </c>
    </row>
    <row r="451" spans="3:15" s="327" customFormat="1" outlineLevel="2" x14ac:dyDescent="0.2">
      <c r="D451" s="631" t="str">
        <f>Intv_BA!D766</f>
        <v>Southern</v>
      </c>
      <c r="J451" s="8">
        <f>Intv_Ann_TA!J240</f>
        <v>2</v>
      </c>
      <c r="K451" s="8">
        <f>Intv_Ann_TA!K240</f>
        <v>2</v>
      </c>
      <c r="L451" s="8">
        <f>Intv_Ann_TA!L240</f>
        <v>2</v>
      </c>
      <c r="M451" s="8">
        <f>Intv_Ann_TA!M240</f>
        <v>2</v>
      </c>
      <c r="N451" s="8">
        <f>Intv_Ann_TA!N240</f>
        <v>2</v>
      </c>
      <c r="O451" s="8">
        <f>Intv_Ann_TA!O240</f>
        <v>2</v>
      </c>
    </row>
    <row r="452" spans="3:15" s="327" customFormat="1" outlineLevel="2" x14ac:dyDescent="0.2">
      <c r="D452" s="631" t="str">
        <f>Intv_BA!D767</f>
        <v>Western</v>
      </c>
      <c r="J452" s="9">
        <f>Intv_Ann_TA!J241</f>
        <v>1</v>
      </c>
      <c r="K452" s="9">
        <f>Intv_Ann_TA!K241</f>
        <v>1</v>
      </c>
      <c r="L452" s="9">
        <f>Intv_Ann_TA!L241</f>
        <v>1</v>
      </c>
      <c r="M452" s="9">
        <f>Intv_Ann_TA!M241</f>
        <v>1</v>
      </c>
      <c r="N452" s="9">
        <f>Intv_Ann_TA!N241</f>
        <v>1</v>
      </c>
      <c r="O452" s="9">
        <f>Intv_Ann_TA!O241</f>
        <v>1</v>
      </c>
    </row>
    <row r="453" spans="3:15" s="327" customFormat="1" x14ac:dyDescent="0.2">
      <c r="D453" s="630" t="str">
        <f>"Total "&amp;C438</f>
        <v>Total Active Provincial Hospitals</v>
      </c>
      <c r="J453" s="5">
        <f t="shared" ref="J453:O453" si="44">SUM(J443:J452)</f>
        <v>9</v>
      </c>
      <c r="K453" s="5">
        <f t="shared" si="44"/>
        <v>9</v>
      </c>
      <c r="L453" s="5">
        <f t="shared" si="44"/>
        <v>9</v>
      </c>
      <c r="M453" s="5">
        <f t="shared" si="44"/>
        <v>9</v>
      </c>
      <c r="N453" s="5">
        <f t="shared" si="44"/>
        <v>9</v>
      </c>
      <c r="O453" s="5">
        <f t="shared" si="44"/>
        <v>9</v>
      </c>
    </row>
    <row r="454" spans="3:15" s="327" customFormat="1" outlineLevel="2" x14ac:dyDescent="0.2"/>
    <row r="455" spans="3:15" s="327" customFormat="1" ht="15.75" outlineLevel="2" x14ac:dyDescent="0.2">
      <c r="C455" s="26" t="str">
        <f>"Active "&amp;Intv_BA!D618&amp;"s"</f>
        <v>Active District Hospitals</v>
      </c>
    </row>
    <row r="456" spans="3:15" s="327" customFormat="1" outlineLevel="2" x14ac:dyDescent="0.2"/>
    <row r="457" spans="3:15" s="327" customFormat="1" outlineLevel="2" x14ac:dyDescent="0.2">
      <c r="D457" s="633" t="s">
        <v>82</v>
      </c>
      <c r="H457" s="27">
        <v>3</v>
      </c>
    </row>
    <row r="458" spans="3:15" s="327" customFormat="1" outlineLevel="2" x14ac:dyDescent="0.2"/>
    <row r="459" spans="3:15" s="327" customFormat="1" ht="15" outlineLevel="2" x14ac:dyDescent="0.2">
      <c r="D459" s="628" t="str">
        <f>Labels_BA!G10</f>
        <v>Province</v>
      </c>
    </row>
    <row r="460" spans="3:15" s="327" customFormat="1" outlineLevel="2" x14ac:dyDescent="0.2">
      <c r="D460" s="631" t="str">
        <f>Intv_BA!D758</f>
        <v>Central</v>
      </c>
      <c r="J460" s="8">
        <f>Intv_Ann_TA!J248</f>
        <v>1</v>
      </c>
      <c r="K460" s="8">
        <f>Intv_Ann_TA!K248</f>
        <v>1</v>
      </c>
      <c r="L460" s="8">
        <f>Intv_Ann_TA!L248</f>
        <v>1</v>
      </c>
      <c r="M460" s="8">
        <f>Intv_Ann_TA!M248</f>
        <v>1</v>
      </c>
      <c r="N460" s="8">
        <f>Intv_Ann_TA!N248</f>
        <v>1</v>
      </c>
      <c r="O460" s="8">
        <f>Intv_Ann_TA!O248</f>
        <v>1</v>
      </c>
    </row>
    <row r="461" spans="3:15" s="327" customFormat="1" outlineLevel="2" x14ac:dyDescent="0.2">
      <c r="D461" s="631" t="str">
        <f>Intv_BA!D759</f>
        <v>Copperbelt</v>
      </c>
      <c r="J461" s="8">
        <f>Intv_Ann_TA!J249</f>
        <v>0</v>
      </c>
      <c r="K461" s="8">
        <f>Intv_Ann_TA!K249</f>
        <v>0</v>
      </c>
      <c r="L461" s="8">
        <f>Intv_Ann_TA!L249</f>
        <v>0</v>
      </c>
      <c r="M461" s="8">
        <f>Intv_Ann_TA!M249</f>
        <v>0</v>
      </c>
      <c r="N461" s="8">
        <f>Intv_Ann_TA!N249</f>
        <v>0</v>
      </c>
      <c r="O461" s="8">
        <f>Intv_Ann_TA!O249</f>
        <v>0</v>
      </c>
    </row>
    <row r="462" spans="3:15" s="327" customFormat="1" outlineLevel="2" x14ac:dyDescent="0.2">
      <c r="D462" s="631" t="str">
        <f>Intv_BA!D760</f>
        <v>Eastern</v>
      </c>
      <c r="J462" s="8">
        <f>Intv_Ann_TA!J250</f>
        <v>1</v>
      </c>
      <c r="K462" s="8">
        <f>Intv_Ann_TA!K250</f>
        <v>1</v>
      </c>
      <c r="L462" s="8">
        <f>Intv_Ann_TA!L250</f>
        <v>1</v>
      </c>
      <c r="M462" s="8">
        <f>Intv_Ann_TA!M250</f>
        <v>1</v>
      </c>
      <c r="N462" s="8">
        <f>Intv_Ann_TA!N250</f>
        <v>1</v>
      </c>
      <c r="O462" s="8">
        <f>Intv_Ann_TA!O250</f>
        <v>1</v>
      </c>
    </row>
    <row r="463" spans="3:15" s="327" customFormat="1" outlineLevel="2" x14ac:dyDescent="0.2">
      <c r="D463" s="631" t="str">
        <f>Intv_BA!D761</f>
        <v>Luapula</v>
      </c>
      <c r="J463" s="8">
        <f>Intv_Ann_TA!J251</f>
        <v>1</v>
      </c>
      <c r="K463" s="8">
        <f>Intv_Ann_TA!K251</f>
        <v>1</v>
      </c>
      <c r="L463" s="8">
        <f>Intv_Ann_TA!L251</f>
        <v>1</v>
      </c>
      <c r="M463" s="8">
        <f>Intv_Ann_TA!M251</f>
        <v>1</v>
      </c>
      <c r="N463" s="8">
        <f>Intv_Ann_TA!N251</f>
        <v>1</v>
      </c>
      <c r="O463" s="8">
        <f>Intv_Ann_TA!O251</f>
        <v>1</v>
      </c>
    </row>
    <row r="464" spans="3:15" s="327" customFormat="1" outlineLevel="2" x14ac:dyDescent="0.2">
      <c r="D464" s="631" t="str">
        <f>Intv_BA!D762</f>
        <v>Lusaka</v>
      </c>
      <c r="J464" s="8">
        <f>Intv_Ann_TA!J252</f>
        <v>0</v>
      </c>
      <c r="K464" s="8">
        <f>Intv_Ann_TA!K252</f>
        <v>0</v>
      </c>
      <c r="L464" s="8">
        <f>Intv_Ann_TA!L252</f>
        <v>0</v>
      </c>
      <c r="M464" s="8">
        <f>Intv_Ann_TA!M252</f>
        <v>0</v>
      </c>
      <c r="N464" s="8">
        <f>Intv_Ann_TA!N252</f>
        <v>0</v>
      </c>
      <c r="O464" s="8">
        <f>Intv_Ann_TA!O252</f>
        <v>0</v>
      </c>
    </row>
    <row r="465" spans="3:15" s="327" customFormat="1" outlineLevel="2" x14ac:dyDescent="0.2">
      <c r="D465" s="631" t="str">
        <f>Intv_BA!D763</f>
        <v>Muchinga</v>
      </c>
      <c r="J465" s="8">
        <f>Intv_Ann_TA!J253</f>
        <v>0</v>
      </c>
      <c r="K465" s="8">
        <f>Intv_Ann_TA!K253</f>
        <v>0</v>
      </c>
      <c r="L465" s="8">
        <f>Intv_Ann_TA!L253</f>
        <v>0</v>
      </c>
      <c r="M465" s="8">
        <f>Intv_Ann_TA!M253</f>
        <v>0</v>
      </c>
      <c r="N465" s="8">
        <f>Intv_Ann_TA!N253</f>
        <v>0</v>
      </c>
      <c r="O465" s="8">
        <f>Intv_Ann_TA!O253</f>
        <v>0</v>
      </c>
    </row>
    <row r="466" spans="3:15" s="327" customFormat="1" outlineLevel="2" x14ac:dyDescent="0.2">
      <c r="D466" s="631" t="str">
        <f>Intv_BA!D764</f>
        <v>Northern</v>
      </c>
      <c r="J466" s="8">
        <f>Intv_Ann_TA!J254</f>
        <v>0</v>
      </c>
      <c r="K466" s="8">
        <f>Intv_Ann_TA!K254</f>
        <v>0</v>
      </c>
      <c r="L466" s="8">
        <f>Intv_Ann_TA!L254</f>
        <v>0</v>
      </c>
      <c r="M466" s="8">
        <f>Intv_Ann_TA!M254</f>
        <v>0</v>
      </c>
      <c r="N466" s="8">
        <f>Intv_Ann_TA!N254</f>
        <v>0</v>
      </c>
      <c r="O466" s="8">
        <f>Intv_Ann_TA!O254</f>
        <v>0</v>
      </c>
    </row>
    <row r="467" spans="3:15" s="327" customFormat="1" outlineLevel="2" x14ac:dyDescent="0.2">
      <c r="D467" s="631" t="str">
        <f>Intv_BA!D765</f>
        <v>North-Western</v>
      </c>
      <c r="J467" s="8">
        <f>Intv_Ann_TA!J255</f>
        <v>0</v>
      </c>
      <c r="K467" s="8">
        <f>Intv_Ann_TA!K255</f>
        <v>0</v>
      </c>
      <c r="L467" s="8">
        <f>Intv_Ann_TA!L255</f>
        <v>0</v>
      </c>
      <c r="M467" s="8">
        <f>Intv_Ann_TA!M255</f>
        <v>0</v>
      </c>
      <c r="N467" s="8">
        <f>Intv_Ann_TA!N255</f>
        <v>0</v>
      </c>
      <c r="O467" s="8">
        <f>Intv_Ann_TA!O255</f>
        <v>0</v>
      </c>
    </row>
    <row r="468" spans="3:15" s="327" customFormat="1" outlineLevel="2" x14ac:dyDescent="0.2">
      <c r="D468" s="631" t="str">
        <f>Intv_BA!D766</f>
        <v>Southern</v>
      </c>
      <c r="J468" s="8">
        <f>Intv_Ann_TA!J256</f>
        <v>0</v>
      </c>
      <c r="K468" s="8">
        <f>Intv_Ann_TA!K256</f>
        <v>0</v>
      </c>
      <c r="L468" s="8">
        <f>Intv_Ann_TA!L256</f>
        <v>0</v>
      </c>
      <c r="M468" s="8">
        <f>Intv_Ann_TA!M256</f>
        <v>0</v>
      </c>
      <c r="N468" s="8">
        <f>Intv_Ann_TA!N256</f>
        <v>0</v>
      </c>
      <c r="O468" s="8">
        <f>Intv_Ann_TA!O256</f>
        <v>0</v>
      </c>
    </row>
    <row r="469" spans="3:15" s="327" customFormat="1" outlineLevel="2" x14ac:dyDescent="0.2">
      <c r="D469" s="631" t="str">
        <f>Intv_BA!D767</f>
        <v>Western</v>
      </c>
      <c r="J469" s="9">
        <f>Intv_Ann_TA!J257</f>
        <v>2</v>
      </c>
      <c r="K469" s="9">
        <f>Intv_Ann_TA!K257</f>
        <v>2</v>
      </c>
      <c r="L469" s="9">
        <f>Intv_Ann_TA!L257</f>
        <v>2</v>
      </c>
      <c r="M469" s="9">
        <f>Intv_Ann_TA!M257</f>
        <v>2</v>
      </c>
      <c r="N469" s="9">
        <f>Intv_Ann_TA!N257</f>
        <v>2</v>
      </c>
      <c r="O469" s="9">
        <f>Intv_Ann_TA!O257</f>
        <v>2</v>
      </c>
    </row>
    <row r="470" spans="3:15" s="327" customFormat="1" x14ac:dyDescent="0.2">
      <c r="D470" s="630" t="str">
        <f>"Total "&amp;C455</f>
        <v>Total Active District Hospitals</v>
      </c>
      <c r="J470" s="5">
        <f t="shared" ref="J470:O470" si="45">SUM(J460:J469)</f>
        <v>5</v>
      </c>
      <c r="K470" s="5">
        <f t="shared" si="45"/>
        <v>5</v>
      </c>
      <c r="L470" s="5">
        <f t="shared" si="45"/>
        <v>5</v>
      </c>
      <c r="M470" s="5">
        <f t="shared" si="45"/>
        <v>5</v>
      </c>
      <c r="N470" s="5">
        <f t="shared" si="45"/>
        <v>5</v>
      </c>
      <c r="O470" s="5">
        <f t="shared" si="45"/>
        <v>5</v>
      </c>
    </row>
    <row r="471" spans="3:15" s="327" customFormat="1" outlineLevel="2" x14ac:dyDescent="0.2"/>
    <row r="472" spans="3:15" s="327" customFormat="1" ht="15.75" outlineLevel="2" x14ac:dyDescent="0.2">
      <c r="C472" s="26" t="str">
        <f>"Active "&amp;Intv_BA!D621&amp;"s"</f>
        <v>Active Fixed Health Clinics</v>
      </c>
    </row>
    <row r="473" spans="3:15" s="327" customFormat="1" outlineLevel="2" x14ac:dyDescent="0.2"/>
    <row r="474" spans="3:15" s="327" customFormat="1" outlineLevel="2" x14ac:dyDescent="0.2">
      <c r="D474" s="633" t="s">
        <v>82</v>
      </c>
      <c r="H474" s="27">
        <v>4</v>
      </c>
    </row>
    <row r="475" spans="3:15" s="327" customFormat="1" outlineLevel="2" x14ac:dyDescent="0.2"/>
    <row r="476" spans="3:15" s="327" customFormat="1" ht="15" outlineLevel="2" x14ac:dyDescent="0.2">
      <c r="D476" s="628" t="str">
        <f>Labels_BA!G10</f>
        <v>Province</v>
      </c>
    </row>
    <row r="477" spans="3:15" s="327" customFormat="1" outlineLevel="2" x14ac:dyDescent="0.2">
      <c r="D477" s="631" t="str">
        <f>Intv_BA!D758</f>
        <v>Central</v>
      </c>
      <c r="J477" s="8">
        <f>Intv_Ann_TA!J264</f>
        <v>0</v>
      </c>
      <c r="K477" s="8">
        <f>Intv_Ann_TA!K264</f>
        <v>0</v>
      </c>
      <c r="L477" s="8">
        <f>Intv_Ann_TA!L264</f>
        <v>0</v>
      </c>
      <c r="M477" s="8">
        <f>Intv_Ann_TA!M264</f>
        <v>0</v>
      </c>
      <c r="N477" s="8">
        <f>Intv_Ann_TA!N264</f>
        <v>0</v>
      </c>
      <c r="O477" s="8">
        <f>Intv_Ann_TA!O264</f>
        <v>0</v>
      </c>
    </row>
    <row r="478" spans="3:15" s="327" customFormat="1" outlineLevel="2" x14ac:dyDescent="0.2">
      <c r="D478" s="631" t="str">
        <f>Intv_BA!D759</f>
        <v>Copperbelt</v>
      </c>
      <c r="J478" s="8">
        <f>Intv_Ann_TA!J265</f>
        <v>0</v>
      </c>
      <c r="K478" s="8">
        <f>Intv_Ann_TA!K265</f>
        <v>0</v>
      </c>
      <c r="L478" s="8">
        <f>Intv_Ann_TA!L265</f>
        <v>0</v>
      </c>
      <c r="M478" s="8">
        <f>Intv_Ann_TA!M265</f>
        <v>0</v>
      </c>
      <c r="N478" s="8">
        <f>Intv_Ann_TA!N265</f>
        <v>0</v>
      </c>
      <c r="O478" s="8">
        <f>Intv_Ann_TA!O265</f>
        <v>0</v>
      </c>
    </row>
    <row r="479" spans="3:15" s="327" customFormat="1" outlineLevel="2" x14ac:dyDescent="0.2">
      <c r="D479" s="631" t="str">
        <f>Intv_BA!D760</f>
        <v>Eastern</v>
      </c>
      <c r="J479" s="8">
        <f>Intv_Ann_TA!J266</f>
        <v>0</v>
      </c>
      <c r="K479" s="8">
        <f>Intv_Ann_TA!K266</f>
        <v>0</v>
      </c>
      <c r="L479" s="8">
        <f>Intv_Ann_TA!L266</f>
        <v>0</v>
      </c>
      <c r="M479" s="8">
        <f>Intv_Ann_TA!M266</f>
        <v>0</v>
      </c>
      <c r="N479" s="8">
        <f>Intv_Ann_TA!N266</f>
        <v>0</v>
      </c>
      <c r="O479" s="8">
        <f>Intv_Ann_TA!O266</f>
        <v>0</v>
      </c>
    </row>
    <row r="480" spans="3:15" s="327" customFormat="1" outlineLevel="2" x14ac:dyDescent="0.2">
      <c r="D480" s="631" t="str">
        <f>Intv_BA!D761</f>
        <v>Luapula</v>
      </c>
      <c r="J480" s="8">
        <f>Intv_Ann_TA!J267</f>
        <v>0</v>
      </c>
      <c r="K480" s="8">
        <f>Intv_Ann_TA!K267</f>
        <v>0</v>
      </c>
      <c r="L480" s="8">
        <f>Intv_Ann_TA!L267</f>
        <v>0</v>
      </c>
      <c r="M480" s="8">
        <f>Intv_Ann_TA!M267</f>
        <v>0</v>
      </c>
      <c r="N480" s="8">
        <f>Intv_Ann_TA!N267</f>
        <v>0</v>
      </c>
      <c r="O480" s="8">
        <f>Intv_Ann_TA!O267</f>
        <v>0</v>
      </c>
    </row>
    <row r="481" spans="3:15" s="327" customFormat="1" outlineLevel="2" x14ac:dyDescent="0.2">
      <c r="D481" s="631" t="str">
        <f>Intv_BA!D762</f>
        <v>Lusaka</v>
      </c>
      <c r="J481" s="8">
        <f>Intv_Ann_TA!J268</f>
        <v>0</v>
      </c>
      <c r="K481" s="8">
        <f>Intv_Ann_TA!K268</f>
        <v>0</v>
      </c>
      <c r="L481" s="8">
        <f>Intv_Ann_TA!L268</f>
        <v>0</v>
      </c>
      <c r="M481" s="8">
        <f>Intv_Ann_TA!M268</f>
        <v>0</v>
      </c>
      <c r="N481" s="8">
        <f>Intv_Ann_TA!N268</f>
        <v>0</v>
      </c>
      <c r="O481" s="8">
        <f>Intv_Ann_TA!O268</f>
        <v>0</v>
      </c>
    </row>
    <row r="482" spans="3:15" s="327" customFormat="1" outlineLevel="2" x14ac:dyDescent="0.2">
      <c r="D482" s="631" t="str">
        <f>Intv_BA!D763</f>
        <v>Muchinga</v>
      </c>
      <c r="J482" s="8">
        <f>Intv_Ann_TA!J269</f>
        <v>0</v>
      </c>
      <c r="K482" s="8">
        <f>Intv_Ann_TA!K269</f>
        <v>0</v>
      </c>
      <c r="L482" s="8">
        <f>Intv_Ann_TA!L269</f>
        <v>0</v>
      </c>
      <c r="M482" s="8">
        <f>Intv_Ann_TA!M269</f>
        <v>0</v>
      </c>
      <c r="N482" s="8">
        <f>Intv_Ann_TA!N269</f>
        <v>0</v>
      </c>
      <c r="O482" s="8">
        <f>Intv_Ann_TA!O269</f>
        <v>0</v>
      </c>
    </row>
    <row r="483" spans="3:15" s="327" customFormat="1" outlineLevel="2" x14ac:dyDescent="0.2">
      <c r="D483" s="631" t="str">
        <f>Intv_BA!D764</f>
        <v>Northern</v>
      </c>
      <c r="J483" s="8">
        <f>Intv_Ann_TA!J270</f>
        <v>0</v>
      </c>
      <c r="K483" s="8">
        <f>Intv_Ann_TA!K270</f>
        <v>0</v>
      </c>
      <c r="L483" s="8">
        <f>Intv_Ann_TA!L270</f>
        <v>0</v>
      </c>
      <c r="M483" s="8">
        <f>Intv_Ann_TA!M270</f>
        <v>0</v>
      </c>
      <c r="N483" s="8">
        <f>Intv_Ann_TA!N270</f>
        <v>0</v>
      </c>
      <c r="O483" s="8">
        <f>Intv_Ann_TA!O270</f>
        <v>0</v>
      </c>
    </row>
    <row r="484" spans="3:15" s="327" customFormat="1" outlineLevel="2" x14ac:dyDescent="0.2">
      <c r="D484" s="631" t="str">
        <f>Intv_BA!D765</f>
        <v>North-Western</v>
      </c>
      <c r="J484" s="8">
        <f>Intv_Ann_TA!J271</f>
        <v>0</v>
      </c>
      <c r="K484" s="8">
        <f>Intv_Ann_TA!K271</f>
        <v>0</v>
      </c>
      <c r="L484" s="8">
        <f>Intv_Ann_TA!L271</f>
        <v>0</v>
      </c>
      <c r="M484" s="8">
        <f>Intv_Ann_TA!M271</f>
        <v>0</v>
      </c>
      <c r="N484" s="8">
        <f>Intv_Ann_TA!N271</f>
        <v>0</v>
      </c>
      <c r="O484" s="8">
        <f>Intv_Ann_TA!O271</f>
        <v>0</v>
      </c>
    </row>
    <row r="485" spans="3:15" s="327" customFormat="1" outlineLevel="2" x14ac:dyDescent="0.2">
      <c r="D485" s="631" t="str">
        <f>Intv_BA!D766</f>
        <v>Southern</v>
      </c>
      <c r="J485" s="8">
        <f>Intv_Ann_TA!J272</f>
        <v>0</v>
      </c>
      <c r="K485" s="8">
        <f>Intv_Ann_TA!K272</f>
        <v>0</v>
      </c>
      <c r="L485" s="8">
        <f>Intv_Ann_TA!L272</f>
        <v>0</v>
      </c>
      <c r="M485" s="8">
        <f>Intv_Ann_TA!M272</f>
        <v>0</v>
      </c>
      <c r="N485" s="8">
        <f>Intv_Ann_TA!N272</f>
        <v>0</v>
      </c>
      <c r="O485" s="8">
        <f>Intv_Ann_TA!O272</f>
        <v>0</v>
      </c>
    </row>
    <row r="486" spans="3:15" s="327" customFormat="1" outlineLevel="2" x14ac:dyDescent="0.2">
      <c r="D486" s="631" t="str">
        <f>Intv_BA!D767</f>
        <v>Western</v>
      </c>
      <c r="J486" s="9">
        <f>Intv_Ann_TA!J273</f>
        <v>0</v>
      </c>
      <c r="K486" s="9">
        <f>Intv_Ann_TA!K273</f>
        <v>0</v>
      </c>
      <c r="L486" s="9">
        <f>Intv_Ann_TA!L273</f>
        <v>0</v>
      </c>
      <c r="M486" s="9">
        <f>Intv_Ann_TA!M273</f>
        <v>0</v>
      </c>
      <c r="N486" s="9">
        <f>Intv_Ann_TA!N273</f>
        <v>0</v>
      </c>
      <c r="O486" s="9">
        <f>Intv_Ann_TA!O273</f>
        <v>0</v>
      </c>
    </row>
    <row r="487" spans="3:15" s="327" customFormat="1" x14ac:dyDescent="0.2">
      <c r="D487" s="630" t="str">
        <f>"Total "&amp;C472</f>
        <v>Total Active Fixed Health Clinics</v>
      </c>
      <c r="J487" s="5">
        <f t="shared" ref="J487:O487" si="46">SUM(J477:J486)</f>
        <v>0</v>
      </c>
      <c r="K487" s="5">
        <f t="shared" si="46"/>
        <v>0</v>
      </c>
      <c r="L487" s="5">
        <f t="shared" si="46"/>
        <v>0</v>
      </c>
      <c r="M487" s="5">
        <f t="shared" si="46"/>
        <v>0</v>
      </c>
      <c r="N487" s="5">
        <f t="shared" si="46"/>
        <v>0</v>
      </c>
      <c r="O487" s="5">
        <f t="shared" si="46"/>
        <v>0</v>
      </c>
    </row>
    <row r="488" spans="3:15" s="327" customFormat="1" outlineLevel="2" x14ac:dyDescent="0.2"/>
    <row r="489" spans="3:15" s="327" customFormat="1" ht="15.75" outlineLevel="2" x14ac:dyDescent="0.2">
      <c r="C489" s="26" t="str">
        <f>"Active "&amp;Intv_BA!D622&amp;"s"</f>
        <v>Active PCI Mobile Health Teams</v>
      </c>
    </row>
    <row r="490" spans="3:15" s="327" customFormat="1" outlineLevel="2" x14ac:dyDescent="0.2"/>
    <row r="491" spans="3:15" s="327" customFormat="1" outlineLevel="2" x14ac:dyDescent="0.2">
      <c r="D491" s="633" t="s">
        <v>82</v>
      </c>
      <c r="H491" s="27">
        <v>5</v>
      </c>
    </row>
    <row r="492" spans="3:15" s="327" customFormat="1" outlineLevel="2" x14ac:dyDescent="0.2"/>
    <row r="493" spans="3:15" s="327" customFormat="1" ht="15" outlineLevel="2" x14ac:dyDescent="0.2">
      <c r="D493" s="628" t="str">
        <f>Labels_BA!G10</f>
        <v>Province</v>
      </c>
    </row>
    <row r="494" spans="3:15" s="327" customFormat="1" outlineLevel="2" x14ac:dyDescent="0.2">
      <c r="D494" s="631" t="str">
        <f>Intv_BA!D758</f>
        <v>Central</v>
      </c>
      <c r="J494" s="8">
        <f>Intv_Ann_TA!J280</f>
        <v>0</v>
      </c>
      <c r="K494" s="8">
        <f>Intv_Ann_TA!K280</f>
        <v>0</v>
      </c>
      <c r="L494" s="8">
        <f>Intv_Ann_TA!L280</f>
        <v>0</v>
      </c>
      <c r="M494" s="8">
        <f>Intv_Ann_TA!M280</f>
        <v>0</v>
      </c>
      <c r="N494" s="8">
        <f>Intv_Ann_TA!N280</f>
        <v>0</v>
      </c>
      <c r="O494" s="8">
        <f>Intv_Ann_TA!O280</f>
        <v>0</v>
      </c>
    </row>
    <row r="495" spans="3:15" s="327" customFormat="1" outlineLevel="2" x14ac:dyDescent="0.2">
      <c r="D495" s="631" t="str">
        <f>Intv_BA!D759</f>
        <v>Copperbelt</v>
      </c>
      <c r="J495" s="8">
        <f>Intv_Ann_TA!J281</f>
        <v>0</v>
      </c>
      <c r="K495" s="8">
        <f>Intv_Ann_TA!K281</f>
        <v>0</v>
      </c>
      <c r="L495" s="8">
        <f>Intv_Ann_TA!L281</f>
        <v>0</v>
      </c>
      <c r="M495" s="8">
        <f>Intv_Ann_TA!M281</f>
        <v>0</v>
      </c>
      <c r="N495" s="8">
        <f>Intv_Ann_TA!N281</f>
        <v>0</v>
      </c>
      <c r="O495" s="8">
        <f>Intv_Ann_TA!O281</f>
        <v>0</v>
      </c>
    </row>
    <row r="496" spans="3:15" s="327" customFormat="1" outlineLevel="2" x14ac:dyDescent="0.2">
      <c r="D496" s="631" t="str">
        <f>Intv_BA!D760</f>
        <v>Eastern</v>
      </c>
      <c r="J496" s="8">
        <f>Intv_Ann_TA!J282</f>
        <v>0</v>
      </c>
      <c r="K496" s="8">
        <f>Intv_Ann_TA!K282</f>
        <v>0</v>
      </c>
      <c r="L496" s="8">
        <f>Intv_Ann_TA!L282</f>
        <v>0</v>
      </c>
      <c r="M496" s="8">
        <f>Intv_Ann_TA!M282</f>
        <v>0</v>
      </c>
      <c r="N496" s="8">
        <f>Intv_Ann_TA!N282</f>
        <v>0</v>
      </c>
      <c r="O496" s="8">
        <f>Intv_Ann_TA!O282</f>
        <v>0</v>
      </c>
    </row>
    <row r="497" spans="3:15" s="327" customFormat="1" outlineLevel="2" x14ac:dyDescent="0.2">
      <c r="D497" s="631" t="str">
        <f>Intv_BA!D761</f>
        <v>Luapula</v>
      </c>
      <c r="J497" s="8">
        <f>Intv_Ann_TA!J283</f>
        <v>0</v>
      </c>
      <c r="K497" s="8">
        <f>Intv_Ann_TA!K283</f>
        <v>0</v>
      </c>
      <c r="L497" s="8">
        <f>Intv_Ann_TA!L283</f>
        <v>0</v>
      </c>
      <c r="M497" s="8">
        <f>Intv_Ann_TA!M283</f>
        <v>0</v>
      </c>
      <c r="N497" s="8">
        <f>Intv_Ann_TA!N283</f>
        <v>0</v>
      </c>
      <c r="O497" s="8">
        <f>Intv_Ann_TA!O283</f>
        <v>0</v>
      </c>
    </row>
    <row r="498" spans="3:15" s="327" customFormat="1" outlineLevel="2" x14ac:dyDescent="0.2">
      <c r="D498" s="631" t="str">
        <f>Intv_BA!D762</f>
        <v>Lusaka</v>
      </c>
      <c r="J498" s="8">
        <f>Intv_Ann_TA!J284</f>
        <v>0</v>
      </c>
      <c r="K498" s="8">
        <f>Intv_Ann_TA!K284</f>
        <v>0</v>
      </c>
      <c r="L498" s="8">
        <f>Intv_Ann_TA!L284</f>
        <v>0</v>
      </c>
      <c r="M498" s="8">
        <f>Intv_Ann_TA!M284</f>
        <v>0</v>
      </c>
      <c r="N498" s="8">
        <f>Intv_Ann_TA!N284</f>
        <v>0</v>
      </c>
      <c r="O498" s="8">
        <f>Intv_Ann_TA!O284</f>
        <v>0</v>
      </c>
    </row>
    <row r="499" spans="3:15" s="327" customFormat="1" outlineLevel="2" x14ac:dyDescent="0.2">
      <c r="D499" s="631" t="str">
        <f>Intv_BA!D763</f>
        <v>Muchinga</v>
      </c>
      <c r="J499" s="8">
        <f>Intv_Ann_TA!J285</f>
        <v>0</v>
      </c>
      <c r="K499" s="8">
        <f>Intv_Ann_TA!K285</f>
        <v>0</v>
      </c>
      <c r="L499" s="8">
        <f>Intv_Ann_TA!L285</f>
        <v>0</v>
      </c>
      <c r="M499" s="8">
        <f>Intv_Ann_TA!M285</f>
        <v>0</v>
      </c>
      <c r="N499" s="8">
        <f>Intv_Ann_TA!N285</f>
        <v>0</v>
      </c>
      <c r="O499" s="8">
        <f>Intv_Ann_TA!O285</f>
        <v>0</v>
      </c>
    </row>
    <row r="500" spans="3:15" s="327" customFormat="1" outlineLevel="2" x14ac:dyDescent="0.2">
      <c r="D500" s="631" t="str">
        <f>Intv_BA!D764</f>
        <v>Northern</v>
      </c>
      <c r="J500" s="8">
        <f>Intv_Ann_TA!J286</f>
        <v>0</v>
      </c>
      <c r="K500" s="8">
        <f>Intv_Ann_TA!K286</f>
        <v>0</v>
      </c>
      <c r="L500" s="8">
        <f>Intv_Ann_TA!L286</f>
        <v>0</v>
      </c>
      <c r="M500" s="8">
        <f>Intv_Ann_TA!M286</f>
        <v>0</v>
      </c>
      <c r="N500" s="8">
        <f>Intv_Ann_TA!N286</f>
        <v>0</v>
      </c>
      <c r="O500" s="8">
        <f>Intv_Ann_TA!O286</f>
        <v>0</v>
      </c>
    </row>
    <row r="501" spans="3:15" s="327" customFormat="1" outlineLevel="2" x14ac:dyDescent="0.2">
      <c r="D501" s="631" t="str">
        <f>Intv_BA!D765</f>
        <v>North-Western</v>
      </c>
      <c r="J501" s="8">
        <f>Intv_Ann_TA!J287</f>
        <v>0</v>
      </c>
      <c r="K501" s="8">
        <f>Intv_Ann_TA!K287</f>
        <v>0</v>
      </c>
      <c r="L501" s="8">
        <f>Intv_Ann_TA!L287</f>
        <v>0</v>
      </c>
      <c r="M501" s="8">
        <f>Intv_Ann_TA!M287</f>
        <v>0</v>
      </c>
      <c r="N501" s="8">
        <f>Intv_Ann_TA!N287</f>
        <v>0</v>
      </c>
      <c r="O501" s="8">
        <f>Intv_Ann_TA!O287</f>
        <v>0</v>
      </c>
    </row>
    <row r="502" spans="3:15" s="327" customFormat="1" outlineLevel="2" x14ac:dyDescent="0.2">
      <c r="D502" s="631" t="str">
        <f>Intv_BA!D766</f>
        <v>Southern</v>
      </c>
      <c r="J502" s="8">
        <f>Intv_Ann_TA!J288</f>
        <v>0</v>
      </c>
      <c r="K502" s="8">
        <f>Intv_Ann_TA!K288</f>
        <v>0</v>
      </c>
      <c r="L502" s="8">
        <f>Intv_Ann_TA!L288</f>
        <v>0</v>
      </c>
      <c r="M502" s="8">
        <f>Intv_Ann_TA!M288</f>
        <v>0</v>
      </c>
      <c r="N502" s="8">
        <f>Intv_Ann_TA!N288</f>
        <v>0</v>
      </c>
      <c r="O502" s="8">
        <f>Intv_Ann_TA!O288</f>
        <v>0</v>
      </c>
    </row>
    <row r="503" spans="3:15" s="327" customFormat="1" outlineLevel="2" x14ac:dyDescent="0.2">
      <c r="D503" s="631" t="str">
        <f>Intv_BA!D767</f>
        <v>Western</v>
      </c>
      <c r="J503" s="9">
        <f>Intv_Ann_TA!J289</f>
        <v>0</v>
      </c>
      <c r="K503" s="9">
        <f>Intv_Ann_TA!K289</f>
        <v>0</v>
      </c>
      <c r="L503" s="9">
        <f>Intv_Ann_TA!L289</f>
        <v>0</v>
      </c>
      <c r="M503" s="9">
        <f>Intv_Ann_TA!M289</f>
        <v>0</v>
      </c>
      <c r="N503" s="9">
        <f>Intv_Ann_TA!N289</f>
        <v>0</v>
      </c>
      <c r="O503" s="9">
        <f>Intv_Ann_TA!O289</f>
        <v>0</v>
      </c>
    </row>
    <row r="504" spans="3:15" s="327" customFormat="1" x14ac:dyDescent="0.2">
      <c r="D504" s="630" t="str">
        <f>"Total "&amp;C489</f>
        <v>Total Active PCI Mobile Health Teams</v>
      </c>
      <c r="J504" s="5">
        <f t="shared" ref="J504:O504" si="47">SUM(J494:J503)</f>
        <v>0</v>
      </c>
      <c r="K504" s="5">
        <f t="shared" si="47"/>
        <v>0</v>
      </c>
      <c r="L504" s="5">
        <f t="shared" si="47"/>
        <v>0</v>
      </c>
      <c r="M504" s="5">
        <f t="shared" si="47"/>
        <v>0</v>
      </c>
      <c r="N504" s="5">
        <f t="shared" si="47"/>
        <v>0</v>
      </c>
      <c r="O504" s="5">
        <f t="shared" si="47"/>
        <v>0</v>
      </c>
    </row>
    <row r="505" spans="3:15" s="327" customFormat="1" outlineLevel="2" x14ac:dyDescent="0.2"/>
    <row r="506" spans="3:15" s="327" customFormat="1" ht="15.75" outlineLevel="2" x14ac:dyDescent="0.2">
      <c r="C506" s="26" t="str">
        <f>"Active "&amp;Intv_BA!D623&amp;"s"</f>
        <v>Active Gov't Mobile Health Team (Hospital)s</v>
      </c>
    </row>
    <row r="507" spans="3:15" s="327" customFormat="1" outlineLevel="2" x14ac:dyDescent="0.2"/>
    <row r="508" spans="3:15" s="327" customFormat="1" outlineLevel="2" x14ac:dyDescent="0.2">
      <c r="D508" s="633" t="s">
        <v>82</v>
      </c>
      <c r="H508" s="27">
        <v>6</v>
      </c>
    </row>
    <row r="509" spans="3:15" s="327" customFormat="1" outlineLevel="2" x14ac:dyDescent="0.2"/>
    <row r="510" spans="3:15" s="327" customFormat="1" ht="15" outlineLevel="2" x14ac:dyDescent="0.2">
      <c r="D510" s="628" t="str">
        <f>Labels_BA!G10</f>
        <v>Province</v>
      </c>
    </row>
    <row r="511" spans="3:15" s="327" customFormat="1" outlineLevel="2" x14ac:dyDescent="0.2">
      <c r="D511" s="631" t="str">
        <f>Intv_BA!D758</f>
        <v>Central</v>
      </c>
      <c r="J511" s="8">
        <f>Intv_Ann_TA!J296</f>
        <v>0</v>
      </c>
      <c r="K511" s="8">
        <f>Intv_Ann_TA!K296</f>
        <v>0</v>
      </c>
      <c r="L511" s="8">
        <f>Intv_Ann_TA!L296</f>
        <v>0</v>
      </c>
      <c r="M511" s="8">
        <f>Intv_Ann_TA!M296</f>
        <v>0</v>
      </c>
      <c r="N511" s="8">
        <f>Intv_Ann_TA!N296</f>
        <v>0</v>
      </c>
      <c r="O511" s="8">
        <f>Intv_Ann_TA!O296</f>
        <v>0</v>
      </c>
    </row>
    <row r="512" spans="3:15" s="327" customFormat="1" outlineLevel="2" x14ac:dyDescent="0.2">
      <c r="D512" s="631" t="str">
        <f>Intv_BA!D759</f>
        <v>Copperbelt</v>
      </c>
      <c r="J512" s="8">
        <f>Intv_Ann_TA!J297</f>
        <v>0</v>
      </c>
      <c r="K512" s="8">
        <f>Intv_Ann_TA!K297</f>
        <v>0</v>
      </c>
      <c r="L512" s="8">
        <f>Intv_Ann_TA!L297</f>
        <v>0</v>
      </c>
      <c r="M512" s="8">
        <f>Intv_Ann_TA!M297</f>
        <v>0</v>
      </c>
      <c r="N512" s="8">
        <f>Intv_Ann_TA!N297</f>
        <v>0</v>
      </c>
      <c r="O512" s="8">
        <f>Intv_Ann_TA!O297</f>
        <v>0</v>
      </c>
    </row>
    <row r="513" spans="3:15" s="327" customFormat="1" outlineLevel="2" x14ac:dyDescent="0.2">
      <c r="D513" s="631" t="str">
        <f>Intv_BA!D760</f>
        <v>Eastern</v>
      </c>
      <c r="J513" s="8">
        <f>Intv_Ann_TA!J298</f>
        <v>0</v>
      </c>
      <c r="K513" s="8">
        <f>Intv_Ann_TA!K298</f>
        <v>0</v>
      </c>
      <c r="L513" s="8">
        <f>Intv_Ann_TA!L298</f>
        <v>0</v>
      </c>
      <c r="M513" s="8">
        <f>Intv_Ann_TA!M298</f>
        <v>0</v>
      </c>
      <c r="N513" s="8">
        <f>Intv_Ann_TA!N298</f>
        <v>0</v>
      </c>
      <c r="O513" s="8">
        <f>Intv_Ann_TA!O298</f>
        <v>0</v>
      </c>
    </row>
    <row r="514" spans="3:15" s="327" customFormat="1" outlineLevel="2" x14ac:dyDescent="0.2">
      <c r="D514" s="631" t="str">
        <f>Intv_BA!D761</f>
        <v>Luapula</v>
      </c>
      <c r="J514" s="8">
        <f>Intv_Ann_TA!J299</f>
        <v>0</v>
      </c>
      <c r="K514" s="8">
        <f>Intv_Ann_TA!K299</f>
        <v>0</v>
      </c>
      <c r="L514" s="8">
        <f>Intv_Ann_TA!L299</f>
        <v>0</v>
      </c>
      <c r="M514" s="8">
        <f>Intv_Ann_TA!M299</f>
        <v>0</v>
      </c>
      <c r="N514" s="8">
        <f>Intv_Ann_TA!N299</f>
        <v>0</v>
      </c>
      <c r="O514" s="8">
        <f>Intv_Ann_TA!O299</f>
        <v>0</v>
      </c>
    </row>
    <row r="515" spans="3:15" s="327" customFormat="1" outlineLevel="2" x14ac:dyDescent="0.2">
      <c r="D515" s="631" t="str">
        <f>Intv_BA!D762</f>
        <v>Lusaka</v>
      </c>
      <c r="J515" s="8">
        <f>Intv_Ann_TA!J300</f>
        <v>0</v>
      </c>
      <c r="K515" s="8">
        <f>Intv_Ann_TA!K300</f>
        <v>0</v>
      </c>
      <c r="L515" s="8">
        <f>Intv_Ann_TA!L300</f>
        <v>0</v>
      </c>
      <c r="M515" s="8">
        <f>Intv_Ann_TA!M300</f>
        <v>0</v>
      </c>
      <c r="N515" s="8">
        <f>Intv_Ann_TA!N300</f>
        <v>0</v>
      </c>
      <c r="O515" s="8">
        <f>Intv_Ann_TA!O300</f>
        <v>0</v>
      </c>
    </row>
    <row r="516" spans="3:15" s="327" customFormat="1" outlineLevel="2" x14ac:dyDescent="0.2">
      <c r="D516" s="631" t="str">
        <f>Intv_BA!D763</f>
        <v>Muchinga</v>
      </c>
      <c r="J516" s="8">
        <f>Intv_Ann_TA!J301</f>
        <v>0</v>
      </c>
      <c r="K516" s="8">
        <f>Intv_Ann_TA!K301</f>
        <v>0</v>
      </c>
      <c r="L516" s="8">
        <f>Intv_Ann_TA!L301</f>
        <v>0</v>
      </c>
      <c r="M516" s="8">
        <f>Intv_Ann_TA!M301</f>
        <v>0</v>
      </c>
      <c r="N516" s="8">
        <f>Intv_Ann_TA!N301</f>
        <v>0</v>
      </c>
      <c r="O516" s="8">
        <f>Intv_Ann_TA!O301</f>
        <v>0</v>
      </c>
    </row>
    <row r="517" spans="3:15" s="327" customFormat="1" outlineLevel="2" x14ac:dyDescent="0.2">
      <c r="D517" s="631" t="str">
        <f>Intv_BA!D764</f>
        <v>Northern</v>
      </c>
      <c r="J517" s="8">
        <f>Intv_Ann_TA!J302</f>
        <v>0</v>
      </c>
      <c r="K517" s="8">
        <f>Intv_Ann_TA!K302</f>
        <v>0</v>
      </c>
      <c r="L517" s="8">
        <f>Intv_Ann_TA!L302</f>
        <v>0</v>
      </c>
      <c r="M517" s="8">
        <f>Intv_Ann_TA!M302</f>
        <v>0</v>
      </c>
      <c r="N517" s="8">
        <f>Intv_Ann_TA!N302</f>
        <v>0</v>
      </c>
      <c r="O517" s="8">
        <f>Intv_Ann_TA!O302</f>
        <v>0</v>
      </c>
    </row>
    <row r="518" spans="3:15" s="327" customFormat="1" outlineLevel="2" x14ac:dyDescent="0.2">
      <c r="D518" s="631" t="str">
        <f>Intv_BA!D765</f>
        <v>North-Western</v>
      </c>
      <c r="J518" s="8">
        <f>Intv_Ann_TA!J303</f>
        <v>0</v>
      </c>
      <c r="K518" s="8">
        <f>Intv_Ann_TA!K303</f>
        <v>0</v>
      </c>
      <c r="L518" s="8">
        <f>Intv_Ann_TA!L303</f>
        <v>0</v>
      </c>
      <c r="M518" s="8">
        <f>Intv_Ann_TA!M303</f>
        <v>0</v>
      </c>
      <c r="N518" s="8">
        <f>Intv_Ann_TA!N303</f>
        <v>0</v>
      </c>
      <c r="O518" s="8">
        <f>Intv_Ann_TA!O303</f>
        <v>0</v>
      </c>
    </row>
    <row r="519" spans="3:15" s="327" customFormat="1" outlineLevel="2" x14ac:dyDescent="0.2">
      <c r="D519" s="631" t="str">
        <f>Intv_BA!D766</f>
        <v>Southern</v>
      </c>
      <c r="J519" s="8">
        <f>Intv_Ann_TA!J304</f>
        <v>0</v>
      </c>
      <c r="K519" s="8">
        <f>Intv_Ann_TA!K304</f>
        <v>0</v>
      </c>
      <c r="L519" s="8">
        <f>Intv_Ann_TA!L304</f>
        <v>0</v>
      </c>
      <c r="M519" s="8">
        <f>Intv_Ann_TA!M304</f>
        <v>0</v>
      </c>
      <c r="N519" s="8">
        <f>Intv_Ann_TA!N304</f>
        <v>0</v>
      </c>
      <c r="O519" s="8">
        <f>Intv_Ann_TA!O304</f>
        <v>0</v>
      </c>
    </row>
    <row r="520" spans="3:15" s="327" customFormat="1" outlineLevel="2" x14ac:dyDescent="0.2">
      <c r="D520" s="631" t="str">
        <f>Intv_BA!D767</f>
        <v>Western</v>
      </c>
      <c r="J520" s="9">
        <f>Intv_Ann_TA!J305</f>
        <v>0</v>
      </c>
      <c r="K520" s="9">
        <f>Intv_Ann_TA!K305</f>
        <v>0</v>
      </c>
      <c r="L520" s="9">
        <f>Intv_Ann_TA!L305</f>
        <v>0</v>
      </c>
      <c r="M520" s="9">
        <f>Intv_Ann_TA!M305</f>
        <v>0</v>
      </c>
      <c r="N520" s="9">
        <f>Intv_Ann_TA!N305</f>
        <v>0</v>
      </c>
      <c r="O520" s="9">
        <f>Intv_Ann_TA!O305</f>
        <v>0</v>
      </c>
    </row>
    <row r="521" spans="3:15" s="327" customFormat="1" x14ac:dyDescent="0.2">
      <c r="D521" s="630" t="str">
        <f>"Total "&amp;C506</f>
        <v>Total Active Gov't Mobile Health Team (Hospital)s</v>
      </c>
      <c r="J521" s="5">
        <f t="shared" ref="J521:O521" si="48">SUM(J511:J520)</f>
        <v>0</v>
      </c>
      <c r="K521" s="5">
        <f t="shared" si="48"/>
        <v>0</v>
      </c>
      <c r="L521" s="5">
        <f t="shared" si="48"/>
        <v>0</v>
      </c>
      <c r="M521" s="5">
        <f t="shared" si="48"/>
        <v>0</v>
      </c>
      <c r="N521" s="5">
        <f t="shared" si="48"/>
        <v>0</v>
      </c>
      <c r="O521" s="5">
        <f t="shared" si="48"/>
        <v>0</v>
      </c>
    </row>
    <row r="522" spans="3:15" s="327" customFormat="1" outlineLevel="1" x14ac:dyDescent="0.2"/>
    <row r="523" spans="3:15" s="327" customFormat="1" ht="15.75" outlineLevel="1" x14ac:dyDescent="0.2">
      <c r="C523" s="26" t="str">
        <f>"Active "&amp;Intv_BA!D624&amp;"s"</f>
        <v>Active CIDRZ Mobile Health Teams</v>
      </c>
    </row>
    <row r="524" spans="3:15" s="327" customFormat="1" outlineLevel="1" x14ac:dyDescent="0.2"/>
    <row r="525" spans="3:15" s="327" customFormat="1" outlineLevel="1" x14ac:dyDescent="0.2">
      <c r="D525" s="633" t="s">
        <v>82</v>
      </c>
      <c r="H525" s="27">
        <v>7</v>
      </c>
    </row>
    <row r="526" spans="3:15" s="327" customFormat="1" outlineLevel="1" x14ac:dyDescent="0.2"/>
    <row r="527" spans="3:15" s="327" customFormat="1" ht="15" outlineLevel="1" x14ac:dyDescent="0.2">
      <c r="D527" s="628" t="str">
        <f>Labels_BA!G10</f>
        <v>Province</v>
      </c>
    </row>
    <row r="528" spans="3:15" s="327" customFormat="1" outlineLevel="1" x14ac:dyDescent="0.2">
      <c r="D528" s="631" t="str">
        <f>Intv_BA!D758</f>
        <v>Central</v>
      </c>
      <c r="J528" s="8">
        <f>Intv_Ann_TA!J312</f>
        <v>0</v>
      </c>
      <c r="K528" s="8">
        <f>Intv_Ann_TA!K312</f>
        <v>0</v>
      </c>
      <c r="L528" s="8">
        <f>Intv_Ann_TA!L312</f>
        <v>0</v>
      </c>
      <c r="M528" s="8">
        <f>Intv_Ann_TA!M312</f>
        <v>0</v>
      </c>
      <c r="N528" s="8">
        <f>Intv_Ann_TA!N312</f>
        <v>0</v>
      </c>
      <c r="O528" s="8">
        <f>Intv_Ann_TA!O312</f>
        <v>0</v>
      </c>
    </row>
    <row r="529" spans="3:15" s="327" customFormat="1" outlineLevel="1" x14ac:dyDescent="0.2">
      <c r="D529" s="631" t="str">
        <f>Intv_BA!D759</f>
        <v>Copperbelt</v>
      </c>
      <c r="J529" s="8">
        <f>Intv_Ann_TA!J313</f>
        <v>0</v>
      </c>
      <c r="K529" s="8">
        <f>Intv_Ann_TA!K313</f>
        <v>0</v>
      </c>
      <c r="L529" s="8">
        <f>Intv_Ann_TA!L313</f>
        <v>0</v>
      </c>
      <c r="M529" s="8">
        <f>Intv_Ann_TA!M313</f>
        <v>0</v>
      </c>
      <c r="N529" s="8">
        <f>Intv_Ann_TA!N313</f>
        <v>0</v>
      </c>
      <c r="O529" s="8">
        <f>Intv_Ann_TA!O313</f>
        <v>0</v>
      </c>
    </row>
    <row r="530" spans="3:15" s="327" customFormat="1" outlineLevel="1" x14ac:dyDescent="0.2">
      <c r="D530" s="631" t="str">
        <f>Intv_BA!D760</f>
        <v>Eastern</v>
      </c>
      <c r="J530" s="8">
        <f>Intv_Ann_TA!J314</f>
        <v>0</v>
      </c>
      <c r="K530" s="8">
        <f>Intv_Ann_TA!K314</f>
        <v>0</v>
      </c>
      <c r="L530" s="8">
        <f>Intv_Ann_TA!L314</f>
        <v>0</v>
      </c>
      <c r="M530" s="8">
        <f>Intv_Ann_TA!M314</f>
        <v>0</v>
      </c>
      <c r="N530" s="8">
        <f>Intv_Ann_TA!N314</f>
        <v>0</v>
      </c>
      <c r="O530" s="8">
        <f>Intv_Ann_TA!O314</f>
        <v>0</v>
      </c>
    </row>
    <row r="531" spans="3:15" s="327" customFormat="1" outlineLevel="1" x14ac:dyDescent="0.2">
      <c r="D531" s="631" t="str">
        <f>Intv_BA!D761</f>
        <v>Luapula</v>
      </c>
      <c r="J531" s="8">
        <f>Intv_Ann_TA!J315</f>
        <v>0</v>
      </c>
      <c r="K531" s="8">
        <f>Intv_Ann_TA!K315</f>
        <v>0</v>
      </c>
      <c r="L531" s="8">
        <f>Intv_Ann_TA!L315</f>
        <v>0</v>
      </c>
      <c r="M531" s="8">
        <f>Intv_Ann_TA!M315</f>
        <v>0</v>
      </c>
      <c r="N531" s="8">
        <f>Intv_Ann_TA!N315</f>
        <v>0</v>
      </c>
      <c r="O531" s="8">
        <f>Intv_Ann_TA!O315</f>
        <v>0</v>
      </c>
    </row>
    <row r="532" spans="3:15" s="327" customFormat="1" outlineLevel="1" x14ac:dyDescent="0.2">
      <c r="D532" s="631" t="str">
        <f>Intv_BA!D762</f>
        <v>Lusaka</v>
      </c>
      <c r="J532" s="8">
        <f>Intv_Ann_TA!J316</f>
        <v>0</v>
      </c>
      <c r="K532" s="8">
        <f>Intv_Ann_TA!K316</f>
        <v>0</v>
      </c>
      <c r="L532" s="8">
        <f>Intv_Ann_TA!L316</f>
        <v>0</v>
      </c>
      <c r="M532" s="8">
        <f>Intv_Ann_TA!M316</f>
        <v>0</v>
      </c>
      <c r="N532" s="8">
        <f>Intv_Ann_TA!N316</f>
        <v>0</v>
      </c>
      <c r="O532" s="8">
        <f>Intv_Ann_TA!O316</f>
        <v>0</v>
      </c>
    </row>
    <row r="533" spans="3:15" s="327" customFormat="1" outlineLevel="1" x14ac:dyDescent="0.2">
      <c r="D533" s="631" t="str">
        <f>Intv_BA!D763</f>
        <v>Muchinga</v>
      </c>
      <c r="J533" s="8">
        <f>Intv_Ann_TA!J317</f>
        <v>0</v>
      </c>
      <c r="K533" s="8">
        <f>Intv_Ann_TA!K317</f>
        <v>0</v>
      </c>
      <c r="L533" s="8">
        <f>Intv_Ann_TA!L317</f>
        <v>0</v>
      </c>
      <c r="M533" s="8">
        <f>Intv_Ann_TA!M317</f>
        <v>0</v>
      </c>
      <c r="N533" s="8">
        <f>Intv_Ann_TA!N317</f>
        <v>0</v>
      </c>
      <c r="O533" s="8">
        <f>Intv_Ann_TA!O317</f>
        <v>0</v>
      </c>
    </row>
    <row r="534" spans="3:15" s="327" customFormat="1" outlineLevel="1" x14ac:dyDescent="0.2">
      <c r="D534" s="631" t="str">
        <f>Intv_BA!D764</f>
        <v>Northern</v>
      </c>
      <c r="J534" s="8">
        <f>Intv_Ann_TA!J318</f>
        <v>0</v>
      </c>
      <c r="K534" s="8">
        <f>Intv_Ann_TA!K318</f>
        <v>0</v>
      </c>
      <c r="L534" s="8">
        <f>Intv_Ann_TA!L318</f>
        <v>0</v>
      </c>
      <c r="M534" s="8">
        <f>Intv_Ann_TA!M318</f>
        <v>0</v>
      </c>
      <c r="N534" s="8">
        <f>Intv_Ann_TA!N318</f>
        <v>0</v>
      </c>
      <c r="O534" s="8">
        <f>Intv_Ann_TA!O318</f>
        <v>0</v>
      </c>
    </row>
    <row r="535" spans="3:15" s="327" customFormat="1" outlineLevel="1" x14ac:dyDescent="0.2">
      <c r="D535" s="631" t="str">
        <f>Intv_BA!D765</f>
        <v>North-Western</v>
      </c>
      <c r="J535" s="8">
        <f>Intv_Ann_TA!J319</f>
        <v>0</v>
      </c>
      <c r="K535" s="8">
        <f>Intv_Ann_TA!K319</f>
        <v>0</v>
      </c>
      <c r="L535" s="8">
        <f>Intv_Ann_TA!L319</f>
        <v>0</v>
      </c>
      <c r="M535" s="8">
        <f>Intv_Ann_TA!M319</f>
        <v>0</v>
      </c>
      <c r="N535" s="8">
        <f>Intv_Ann_TA!N319</f>
        <v>0</v>
      </c>
      <c r="O535" s="8">
        <f>Intv_Ann_TA!O319</f>
        <v>0</v>
      </c>
    </row>
    <row r="536" spans="3:15" s="327" customFormat="1" outlineLevel="1" x14ac:dyDescent="0.2">
      <c r="D536" s="631" t="str">
        <f>Intv_BA!D766</f>
        <v>Southern</v>
      </c>
      <c r="J536" s="8">
        <f>Intv_Ann_TA!J320</f>
        <v>0</v>
      </c>
      <c r="K536" s="8">
        <f>Intv_Ann_TA!K320</f>
        <v>0</v>
      </c>
      <c r="L536" s="8">
        <f>Intv_Ann_TA!L320</f>
        <v>0</v>
      </c>
      <c r="M536" s="8">
        <f>Intv_Ann_TA!M320</f>
        <v>0</v>
      </c>
      <c r="N536" s="8">
        <f>Intv_Ann_TA!N320</f>
        <v>0</v>
      </c>
      <c r="O536" s="8">
        <f>Intv_Ann_TA!O320</f>
        <v>0</v>
      </c>
    </row>
    <row r="537" spans="3:15" s="327" customFormat="1" outlineLevel="1" x14ac:dyDescent="0.2">
      <c r="D537" s="631" t="str">
        <f>Intv_BA!D767</f>
        <v>Western</v>
      </c>
      <c r="J537" s="9">
        <f>Intv_Ann_TA!J321</f>
        <v>0</v>
      </c>
      <c r="K537" s="9">
        <f>Intv_Ann_TA!K321</f>
        <v>0</v>
      </c>
      <c r="L537" s="9">
        <f>Intv_Ann_TA!L321</f>
        <v>0</v>
      </c>
      <c r="M537" s="9">
        <f>Intv_Ann_TA!M321</f>
        <v>0</v>
      </c>
      <c r="N537" s="9">
        <f>Intv_Ann_TA!N321</f>
        <v>0</v>
      </c>
      <c r="O537" s="9">
        <f>Intv_Ann_TA!O321</f>
        <v>0</v>
      </c>
    </row>
    <row r="538" spans="3:15" s="327" customFormat="1" x14ac:dyDescent="0.2">
      <c r="D538" s="630" t="str">
        <f>"Total "&amp;C523</f>
        <v>Total Active CIDRZ Mobile Health Teams</v>
      </c>
      <c r="J538" s="5">
        <f t="shared" ref="J538:O538" si="49">SUM(J528:J537)</f>
        <v>0</v>
      </c>
      <c r="K538" s="5">
        <f t="shared" si="49"/>
        <v>0</v>
      </c>
      <c r="L538" s="5">
        <f t="shared" si="49"/>
        <v>0</v>
      </c>
      <c r="M538" s="5">
        <f t="shared" si="49"/>
        <v>0</v>
      </c>
      <c r="N538" s="5">
        <f t="shared" si="49"/>
        <v>0</v>
      </c>
      <c r="O538" s="5">
        <f t="shared" si="49"/>
        <v>0</v>
      </c>
    </row>
    <row r="539" spans="3:15" s="327" customFormat="1" outlineLevel="1" x14ac:dyDescent="0.2"/>
    <row r="540" spans="3:15" s="327" customFormat="1" ht="15.75" outlineLevel="1" x14ac:dyDescent="0.2">
      <c r="C540" s="26" t="str">
        <f>"Active "&amp;Intv_BA!D625&amp;"s"</f>
        <v>Active Facility Type 8s</v>
      </c>
    </row>
    <row r="541" spans="3:15" s="327" customFormat="1" outlineLevel="1" x14ac:dyDescent="0.2"/>
    <row r="542" spans="3:15" s="327" customFormat="1" outlineLevel="1" x14ac:dyDescent="0.2">
      <c r="D542" s="633" t="s">
        <v>82</v>
      </c>
      <c r="H542" s="27">
        <v>8</v>
      </c>
    </row>
    <row r="543" spans="3:15" s="327" customFormat="1" outlineLevel="1" x14ac:dyDescent="0.2"/>
    <row r="544" spans="3:15" s="327" customFormat="1" ht="15" outlineLevel="1" x14ac:dyDescent="0.2">
      <c r="D544" s="628" t="str">
        <f>Labels_BA!G10</f>
        <v>Province</v>
      </c>
    </row>
    <row r="545" spans="3:15" s="327" customFormat="1" outlineLevel="1" x14ac:dyDescent="0.2">
      <c r="D545" s="631" t="str">
        <f>Intv_BA!D758</f>
        <v>Central</v>
      </c>
      <c r="J545" s="8">
        <f>Intv_Ann_TA!J328</f>
        <v>0</v>
      </c>
      <c r="K545" s="8">
        <f>Intv_Ann_TA!K328</f>
        <v>0</v>
      </c>
      <c r="L545" s="8">
        <f>Intv_Ann_TA!L328</f>
        <v>0</v>
      </c>
      <c r="M545" s="8">
        <f>Intv_Ann_TA!M328</f>
        <v>0</v>
      </c>
      <c r="N545" s="8">
        <f>Intv_Ann_TA!N328</f>
        <v>0</v>
      </c>
      <c r="O545" s="8">
        <f>Intv_Ann_TA!O328</f>
        <v>0</v>
      </c>
    </row>
    <row r="546" spans="3:15" s="327" customFormat="1" outlineLevel="1" x14ac:dyDescent="0.2">
      <c r="D546" s="631" t="str">
        <f>Intv_BA!D759</f>
        <v>Copperbelt</v>
      </c>
      <c r="J546" s="8">
        <f>Intv_Ann_TA!J329</f>
        <v>0</v>
      </c>
      <c r="K546" s="8">
        <f>Intv_Ann_TA!K329</f>
        <v>0</v>
      </c>
      <c r="L546" s="8">
        <f>Intv_Ann_TA!L329</f>
        <v>0</v>
      </c>
      <c r="M546" s="8">
        <f>Intv_Ann_TA!M329</f>
        <v>0</v>
      </c>
      <c r="N546" s="8">
        <f>Intv_Ann_TA!N329</f>
        <v>0</v>
      </c>
      <c r="O546" s="8">
        <f>Intv_Ann_TA!O329</f>
        <v>0</v>
      </c>
    </row>
    <row r="547" spans="3:15" s="327" customFormat="1" outlineLevel="1" x14ac:dyDescent="0.2">
      <c r="D547" s="631" t="str">
        <f>Intv_BA!D760</f>
        <v>Eastern</v>
      </c>
      <c r="J547" s="8">
        <f>Intv_Ann_TA!J330</f>
        <v>0</v>
      </c>
      <c r="K547" s="8">
        <f>Intv_Ann_TA!K330</f>
        <v>0</v>
      </c>
      <c r="L547" s="8">
        <f>Intv_Ann_TA!L330</f>
        <v>0</v>
      </c>
      <c r="M547" s="8">
        <f>Intv_Ann_TA!M330</f>
        <v>0</v>
      </c>
      <c r="N547" s="8">
        <f>Intv_Ann_TA!N330</f>
        <v>0</v>
      </c>
      <c r="O547" s="8">
        <f>Intv_Ann_TA!O330</f>
        <v>0</v>
      </c>
    </row>
    <row r="548" spans="3:15" s="327" customFormat="1" outlineLevel="1" x14ac:dyDescent="0.2">
      <c r="D548" s="631" t="str">
        <f>Intv_BA!D761</f>
        <v>Luapula</v>
      </c>
      <c r="J548" s="8">
        <f>Intv_Ann_TA!J331</f>
        <v>0</v>
      </c>
      <c r="K548" s="8">
        <f>Intv_Ann_TA!K331</f>
        <v>0</v>
      </c>
      <c r="L548" s="8">
        <f>Intv_Ann_TA!L331</f>
        <v>0</v>
      </c>
      <c r="M548" s="8">
        <f>Intv_Ann_TA!M331</f>
        <v>0</v>
      </c>
      <c r="N548" s="8">
        <f>Intv_Ann_TA!N331</f>
        <v>0</v>
      </c>
      <c r="O548" s="8">
        <f>Intv_Ann_TA!O331</f>
        <v>0</v>
      </c>
    </row>
    <row r="549" spans="3:15" s="327" customFormat="1" outlineLevel="1" x14ac:dyDescent="0.2">
      <c r="D549" s="631" t="str">
        <f>Intv_BA!D762</f>
        <v>Lusaka</v>
      </c>
      <c r="J549" s="8">
        <f>Intv_Ann_TA!J332</f>
        <v>0</v>
      </c>
      <c r="K549" s="8">
        <f>Intv_Ann_TA!K332</f>
        <v>0</v>
      </c>
      <c r="L549" s="8">
        <f>Intv_Ann_TA!L332</f>
        <v>0</v>
      </c>
      <c r="M549" s="8">
        <f>Intv_Ann_TA!M332</f>
        <v>0</v>
      </c>
      <c r="N549" s="8">
        <f>Intv_Ann_TA!N332</f>
        <v>0</v>
      </c>
      <c r="O549" s="8">
        <f>Intv_Ann_TA!O332</f>
        <v>0</v>
      </c>
    </row>
    <row r="550" spans="3:15" s="327" customFormat="1" outlineLevel="1" x14ac:dyDescent="0.2">
      <c r="D550" s="631" t="str">
        <f>Intv_BA!D763</f>
        <v>Muchinga</v>
      </c>
      <c r="J550" s="8">
        <f>Intv_Ann_TA!J333</f>
        <v>0</v>
      </c>
      <c r="K550" s="8">
        <f>Intv_Ann_TA!K333</f>
        <v>0</v>
      </c>
      <c r="L550" s="8">
        <f>Intv_Ann_TA!L333</f>
        <v>0</v>
      </c>
      <c r="M550" s="8">
        <f>Intv_Ann_TA!M333</f>
        <v>0</v>
      </c>
      <c r="N550" s="8">
        <f>Intv_Ann_TA!N333</f>
        <v>0</v>
      </c>
      <c r="O550" s="8">
        <f>Intv_Ann_TA!O333</f>
        <v>0</v>
      </c>
    </row>
    <row r="551" spans="3:15" s="327" customFormat="1" outlineLevel="1" x14ac:dyDescent="0.2">
      <c r="D551" s="631" t="str">
        <f>Intv_BA!D764</f>
        <v>Northern</v>
      </c>
      <c r="J551" s="8">
        <f>Intv_Ann_TA!J334</f>
        <v>0</v>
      </c>
      <c r="K551" s="8">
        <f>Intv_Ann_TA!K334</f>
        <v>0</v>
      </c>
      <c r="L551" s="8">
        <f>Intv_Ann_TA!L334</f>
        <v>0</v>
      </c>
      <c r="M551" s="8">
        <f>Intv_Ann_TA!M334</f>
        <v>0</v>
      </c>
      <c r="N551" s="8">
        <f>Intv_Ann_TA!N334</f>
        <v>0</v>
      </c>
      <c r="O551" s="8">
        <f>Intv_Ann_TA!O334</f>
        <v>0</v>
      </c>
    </row>
    <row r="552" spans="3:15" s="327" customFormat="1" outlineLevel="1" x14ac:dyDescent="0.2">
      <c r="D552" s="631" t="str">
        <f>Intv_BA!D765</f>
        <v>North-Western</v>
      </c>
      <c r="J552" s="8">
        <f>Intv_Ann_TA!J335</f>
        <v>0</v>
      </c>
      <c r="K552" s="8">
        <f>Intv_Ann_TA!K335</f>
        <v>0</v>
      </c>
      <c r="L552" s="8">
        <f>Intv_Ann_TA!L335</f>
        <v>0</v>
      </c>
      <c r="M552" s="8">
        <f>Intv_Ann_TA!M335</f>
        <v>0</v>
      </c>
      <c r="N552" s="8">
        <f>Intv_Ann_TA!N335</f>
        <v>0</v>
      </c>
      <c r="O552" s="8">
        <f>Intv_Ann_TA!O335</f>
        <v>0</v>
      </c>
    </row>
    <row r="553" spans="3:15" s="327" customFormat="1" outlineLevel="1" x14ac:dyDescent="0.2">
      <c r="D553" s="631" t="str">
        <f>Intv_BA!D766</f>
        <v>Southern</v>
      </c>
      <c r="J553" s="8">
        <f>Intv_Ann_TA!J336</f>
        <v>0</v>
      </c>
      <c r="K553" s="8">
        <f>Intv_Ann_TA!K336</f>
        <v>0</v>
      </c>
      <c r="L553" s="8">
        <f>Intv_Ann_TA!L336</f>
        <v>0</v>
      </c>
      <c r="M553" s="8">
        <f>Intv_Ann_TA!M336</f>
        <v>0</v>
      </c>
      <c r="N553" s="8">
        <f>Intv_Ann_TA!N336</f>
        <v>0</v>
      </c>
      <c r="O553" s="8">
        <f>Intv_Ann_TA!O336</f>
        <v>0</v>
      </c>
    </row>
    <row r="554" spans="3:15" s="327" customFormat="1" outlineLevel="1" x14ac:dyDescent="0.2">
      <c r="D554" s="631" t="str">
        <f>Intv_BA!D767</f>
        <v>Western</v>
      </c>
      <c r="J554" s="9">
        <f>Intv_Ann_TA!J337</f>
        <v>0</v>
      </c>
      <c r="K554" s="9">
        <f>Intv_Ann_TA!K337</f>
        <v>0</v>
      </c>
      <c r="L554" s="9">
        <f>Intv_Ann_TA!L337</f>
        <v>0</v>
      </c>
      <c r="M554" s="9">
        <f>Intv_Ann_TA!M337</f>
        <v>0</v>
      </c>
      <c r="N554" s="9">
        <f>Intv_Ann_TA!N337</f>
        <v>0</v>
      </c>
      <c r="O554" s="9">
        <f>Intv_Ann_TA!O337</f>
        <v>0</v>
      </c>
    </row>
    <row r="555" spans="3:15" s="327" customFormat="1" x14ac:dyDescent="0.2">
      <c r="D555" s="630" t="str">
        <f>"Total "&amp;C540</f>
        <v>Total Active Facility Type 8s</v>
      </c>
      <c r="J555" s="5">
        <f t="shared" ref="J555:O555" si="50">SUM(J545:J554)</f>
        <v>0</v>
      </c>
      <c r="K555" s="5">
        <f t="shared" si="50"/>
        <v>0</v>
      </c>
      <c r="L555" s="5">
        <f t="shared" si="50"/>
        <v>0</v>
      </c>
      <c r="M555" s="5">
        <f t="shared" si="50"/>
        <v>0</v>
      </c>
      <c r="N555" s="5">
        <f t="shared" si="50"/>
        <v>0</v>
      </c>
      <c r="O555" s="5">
        <f t="shared" si="50"/>
        <v>0</v>
      </c>
    </row>
    <row r="556" spans="3:15" s="327" customFormat="1" outlineLevel="1" x14ac:dyDescent="0.2"/>
    <row r="557" spans="3:15" s="327" customFormat="1" ht="15.75" outlineLevel="1" x14ac:dyDescent="0.2">
      <c r="C557" s="26" t="str">
        <f>"Active "&amp;Intv_BA!D626&amp;"s"</f>
        <v>Active Facility Type 9s</v>
      </c>
    </row>
    <row r="558" spans="3:15" s="327" customFormat="1" outlineLevel="1" x14ac:dyDescent="0.2"/>
    <row r="559" spans="3:15" s="327" customFormat="1" outlineLevel="1" x14ac:dyDescent="0.2">
      <c r="D559" s="633" t="s">
        <v>82</v>
      </c>
      <c r="H559" s="27">
        <v>9</v>
      </c>
    </row>
    <row r="560" spans="3:15" s="327" customFormat="1" outlineLevel="1" x14ac:dyDescent="0.2"/>
    <row r="561" spans="3:15" s="327" customFormat="1" ht="15" outlineLevel="1" x14ac:dyDescent="0.2">
      <c r="D561" s="628" t="str">
        <f>Labels_BA!G10</f>
        <v>Province</v>
      </c>
    </row>
    <row r="562" spans="3:15" s="327" customFormat="1" outlineLevel="1" x14ac:dyDescent="0.2">
      <c r="D562" s="631" t="str">
        <f>Intv_BA!D758</f>
        <v>Central</v>
      </c>
      <c r="J562" s="8">
        <f>Intv_Ann_TA!J344</f>
        <v>0</v>
      </c>
      <c r="K562" s="8">
        <f>Intv_Ann_TA!K344</f>
        <v>0</v>
      </c>
      <c r="L562" s="8">
        <f>Intv_Ann_TA!L344</f>
        <v>0</v>
      </c>
      <c r="M562" s="8">
        <f>Intv_Ann_TA!M344</f>
        <v>0</v>
      </c>
      <c r="N562" s="8">
        <f>Intv_Ann_TA!N344</f>
        <v>0</v>
      </c>
      <c r="O562" s="8">
        <f>Intv_Ann_TA!O344</f>
        <v>0</v>
      </c>
    </row>
    <row r="563" spans="3:15" s="327" customFormat="1" outlineLevel="1" x14ac:dyDescent="0.2">
      <c r="D563" s="631" t="str">
        <f>Intv_BA!D759</f>
        <v>Copperbelt</v>
      </c>
      <c r="J563" s="8">
        <f>Intv_Ann_TA!J345</f>
        <v>0</v>
      </c>
      <c r="K563" s="8">
        <f>Intv_Ann_TA!K345</f>
        <v>0</v>
      </c>
      <c r="L563" s="8">
        <f>Intv_Ann_TA!L345</f>
        <v>0</v>
      </c>
      <c r="M563" s="8">
        <f>Intv_Ann_TA!M345</f>
        <v>0</v>
      </c>
      <c r="N563" s="8">
        <f>Intv_Ann_TA!N345</f>
        <v>0</v>
      </c>
      <c r="O563" s="8">
        <f>Intv_Ann_TA!O345</f>
        <v>0</v>
      </c>
    </row>
    <row r="564" spans="3:15" s="327" customFormat="1" outlineLevel="1" x14ac:dyDescent="0.2">
      <c r="D564" s="631" t="str">
        <f>Intv_BA!D760</f>
        <v>Eastern</v>
      </c>
      <c r="J564" s="8">
        <f>Intv_Ann_TA!J346</f>
        <v>0</v>
      </c>
      <c r="K564" s="8">
        <f>Intv_Ann_TA!K346</f>
        <v>0</v>
      </c>
      <c r="L564" s="8">
        <f>Intv_Ann_TA!L346</f>
        <v>0</v>
      </c>
      <c r="M564" s="8">
        <f>Intv_Ann_TA!M346</f>
        <v>0</v>
      </c>
      <c r="N564" s="8">
        <f>Intv_Ann_TA!N346</f>
        <v>0</v>
      </c>
      <c r="O564" s="8">
        <f>Intv_Ann_TA!O346</f>
        <v>0</v>
      </c>
    </row>
    <row r="565" spans="3:15" s="327" customFormat="1" outlineLevel="1" x14ac:dyDescent="0.2">
      <c r="D565" s="631" t="str">
        <f>Intv_BA!D761</f>
        <v>Luapula</v>
      </c>
      <c r="J565" s="8">
        <f>Intv_Ann_TA!J347</f>
        <v>0</v>
      </c>
      <c r="K565" s="8">
        <f>Intv_Ann_TA!K347</f>
        <v>0</v>
      </c>
      <c r="L565" s="8">
        <f>Intv_Ann_TA!L347</f>
        <v>0</v>
      </c>
      <c r="M565" s="8">
        <f>Intv_Ann_TA!M347</f>
        <v>0</v>
      </c>
      <c r="N565" s="8">
        <f>Intv_Ann_TA!N347</f>
        <v>0</v>
      </c>
      <c r="O565" s="8">
        <f>Intv_Ann_TA!O347</f>
        <v>0</v>
      </c>
    </row>
    <row r="566" spans="3:15" s="327" customFormat="1" outlineLevel="1" x14ac:dyDescent="0.2">
      <c r="D566" s="631" t="str">
        <f>Intv_BA!D762</f>
        <v>Lusaka</v>
      </c>
      <c r="J566" s="8">
        <f>Intv_Ann_TA!J348</f>
        <v>0</v>
      </c>
      <c r="K566" s="8">
        <f>Intv_Ann_TA!K348</f>
        <v>0</v>
      </c>
      <c r="L566" s="8">
        <f>Intv_Ann_TA!L348</f>
        <v>0</v>
      </c>
      <c r="M566" s="8">
        <f>Intv_Ann_TA!M348</f>
        <v>0</v>
      </c>
      <c r="N566" s="8">
        <f>Intv_Ann_TA!N348</f>
        <v>0</v>
      </c>
      <c r="O566" s="8">
        <f>Intv_Ann_TA!O348</f>
        <v>0</v>
      </c>
    </row>
    <row r="567" spans="3:15" s="327" customFormat="1" outlineLevel="1" x14ac:dyDescent="0.2">
      <c r="D567" s="631" t="str">
        <f>Intv_BA!D763</f>
        <v>Muchinga</v>
      </c>
      <c r="J567" s="8">
        <f>Intv_Ann_TA!J349</f>
        <v>0</v>
      </c>
      <c r="K567" s="8">
        <f>Intv_Ann_TA!K349</f>
        <v>0</v>
      </c>
      <c r="L567" s="8">
        <f>Intv_Ann_TA!L349</f>
        <v>0</v>
      </c>
      <c r="M567" s="8">
        <f>Intv_Ann_TA!M349</f>
        <v>0</v>
      </c>
      <c r="N567" s="8">
        <f>Intv_Ann_TA!N349</f>
        <v>0</v>
      </c>
      <c r="O567" s="8">
        <f>Intv_Ann_TA!O349</f>
        <v>0</v>
      </c>
    </row>
    <row r="568" spans="3:15" s="327" customFormat="1" outlineLevel="1" x14ac:dyDescent="0.2">
      <c r="D568" s="631" t="str">
        <f>Intv_BA!D764</f>
        <v>Northern</v>
      </c>
      <c r="J568" s="8">
        <f>Intv_Ann_TA!J350</f>
        <v>0</v>
      </c>
      <c r="K568" s="8">
        <f>Intv_Ann_TA!K350</f>
        <v>0</v>
      </c>
      <c r="L568" s="8">
        <f>Intv_Ann_TA!L350</f>
        <v>0</v>
      </c>
      <c r="M568" s="8">
        <f>Intv_Ann_TA!M350</f>
        <v>0</v>
      </c>
      <c r="N568" s="8">
        <f>Intv_Ann_TA!N350</f>
        <v>0</v>
      </c>
      <c r="O568" s="8">
        <f>Intv_Ann_TA!O350</f>
        <v>0</v>
      </c>
    </row>
    <row r="569" spans="3:15" s="327" customFormat="1" outlineLevel="1" x14ac:dyDescent="0.2">
      <c r="D569" s="631" t="str">
        <f>Intv_BA!D765</f>
        <v>North-Western</v>
      </c>
      <c r="J569" s="8">
        <f>Intv_Ann_TA!J351</f>
        <v>0</v>
      </c>
      <c r="K569" s="8">
        <f>Intv_Ann_TA!K351</f>
        <v>0</v>
      </c>
      <c r="L569" s="8">
        <f>Intv_Ann_TA!L351</f>
        <v>0</v>
      </c>
      <c r="M569" s="8">
        <f>Intv_Ann_TA!M351</f>
        <v>0</v>
      </c>
      <c r="N569" s="8">
        <f>Intv_Ann_TA!N351</f>
        <v>0</v>
      </c>
      <c r="O569" s="8">
        <f>Intv_Ann_TA!O351</f>
        <v>0</v>
      </c>
    </row>
    <row r="570" spans="3:15" s="327" customFormat="1" outlineLevel="1" x14ac:dyDescent="0.2">
      <c r="D570" s="631" t="str">
        <f>Intv_BA!D766</f>
        <v>Southern</v>
      </c>
      <c r="J570" s="8">
        <f>Intv_Ann_TA!J352</f>
        <v>0</v>
      </c>
      <c r="K570" s="8">
        <f>Intv_Ann_TA!K352</f>
        <v>0</v>
      </c>
      <c r="L570" s="8">
        <f>Intv_Ann_TA!L352</f>
        <v>0</v>
      </c>
      <c r="M570" s="8">
        <f>Intv_Ann_TA!M352</f>
        <v>0</v>
      </c>
      <c r="N570" s="8">
        <f>Intv_Ann_TA!N352</f>
        <v>0</v>
      </c>
      <c r="O570" s="8">
        <f>Intv_Ann_TA!O352</f>
        <v>0</v>
      </c>
    </row>
    <row r="571" spans="3:15" s="327" customFormat="1" outlineLevel="1" x14ac:dyDescent="0.2">
      <c r="D571" s="631" t="str">
        <f>Intv_BA!D767</f>
        <v>Western</v>
      </c>
      <c r="J571" s="9">
        <f>Intv_Ann_TA!J353</f>
        <v>0</v>
      </c>
      <c r="K571" s="9">
        <f>Intv_Ann_TA!K353</f>
        <v>0</v>
      </c>
      <c r="L571" s="9">
        <f>Intv_Ann_TA!L353</f>
        <v>0</v>
      </c>
      <c r="M571" s="9">
        <f>Intv_Ann_TA!M353</f>
        <v>0</v>
      </c>
      <c r="N571" s="9">
        <f>Intv_Ann_TA!N353</f>
        <v>0</v>
      </c>
      <c r="O571" s="9">
        <f>Intv_Ann_TA!O353</f>
        <v>0</v>
      </c>
    </row>
    <row r="572" spans="3:15" s="327" customFormat="1" x14ac:dyDescent="0.2">
      <c r="D572" s="630" t="str">
        <f>"Total "&amp;C557</f>
        <v>Total Active Facility Type 9s</v>
      </c>
      <c r="J572" s="5">
        <f t="shared" ref="J572:O572" si="51">SUM(J562:J571)</f>
        <v>0</v>
      </c>
      <c r="K572" s="5">
        <f t="shared" si="51"/>
        <v>0</v>
      </c>
      <c r="L572" s="5">
        <f t="shared" si="51"/>
        <v>0</v>
      </c>
      <c r="M572" s="5">
        <f t="shared" si="51"/>
        <v>0</v>
      </c>
      <c r="N572" s="5">
        <f t="shared" si="51"/>
        <v>0</v>
      </c>
      <c r="O572" s="5">
        <f t="shared" si="51"/>
        <v>0</v>
      </c>
    </row>
    <row r="573" spans="3:15" s="327" customFormat="1" outlineLevel="1" x14ac:dyDescent="0.2"/>
    <row r="574" spans="3:15" s="327" customFormat="1" ht="15.75" outlineLevel="2" x14ac:dyDescent="0.2">
      <c r="C574" s="26" t="str">
        <f>"Active "&amp;Intv_BA!D627&amp;"s"</f>
        <v>Active Facility Type 10s</v>
      </c>
    </row>
    <row r="575" spans="3:15" s="327" customFormat="1" outlineLevel="2" x14ac:dyDescent="0.2"/>
    <row r="576" spans="3:15" s="327" customFormat="1" outlineLevel="2" x14ac:dyDescent="0.2">
      <c r="D576" s="633" t="s">
        <v>82</v>
      </c>
      <c r="H576" s="27">
        <v>10</v>
      </c>
    </row>
    <row r="577" spans="4:15" s="327" customFormat="1" outlineLevel="2" x14ac:dyDescent="0.2"/>
    <row r="578" spans="4:15" s="327" customFormat="1" ht="15" outlineLevel="2" x14ac:dyDescent="0.2">
      <c r="D578" s="628" t="str">
        <f>Labels_BA!G10</f>
        <v>Province</v>
      </c>
    </row>
    <row r="579" spans="4:15" s="327" customFormat="1" outlineLevel="2" x14ac:dyDescent="0.2">
      <c r="D579" s="631" t="str">
        <f>Intv_BA!D758</f>
        <v>Central</v>
      </c>
      <c r="J579" s="8">
        <f>Intv_Ann_TA!J360</f>
        <v>0</v>
      </c>
      <c r="K579" s="8">
        <f>Intv_Ann_TA!K360</f>
        <v>0</v>
      </c>
      <c r="L579" s="8">
        <f>Intv_Ann_TA!L360</f>
        <v>0</v>
      </c>
      <c r="M579" s="8">
        <f>Intv_Ann_TA!M360</f>
        <v>0</v>
      </c>
      <c r="N579" s="8">
        <f>Intv_Ann_TA!N360</f>
        <v>0</v>
      </c>
      <c r="O579" s="8">
        <f>Intv_Ann_TA!O360</f>
        <v>0</v>
      </c>
    </row>
    <row r="580" spans="4:15" s="327" customFormat="1" outlineLevel="2" x14ac:dyDescent="0.2">
      <c r="D580" s="631" t="str">
        <f>Intv_BA!D759</f>
        <v>Copperbelt</v>
      </c>
      <c r="J580" s="8">
        <f>Intv_Ann_TA!J361</f>
        <v>0</v>
      </c>
      <c r="K580" s="8">
        <f>Intv_Ann_TA!K361</f>
        <v>0</v>
      </c>
      <c r="L580" s="8">
        <f>Intv_Ann_TA!L361</f>
        <v>0</v>
      </c>
      <c r="M580" s="8">
        <f>Intv_Ann_TA!M361</f>
        <v>0</v>
      </c>
      <c r="N580" s="8">
        <f>Intv_Ann_TA!N361</f>
        <v>0</v>
      </c>
      <c r="O580" s="8">
        <f>Intv_Ann_TA!O361</f>
        <v>0</v>
      </c>
    </row>
    <row r="581" spans="4:15" s="327" customFormat="1" outlineLevel="2" x14ac:dyDescent="0.2">
      <c r="D581" s="631" t="str">
        <f>Intv_BA!D760</f>
        <v>Eastern</v>
      </c>
      <c r="J581" s="8">
        <f>Intv_Ann_TA!J362</f>
        <v>0</v>
      </c>
      <c r="K581" s="8">
        <f>Intv_Ann_TA!K362</f>
        <v>0</v>
      </c>
      <c r="L581" s="8">
        <f>Intv_Ann_TA!L362</f>
        <v>0</v>
      </c>
      <c r="M581" s="8">
        <f>Intv_Ann_TA!M362</f>
        <v>0</v>
      </c>
      <c r="N581" s="8">
        <f>Intv_Ann_TA!N362</f>
        <v>0</v>
      </c>
      <c r="O581" s="8">
        <f>Intv_Ann_TA!O362</f>
        <v>0</v>
      </c>
    </row>
    <row r="582" spans="4:15" s="327" customFormat="1" outlineLevel="2" x14ac:dyDescent="0.2">
      <c r="D582" s="631" t="str">
        <f>Intv_BA!D761</f>
        <v>Luapula</v>
      </c>
      <c r="J582" s="8">
        <f>Intv_Ann_TA!J363</f>
        <v>0</v>
      </c>
      <c r="K582" s="8">
        <f>Intv_Ann_TA!K363</f>
        <v>0</v>
      </c>
      <c r="L582" s="8">
        <f>Intv_Ann_TA!L363</f>
        <v>0</v>
      </c>
      <c r="M582" s="8">
        <f>Intv_Ann_TA!M363</f>
        <v>0</v>
      </c>
      <c r="N582" s="8">
        <f>Intv_Ann_TA!N363</f>
        <v>0</v>
      </c>
      <c r="O582" s="8">
        <f>Intv_Ann_TA!O363</f>
        <v>0</v>
      </c>
    </row>
    <row r="583" spans="4:15" s="327" customFormat="1" outlineLevel="2" x14ac:dyDescent="0.2">
      <c r="D583" s="631" t="str">
        <f>Intv_BA!D762</f>
        <v>Lusaka</v>
      </c>
      <c r="J583" s="8">
        <f>Intv_Ann_TA!J364</f>
        <v>0</v>
      </c>
      <c r="K583" s="8">
        <f>Intv_Ann_TA!K364</f>
        <v>0</v>
      </c>
      <c r="L583" s="8">
        <f>Intv_Ann_TA!L364</f>
        <v>0</v>
      </c>
      <c r="M583" s="8">
        <f>Intv_Ann_TA!M364</f>
        <v>0</v>
      </c>
      <c r="N583" s="8">
        <f>Intv_Ann_TA!N364</f>
        <v>0</v>
      </c>
      <c r="O583" s="8">
        <f>Intv_Ann_TA!O364</f>
        <v>0</v>
      </c>
    </row>
    <row r="584" spans="4:15" s="327" customFormat="1" outlineLevel="2" x14ac:dyDescent="0.2">
      <c r="D584" s="631" t="str">
        <f>Intv_BA!D763</f>
        <v>Muchinga</v>
      </c>
      <c r="J584" s="8">
        <f>Intv_Ann_TA!J365</f>
        <v>0</v>
      </c>
      <c r="K584" s="8">
        <f>Intv_Ann_TA!K365</f>
        <v>0</v>
      </c>
      <c r="L584" s="8">
        <f>Intv_Ann_TA!L365</f>
        <v>0</v>
      </c>
      <c r="M584" s="8">
        <f>Intv_Ann_TA!M365</f>
        <v>0</v>
      </c>
      <c r="N584" s="8">
        <f>Intv_Ann_TA!N365</f>
        <v>0</v>
      </c>
      <c r="O584" s="8">
        <f>Intv_Ann_TA!O365</f>
        <v>0</v>
      </c>
    </row>
    <row r="585" spans="4:15" s="327" customFormat="1" outlineLevel="2" x14ac:dyDescent="0.2">
      <c r="D585" s="631" t="str">
        <f>Intv_BA!D764</f>
        <v>Northern</v>
      </c>
      <c r="J585" s="8">
        <f>Intv_Ann_TA!J366</f>
        <v>0</v>
      </c>
      <c r="K585" s="8">
        <f>Intv_Ann_TA!K366</f>
        <v>0</v>
      </c>
      <c r="L585" s="8">
        <f>Intv_Ann_TA!L366</f>
        <v>0</v>
      </c>
      <c r="M585" s="8">
        <f>Intv_Ann_TA!M366</f>
        <v>0</v>
      </c>
      <c r="N585" s="8">
        <f>Intv_Ann_TA!N366</f>
        <v>0</v>
      </c>
      <c r="O585" s="8">
        <f>Intv_Ann_TA!O366</f>
        <v>0</v>
      </c>
    </row>
    <row r="586" spans="4:15" s="327" customFormat="1" outlineLevel="2" x14ac:dyDescent="0.2">
      <c r="D586" s="631" t="str">
        <f>Intv_BA!D765</f>
        <v>North-Western</v>
      </c>
      <c r="J586" s="8">
        <f>Intv_Ann_TA!J367</f>
        <v>0</v>
      </c>
      <c r="K586" s="8">
        <f>Intv_Ann_TA!K367</f>
        <v>0</v>
      </c>
      <c r="L586" s="8">
        <f>Intv_Ann_TA!L367</f>
        <v>0</v>
      </c>
      <c r="M586" s="8">
        <f>Intv_Ann_TA!M367</f>
        <v>0</v>
      </c>
      <c r="N586" s="8">
        <f>Intv_Ann_TA!N367</f>
        <v>0</v>
      </c>
      <c r="O586" s="8">
        <f>Intv_Ann_TA!O367</f>
        <v>0</v>
      </c>
    </row>
    <row r="587" spans="4:15" s="327" customFormat="1" outlineLevel="2" x14ac:dyDescent="0.2">
      <c r="D587" s="631" t="str">
        <f>Intv_BA!D766</f>
        <v>Southern</v>
      </c>
      <c r="J587" s="8">
        <f>Intv_Ann_TA!J368</f>
        <v>0</v>
      </c>
      <c r="K587" s="8">
        <f>Intv_Ann_TA!K368</f>
        <v>0</v>
      </c>
      <c r="L587" s="8">
        <f>Intv_Ann_TA!L368</f>
        <v>0</v>
      </c>
      <c r="M587" s="8">
        <f>Intv_Ann_TA!M368</f>
        <v>0</v>
      </c>
      <c r="N587" s="8">
        <f>Intv_Ann_TA!N368</f>
        <v>0</v>
      </c>
      <c r="O587" s="8">
        <f>Intv_Ann_TA!O368</f>
        <v>0</v>
      </c>
    </row>
    <row r="588" spans="4:15" s="327" customFormat="1" outlineLevel="2" x14ac:dyDescent="0.2">
      <c r="D588" s="631" t="str">
        <f>Intv_BA!D767</f>
        <v>Western</v>
      </c>
      <c r="J588" s="9">
        <f>Intv_Ann_TA!J369</f>
        <v>0</v>
      </c>
      <c r="K588" s="9">
        <f>Intv_Ann_TA!K369</f>
        <v>0</v>
      </c>
      <c r="L588" s="9">
        <f>Intv_Ann_TA!L369</f>
        <v>0</v>
      </c>
      <c r="M588" s="9">
        <f>Intv_Ann_TA!M369</f>
        <v>0</v>
      </c>
      <c r="N588" s="9">
        <f>Intv_Ann_TA!N369</f>
        <v>0</v>
      </c>
      <c r="O588" s="9">
        <f>Intv_Ann_TA!O369</f>
        <v>0</v>
      </c>
    </row>
    <row r="589" spans="4:15" s="327" customFormat="1" x14ac:dyDescent="0.2">
      <c r="D589" s="630" t="str">
        <f>"Total "&amp;C574</f>
        <v>Total Active Facility Type 10s</v>
      </c>
      <c r="J589" s="5">
        <f t="shared" ref="J589:O589" si="52">SUM(J579:J588)</f>
        <v>0</v>
      </c>
      <c r="K589" s="5">
        <f t="shared" si="52"/>
        <v>0</v>
      </c>
      <c r="L589" s="5">
        <f t="shared" si="52"/>
        <v>0</v>
      </c>
      <c r="M589" s="5">
        <f t="shared" si="52"/>
        <v>0</v>
      </c>
      <c r="N589" s="5">
        <f t="shared" si="52"/>
        <v>0</v>
      </c>
      <c r="O589" s="5">
        <f t="shared" si="52"/>
        <v>0</v>
      </c>
    </row>
    <row r="590" spans="4:15" s="327" customFormat="1" x14ac:dyDescent="0.2"/>
    <row r="591" spans="4:15" s="327" customFormat="1" x14ac:dyDescent="0.2"/>
    <row r="592" spans="4:15" s="327" customFormat="1" ht="15" x14ac:dyDescent="0.2">
      <c r="D592" s="632" t="str">
        <f>"Total Active Facilities " &amp;Intv_BA!G588</f>
        <v>Total Active Facilities LEEP with BIOP-H</v>
      </c>
      <c r="I592" s="437"/>
      <c r="J592" s="14">
        <f t="shared" ref="J592:O592" si="53">SUM(J436,J453,J470,J487,J504,J521,J538,J555,J572,J589)</f>
        <v>18</v>
      </c>
      <c r="K592" s="14">
        <f t="shared" si="53"/>
        <v>18</v>
      </c>
      <c r="L592" s="14">
        <f t="shared" si="53"/>
        <v>18</v>
      </c>
      <c r="M592" s="14">
        <f t="shared" si="53"/>
        <v>18</v>
      </c>
      <c r="N592" s="14">
        <f t="shared" si="53"/>
        <v>18</v>
      </c>
      <c r="O592" s="14">
        <f t="shared" si="53"/>
        <v>18</v>
      </c>
    </row>
    <row r="593" spans="3:15" s="327" customFormat="1" x14ac:dyDescent="0.2"/>
    <row r="594" spans="3:15" s="327" customFormat="1" ht="15" x14ac:dyDescent="0.2">
      <c r="D594" s="632" t="str">
        <f>"Total New Active Facilities " &amp;Intv_BA!$G$588</f>
        <v>Total New Active Facilities LEEP with BIOP-H</v>
      </c>
      <c r="J594" s="14">
        <f t="shared" ref="J594:O594" si="54">J592-I592</f>
        <v>18</v>
      </c>
      <c r="K594" s="14">
        <f t="shared" si="54"/>
        <v>0</v>
      </c>
      <c r="L594" s="14">
        <f t="shared" si="54"/>
        <v>0</v>
      </c>
      <c r="M594" s="14">
        <f t="shared" si="54"/>
        <v>0</v>
      </c>
      <c r="N594" s="14">
        <f t="shared" si="54"/>
        <v>0</v>
      </c>
      <c r="O594" s="14">
        <f t="shared" si="54"/>
        <v>0</v>
      </c>
    </row>
    <row r="595" spans="3:15" s="327" customFormat="1" x14ac:dyDescent="0.2"/>
    <row r="596" spans="3:15" s="327" customFormat="1" ht="15.75" x14ac:dyDescent="0.2">
      <c r="C596" s="330" t="s">
        <v>123</v>
      </c>
    </row>
    <row r="597" spans="3:15" s="327" customFormat="1" outlineLevel="1" x14ac:dyDescent="0.2"/>
    <row r="598" spans="3:15" s="327" customFormat="1" ht="15" outlineLevel="1" x14ac:dyDescent="0.2">
      <c r="D598" s="632" t="str">
        <f>"Total Active Facilities Offering "&amp;Intv_BA!$G$588</f>
        <v>Total Active Facilities Offering LEEP with BIOP-H</v>
      </c>
    </row>
    <row r="599" spans="3:15" s="327" customFormat="1" outlineLevel="1" x14ac:dyDescent="0.2">
      <c r="D599" s="631" t="str">
        <f>Intv_BA!D758</f>
        <v>Central</v>
      </c>
      <c r="H599" s="631" t="str">
        <f>Intv_BA!$G$588</f>
        <v>LEEP with BIOP-H</v>
      </c>
      <c r="J599" s="8">
        <f t="shared" ref="J599:O608" si="55">SUM(J426,J443,J460,J477,J494,J511,J528,J545,J562,J579)</f>
        <v>2</v>
      </c>
      <c r="K599" s="8">
        <f t="shared" si="55"/>
        <v>2</v>
      </c>
      <c r="L599" s="8">
        <f t="shared" si="55"/>
        <v>2</v>
      </c>
      <c r="M599" s="8">
        <f t="shared" si="55"/>
        <v>2</v>
      </c>
      <c r="N599" s="8">
        <f t="shared" si="55"/>
        <v>2</v>
      </c>
      <c r="O599" s="8">
        <f t="shared" si="55"/>
        <v>2</v>
      </c>
    </row>
    <row r="600" spans="3:15" s="327" customFormat="1" outlineLevel="1" x14ac:dyDescent="0.2">
      <c r="D600" s="631" t="str">
        <f>Intv_BA!D759</f>
        <v>Copperbelt</v>
      </c>
      <c r="H600" s="631" t="str">
        <f>Intv_BA!$G$588</f>
        <v>LEEP with BIOP-H</v>
      </c>
      <c r="J600" s="8">
        <f t="shared" si="55"/>
        <v>3</v>
      </c>
      <c r="K600" s="8">
        <f t="shared" si="55"/>
        <v>3</v>
      </c>
      <c r="L600" s="8">
        <f t="shared" si="55"/>
        <v>3</v>
      </c>
      <c r="M600" s="8">
        <f t="shared" si="55"/>
        <v>3</v>
      </c>
      <c r="N600" s="8">
        <f t="shared" si="55"/>
        <v>3</v>
      </c>
      <c r="O600" s="8">
        <f t="shared" si="55"/>
        <v>3</v>
      </c>
    </row>
    <row r="601" spans="3:15" s="327" customFormat="1" outlineLevel="1" x14ac:dyDescent="0.2">
      <c r="D601" s="631" t="str">
        <f>Intv_BA!D760</f>
        <v>Eastern</v>
      </c>
      <c r="H601" s="631" t="str">
        <f>Intv_BA!$G$588</f>
        <v>LEEP with BIOP-H</v>
      </c>
      <c r="J601" s="8">
        <f t="shared" si="55"/>
        <v>3</v>
      </c>
      <c r="K601" s="8">
        <f t="shared" si="55"/>
        <v>3</v>
      </c>
      <c r="L601" s="8">
        <f t="shared" si="55"/>
        <v>3</v>
      </c>
      <c r="M601" s="8">
        <f t="shared" si="55"/>
        <v>3</v>
      </c>
      <c r="N601" s="8">
        <f t="shared" si="55"/>
        <v>3</v>
      </c>
      <c r="O601" s="8">
        <f t="shared" si="55"/>
        <v>3</v>
      </c>
    </row>
    <row r="602" spans="3:15" s="327" customFormat="1" outlineLevel="1" x14ac:dyDescent="0.2">
      <c r="D602" s="631" t="str">
        <f>Intv_BA!D761</f>
        <v>Luapula</v>
      </c>
      <c r="H602" s="631" t="str">
        <f>Intv_BA!$G$588</f>
        <v>LEEP with BIOP-H</v>
      </c>
      <c r="J602" s="8">
        <f t="shared" si="55"/>
        <v>2</v>
      </c>
      <c r="K602" s="8">
        <f t="shared" si="55"/>
        <v>2</v>
      </c>
      <c r="L602" s="8">
        <f t="shared" si="55"/>
        <v>2</v>
      </c>
      <c r="M602" s="8">
        <f t="shared" si="55"/>
        <v>2</v>
      </c>
      <c r="N602" s="8">
        <f t="shared" si="55"/>
        <v>2</v>
      </c>
      <c r="O602" s="8">
        <f t="shared" si="55"/>
        <v>2</v>
      </c>
    </row>
    <row r="603" spans="3:15" s="327" customFormat="1" outlineLevel="1" x14ac:dyDescent="0.2">
      <c r="D603" s="631" t="str">
        <f>Intv_BA!D762</f>
        <v>Lusaka</v>
      </c>
      <c r="H603" s="631" t="str">
        <f>Intv_BA!$G$588</f>
        <v>LEEP with BIOP-H</v>
      </c>
      <c r="J603" s="8">
        <f t="shared" si="55"/>
        <v>1</v>
      </c>
      <c r="K603" s="8">
        <f t="shared" si="55"/>
        <v>1</v>
      </c>
      <c r="L603" s="8">
        <f t="shared" si="55"/>
        <v>1</v>
      </c>
      <c r="M603" s="8">
        <f t="shared" si="55"/>
        <v>1</v>
      </c>
      <c r="N603" s="8">
        <f t="shared" si="55"/>
        <v>1</v>
      </c>
      <c r="O603" s="8">
        <f t="shared" si="55"/>
        <v>1</v>
      </c>
    </row>
    <row r="604" spans="3:15" s="327" customFormat="1" outlineLevel="1" x14ac:dyDescent="0.2">
      <c r="D604" s="631" t="str">
        <f>Intv_BA!D763</f>
        <v>Muchinga</v>
      </c>
      <c r="H604" s="631" t="str">
        <f>Intv_BA!$G$588</f>
        <v>LEEP with BIOP-H</v>
      </c>
      <c r="J604" s="8">
        <f t="shared" si="55"/>
        <v>0</v>
      </c>
      <c r="K604" s="8">
        <f t="shared" si="55"/>
        <v>0</v>
      </c>
      <c r="L604" s="8">
        <f t="shared" si="55"/>
        <v>0</v>
      </c>
      <c r="M604" s="8">
        <f t="shared" si="55"/>
        <v>0</v>
      </c>
      <c r="N604" s="8">
        <f t="shared" si="55"/>
        <v>0</v>
      </c>
      <c r="O604" s="8">
        <f t="shared" si="55"/>
        <v>0</v>
      </c>
    </row>
    <row r="605" spans="3:15" s="327" customFormat="1" outlineLevel="1" x14ac:dyDescent="0.2">
      <c r="D605" s="631" t="str">
        <f>Intv_BA!D764</f>
        <v>Northern</v>
      </c>
      <c r="H605" s="631" t="str">
        <f>Intv_BA!$G$588</f>
        <v>LEEP with BIOP-H</v>
      </c>
      <c r="J605" s="8">
        <f t="shared" si="55"/>
        <v>1</v>
      </c>
      <c r="K605" s="8">
        <f t="shared" si="55"/>
        <v>1</v>
      </c>
      <c r="L605" s="8">
        <f t="shared" si="55"/>
        <v>1</v>
      </c>
      <c r="M605" s="8">
        <f t="shared" si="55"/>
        <v>1</v>
      </c>
      <c r="N605" s="8">
        <f t="shared" si="55"/>
        <v>1</v>
      </c>
      <c r="O605" s="8">
        <f t="shared" si="55"/>
        <v>1</v>
      </c>
    </row>
    <row r="606" spans="3:15" s="327" customFormat="1" outlineLevel="1" x14ac:dyDescent="0.2">
      <c r="D606" s="631" t="str">
        <f>Intv_BA!D765</f>
        <v>North-Western</v>
      </c>
      <c r="H606" s="631" t="str">
        <f>Intv_BA!$G$588</f>
        <v>LEEP with BIOP-H</v>
      </c>
      <c r="J606" s="8">
        <f t="shared" si="55"/>
        <v>1</v>
      </c>
      <c r="K606" s="8">
        <f t="shared" si="55"/>
        <v>1</v>
      </c>
      <c r="L606" s="8">
        <f t="shared" si="55"/>
        <v>1</v>
      </c>
      <c r="M606" s="8">
        <f t="shared" si="55"/>
        <v>1</v>
      </c>
      <c r="N606" s="8">
        <f t="shared" si="55"/>
        <v>1</v>
      </c>
      <c r="O606" s="8">
        <f t="shared" si="55"/>
        <v>1</v>
      </c>
    </row>
    <row r="607" spans="3:15" s="327" customFormat="1" outlineLevel="1" x14ac:dyDescent="0.2">
      <c r="D607" s="631" t="str">
        <f>Intv_BA!D766</f>
        <v>Southern</v>
      </c>
      <c r="H607" s="631" t="str">
        <f>Intv_BA!$G$588</f>
        <v>LEEP with BIOP-H</v>
      </c>
      <c r="J607" s="8">
        <f t="shared" si="55"/>
        <v>2</v>
      </c>
      <c r="K607" s="8">
        <f t="shared" si="55"/>
        <v>2</v>
      </c>
      <c r="L607" s="8">
        <f t="shared" si="55"/>
        <v>2</v>
      </c>
      <c r="M607" s="8">
        <f t="shared" si="55"/>
        <v>2</v>
      </c>
      <c r="N607" s="8">
        <f t="shared" si="55"/>
        <v>2</v>
      </c>
      <c r="O607" s="8">
        <f t="shared" si="55"/>
        <v>2</v>
      </c>
    </row>
    <row r="608" spans="3:15" s="327" customFormat="1" outlineLevel="1" x14ac:dyDescent="0.2">
      <c r="D608" s="631" t="str">
        <f>Intv_BA!D767</f>
        <v>Western</v>
      </c>
      <c r="H608" s="631" t="str">
        <f>Intv_BA!$G$588</f>
        <v>LEEP with BIOP-H</v>
      </c>
      <c r="J608" s="9">
        <f t="shared" si="55"/>
        <v>3</v>
      </c>
      <c r="K608" s="9">
        <f t="shared" si="55"/>
        <v>3</v>
      </c>
      <c r="L608" s="9">
        <f t="shared" si="55"/>
        <v>3</v>
      </c>
      <c r="M608" s="9">
        <f t="shared" si="55"/>
        <v>3</v>
      </c>
      <c r="N608" s="9">
        <f t="shared" si="55"/>
        <v>3</v>
      </c>
      <c r="O608" s="9">
        <f t="shared" si="55"/>
        <v>3</v>
      </c>
    </row>
    <row r="609" spans="3:15" s="327" customFormat="1" ht="15" x14ac:dyDescent="0.2">
      <c r="D609" s="632" t="str">
        <f>D598&amp;" ("&amp;Intv_BA!$G$588&amp;")"</f>
        <v>Total Active Facilities Offering LEEP with BIOP-H (LEEP with BIOP-H)</v>
      </c>
      <c r="J609" s="5">
        <f t="shared" ref="J609:O609" si="56">SUM(J599:J608)</f>
        <v>18</v>
      </c>
      <c r="K609" s="5">
        <f t="shared" si="56"/>
        <v>18</v>
      </c>
      <c r="L609" s="5">
        <f t="shared" si="56"/>
        <v>18</v>
      </c>
      <c r="M609" s="5">
        <f t="shared" si="56"/>
        <v>18</v>
      </c>
      <c r="N609" s="5">
        <f t="shared" si="56"/>
        <v>18</v>
      </c>
      <c r="O609" s="5">
        <f t="shared" si="56"/>
        <v>18</v>
      </c>
    </row>
    <row r="610" spans="3:15" s="327" customFormat="1" x14ac:dyDescent="0.2"/>
    <row r="611" spans="3:15" s="327" customFormat="1" x14ac:dyDescent="0.2"/>
    <row r="612" spans="3:15" s="327" customFormat="1" ht="15" x14ac:dyDescent="0.2">
      <c r="D612" s="629" t="s">
        <v>114</v>
      </c>
    </row>
    <row r="613" spans="3:15" s="327" customFormat="1" outlineLevel="1" x14ac:dyDescent="0.2">
      <c r="D613" s="631" t="str">
        <f>Intv_Ann_TA!D380</f>
        <v>Central</v>
      </c>
      <c r="H613" s="631" t="str">
        <f>Intv_BA!$G$588</f>
        <v>LEEP with BIOP-H</v>
      </c>
      <c r="J613" s="13">
        <f t="shared" ref="J613:O622" si="57">IFERROR((J426+J443+J460)/J599,0)</f>
        <v>1</v>
      </c>
      <c r="K613" s="13">
        <f t="shared" si="57"/>
        <v>1</v>
      </c>
      <c r="L613" s="13">
        <f t="shared" si="57"/>
        <v>1</v>
      </c>
      <c r="M613" s="13">
        <f t="shared" si="57"/>
        <v>1</v>
      </c>
      <c r="N613" s="13">
        <f t="shared" si="57"/>
        <v>1</v>
      </c>
      <c r="O613" s="13">
        <f t="shared" si="57"/>
        <v>1</v>
      </c>
    </row>
    <row r="614" spans="3:15" s="327" customFormat="1" outlineLevel="1" x14ac:dyDescent="0.2">
      <c r="D614" s="631" t="str">
        <f>Intv_Ann_TA!D381</f>
        <v>Copperbelt</v>
      </c>
      <c r="H614" s="631" t="str">
        <f>Intv_BA!$G$588</f>
        <v>LEEP with BIOP-H</v>
      </c>
      <c r="J614" s="13">
        <f t="shared" si="57"/>
        <v>1</v>
      </c>
      <c r="K614" s="13">
        <f t="shared" si="57"/>
        <v>1</v>
      </c>
      <c r="L614" s="13">
        <f t="shared" si="57"/>
        <v>1</v>
      </c>
      <c r="M614" s="13">
        <f t="shared" si="57"/>
        <v>1</v>
      </c>
      <c r="N614" s="13">
        <f t="shared" si="57"/>
        <v>1</v>
      </c>
      <c r="O614" s="13">
        <f t="shared" si="57"/>
        <v>1</v>
      </c>
    </row>
    <row r="615" spans="3:15" s="327" customFormat="1" outlineLevel="1" x14ac:dyDescent="0.2">
      <c r="D615" s="631" t="str">
        <f>Intv_Ann_TA!D382</f>
        <v>Eastern</v>
      </c>
      <c r="H615" s="631" t="str">
        <f>Intv_BA!$G$588</f>
        <v>LEEP with BIOP-H</v>
      </c>
      <c r="J615" s="13">
        <f t="shared" si="57"/>
        <v>1</v>
      </c>
      <c r="K615" s="13">
        <f t="shared" si="57"/>
        <v>1</v>
      </c>
      <c r="L615" s="13">
        <f t="shared" si="57"/>
        <v>1</v>
      </c>
      <c r="M615" s="13">
        <f t="shared" si="57"/>
        <v>1</v>
      </c>
      <c r="N615" s="13">
        <f t="shared" si="57"/>
        <v>1</v>
      </c>
      <c r="O615" s="13">
        <f t="shared" si="57"/>
        <v>1</v>
      </c>
    </row>
    <row r="616" spans="3:15" s="327" customFormat="1" outlineLevel="1" x14ac:dyDescent="0.2">
      <c r="D616" s="631" t="str">
        <f>Intv_Ann_TA!D383</f>
        <v>Luapula</v>
      </c>
      <c r="H616" s="631" t="str">
        <f>Intv_BA!$G$588</f>
        <v>LEEP with BIOP-H</v>
      </c>
      <c r="J616" s="13">
        <f t="shared" si="57"/>
        <v>1</v>
      </c>
      <c r="K616" s="13">
        <f t="shared" si="57"/>
        <v>1</v>
      </c>
      <c r="L616" s="13">
        <f t="shared" si="57"/>
        <v>1</v>
      </c>
      <c r="M616" s="13">
        <f t="shared" si="57"/>
        <v>1</v>
      </c>
      <c r="N616" s="13">
        <f t="shared" si="57"/>
        <v>1</v>
      </c>
      <c r="O616" s="13">
        <f t="shared" si="57"/>
        <v>1</v>
      </c>
    </row>
    <row r="617" spans="3:15" s="327" customFormat="1" outlineLevel="1" x14ac:dyDescent="0.2">
      <c r="D617" s="631" t="str">
        <f>Intv_Ann_TA!D384</f>
        <v>Lusaka</v>
      </c>
      <c r="H617" s="631" t="str">
        <f>Intv_BA!$G$588</f>
        <v>LEEP with BIOP-H</v>
      </c>
      <c r="J617" s="13">
        <f t="shared" si="57"/>
        <v>1</v>
      </c>
      <c r="K617" s="13">
        <f t="shared" si="57"/>
        <v>1</v>
      </c>
      <c r="L617" s="13">
        <f t="shared" si="57"/>
        <v>1</v>
      </c>
      <c r="M617" s="13">
        <f t="shared" si="57"/>
        <v>1</v>
      </c>
      <c r="N617" s="13">
        <f t="shared" si="57"/>
        <v>1</v>
      </c>
      <c r="O617" s="13">
        <f t="shared" si="57"/>
        <v>1</v>
      </c>
    </row>
    <row r="618" spans="3:15" s="327" customFormat="1" outlineLevel="1" x14ac:dyDescent="0.2">
      <c r="D618" s="631" t="str">
        <f>Intv_Ann_TA!D385</f>
        <v>Muchinga</v>
      </c>
      <c r="H618" s="631" t="str">
        <f>Intv_BA!$G$588</f>
        <v>LEEP with BIOP-H</v>
      </c>
      <c r="J618" s="13">
        <f t="shared" si="57"/>
        <v>0</v>
      </c>
      <c r="K618" s="13">
        <f t="shared" si="57"/>
        <v>0</v>
      </c>
      <c r="L618" s="13">
        <f t="shared" si="57"/>
        <v>0</v>
      </c>
      <c r="M618" s="13">
        <f t="shared" si="57"/>
        <v>0</v>
      </c>
      <c r="N618" s="13">
        <f t="shared" si="57"/>
        <v>0</v>
      </c>
      <c r="O618" s="13">
        <f t="shared" si="57"/>
        <v>0</v>
      </c>
    </row>
    <row r="619" spans="3:15" s="327" customFormat="1" outlineLevel="1" x14ac:dyDescent="0.2">
      <c r="D619" s="631" t="str">
        <f>Intv_Ann_TA!D386</f>
        <v>Northern</v>
      </c>
      <c r="H619" s="631" t="str">
        <f>Intv_BA!$G$588</f>
        <v>LEEP with BIOP-H</v>
      </c>
      <c r="J619" s="13">
        <f t="shared" si="57"/>
        <v>1</v>
      </c>
      <c r="K619" s="13">
        <f t="shared" si="57"/>
        <v>1</v>
      </c>
      <c r="L619" s="13">
        <f t="shared" si="57"/>
        <v>1</v>
      </c>
      <c r="M619" s="13">
        <f t="shared" si="57"/>
        <v>1</v>
      </c>
      <c r="N619" s="13">
        <f t="shared" si="57"/>
        <v>1</v>
      </c>
      <c r="O619" s="13">
        <f t="shared" si="57"/>
        <v>1</v>
      </c>
    </row>
    <row r="620" spans="3:15" s="327" customFormat="1" outlineLevel="1" x14ac:dyDescent="0.2">
      <c r="D620" s="631" t="str">
        <f>Intv_Ann_TA!D387</f>
        <v>North-Western</v>
      </c>
      <c r="H620" s="631" t="str">
        <f>Intv_BA!$G$588</f>
        <v>LEEP with BIOP-H</v>
      </c>
      <c r="J620" s="13">
        <f t="shared" si="57"/>
        <v>1</v>
      </c>
      <c r="K620" s="13">
        <f t="shared" si="57"/>
        <v>1</v>
      </c>
      <c r="L620" s="13">
        <f t="shared" si="57"/>
        <v>1</v>
      </c>
      <c r="M620" s="13">
        <f t="shared" si="57"/>
        <v>1</v>
      </c>
      <c r="N620" s="13">
        <f t="shared" si="57"/>
        <v>1</v>
      </c>
      <c r="O620" s="13">
        <f t="shared" si="57"/>
        <v>1</v>
      </c>
    </row>
    <row r="621" spans="3:15" s="327" customFormat="1" outlineLevel="1" x14ac:dyDescent="0.2">
      <c r="D621" s="631" t="str">
        <f>Intv_Ann_TA!D388</f>
        <v>Southern</v>
      </c>
      <c r="H621" s="631" t="str">
        <f>Intv_BA!$G$588</f>
        <v>LEEP with BIOP-H</v>
      </c>
      <c r="J621" s="13">
        <f t="shared" si="57"/>
        <v>1</v>
      </c>
      <c r="K621" s="13">
        <f t="shared" si="57"/>
        <v>1</v>
      </c>
      <c r="L621" s="13">
        <f t="shared" si="57"/>
        <v>1</v>
      </c>
      <c r="M621" s="13">
        <f t="shared" si="57"/>
        <v>1</v>
      </c>
      <c r="N621" s="13">
        <f t="shared" si="57"/>
        <v>1</v>
      </c>
      <c r="O621" s="13">
        <f t="shared" si="57"/>
        <v>1</v>
      </c>
    </row>
    <row r="622" spans="3:15" s="327" customFormat="1" outlineLevel="1" x14ac:dyDescent="0.2">
      <c r="D622" s="631" t="str">
        <f>Intv_Ann_TA!D389</f>
        <v>Western</v>
      </c>
      <c r="H622" s="631" t="str">
        <f>Intv_BA!$G$588</f>
        <v>LEEP with BIOP-H</v>
      </c>
      <c r="J622" s="13">
        <f t="shared" si="57"/>
        <v>1</v>
      </c>
      <c r="K622" s="13">
        <f t="shared" si="57"/>
        <v>1</v>
      </c>
      <c r="L622" s="13">
        <f t="shared" si="57"/>
        <v>1</v>
      </c>
      <c r="M622" s="13">
        <f t="shared" si="57"/>
        <v>1</v>
      </c>
      <c r="N622" s="13">
        <f t="shared" si="57"/>
        <v>1</v>
      </c>
      <c r="O622" s="13">
        <f t="shared" si="57"/>
        <v>1</v>
      </c>
    </row>
    <row r="623" spans="3:15" s="327" customFormat="1" x14ac:dyDescent="0.2"/>
    <row r="624" spans="3:15" s="327" customFormat="1" ht="15.75" x14ac:dyDescent="0.2">
      <c r="C624" s="330" t="s">
        <v>102</v>
      </c>
    </row>
    <row r="625" spans="4:15" s="327" customFormat="1" x14ac:dyDescent="0.2"/>
    <row r="626" spans="4:15" s="327" customFormat="1" ht="15" outlineLevel="2" x14ac:dyDescent="0.2">
      <c r="D626" s="629" t="s">
        <v>103</v>
      </c>
    </row>
    <row r="627" spans="4:15" s="327" customFormat="1" outlineLevel="2" x14ac:dyDescent="0.2">
      <c r="D627" s="631" t="str">
        <f>Intv_Ann_TA!D380</f>
        <v>Central</v>
      </c>
      <c r="H627" s="631" t="str">
        <f>Intv_BA!$G$588</f>
        <v>LEEP with BIOP-H</v>
      </c>
      <c r="J627" s="8">
        <f>ROUND(J426*Intv_BA!$L$616+J443*Intv_BA!$L$617+J460*Intv_BA!$L$618+J477*Intv_BA!$L$621+J494*Intv_BA!$L$621+J511*Intv_BA!$L$623+J528*Intv_BA!$L$624+J545*Intv_BA!$L$625+J562*Intv_BA!$L$626+J579*Intv_BA!$L$627,0)</f>
        <v>5558</v>
      </c>
      <c r="K627" s="8">
        <f>ROUND(K426*Intv_BA!$L$616+K443*Intv_BA!$L$617+K460*Intv_BA!$L$618+K477*Intv_BA!$L$621+K494*Intv_BA!$L$621+K511*Intv_BA!$L$623+K528*Intv_BA!$L$624+K545*Intv_BA!$L$625+K562*Intv_BA!$L$626+K579*Intv_BA!$L$627,0)</f>
        <v>5558</v>
      </c>
      <c r="L627" s="8">
        <f>ROUND(L426*Intv_BA!$L$616+L443*Intv_BA!$L$617+L460*Intv_BA!$L$618+L477*Intv_BA!$L$621+L494*Intv_BA!$L$621+L511*Intv_BA!$L$623+L528*Intv_BA!$L$624+L545*Intv_BA!$L$625+L562*Intv_BA!$L$626+L579*Intv_BA!$L$627,0)</f>
        <v>5558</v>
      </c>
      <c r="M627" s="8">
        <f>ROUND(M426*Intv_BA!$L$616+M443*Intv_BA!$L$617+M460*Intv_BA!$L$618+M477*Intv_BA!$L$621+M494*Intv_BA!$L$621+M511*Intv_BA!$L$623+M528*Intv_BA!$L$624+M545*Intv_BA!$L$625+M562*Intv_BA!$L$626+M579*Intv_BA!$L$627,0)</f>
        <v>5558</v>
      </c>
      <c r="N627" s="8">
        <f>ROUND(N426*Intv_BA!$L$616+N443*Intv_BA!$L$617+N460*Intv_BA!$L$618+N477*Intv_BA!$L$621+N494*Intv_BA!$L$621+N511*Intv_BA!$L$623+N528*Intv_BA!$L$624+N545*Intv_BA!$L$625+N562*Intv_BA!$L$626+N579*Intv_BA!$L$627,0)</f>
        <v>5558</v>
      </c>
      <c r="O627" s="8">
        <f>ROUND(O426*Intv_BA!$L$616+O443*Intv_BA!$L$617+O460*Intv_BA!$L$618+O477*Intv_BA!$L$621+O494*Intv_BA!$L$621+O511*Intv_BA!$L$623+O528*Intv_BA!$L$624+O545*Intv_BA!$L$625+O562*Intv_BA!$L$626+O579*Intv_BA!$L$627,0)</f>
        <v>5558</v>
      </c>
    </row>
    <row r="628" spans="4:15" s="327" customFormat="1" outlineLevel="2" x14ac:dyDescent="0.2">
      <c r="D628" s="631" t="str">
        <f>Intv_Ann_TA!D381</f>
        <v>Copperbelt</v>
      </c>
      <c r="H628" s="631" t="str">
        <f>Intv_BA!$G$588</f>
        <v>LEEP with BIOP-H</v>
      </c>
      <c r="J628" s="8">
        <f>ROUND(J427*Intv_BA!$L$616+J444*Intv_BA!$L$617+J461*Intv_BA!$L$618+J478*Intv_BA!$L$621+J495*Intv_BA!$L$621+J512*Intv_BA!$L$623+J529*Intv_BA!$L$624+J546*Intv_BA!$L$625+J563*Intv_BA!$L$626+J580*Intv_BA!$L$627,0)</f>
        <v>11116</v>
      </c>
      <c r="K628" s="8">
        <f>ROUND(K427*Intv_BA!$L$616+K444*Intv_BA!$L$617+K461*Intv_BA!$L$618+K478*Intv_BA!$L$621+K495*Intv_BA!$L$621+K512*Intv_BA!$L$623+K529*Intv_BA!$L$624+K546*Intv_BA!$L$625+K563*Intv_BA!$L$626+K580*Intv_BA!$L$627,0)</f>
        <v>11116</v>
      </c>
      <c r="L628" s="8">
        <f>ROUND(L427*Intv_BA!$L$616+L444*Intv_BA!$L$617+L461*Intv_BA!$L$618+L478*Intv_BA!$L$621+L495*Intv_BA!$L$621+L512*Intv_BA!$L$623+L529*Intv_BA!$L$624+L546*Intv_BA!$L$625+L563*Intv_BA!$L$626+L580*Intv_BA!$L$627,0)</f>
        <v>11116</v>
      </c>
      <c r="M628" s="8">
        <f>ROUND(M427*Intv_BA!$L$616+M444*Intv_BA!$L$617+M461*Intv_BA!$L$618+M478*Intv_BA!$L$621+M495*Intv_BA!$L$621+M512*Intv_BA!$L$623+M529*Intv_BA!$L$624+M546*Intv_BA!$L$625+M563*Intv_BA!$L$626+M580*Intv_BA!$L$627,0)</f>
        <v>11116</v>
      </c>
      <c r="N628" s="8">
        <f>ROUND(N427*Intv_BA!$L$616+N444*Intv_BA!$L$617+N461*Intv_BA!$L$618+N478*Intv_BA!$L$621+N495*Intv_BA!$L$621+N512*Intv_BA!$L$623+N529*Intv_BA!$L$624+N546*Intv_BA!$L$625+N563*Intv_BA!$L$626+N580*Intv_BA!$L$627,0)</f>
        <v>11116</v>
      </c>
      <c r="O628" s="8">
        <f>ROUND(O427*Intv_BA!$L$616+O444*Intv_BA!$L$617+O461*Intv_BA!$L$618+O478*Intv_BA!$L$621+O495*Intv_BA!$L$621+O512*Intv_BA!$L$623+O529*Intv_BA!$L$624+O546*Intv_BA!$L$625+O563*Intv_BA!$L$626+O580*Intv_BA!$L$627,0)</f>
        <v>11116</v>
      </c>
    </row>
    <row r="629" spans="4:15" s="327" customFormat="1" outlineLevel="2" x14ac:dyDescent="0.2">
      <c r="D629" s="631" t="str">
        <f>Intv_Ann_TA!D382</f>
        <v>Eastern</v>
      </c>
      <c r="H629" s="631" t="str">
        <f>Intv_BA!$G$588</f>
        <v>LEEP with BIOP-H</v>
      </c>
      <c r="J629" s="8">
        <f>ROUND(J428*Intv_BA!$L$616+J445*Intv_BA!$L$617+J462*Intv_BA!$L$618+J479*Intv_BA!$L$621+J496*Intv_BA!$L$621+J513*Intv_BA!$L$623+J530*Intv_BA!$L$624+J547*Intv_BA!$L$625+J564*Intv_BA!$L$626+J581*Intv_BA!$L$627,0)</f>
        <v>0</v>
      </c>
      <c r="K629" s="8">
        <f>ROUND(K428*Intv_BA!$L$616+K445*Intv_BA!$L$617+K462*Intv_BA!$L$618+K479*Intv_BA!$L$621+K496*Intv_BA!$L$621+K513*Intv_BA!$L$623+K530*Intv_BA!$L$624+K547*Intv_BA!$L$625+K564*Intv_BA!$L$626+K581*Intv_BA!$L$627,0)</f>
        <v>0</v>
      </c>
      <c r="L629" s="8">
        <f>ROUND(L428*Intv_BA!$L$616+L445*Intv_BA!$L$617+L462*Intv_BA!$L$618+L479*Intv_BA!$L$621+L496*Intv_BA!$L$621+L513*Intv_BA!$L$623+L530*Intv_BA!$L$624+L547*Intv_BA!$L$625+L564*Intv_BA!$L$626+L581*Intv_BA!$L$627,0)</f>
        <v>0</v>
      </c>
      <c r="M629" s="8">
        <f>ROUND(M428*Intv_BA!$L$616+M445*Intv_BA!$L$617+M462*Intv_BA!$L$618+M479*Intv_BA!$L$621+M496*Intv_BA!$L$621+M513*Intv_BA!$L$623+M530*Intv_BA!$L$624+M547*Intv_BA!$L$625+M564*Intv_BA!$L$626+M581*Intv_BA!$L$627,0)</f>
        <v>0</v>
      </c>
      <c r="N629" s="8">
        <f>ROUND(N428*Intv_BA!$L$616+N445*Intv_BA!$L$617+N462*Intv_BA!$L$618+N479*Intv_BA!$L$621+N496*Intv_BA!$L$621+N513*Intv_BA!$L$623+N530*Intv_BA!$L$624+N547*Intv_BA!$L$625+N564*Intv_BA!$L$626+N581*Intv_BA!$L$627,0)</f>
        <v>0</v>
      </c>
      <c r="O629" s="8">
        <f>ROUND(O428*Intv_BA!$L$616+O445*Intv_BA!$L$617+O462*Intv_BA!$L$618+O479*Intv_BA!$L$621+O496*Intv_BA!$L$621+O513*Intv_BA!$L$623+O530*Intv_BA!$L$624+O547*Intv_BA!$L$625+O564*Intv_BA!$L$626+O581*Intv_BA!$L$627,0)</f>
        <v>0</v>
      </c>
    </row>
    <row r="630" spans="4:15" s="327" customFormat="1" outlineLevel="2" x14ac:dyDescent="0.2">
      <c r="D630" s="631" t="str">
        <f>Intv_Ann_TA!D383</f>
        <v>Luapula</v>
      </c>
      <c r="H630" s="631" t="str">
        <f>Intv_BA!$G$588</f>
        <v>LEEP with BIOP-H</v>
      </c>
      <c r="J630" s="8">
        <f>ROUND(J429*Intv_BA!$L$616+J446*Intv_BA!$L$617+J463*Intv_BA!$L$618+J480*Intv_BA!$L$621+J497*Intv_BA!$L$621+J514*Intv_BA!$L$623+J531*Intv_BA!$L$624+J548*Intv_BA!$L$625+J565*Intv_BA!$L$626+J582*Intv_BA!$L$627,0)</f>
        <v>0</v>
      </c>
      <c r="K630" s="8">
        <f>ROUND(K429*Intv_BA!$L$616+K446*Intv_BA!$L$617+K463*Intv_BA!$L$618+K480*Intv_BA!$L$621+K497*Intv_BA!$L$621+K514*Intv_BA!$L$623+K531*Intv_BA!$L$624+K548*Intv_BA!$L$625+K565*Intv_BA!$L$626+K582*Intv_BA!$L$627,0)</f>
        <v>0</v>
      </c>
      <c r="L630" s="8">
        <f>ROUND(L429*Intv_BA!$L$616+L446*Intv_BA!$L$617+L463*Intv_BA!$L$618+L480*Intv_BA!$L$621+L497*Intv_BA!$L$621+L514*Intv_BA!$L$623+L531*Intv_BA!$L$624+L548*Intv_BA!$L$625+L565*Intv_BA!$L$626+L582*Intv_BA!$L$627,0)</f>
        <v>0</v>
      </c>
      <c r="M630" s="8">
        <f>ROUND(M429*Intv_BA!$L$616+M446*Intv_BA!$L$617+M463*Intv_BA!$L$618+M480*Intv_BA!$L$621+M497*Intv_BA!$L$621+M514*Intv_BA!$L$623+M531*Intv_BA!$L$624+M548*Intv_BA!$L$625+M565*Intv_BA!$L$626+M582*Intv_BA!$L$627,0)</f>
        <v>0</v>
      </c>
      <c r="N630" s="8">
        <f>ROUND(N429*Intv_BA!$L$616+N446*Intv_BA!$L$617+N463*Intv_BA!$L$618+N480*Intv_BA!$L$621+N497*Intv_BA!$L$621+N514*Intv_BA!$L$623+N531*Intv_BA!$L$624+N548*Intv_BA!$L$625+N565*Intv_BA!$L$626+N582*Intv_BA!$L$627,0)</f>
        <v>0</v>
      </c>
      <c r="O630" s="8">
        <f>ROUND(O429*Intv_BA!$L$616+O446*Intv_BA!$L$617+O463*Intv_BA!$L$618+O480*Intv_BA!$L$621+O497*Intv_BA!$L$621+O514*Intv_BA!$L$623+O531*Intv_BA!$L$624+O548*Intv_BA!$L$625+O565*Intv_BA!$L$626+O582*Intv_BA!$L$627,0)</f>
        <v>0</v>
      </c>
    </row>
    <row r="631" spans="4:15" s="327" customFormat="1" outlineLevel="2" x14ac:dyDescent="0.2">
      <c r="D631" s="631" t="str">
        <f>Intv_Ann_TA!D384</f>
        <v>Lusaka</v>
      </c>
      <c r="H631" s="631" t="str">
        <f>Intv_BA!$G$588</f>
        <v>LEEP with BIOP-H</v>
      </c>
      <c r="J631" s="8">
        <f>ROUND(J430*Intv_BA!$L$616+J447*Intv_BA!$L$617+J464*Intv_BA!$L$618+J481*Intv_BA!$L$621+J498*Intv_BA!$L$621+J515*Intv_BA!$L$623+J532*Intv_BA!$L$624+J549*Intv_BA!$L$625+J566*Intv_BA!$L$626+J583*Intv_BA!$L$627,0)</f>
        <v>5558</v>
      </c>
      <c r="K631" s="8">
        <f>ROUND(K430*Intv_BA!$L$616+K447*Intv_BA!$L$617+K464*Intv_BA!$L$618+K481*Intv_BA!$L$621+K498*Intv_BA!$L$621+K515*Intv_BA!$L$623+K532*Intv_BA!$L$624+K549*Intv_BA!$L$625+K566*Intv_BA!$L$626+K583*Intv_BA!$L$627,0)</f>
        <v>5558</v>
      </c>
      <c r="L631" s="8">
        <f>ROUND(L430*Intv_BA!$L$616+L447*Intv_BA!$L$617+L464*Intv_BA!$L$618+L481*Intv_BA!$L$621+L498*Intv_BA!$L$621+L515*Intv_BA!$L$623+L532*Intv_BA!$L$624+L549*Intv_BA!$L$625+L566*Intv_BA!$L$626+L583*Intv_BA!$L$627,0)</f>
        <v>5558</v>
      </c>
      <c r="M631" s="8">
        <f>ROUND(M430*Intv_BA!$L$616+M447*Intv_BA!$L$617+M464*Intv_BA!$L$618+M481*Intv_BA!$L$621+M498*Intv_BA!$L$621+M515*Intv_BA!$L$623+M532*Intv_BA!$L$624+M549*Intv_BA!$L$625+M566*Intv_BA!$L$626+M583*Intv_BA!$L$627,0)</f>
        <v>5558</v>
      </c>
      <c r="N631" s="8">
        <f>ROUND(N430*Intv_BA!$L$616+N447*Intv_BA!$L$617+N464*Intv_BA!$L$618+N481*Intv_BA!$L$621+N498*Intv_BA!$L$621+N515*Intv_BA!$L$623+N532*Intv_BA!$L$624+N549*Intv_BA!$L$625+N566*Intv_BA!$L$626+N583*Intv_BA!$L$627,0)</f>
        <v>5558</v>
      </c>
      <c r="O631" s="8">
        <f>ROUND(O430*Intv_BA!$L$616+O447*Intv_BA!$L$617+O464*Intv_BA!$L$618+O481*Intv_BA!$L$621+O498*Intv_BA!$L$621+O515*Intv_BA!$L$623+O532*Intv_BA!$L$624+O549*Intv_BA!$L$625+O566*Intv_BA!$L$626+O583*Intv_BA!$L$627,0)</f>
        <v>5558</v>
      </c>
    </row>
    <row r="632" spans="4:15" s="327" customFormat="1" outlineLevel="2" x14ac:dyDescent="0.2">
      <c r="D632" s="631" t="str">
        <f>Intv_Ann_TA!D385</f>
        <v>Muchinga</v>
      </c>
      <c r="H632" s="631" t="str">
        <f>Intv_BA!$G$588</f>
        <v>LEEP with BIOP-H</v>
      </c>
      <c r="J632" s="8">
        <f>ROUND(J431*Intv_BA!$L$616+J448*Intv_BA!$L$617+J465*Intv_BA!$L$618+J482*Intv_BA!$L$621+J499*Intv_BA!$L$621+J516*Intv_BA!$L$623+J533*Intv_BA!$L$624+J550*Intv_BA!$L$625+J567*Intv_BA!$L$626+J584*Intv_BA!$L$627,0)</f>
        <v>0</v>
      </c>
      <c r="K632" s="8">
        <f>ROUND(K431*Intv_BA!$L$616+K448*Intv_BA!$L$617+K465*Intv_BA!$L$618+K482*Intv_BA!$L$621+K499*Intv_BA!$L$621+K516*Intv_BA!$L$623+K533*Intv_BA!$L$624+K550*Intv_BA!$L$625+K567*Intv_BA!$L$626+K584*Intv_BA!$L$627,0)</f>
        <v>0</v>
      </c>
      <c r="L632" s="8">
        <f>ROUND(L431*Intv_BA!$L$616+L448*Intv_BA!$L$617+L465*Intv_BA!$L$618+L482*Intv_BA!$L$621+L499*Intv_BA!$L$621+L516*Intv_BA!$L$623+L533*Intv_BA!$L$624+L550*Intv_BA!$L$625+L567*Intv_BA!$L$626+L584*Intv_BA!$L$627,0)</f>
        <v>0</v>
      </c>
      <c r="M632" s="8">
        <f>ROUND(M431*Intv_BA!$L$616+M448*Intv_BA!$L$617+M465*Intv_BA!$L$618+M482*Intv_BA!$L$621+M499*Intv_BA!$L$621+M516*Intv_BA!$L$623+M533*Intv_BA!$L$624+M550*Intv_BA!$L$625+M567*Intv_BA!$L$626+M584*Intv_BA!$L$627,0)</f>
        <v>0</v>
      </c>
      <c r="N632" s="8">
        <f>ROUND(N431*Intv_BA!$L$616+N448*Intv_BA!$L$617+N465*Intv_BA!$L$618+N482*Intv_BA!$L$621+N499*Intv_BA!$L$621+N516*Intv_BA!$L$623+N533*Intv_BA!$L$624+N550*Intv_BA!$L$625+N567*Intv_BA!$L$626+N584*Intv_BA!$L$627,0)</f>
        <v>0</v>
      </c>
      <c r="O632" s="8">
        <f>ROUND(O431*Intv_BA!$L$616+O448*Intv_BA!$L$617+O465*Intv_BA!$L$618+O482*Intv_BA!$L$621+O499*Intv_BA!$L$621+O516*Intv_BA!$L$623+O533*Intv_BA!$L$624+O550*Intv_BA!$L$625+O567*Intv_BA!$L$626+O584*Intv_BA!$L$627,0)</f>
        <v>0</v>
      </c>
    </row>
    <row r="633" spans="4:15" s="327" customFormat="1" outlineLevel="2" x14ac:dyDescent="0.2">
      <c r="D633" s="631" t="str">
        <f>Intv_Ann_TA!D386</f>
        <v>Northern</v>
      </c>
      <c r="H633" s="631" t="str">
        <f>Intv_BA!$G$588</f>
        <v>LEEP with BIOP-H</v>
      </c>
      <c r="J633" s="8">
        <f>ROUND(J432*Intv_BA!$L$616+J449*Intv_BA!$L$617+J466*Intv_BA!$L$618+J483*Intv_BA!$L$621+J500*Intv_BA!$L$621+J517*Intv_BA!$L$623+J534*Intv_BA!$L$624+J551*Intv_BA!$L$625+J568*Intv_BA!$L$626+J585*Intv_BA!$L$627,0)</f>
        <v>0</v>
      </c>
      <c r="K633" s="8">
        <f>ROUND(K432*Intv_BA!$L$616+K449*Intv_BA!$L$617+K466*Intv_BA!$L$618+K483*Intv_BA!$L$621+K500*Intv_BA!$L$621+K517*Intv_BA!$L$623+K534*Intv_BA!$L$624+K551*Intv_BA!$L$625+K568*Intv_BA!$L$626+K585*Intv_BA!$L$627,0)</f>
        <v>0</v>
      </c>
      <c r="L633" s="8">
        <f>ROUND(L432*Intv_BA!$L$616+L449*Intv_BA!$L$617+L466*Intv_BA!$L$618+L483*Intv_BA!$L$621+L500*Intv_BA!$L$621+L517*Intv_BA!$L$623+L534*Intv_BA!$L$624+L551*Intv_BA!$L$625+L568*Intv_BA!$L$626+L585*Intv_BA!$L$627,0)</f>
        <v>0</v>
      </c>
      <c r="M633" s="8">
        <f>ROUND(M432*Intv_BA!$L$616+M449*Intv_BA!$L$617+M466*Intv_BA!$L$618+M483*Intv_BA!$L$621+M500*Intv_BA!$L$621+M517*Intv_BA!$L$623+M534*Intv_BA!$L$624+M551*Intv_BA!$L$625+M568*Intv_BA!$L$626+M585*Intv_BA!$L$627,0)</f>
        <v>0</v>
      </c>
      <c r="N633" s="8">
        <f>ROUND(N432*Intv_BA!$L$616+N449*Intv_BA!$L$617+N466*Intv_BA!$L$618+N483*Intv_BA!$L$621+N500*Intv_BA!$L$621+N517*Intv_BA!$L$623+N534*Intv_BA!$L$624+N551*Intv_BA!$L$625+N568*Intv_BA!$L$626+N585*Intv_BA!$L$627,0)</f>
        <v>0</v>
      </c>
      <c r="O633" s="8">
        <f>ROUND(O432*Intv_BA!$L$616+O449*Intv_BA!$L$617+O466*Intv_BA!$L$618+O483*Intv_BA!$L$621+O500*Intv_BA!$L$621+O517*Intv_BA!$L$623+O534*Intv_BA!$L$624+O551*Intv_BA!$L$625+O568*Intv_BA!$L$626+O585*Intv_BA!$L$627,0)</f>
        <v>0</v>
      </c>
    </row>
    <row r="634" spans="4:15" s="327" customFormat="1" outlineLevel="2" x14ac:dyDescent="0.2">
      <c r="D634" s="631" t="str">
        <f>Intv_Ann_TA!D387</f>
        <v>North-Western</v>
      </c>
      <c r="H634" s="631" t="str">
        <f>Intv_BA!$G$588</f>
        <v>LEEP with BIOP-H</v>
      </c>
      <c r="J634" s="8">
        <f>ROUND(J433*Intv_BA!$L$616+J450*Intv_BA!$L$617+J467*Intv_BA!$L$618+J484*Intv_BA!$L$621+J501*Intv_BA!$L$621+J518*Intv_BA!$L$623+J535*Intv_BA!$L$624+J552*Intv_BA!$L$625+J569*Intv_BA!$L$626+J586*Intv_BA!$L$627,0)</f>
        <v>0</v>
      </c>
      <c r="K634" s="8">
        <f>ROUND(K433*Intv_BA!$L$616+K450*Intv_BA!$L$617+K467*Intv_BA!$L$618+K484*Intv_BA!$L$621+K501*Intv_BA!$L$621+K518*Intv_BA!$L$623+K535*Intv_BA!$L$624+K552*Intv_BA!$L$625+K569*Intv_BA!$L$626+K586*Intv_BA!$L$627,0)</f>
        <v>0</v>
      </c>
      <c r="L634" s="8">
        <f>ROUND(L433*Intv_BA!$L$616+L450*Intv_BA!$L$617+L467*Intv_BA!$L$618+L484*Intv_BA!$L$621+L501*Intv_BA!$L$621+L518*Intv_BA!$L$623+L535*Intv_BA!$L$624+L552*Intv_BA!$L$625+L569*Intv_BA!$L$626+L586*Intv_BA!$L$627,0)</f>
        <v>0</v>
      </c>
      <c r="M634" s="8">
        <f>ROUND(M433*Intv_BA!$L$616+M450*Intv_BA!$L$617+M467*Intv_BA!$L$618+M484*Intv_BA!$L$621+M501*Intv_BA!$L$621+M518*Intv_BA!$L$623+M535*Intv_BA!$L$624+M552*Intv_BA!$L$625+M569*Intv_BA!$L$626+M586*Intv_BA!$L$627,0)</f>
        <v>0</v>
      </c>
      <c r="N634" s="8">
        <f>ROUND(N433*Intv_BA!$L$616+N450*Intv_BA!$L$617+N467*Intv_BA!$L$618+N484*Intv_BA!$L$621+N501*Intv_BA!$L$621+N518*Intv_BA!$L$623+N535*Intv_BA!$L$624+N552*Intv_BA!$L$625+N569*Intv_BA!$L$626+N586*Intv_BA!$L$627,0)</f>
        <v>0</v>
      </c>
      <c r="O634" s="8">
        <f>ROUND(O433*Intv_BA!$L$616+O450*Intv_BA!$L$617+O467*Intv_BA!$L$618+O484*Intv_BA!$L$621+O501*Intv_BA!$L$621+O518*Intv_BA!$L$623+O535*Intv_BA!$L$624+O552*Intv_BA!$L$625+O569*Intv_BA!$L$626+O586*Intv_BA!$L$627,0)</f>
        <v>0</v>
      </c>
    </row>
    <row r="635" spans="4:15" s="327" customFormat="1" outlineLevel="2" x14ac:dyDescent="0.2">
      <c r="D635" s="631" t="str">
        <f>Intv_Ann_TA!D388</f>
        <v>Southern</v>
      </c>
      <c r="H635" s="631" t="str">
        <f>Intv_BA!$G$588</f>
        <v>LEEP with BIOP-H</v>
      </c>
      <c r="J635" s="8">
        <f>ROUND(J434*Intv_BA!$L$616+J451*Intv_BA!$L$617+J468*Intv_BA!$L$618+J485*Intv_BA!$L$621+J502*Intv_BA!$L$621+J519*Intv_BA!$L$623+J536*Intv_BA!$L$624+J553*Intv_BA!$L$625+J570*Intv_BA!$L$626+J587*Intv_BA!$L$627,0)</f>
        <v>0</v>
      </c>
      <c r="K635" s="8">
        <f>ROUND(K434*Intv_BA!$L$616+K451*Intv_BA!$L$617+K468*Intv_BA!$L$618+K485*Intv_BA!$L$621+K502*Intv_BA!$L$621+K519*Intv_BA!$L$623+K536*Intv_BA!$L$624+K553*Intv_BA!$L$625+K570*Intv_BA!$L$626+K587*Intv_BA!$L$627,0)</f>
        <v>0</v>
      </c>
      <c r="L635" s="8">
        <f>ROUND(L434*Intv_BA!$L$616+L451*Intv_BA!$L$617+L468*Intv_BA!$L$618+L485*Intv_BA!$L$621+L502*Intv_BA!$L$621+L519*Intv_BA!$L$623+L536*Intv_BA!$L$624+L553*Intv_BA!$L$625+L570*Intv_BA!$L$626+L587*Intv_BA!$L$627,0)</f>
        <v>0</v>
      </c>
      <c r="M635" s="8">
        <f>ROUND(M434*Intv_BA!$L$616+M451*Intv_BA!$L$617+M468*Intv_BA!$L$618+M485*Intv_BA!$L$621+M502*Intv_BA!$L$621+M519*Intv_BA!$L$623+M536*Intv_BA!$L$624+M553*Intv_BA!$L$625+M570*Intv_BA!$L$626+M587*Intv_BA!$L$627,0)</f>
        <v>0</v>
      </c>
      <c r="N635" s="8">
        <f>ROUND(N434*Intv_BA!$L$616+N451*Intv_BA!$L$617+N468*Intv_BA!$L$618+N485*Intv_BA!$L$621+N502*Intv_BA!$L$621+N519*Intv_BA!$L$623+N536*Intv_BA!$L$624+N553*Intv_BA!$L$625+N570*Intv_BA!$L$626+N587*Intv_BA!$L$627,0)</f>
        <v>0</v>
      </c>
      <c r="O635" s="8">
        <f>ROUND(O434*Intv_BA!$L$616+O451*Intv_BA!$L$617+O468*Intv_BA!$L$618+O485*Intv_BA!$L$621+O502*Intv_BA!$L$621+O519*Intv_BA!$L$623+O536*Intv_BA!$L$624+O553*Intv_BA!$L$625+O570*Intv_BA!$L$626+O587*Intv_BA!$L$627,0)</f>
        <v>0</v>
      </c>
    </row>
    <row r="636" spans="4:15" s="327" customFormat="1" outlineLevel="2" x14ac:dyDescent="0.2">
      <c r="D636" s="631" t="str">
        <f>Intv_Ann_TA!D389</f>
        <v>Western</v>
      </c>
      <c r="H636" s="631" t="str">
        <f>Intv_BA!$G$588</f>
        <v>LEEP with BIOP-H</v>
      </c>
      <c r="J636" s="9">
        <f>ROUND(J435*Intv_BA!$L$616+J452*Intv_BA!$L$617+J469*Intv_BA!$L$618+J486*Intv_BA!$L$621+J503*Intv_BA!$L$621+J520*Intv_BA!$L$623+J537*Intv_BA!$L$624+J554*Intv_BA!$L$625+J571*Intv_BA!$L$626+J588*Intv_BA!$L$627,0)</f>
        <v>0</v>
      </c>
      <c r="K636" s="9">
        <f>ROUND(K435*Intv_BA!$L$616+K452*Intv_BA!$L$617+K469*Intv_BA!$L$618+K486*Intv_BA!$L$621+K503*Intv_BA!$L$621+K520*Intv_BA!$L$623+K537*Intv_BA!$L$624+K554*Intv_BA!$L$625+K571*Intv_BA!$L$626+K588*Intv_BA!$L$627,0)</f>
        <v>0</v>
      </c>
      <c r="L636" s="9">
        <f>ROUND(L435*Intv_BA!$L$616+L452*Intv_BA!$L$617+L469*Intv_BA!$L$618+L486*Intv_BA!$L$621+L503*Intv_BA!$L$621+L520*Intv_BA!$L$623+L537*Intv_BA!$L$624+L554*Intv_BA!$L$625+L571*Intv_BA!$L$626+L588*Intv_BA!$L$627,0)</f>
        <v>0</v>
      </c>
      <c r="M636" s="9">
        <f>ROUND(M435*Intv_BA!$L$616+M452*Intv_BA!$L$617+M469*Intv_BA!$L$618+M486*Intv_BA!$L$621+M503*Intv_BA!$L$621+M520*Intv_BA!$L$623+M537*Intv_BA!$L$624+M554*Intv_BA!$L$625+M571*Intv_BA!$L$626+M588*Intv_BA!$L$627,0)</f>
        <v>0</v>
      </c>
      <c r="N636" s="9">
        <f>ROUND(N435*Intv_BA!$L$616+N452*Intv_BA!$L$617+N469*Intv_BA!$L$618+N486*Intv_BA!$L$621+N503*Intv_BA!$L$621+N520*Intv_BA!$L$623+N537*Intv_BA!$L$624+N554*Intv_BA!$L$625+N571*Intv_BA!$L$626+N588*Intv_BA!$L$627,0)</f>
        <v>0</v>
      </c>
      <c r="O636" s="9">
        <f>ROUND(O435*Intv_BA!$L$616+O452*Intv_BA!$L$617+O469*Intv_BA!$L$618+O486*Intv_BA!$L$621+O503*Intv_BA!$L$621+O520*Intv_BA!$L$623+O537*Intv_BA!$L$624+O554*Intv_BA!$L$625+O571*Intv_BA!$L$626+O588*Intv_BA!$L$627,0)</f>
        <v>0</v>
      </c>
    </row>
    <row r="637" spans="4:15" s="327" customFormat="1" x14ac:dyDescent="0.2">
      <c r="D637" s="630" t="str">
        <f>"Total "&amp;D626</f>
        <v>Total Maximum Procedures</v>
      </c>
      <c r="H637" s="631" t="str">
        <f>Intv_BA!$G$588</f>
        <v>LEEP with BIOP-H</v>
      </c>
      <c r="J637" s="5">
        <f t="shared" ref="J637:O637" si="58">SUM(J627:J636)</f>
        <v>22232</v>
      </c>
      <c r="K637" s="5">
        <f t="shared" si="58"/>
        <v>22232</v>
      </c>
      <c r="L637" s="5">
        <f t="shared" si="58"/>
        <v>22232</v>
      </c>
      <c r="M637" s="5">
        <f t="shared" si="58"/>
        <v>22232</v>
      </c>
      <c r="N637" s="5">
        <f t="shared" si="58"/>
        <v>22232</v>
      </c>
      <c r="O637" s="5">
        <f t="shared" si="58"/>
        <v>22232</v>
      </c>
    </row>
    <row r="638" spans="4:15" s="327" customFormat="1" x14ac:dyDescent="0.2"/>
    <row r="639" spans="4:15" s="327" customFormat="1" outlineLevel="2" x14ac:dyDescent="0.2"/>
    <row r="640" spans="4:15" s="327" customFormat="1" ht="15" outlineLevel="2" x14ac:dyDescent="0.2">
      <c r="D640" s="629" t="s">
        <v>383</v>
      </c>
    </row>
    <row r="641" spans="4:15" s="327" customFormat="1" outlineLevel="2" x14ac:dyDescent="0.2">
      <c r="D641" s="631" t="str">
        <f>Intv_Ann_TA!D380</f>
        <v>Central</v>
      </c>
      <c r="H641" s="631" t="str">
        <f>Intv_BA!$G$588</f>
        <v>LEEP with BIOP-H</v>
      </c>
      <c r="J641" s="8">
        <f ca="1">ROUND(Intv_Ann_TA!J380*Intv_BA!$J$590*(1-Intv_BA!$J$591),0)</f>
        <v>182</v>
      </c>
      <c r="K641" s="8">
        <f ca="1">ROUND(Intv_Ann_TA!K380*Intv_BA!$J$590*(1-Intv_BA!$J$591),0)</f>
        <v>182</v>
      </c>
      <c r="L641" s="8">
        <f ca="1">ROUND(Intv_Ann_TA!L380*Intv_BA!$J$590*(1-Intv_BA!$J$591),0)</f>
        <v>182</v>
      </c>
      <c r="M641" s="8">
        <f ca="1">ROUND(Intv_Ann_TA!M380*Intv_BA!$J$590*(1-Intv_BA!$J$591),0)</f>
        <v>182</v>
      </c>
      <c r="N641" s="8">
        <f ca="1">ROUND(Intv_Ann_TA!N380*Intv_BA!$J$590*(1-Intv_BA!$J$591),0)</f>
        <v>182</v>
      </c>
      <c r="O641" s="8">
        <f ca="1">ROUND(Intv_Ann_TA!O380*Intv_BA!$J$590*(1-Intv_BA!$J$591),0)</f>
        <v>182</v>
      </c>
    </row>
    <row r="642" spans="4:15" s="327" customFormat="1" outlineLevel="2" x14ac:dyDescent="0.2">
      <c r="D642" s="631" t="str">
        <f>Intv_Ann_TA!D381</f>
        <v>Copperbelt</v>
      </c>
      <c r="H642" s="631" t="str">
        <f>Intv_BA!$G$588</f>
        <v>LEEP with BIOP-H</v>
      </c>
      <c r="J642" s="8">
        <f ca="1">ROUND(Intv_Ann_TA!J381*Intv_BA!$J$590*(1-Intv_BA!$J$591),0)</f>
        <v>256</v>
      </c>
      <c r="K642" s="8">
        <f ca="1">ROUND(Intv_Ann_TA!K381*Intv_BA!$J$590*(1-Intv_BA!$J$591),0)</f>
        <v>256</v>
      </c>
      <c r="L642" s="8">
        <f ca="1">ROUND(Intv_Ann_TA!L381*Intv_BA!$J$590*(1-Intv_BA!$J$591),0)</f>
        <v>256</v>
      </c>
      <c r="M642" s="8">
        <f ca="1">ROUND(Intv_Ann_TA!M381*Intv_BA!$J$590*(1-Intv_BA!$J$591),0)</f>
        <v>256</v>
      </c>
      <c r="N642" s="8">
        <f ca="1">ROUND(Intv_Ann_TA!N381*Intv_BA!$J$590*(1-Intv_BA!$J$591),0)</f>
        <v>256</v>
      </c>
      <c r="O642" s="8">
        <f ca="1">ROUND(Intv_Ann_TA!O381*Intv_BA!$J$590*(1-Intv_BA!$J$591),0)</f>
        <v>256</v>
      </c>
    </row>
    <row r="643" spans="4:15" s="327" customFormat="1" outlineLevel="2" x14ac:dyDescent="0.2">
      <c r="D643" s="631" t="str">
        <f>Intv_Ann_TA!D382</f>
        <v>Eastern</v>
      </c>
      <c r="H643" s="631" t="str">
        <f>Intv_BA!$G$588</f>
        <v>LEEP with BIOP-H</v>
      </c>
      <c r="J643" s="8">
        <f ca="1">ROUND(Intv_Ann_TA!J382*Intv_BA!$J$590*(1-Intv_BA!$J$591),0)</f>
        <v>330</v>
      </c>
      <c r="K643" s="8">
        <f ca="1">ROUND(Intv_Ann_TA!K382*Intv_BA!$J$590*(1-Intv_BA!$J$591),0)</f>
        <v>330</v>
      </c>
      <c r="L643" s="8">
        <f ca="1">ROUND(Intv_Ann_TA!L382*Intv_BA!$J$590*(1-Intv_BA!$J$591),0)</f>
        <v>330</v>
      </c>
      <c r="M643" s="8">
        <f ca="1">ROUND(Intv_Ann_TA!M382*Intv_BA!$J$590*(1-Intv_BA!$J$591),0)</f>
        <v>330</v>
      </c>
      <c r="N643" s="8">
        <f ca="1">ROUND(Intv_Ann_TA!N382*Intv_BA!$J$590*(1-Intv_BA!$J$591),0)</f>
        <v>330</v>
      </c>
      <c r="O643" s="8">
        <f ca="1">ROUND(Intv_Ann_TA!O382*Intv_BA!$J$590*(1-Intv_BA!$J$591),0)</f>
        <v>330</v>
      </c>
    </row>
    <row r="644" spans="4:15" s="327" customFormat="1" outlineLevel="2" x14ac:dyDescent="0.2">
      <c r="D644" s="631" t="str">
        <f>Intv_Ann_TA!D383</f>
        <v>Luapula</v>
      </c>
      <c r="H644" s="631" t="str">
        <f>Intv_BA!$G$588</f>
        <v>LEEP with BIOP-H</v>
      </c>
      <c r="J644" s="8">
        <f ca="1">ROUND(Intv_Ann_TA!J383*Intv_BA!$J$590*(1-Intv_BA!$J$591),0)</f>
        <v>256</v>
      </c>
      <c r="K644" s="8">
        <f ca="1">ROUND(Intv_Ann_TA!K383*Intv_BA!$J$590*(1-Intv_BA!$J$591),0)</f>
        <v>256</v>
      </c>
      <c r="L644" s="8">
        <f ca="1">ROUND(Intv_Ann_TA!L383*Intv_BA!$J$590*(1-Intv_BA!$J$591),0)</f>
        <v>256</v>
      </c>
      <c r="M644" s="8">
        <f ca="1">ROUND(Intv_Ann_TA!M383*Intv_BA!$J$590*(1-Intv_BA!$J$591),0)</f>
        <v>256</v>
      </c>
      <c r="N644" s="8">
        <f ca="1">ROUND(Intv_Ann_TA!N383*Intv_BA!$J$590*(1-Intv_BA!$J$591),0)</f>
        <v>256</v>
      </c>
      <c r="O644" s="8">
        <f ca="1">ROUND(Intv_Ann_TA!O383*Intv_BA!$J$590*(1-Intv_BA!$J$591),0)</f>
        <v>256</v>
      </c>
    </row>
    <row r="645" spans="4:15" s="327" customFormat="1" outlineLevel="2" x14ac:dyDescent="0.2">
      <c r="D645" s="631" t="str">
        <f>Intv_Ann_TA!D384</f>
        <v>Lusaka</v>
      </c>
      <c r="H645" s="631" t="str">
        <f>Intv_BA!$G$588</f>
        <v>LEEP with BIOP-H</v>
      </c>
      <c r="J645" s="8">
        <f ca="1">ROUND(Intv_Ann_TA!J384*Intv_BA!$J$590*(1-Intv_BA!$J$591),0)</f>
        <v>919</v>
      </c>
      <c r="K645" s="8">
        <f ca="1">ROUND(Intv_Ann_TA!K384*Intv_BA!$J$590*(1-Intv_BA!$J$591),0)</f>
        <v>919</v>
      </c>
      <c r="L645" s="8">
        <f ca="1">ROUND(Intv_Ann_TA!L384*Intv_BA!$J$590*(1-Intv_BA!$J$591),0)</f>
        <v>919</v>
      </c>
      <c r="M645" s="8">
        <f ca="1">ROUND(Intv_Ann_TA!M384*Intv_BA!$J$590*(1-Intv_BA!$J$591),0)</f>
        <v>919</v>
      </c>
      <c r="N645" s="8">
        <f ca="1">ROUND(Intv_Ann_TA!N384*Intv_BA!$J$590*(1-Intv_BA!$J$591),0)</f>
        <v>919</v>
      </c>
      <c r="O645" s="8">
        <f ca="1">ROUND(Intv_Ann_TA!O384*Intv_BA!$J$590*(1-Intv_BA!$J$591),0)</f>
        <v>919</v>
      </c>
    </row>
    <row r="646" spans="4:15" s="327" customFormat="1" outlineLevel="2" x14ac:dyDescent="0.2">
      <c r="D646" s="631" t="str">
        <f>Intv_Ann_TA!D385</f>
        <v>Muchinga</v>
      </c>
      <c r="H646" s="631" t="str">
        <f>Intv_BA!$G$588</f>
        <v>LEEP with BIOP-H</v>
      </c>
      <c r="J646" s="8">
        <f ca="1">ROUND(Intv_Ann_TA!J385*Intv_BA!$J$590*(1-Intv_BA!$J$591),0)</f>
        <v>17</v>
      </c>
      <c r="K646" s="8">
        <f ca="1">ROUND(Intv_Ann_TA!K385*Intv_BA!$J$590*(1-Intv_BA!$J$591),0)</f>
        <v>17</v>
      </c>
      <c r="L646" s="8">
        <f ca="1">ROUND(Intv_Ann_TA!L385*Intv_BA!$J$590*(1-Intv_BA!$J$591),0)</f>
        <v>17</v>
      </c>
      <c r="M646" s="8">
        <f ca="1">ROUND(Intv_Ann_TA!M385*Intv_BA!$J$590*(1-Intv_BA!$J$591),0)</f>
        <v>17</v>
      </c>
      <c r="N646" s="8">
        <f ca="1">ROUND(Intv_Ann_TA!N385*Intv_BA!$J$590*(1-Intv_BA!$J$591),0)</f>
        <v>17</v>
      </c>
      <c r="O646" s="8">
        <f ca="1">ROUND(Intv_Ann_TA!O385*Intv_BA!$J$590*(1-Intv_BA!$J$591),0)</f>
        <v>17</v>
      </c>
    </row>
    <row r="647" spans="4:15" s="327" customFormat="1" outlineLevel="2" x14ac:dyDescent="0.2">
      <c r="D647" s="631" t="str">
        <f>Intv_Ann_TA!D386</f>
        <v>Northern</v>
      </c>
      <c r="H647" s="631" t="str">
        <f>Intv_BA!$G$588</f>
        <v>LEEP with BIOP-H</v>
      </c>
      <c r="J647" s="8">
        <f ca="1">ROUND(Intv_Ann_TA!J386*Intv_BA!$J$590*(1-Intv_BA!$J$591),0)</f>
        <v>91</v>
      </c>
      <c r="K647" s="8">
        <f ca="1">ROUND(Intv_Ann_TA!K386*Intv_BA!$J$590*(1-Intv_BA!$J$591),0)</f>
        <v>91</v>
      </c>
      <c r="L647" s="8">
        <f ca="1">ROUND(Intv_Ann_TA!L386*Intv_BA!$J$590*(1-Intv_BA!$J$591),0)</f>
        <v>91</v>
      </c>
      <c r="M647" s="8">
        <f ca="1">ROUND(Intv_Ann_TA!M386*Intv_BA!$J$590*(1-Intv_BA!$J$591),0)</f>
        <v>91</v>
      </c>
      <c r="N647" s="8">
        <f ca="1">ROUND(Intv_Ann_TA!N386*Intv_BA!$J$590*(1-Intv_BA!$J$591),0)</f>
        <v>91</v>
      </c>
      <c r="O647" s="8">
        <f ca="1">ROUND(Intv_Ann_TA!O386*Intv_BA!$J$590*(1-Intv_BA!$J$591),0)</f>
        <v>91</v>
      </c>
    </row>
    <row r="648" spans="4:15" s="327" customFormat="1" outlineLevel="2" x14ac:dyDescent="0.2">
      <c r="D648" s="631" t="str">
        <f>Intv_Ann_TA!D387</f>
        <v>North-Western</v>
      </c>
      <c r="H648" s="631" t="str">
        <f>Intv_BA!$G$588</f>
        <v>LEEP with BIOP-H</v>
      </c>
      <c r="J648" s="8">
        <f ca="1">ROUND(Intv_Ann_TA!J387*Intv_BA!$J$590*(1-Intv_BA!$J$591),0)</f>
        <v>109</v>
      </c>
      <c r="K648" s="8">
        <f ca="1">ROUND(Intv_Ann_TA!K387*Intv_BA!$J$590*(1-Intv_BA!$J$591),0)</f>
        <v>109</v>
      </c>
      <c r="L648" s="8">
        <f ca="1">ROUND(Intv_Ann_TA!L387*Intv_BA!$J$590*(1-Intv_BA!$J$591),0)</f>
        <v>109</v>
      </c>
      <c r="M648" s="8">
        <f ca="1">ROUND(Intv_Ann_TA!M387*Intv_BA!$J$590*(1-Intv_BA!$J$591),0)</f>
        <v>109</v>
      </c>
      <c r="N648" s="8">
        <f ca="1">ROUND(Intv_Ann_TA!N387*Intv_BA!$J$590*(1-Intv_BA!$J$591),0)</f>
        <v>109</v>
      </c>
      <c r="O648" s="8">
        <f ca="1">ROUND(Intv_Ann_TA!O387*Intv_BA!$J$590*(1-Intv_BA!$J$591),0)</f>
        <v>109</v>
      </c>
    </row>
    <row r="649" spans="4:15" s="327" customFormat="1" outlineLevel="2" x14ac:dyDescent="0.2">
      <c r="D649" s="631" t="str">
        <f>Intv_Ann_TA!D388</f>
        <v>Southern</v>
      </c>
      <c r="H649" s="631" t="str">
        <f>Intv_BA!$G$588</f>
        <v>LEEP with BIOP-H</v>
      </c>
      <c r="J649" s="8">
        <f ca="1">ROUND(Intv_Ann_TA!J388*Intv_BA!$J$590*(1-Intv_BA!$J$591),0)</f>
        <v>256</v>
      </c>
      <c r="K649" s="8">
        <f ca="1">ROUND(Intv_Ann_TA!K388*Intv_BA!$J$590*(1-Intv_BA!$J$591),0)</f>
        <v>256</v>
      </c>
      <c r="L649" s="8">
        <f ca="1">ROUND(Intv_Ann_TA!L388*Intv_BA!$J$590*(1-Intv_BA!$J$591),0)</f>
        <v>256</v>
      </c>
      <c r="M649" s="8">
        <f ca="1">ROUND(Intv_Ann_TA!M388*Intv_BA!$J$590*(1-Intv_BA!$J$591),0)</f>
        <v>256</v>
      </c>
      <c r="N649" s="8">
        <f ca="1">ROUND(Intv_Ann_TA!N388*Intv_BA!$J$590*(1-Intv_BA!$J$591),0)</f>
        <v>256</v>
      </c>
      <c r="O649" s="8">
        <f ca="1">ROUND(Intv_Ann_TA!O388*Intv_BA!$J$590*(1-Intv_BA!$J$591),0)</f>
        <v>256</v>
      </c>
    </row>
    <row r="650" spans="4:15" s="327" customFormat="1" outlineLevel="2" x14ac:dyDescent="0.2">
      <c r="D650" s="631" t="str">
        <f>Intv_Ann_TA!D389</f>
        <v>Western</v>
      </c>
      <c r="H650" s="631" t="str">
        <f>Intv_BA!$G$588</f>
        <v>LEEP with BIOP-H</v>
      </c>
      <c r="J650" s="9">
        <f ca="1">ROUND(Intv_Ann_TA!J389*Intv_BA!$J$590*(1-Intv_BA!$J$591),0)</f>
        <v>256</v>
      </c>
      <c r="K650" s="9">
        <f ca="1">ROUND(Intv_Ann_TA!K389*Intv_BA!$J$590*(1-Intv_BA!$J$591),0)</f>
        <v>256</v>
      </c>
      <c r="L650" s="9">
        <f ca="1">ROUND(Intv_Ann_TA!L389*Intv_BA!$J$590*(1-Intv_BA!$J$591),0)</f>
        <v>256</v>
      </c>
      <c r="M650" s="9">
        <f ca="1">ROUND(Intv_Ann_TA!M389*Intv_BA!$J$590*(1-Intv_BA!$J$591),0)</f>
        <v>256</v>
      </c>
      <c r="N650" s="9">
        <f ca="1">ROUND(Intv_Ann_TA!N389*Intv_BA!$J$590*(1-Intv_BA!$J$591),0)</f>
        <v>256</v>
      </c>
      <c r="O650" s="9">
        <f ca="1">ROUND(Intv_Ann_TA!O389*Intv_BA!$J$590*(1-Intv_BA!$J$591),0)</f>
        <v>256</v>
      </c>
    </row>
    <row r="651" spans="4:15" s="327" customFormat="1" outlineLevel="2" x14ac:dyDescent="0.2">
      <c r="D651" s="630" t="str">
        <f>"Total "&amp;D640</f>
        <v>Total Population Seeking Service (New)</v>
      </c>
      <c r="H651" s="631" t="str">
        <f>Intv_BA!$G$588</f>
        <v>LEEP with BIOP-H</v>
      </c>
      <c r="J651" s="5">
        <f t="shared" ref="J651:O651" ca="1" si="59">SUM(J641:J650)</f>
        <v>2672</v>
      </c>
      <c r="K651" s="5">
        <f t="shared" ca="1" si="59"/>
        <v>2672</v>
      </c>
      <c r="L651" s="5">
        <f t="shared" ca="1" si="59"/>
        <v>2672</v>
      </c>
      <c r="M651" s="5">
        <f t="shared" ca="1" si="59"/>
        <v>2672</v>
      </c>
      <c r="N651" s="5">
        <f t="shared" ca="1" si="59"/>
        <v>2672</v>
      </c>
      <c r="O651" s="5">
        <f t="shared" ca="1" si="59"/>
        <v>2672</v>
      </c>
    </row>
    <row r="652" spans="4:15" s="327" customFormat="1" outlineLevel="2" x14ac:dyDescent="0.2"/>
    <row r="653" spans="4:15" s="327" customFormat="1" ht="15" outlineLevel="2" x14ac:dyDescent="0.2">
      <c r="D653" s="629" t="s">
        <v>390</v>
      </c>
    </row>
    <row r="654" spans="4:15" s="327" customFormat="1" outlineLevel="2" x14ac:dyDescent="0.2">
      <c r="D654" s="631" t="str">
        <f>Intv_Ann_TA!D380</f>
        <v>Central</v>
      </c>
      <c r="H654" s="631" t="str">
        <f>Intv_BA!$G$588</f>
        <v>LEEP with BIOP-H</v>
      </c>
      <c r="J654" s="8">
        <f t="shared" ref="J654:O663" ca="1" si="60">I654+J641-I681</f>
        <v>182</v>
      </c>
      <c r="K654" s="8">
        <f t="shared" ca="1" si="60"/>
        <v>182</v>
      </c>
      <c r="L654" s="8">
        <f t="shared" ca="1" si="60"/>
        <v>182</v>
      </c>
      <c r="M654" s="8">
        <f t="shared" ca="1" si="60"/>
        <v>182</v>
      </c>
      <c r="N654" s="8">
        <f t="shared" ca="1" si="60"/>
        <v>182</v>
      </c>
      <c r="O654" s="8">
        <f t="shared" ca="1" si="60"/>
        <v>182</v>
      </c>
    </row>
    <row r="655" spans="4:15" s="327" customFormat="1" outlineLevel="2" x14ac:dyDescent="0.2">
      <c r="D655" s="631" t="str">
        <f>Intv_Ann_TA!D381</f>
        <v>Copperbelt</v>
      </c>
      <c r="H655" s="631" t="str">
        <f>Intv_BA!$G$588</f>
        <v>LEEP with BIOP-H</v>
      </c>
      <c r="J655" s="8">
        <f t="shared" ca="1" si="60"/>
        <v>256</v>
      </c>
      <c r="K655" s="8">
        <f t="shared" ca="1" si="60"/>
        <v>256</v>
      </c>
      <c r="L655" s="8">
        <f t="shared" ca="1" si="60"/>
        <v>256</v>
      </c>
      <c r="M655" s="8">
        <f t="shared" ca="1" si="60"/>
        <v>256</v>
      </c>
      <c r="N655" s="8">
        <f t="shared" ca="1" si="60"/>
        <v>256</v>
      </c>
      <c r="O655" s="8">
        <f t="shared" ca="1" si="60"/>
        <v>256</v>
      </c>
    </row>
    <row r="656" spans="4:15" s="327" customFormat="1" outlineLevel="2" x14ac:dyDescent="0.2">
      <c r="D656" s="631" t="str">
        <f>Intv_Ann_TA!D382</f>
        <v>Eastern</v>
      </c>
      <c r="H656" s="631" t="str">
        <f>Intv_BA!$G$588</f>
        <v>LEEP with BIOP-H</v>
      </c>
      <c r="J656" s="8">
        <f t="shared" ca="1" si="60"/>
        <v>330</v>
      </c>
      <c r="K656" s="8">
        <f t="shared" ca="1" si="60"/>
        <v>330</v>
      </c>
      <c r="L656" s="8">
        <f t="shared" ca="1" si="60"/>
        <v>330</v>
      </c>
      <c r="M656" s="8">
        <f t="shared" ca="1" si="60"/>
        <v>330</v>
      </c>
      <c r="N656" s="8">
        <f t="shared" ca="1" si="60"/>
        <v>330</v>
      </c>
      <c r="O656" s="8">
        <f t="shared" ca="1" si="60"/>
        <v>330</v>
      </c>
    </row>
    <row r="657" spans="4:15" s="327" customFormat="1" outlineLevel="2" x14ac:dyDescent="0.2">
      <c r="D657" s="631" t="str">
        <f>Intv_Ann_TA!D383</f>
        <v>Luapula</v>
      </c>
      <c r="H657" s="631" t="str">
        <f>Intv_BA!$G$588</f>
        <v>LEEP with BIOP-H</v>
      </c>
      <c r="J657" s="8">
        <f t="shared" ca="1" si="60"/>
        <v>256</v>
      </c>
      <c r="K657" s="8">
        <f t="shared" ca="1" si="60"/>
        <v>256</v>
      </c>
      <c r="L657" s="8">
        <f t="shared" ca="1" si="60"/>
        <v>256</v>
      </c>
      <c r="M657" s="8">
        <f t="shared" ca="1" si="60"/>
        <v>256</v>
      </c>
      <c r="N657" s="8">
        <f t="shared" ca="1" si="60"/>
        <v>256</v>
      </c>
      <c r="O657" s="8">
        <f t="shared" ca="1" si="60"/>
        <v>256</v>
      </c>
    </row>
    <row r="658" spans="4:15" s="327" customFormat="1" outlineLevel="2" x14ac:dyDescent="0.2">
      <c r="D658" s="631" t="str">
        <f>Intv_Ann_TA!D384</f>
        <v>Lusaka</v>
      </c>
      <c r="H658" s="631" t="str">
        <f>Intv_BA!$G$588</f>
        <v>LEEP with BIOP-H</v>
      </c>
      <c r="J658" s="8">
        <f t="shared" ca="1" si="60"/>
        <v>919</v>
      </c>
      <c r="K658" s="8">
        <f t="shared" ca="1" si="60"/>
        <v>919</v>
      </c>
      <c r="L658" s="8">
        <f t="shared" ca="1" si="60"/>
        <v>919</v>
      </c>
      <c r="M658" s="8">
        <f t="shared" ca="1" si="60"/>
        <v>919</v>
      </c>
      <c r="N658" s="8">
        <f t="shared" ca="1" si="60"/>
        <v>919</v>
      </c>
      <c r="O658" s="8">
        <f t="shared" ca="1" si="60"/>
        <v>919</v>
      </c>
    </row>
    <row r="659" spans="4:15" s="327" customFormat="1" outlineLevel="2" x14ac:dyDescent="0.2">
      <c r="D659" s="631" t="str">
        <f>Intv_Ann_TA!D385</f>
        <v>Muchinga</v>
      </c>
      <c r="H659" s="631" t="str">
        <f>Intv_BA!$G$588</f>
        <v>LEEP with BIOP-H</v>
      </c>
      <c r="J659" s="8">
        <f t="shared" ca="1" si="60"/>
        <v>17</v>
      </c>
      <c r="K659" s="8">
        <f t="shared" ca="1" si="60"/>
        <v>17</v>
      </c>
      <c r="L659" s="8">
        <f t="shared" ca="1" si="60"/>
        <v>17</v>
      </c>
      <c r="M659" s="8">
        <f t="shared" ca="1" si="60"/>
        <v>17</v>
      </c>
      <c r="N659" s="8">
        <f t="shared" ca="1" si="60"/>
        <v>17</v>
      </c>
      <c r="O659" s="8">
        <f t="shared" ca="1" si="60"/>
        <v>17</v>
      </c>
    </row>
    <row r="660" spans="4:15" s="327" customFormat="1" outlineLevel="2" x14ac:dyDescent="0.2">
      <c r="D660" s="631" t="str">
        <f>Intv_Ann_TA!D386</f>
        <v>Northern</v>
      </c>
      <c r="H660" s="631" t="str">
        <f>Intv_BA!$G$588</f>
        <v>LEEP with BIOP-H</v>
      </c>
      <c r="J660" s="8">
        <f t="shared" ca="1" si="60"/>
        <v>91</v>
      </c>
      <c r="K660" s="8">
        <f t="shared" ca="1" si="60"/>
        <v>91</v>
      </c>
      <c r="L660" s="8">
        <f t="shared" ca="1" si="60"/>
        <v>91</v>
      </c>
      <c r="M660" s="8">
        <f t="shared" ca="1" si="60"/>
        <v>91</v>
      </c>
      <c r="N660" s="8">
        <f t="shared" ca="1" si="60"/>
        <v>91</v>
      </c>
      <c r="O660" s="8">
        <f t="shared" ca="1" si="60"/>
        <v>91</v>
      </c>
    </row>
    <row r="661" spans="4:15" s="327" customFormat="1" outlineLevel="2" x14ac:dyDescent="0.2">
      <c r="D661" s="631" t="str">
        <f>Intv_Ann_TA!D387</f>
        <v>North-Western</v>
      </c>
      <c r="H661" s="631" t="str">
        <f>Intv_BA!$G$588</f>
        <v>LEEP with BIOP-H</v>
      </c>
      <c r="J661" s="8">
        <f t="shared" ca="1" si="60"/>
        <v>109</v>
      </c>
      <c r="K661" s="8">
        <f t="shared" ca="1" si="60"/>
        <v>109</v>
      </c>
      <c r="L661" s="8">
        <f t="shared" ca="1" si="60"/>
        <v>109</v>
      </c>
      <c r="M661" s="8">
        <f t="shared" ca="1" si="60"/>
        <v>109</v>
      </c>
      <c r="N661" s="8">
        <f t="shared" ca="1" si="60"/>
        <v>109</v>
      </c>
      <c r="O661" s="8">
        <f t="shared" ca="1" si="60"/>
        <v>109</v>
      </c>
    </row>
    <row r="662" spans="4:15" s="327" customFormat="1" outlineLevel="2" x14ac:dyDescent="0.2">
      <c r="D662" s="631" t="str">
        <f>Intv_Ann_TA!D388</f>
        <v>Southern</v>
      </c>
      <c r="H662" s="631" t="str">
        <f>Intv_BA!$G$588</f>
        <v>LEEP with BIOP-H</v>
      </c>
      <c r="J662" s="8">
        <f t="shared" ca="1" si="60"/>
        <v>256</v>
      </c>
      <c r="K662" s="8">
        <f t="shared" ca="1" si="60"/>
        <v>256</v>
      </c>
      <c r="L662" s="8">
        <f t="shared" ca="1" si="60"/>
        <v>256</v>
      </c>
      <c r="M662" s="8">
        <f t="shared" ca="1" si="60"/>
        <v>256</v>
      </c>
      <c r="N662" s="8">
        <f t="shared" ca="1" si="60"/>
        <v>256</v>
      </c>
      <c r="O662" s="8">
        <f t="shared" ca="1" si="60"/>
        <v>256</v>
      </c>
    </row>
    <row r="663" spans="4:15" s="327" customFormat="1" outlineLevel="2" x14ac:dyDescent="0.2">
      <c r="D663" s="631" t="str">
        <f>Intv_Ann_TA!D389</f>
        <v>Western</v>
      </c>
      <c r="H663" s="631" t="str">
        <f>Intv_BA!$G$588</f>
        <v>LEEP with BIOP-H</v>
      </c>
      <c r="J663" s="9">
        <f t="shared" ca="1" si="60"/>
        <v>256</v>
      </c>
      <c r="K663" s="9">
        <f t="shared" ca="1" si="60"/>
        <v>256</v>
      </c>
      <c r="L663" s="9">
        <f t="shared" ca="1" si="60"/>
        <v>256</v>
      </c>
      <c r="M663" s="9">
        <f t="shared" ca="1" si="60"/>
        <v>256</v>
      </c>
      <c r="N663" s="9">
        <f t="shared" ca="1" si="60"/>
        <v>256</v>
      </c>
      <c r="O663" s="9">
        <f t="shared" ca="1" si="60"/>
        <v>256</v>
      </c>
    </row>
    <row r="664" spans="4:15" s="327" customFormat="1" x14ac:dyDescent="0.2">
      <c r="D664" s="630" t="str">
        <f>"Total "&amp;D653</f>
        <v>Total Population Seeking Service (Cumulative)</v>
      </c>
      <c r="H664" s="631" t="str">
        <f>Intv_BA!$G$588</f>
        <v>LEEP with BIOP-H</v>
      </c>
      <c r="J664" s="5">
        <f t="shared" ref="J664:O664" ca="1" si="61">SUM(J654:J663)</f>
        <v>2672</v>
      </c>
      <c r="K664" s="5">
        <f t="shared" ca="1" si="61"/>
        <v>2672</v>
      </c>
      <c r="L664" s="5">
        <f t="shared" ca="1" si="61"/>
        <v>2672</v>
      </c>
      <c r="M664" s="5">
        <f t="shared" ca="1" si="61"/>
        <v>2672</v>
      </c>
      <c r="N664" s="5">
        <f t="shared" ca="1" si="61"/>
        <v>2672</v>
      </c>
      <c r="O664" s="5">
        <f t="shared" ca="1" si="61"/>
        <v>2672</v>
      </c>
    </row>
    <row r="665" spans="4:15" s="327" customFormat="1" x14ac:dyDescent="0.2"/>
    <row r="666" spans="4:15" s="327" customFormat="1" outlineLevel="2" x14ac:dyDescent="0.2"/>
    <row r="667" spans="4:15" s="327" customFormat="1" ht="15" outlineLevel="2" x14ac:dyDescent="0.2">
      <c r="D667" s="629" t="s">
        <v>185</v>
      </c>
    </row>
    <row r="668" spans="4:15" s="327" customFormat="1" outlineLevel="2" x14ac:dyDescent="0.2">
      <c r="D668" s="631" t="str">
        <f t="shared" ref="D668:D677" si="62">D627</f>
        <v>Central</v>
      </c>
      <c r="H668" s="631" t="str">
        <f>Intv_BA!$G$588</f>
        <v>LEEP with BIOP-H</v>
      </c>
      <c r="J668" s="8">
        <f t="shared" ref="J668:O677" ca="1" si="63">MAX(J627-J654,0)</f>
        <v>5376</v>
      </c>
      <c r="K668" s="8">
        <f t="shared" ca="1" si="63"/>
        <v>5376</v>
      </c>
      <c r="L668" s="8">
        <f t="shared" ca="1" si="63"/>
        <v>5376</v>
      </c>
      <c r="M668" s="8">
        <f t="shared" ca="1" si="63"/>
        <v>5376</v>
      </c>
      <c r="N668" s="8">
        <f t="shared" ca="1" si="63"/>
        <v>5376</v>
      </c>
      <c r="O668" s="8">
        <f t="shared" ca="1" si="63"/>
        <v>5376</v>
      </c>
    </row>
    <row r="669" spans="4:15" s="327" customFormat="1" outlineLevel="2" x14ac:dyDescent="0.2">
      <c r="D669" s="631" t="str">
        <f t="shared" si="62"/>
        <v>Copperbelt</v>
      </c>
      <c r="H669" s="631" t="str">
        <f>Intv_BA!$G$588</f>
        <v>LEEP with BIOP-H</v>
      </c>
      <c r="J669" s="8">
        <f t="shared" ca="1" si="63"/>
        <v>10860</v>
      </c>
      <c r="K669" s="8">
        <f t="shared" ca="1" si="63"/>
        <v>10860</v>
      </c>
      <c r="L669" s="8">
        <f t="shared" ca="1" si="63"/>
        <v>10860</v>
      </c>
      <c r="M669" s="8">
        <f t="shared" ca="1" si="63"/>
        <v>10860</v>
      </c>
      <c r="N669" s="8">
        <f t="shared" ca="1" si="63"/>
        <v>10860</v>
      </c>
      <c r="O669" s="8">
        <f t="shared" ca="1" si="63"/>
        <v>10860</v>
      </c>
    </row>
    <row r="670" spans="4:15" s="327" customFormat="1" outlineLevel="2" x14ac:dyDescent="0.2">
      <c r="D670" s="631" t="str">
        <f t="shared" si="62"/>
        <v>Eastern</v>
      </c>
      <c r="H670" s="631" t="str">
        <f>Intv_BA!$G$588</f>
        <v>LEEP with BIOP-H</v>
      </c>
      <c r="J670" s="8">
        <f t="shared" ca="1" si="63"/>
        <v>0</v>
      </c>
      <c r="K670" s="8">
        <f t="shared" ca="1" si="63"/>
        <v>0</v>
      </c>
      <c r="L670" s="8">
        <f t="shared" ca="1" si="63"/>
        <v>0</v>
      </c>
      <c r="M670" s="8">
        <f t="shared" ca="1" si="63"/>
        <v>0</v>
      </c>
      <c r="N670" s="8">
        <f t="shared" ca="1" si="63"/>
        <v>0</v>
      </c>
      <c r="O670" s="8">
        <f t="shared" ca="1" si="63"/>
        <v>0</v>
      </c>
    </row>
    <row r="671" spans="4:15" s="327" customFormat="1" outlineLevel="2" x14ac:dyDescent="0.2">
      <c r="D671" s="631" t="str">
        <f t="shared" si="62"/>
        <v>Luapula</v>
      </c>
      <c r="H671" s="631" t="str">
        <f>Intv_BA!$G$588</f>
        <v>LEEP with BIOP-H</v>
      </c>
      <c r="J671" s="8">
        <f t="shared" ca="1" si="63"/>
        <v>0</v>
      </c>
      <c r="K671" s="8">
        <f t="shared" ca="1" si="63"/>
        <v>0</v>
      </c>
      <c r="L671" s="8">
        <f t="shared" ca="1" si="63"/>
        <v>0</v>
      </c>
      <c r="M671" s="8">
        <f t="shared" ca="1" si="63"/>
        <v>0</v>
      </c>
      <c r="N671" s="8">
        <f t="shared" ca="1" si="63"/>
        <v>0</v>
      </c>
      <c r="O671" s="8">
        <f t="shared" ca="1" si="63"/>
        <v>0</v>
      </c>
    </row>
    <row r="672" spans="4:15" s="327" customFormat="1" outlineLevel="2" x14ac:dyDescent="0.2">
      <c r="D672" s="631" t="str">
        <f t="shared" si="62"/>
        <v>Lusaka</v>
      </c>
      <c r="H672" s="631" t="str">
        <f>Intv_BA!$G$588</f>
        <v>LEEP with BIOP-H</v>
      </c>
      <c r="J672" s="8">
        <f t="shared" ca="1" si="63"/>
        <v>4639</v>
      </c>
      <c r="K672" s="8">
        <f t="shared" ca="1" si="63"/>
        <v>4639</v>
      </c>
      <c r="L672" s="8">
        <f t="shared" ca="1" si="63"/>
        <v>4639</v>
      </c>
      <c r="M672" s="8">
        <f t="shared" ca="1" si="63"/>
        <v>4639</v>
      </c>
      <c r="N672" s="8">
        <f t="shared" ca="1" si="63"/>
        <v>4639</v>
      </c>
      <c r="O672" s="8">
        <f t="shared" ca="1" si="63"/>
        <v>4639</v>
      </c>
    </row>
    <row r="673" spans="4:15" s="327" customFormat="1" outlineLevel="2" x14ac:dyDescent="0.2">
      <c r="D673" s="631" t="str">
        <f t="shared" si="62"/>
        <v>Muchinga</v>
      </c>
      <c r="H673" s="631" t="str">
        <f>Intv_BA!$G$588</f>
        <v>LEEP with BIOP-H</v>
      </c>
      <c r="J673" s="8">
        <f t="shared" ca="1" si="63"/>
        <v>0</v>
      </c>
      <c r="K673" s="8">
        <f t="shared" ca="1" si="63"/>
        <v>0</v>
      </c>
      <c r="L673" s="8">
        <f t="shared" ca="1" si="63"/>
        <v>0</v>
      </c>
      <c r="M673" s="8">
        <f t="shared" ca="1" si="63"/>
        <v>0</v>
      </c>
      <c r="N673" s="8">
        <f t="shared" ca="1" si="63"/>
        <v>0</v>
      </c>
      <c r="O673" s="8">
        <f t="shared" ca="1" si="63"/>
        <v>0</v>
      </c>
    </row>
    <row r="674" spans="4:15" s="327" customFormat="1" outlineLevel="2" x14ac:dyDescent="0.2">
      <c r="D674" s="631" t="str">
        <f t="shared" si="62"/>
        <v>Northern</v>
      </c>
      <c r="H674" s="631" t="str">
        <f>Intv_BA!$G$588</f>
        <v>LEEP with BIOP-H</v>
      </c>
      <c r="J674" s="8">
        <f t="shared" ca="1" si="63"/>
        <v>0</v>
      </c>
      <c r="K674" s="8">
        <f t="shared" ca="1" si="63"/>
        <v>0</v>
      </c>
      <c r="L674" s="8">
        <f t="shared" ca="1" si="63"/>
        <v>0</v>
      </c>
      <c r="M674" s="8">
        <f t="shared" ca="1" si="63"/>
        <v>0</v>
      </c>
      <c r="N674" s="8">
        <f t="shared" ca="1" si="63"/>
        <v>0</v>
      </c>
      <c r="O674" s="8">
        <f t="shared" ca="1" si="63"/>
        <v>0</v>
      </c>
    </row>
    <row r="675" spans="4:15" s="327" customFormat="1" outlineLevel="2" x14ac:dyDescent="0.2">
      <c r="D675" s="631" t="str">
        <f t="shared" si="62"/>
        <v>North-Western</v>
      </c>
      <c r="H675" s="631" t="str">
        <f>Intv_BA!$G$588</f>
        <v>LEEP with BIOP-H</v>
      </c>
      <c r="J675" s="8">
        <f t="shared" ca="1" si="63"/>
        <v>0</v>
      </c>
      <c r="K675" s="8">
        <f t="shared" ca="1" si="63"/>
        <v>0</v>
      </c>
      <c r="L675" s="8">
        <f t="shared" ca="1" si="63"/>
        <v>0</v>
      </c>
      <c r="M675" s="8">
        <f t="shared" ca="1" si="63"/>
        <v>0</v>
      </c>
      <c r="N675" s="8">
        <f t="shared" ca="1" si="63"/>
        <v>0</v>
      </c>
      <c r="O675" s="8">
        <f t="shared" ca="1" si="63"/>
        <v>0</v>
      </c>
    </row>
    <row r="676" spans="4:15" s="327" customFormat="1" outlineLevel="2" x14ac:dyDescent="0.2">
      <c r="D676" s="631" t="str">
        <f t="shared" si="62"/>
        <v>Southern</v>
      </c>
      <c r="H676" s="631" t="str">
        <f>Intv_BA!$G$588</f>
        <v>LEEP with BIOP-H</v>
      </c>
      <c r="J676" s="8">
        <f t="shared" ca="1" si="63"/>
        <v>0</v>
      </c>
      <c r="K676" s="8">
        <f t="shared" ca="1" si="63"/>
        <v>0</v>
      </c>
      <c r="L676" s="8">
        <f t="shared" ca="1" si="63"/>
        <v>0</v>
      </c>
      <c r="M676" s="8">
        <f t="shared" ca="1" si="63"/>
        <v>0</v>
      </c>
      <c r="N676" s="8">
        <f t="shared" ca="1" si="63"/>
        <v>0</v>
      </c>
      <c r="O676" s="8">
        <f t="shared" ca="1" si="63"/>
        <v>0</v>
      </c>
    </row>
    <row r="677" spans="4:15" s="327" customFormat="1" outlineLevel="2" x14ac:dyDescent="0.2">
      <c r="D677" s="631" t="str">
        <f t="shared" si="62"/>
        <v>Western</v>
      </c>
      <c r="H677" s="631" t="str">
        <f>Intv_BA!$G$588</f>
        <v>LEEP with BIOP-H</v>
      </c>
      <c r="J677" s="9">
        <f t="shared" ca="1" si="63"/>
        <v>0</v>
      </c>
      <c r="K677" s="9">
        <f t="shared" ca="1" si="63"/>
        <v>0</v>
      </c>
      <c r="L677" s="9">
        <f t="shared" ca="1" si="63"/>
        <v>0</v>
      </c>
      <c r="M677" s="9">
        <f t="shared" ca="1" si="63"/>
        <v>0</v>
      </c>
      <c r="N677" s="9">
        <f t="shared" ca="1" si="63"/>
        <v>0</v>
      </c>
      <c r="O677" s="9">
        <f t="shared" ca="1" si="63"/>
        <v>0</v>
      </c>
    </row>
    <row r="678" spans="4:15" s="327" customFormat="1" outlineLevel="2" x14ac:dyDescent="0.2">
      <c r="D678" s="630" t="str">
        <f>"Total "&amp;D667</f>
        <v>Total Excess Capacity</v>
      </c>
      <c r="H678" s="631" t="str">
        <f>Intv_BA!$G$588</f>
        <v>LEEP with BIOP-H</v>
      </c>
      <c r="J678" s="5">
        <f t="shared" ref="J678:O678" ca="1" si="64">SUM(J668:J677)</f>
        <v>20875</v>
      </c>
      <c r="K678" s="5">
        <f t="shared" ca="1" si="64"/>
        <v>20875</v>
      </c>
      <c r="L678" s="5">
        <f t="shared" ca="1" si="64"/>
        <v>20875</v>
      </c>
      <c r="M678" s="5">
        <f t="shared" ca="1" si="64"/>
        <v>20875</v>
      </c>
      <c r="N678" s="5">
        <f t="shared" ca="1" si="64"/>
        <v>20875</v>
      </c>
      <c r="O678" s="5">
        <f t="shared" ca="1" si="64"/>
        <v>20875</v>
      </c>
    </row>
    <row r="679" spans="4:15" s="327" customFormat="1" outlineLevel="2" x14ac:dyDescent="0.2"/>
    <row r="680" spans="4:15" s="327" customFormat="1" ht="15" outlineLevel="2" x14ac:dyDescent="0.2">
      <c r="D680" s="629" t="s">
        <v>384</v>
      </c>
    </row>
    <row r="681" spans="4:15" s="327" customFormat="1" outlineLevel="2" x14ac:dyDescent="0.2">
      <c r="D681" s="631" t="str">
        <f t="shared" ref="D681:D690" si="65">D627</f>
        <v>Central</v>
      </c>
      <c r="H681" s="631" t="str">
        <f>Intv_BA!$G$588</f>
        <v>LEEP with BIOP-H</v>
      </c>
      <c r="J681" s="8">
        <f ca="1">ROUND(IF(Intv_Ann_TA!$H$377,IF(J654&lt;=J627,J654,J654-MAX((J$664-J$637),0)*IFERROR((J654-J627)/SUMPRODUCT((J$654:J$663&gt;J$627:J$636)*(J$654:J$663-J$627:J$636)),0)),J694),0)</f>
        <v>182</v>
      </c>
      <c r="K681" s="8">
        <f ca="1">ROUND(IF(Intv_Ann_TA!$H$377,IF(K654&lt;=K627,K654,K654-MAX((K$664-K$637),0)*IFERROR((K654-K627)/SUMPRODUCT((K$654:K$663&gt;K$627:K$636)*(K$654:K$663-K$627:K$636)),0)),K694),0)</f>
        <v>182</v>
      </c>
      <c r="L681" s="8">
        <f ca="1">ROUND(IF(Intv_Ann_TA!$H$377,IF(L654&lt;=L627,L654,L654-MAX((L$664-L$637),0)*IFERROR((L654-L627)/SUMPRODUCT((L$654:L$663&gt;L$627:L$636)*(L$654:L$663-L$627:L$636)),0)),L694),0)</f>
        <v>182</v>
      </c>
      <c r="M681" s="8">
        <f ca="1">ROUND(IF(Intv_Ann_TA!$H$377,IF(M654&lt;=M627,M654,M654-MAX((M$664-M$637),0)*IFERROR((M654-M627)/SUMPRODUCT((M$654:M$663&gt;M$627:M$636)*(M$654:M$663-M$627:M$636)),0)),M694),0)</f>
        <v>182</v>
      </c>
      <c r="N681" s="8">
        <f ca="1">ROUND(IF(Intv_Ann_TA!$H$377,IF(N654&lt;=N627,N654,N654-MAX((N$664-N$637),0)*IFERROR((N654-N627)/SUMPRODUCT((N$654:N$663&gt;N$627:N$636)*(N$654:N$663-N$627:N$636)),0)),N694),0)</f>
        <v>182</v>
      </c>
      <c r="O681" s="8">
        <f ca="1">ROUND(IF(Intv_Ann_TA!$H$377,IF(O654&lt;=O627,O654,O654-MAX((O$664-O$637),0)*IFERROR((O654-O627)/SUMPRODUCT((O$654:O$663&gt;O$627:O$636)*(O$654:O$663-O$627:O$636)),0)),O694),0)</f>
        <v>182</v>
      </c>
    </row>
    <row r="682" spans="4:15" s="327" customFormat="1" outlineLevel="2" x14ac:dyDescent="0.2">
      <c r="D682" s="631" t="str">
        <f t="shared" si="65"/>
        <v>Copperbelt</v>
      </c>
      <c r="H682" s="631" t="str">
        <f>Intv_BA!$G$588</f>
        <v>LEEP with BIOP-H</v>
      </c>
      <c r="J682" s="8">
        <f ca="1">ROUND(IF(Intv_Ann_TA!$H$377,IF(J655&lt;=J628,J655,J655-MAX((J$664-J$637),0)*IFERROR((J655-J628)/SUMPRODUCT((J$654:J$663&gt;J$627:J$636)*(J$654:J$663-J$627:J$636)),0)),J695),0)</f>
        <v>256</v>
      </c>
      <c r="K682" s="8">
        <f ca="1">ROUND(IF(Intv_Ann_TA!$H$377,IF(K655&lt;=K628,K655,K655-MAX((K$664-K$637),0)*IFERROR((K655-K628)/SUMPRODUCT((K$654:K$663&gt;K$627:K$636)*(K$654:K$663-K$627:K$636)),0)),K695),0)</f>
        <v>256</v>
      </c>
      <c r="L682" s="8">
        <f ca="1">ROUND(IF(Intv_Ann_TA!$H$377,IF(L655&lt;=L628,L655,L655-MAX((L$664-L$637),0)*IFERROR((L655-L628)/SUMPRODUCT((L$654:L$663&gt;L$627:L$636)*(L$654:L$663-L$627:L$636)),0)),L695),0)</f>
        <v>256</v>
      </c>
      <c r="M682" s="8">
        <f ca="1">ROUND(IF(Intv_Ann_TA!$H$377,IF(M655&lt;=M628,M655,M655-MAX((M$664-M$637),0)*IFERROR((M655-M628)/SUMPRODUCT((M$654:M$663&gt;M$627:M$636)*(M$654:M$663-M$627:M$636)),0)),M695),0)</f>
        <v>256</v>
      </c>
      <c r="N682" s="8">
        <f ca="1">ROUND(IF(Intv_Ann_TA!$H$377,IF(N655&lt;=N628,N655,N655-MAX((N$664-N$637),0)*IFERROR((N655-N628)/SUMPRODUCT((N$654:N$663&gt;N$627:N$636)*(N$654:N$663-N$627:N$636)),0)),N695),0)</f>
        <v>256</v>
      </c>
      <c r="O682" s="8">
        <f ca="1">ROUND(IF(Intv_Ann_TA!$H$377,IF(O655&lt;=O628,O655,O655-MAX((O$664-O$637),0)*IFERROR((O655-O628)/SUMPRODUCT((O$654:O$663&gt;O$627:O$636)*(O$654:O$663-O$627:O$636)),0)),O695),0)</f>
        <v>256</v>
      </c>
    </row>
    <row r="683" spans="4:15" s="327" customFormat="1" outlineLevel="2" x14ac:dyDescent="0.2">
      <c r="D683" s="631" t="str">
        <f t="shared" si="65"/>
        <v>Eastern</v>
      </c>
      <c r="H683" s="631" t="str">
        <f>Intv_BA!$G$588</f>
        <v>LEEP with BIOP-H</v>
      </c>
      <c r="J683" s="8">
        <f ca="1">ROUND(IF(Intv_Ann_TA!$H$377,IF(J656&lt;=J629,J656,J656-MAX((J$664-J$637),0)*IFERROR((J656-J629)/SUMPRODUCT((J$654:J$663&gt;J$627:J$636)*(J$654:J$663-J$627:J$636)),0)),J696),0)</f>
        <v>330</v>
      </c>
      <c r="K683" s="8">
        <f ca="1">ROUND(IF(Intv_Ann_TA!$H$377,IF(K656&lt;=K629,K656,K656-MAX((K$664-K$637),0)*IFERROR((K656-K629)/SUMPRODUCT((K$654:K$663&gt;K$627:K$636)*(K$654:K$663-K$627:K$636)),0)),K696),0)</f>
        <v>330</v>
      </c>
      <c r="L683" s="8">
        <f ca="1">ROUND(IF(Intv_Ann_TA!$H$377,IF(L656&lt;=L629,L656,L656-MAX((L$664-L$637),0)*IFERROR((L656-L629)/SUMPRODUCT((L$654:L$663&gt;L$627:L$636)*(L$654:L$663-L$627:L$636)),0)),L696),0)</f>
        <v>330</v>
      </c>
      <c r="M683" s="8">
        <f ca="1">ROUND(IF(Intv_Ann_TA!$H$377,IF(M656&lt;=M629,M656,M656-MAX((M$664-M$637),0)*IFERROR((M656-M629)/SUMPRODUCT((M$654:M$663&gt;M$627:M$636)*(M$654:M$663-M$627:M$636)),0)),M696),0)</f>
        <v>330</v>
      </c>
      <c r="N683" s="8">
        <f ca="1">ROUND(IF(Intv_Ann_TA!$H$377,IF(N656&lt;=N629,N656,N656-MAX((N$664-N$637),0)*IFERROR((N656-N629)/SUMPRODUCT((N$654:N$663&gt;N$627:N$636)*(N$654:N$663-N$627:N$636)),0)),N696),0)</f>
        <v>330</v>
      </c>
      <c r="O683" s="8">
        <f ca="1">ROUND(IF(Intv_Ann_TA!$H$377,IF(O656&lt;=O629,O656,O656-MAX((O$664-O$637),0)*IFERROR((O656-O629)/SUMPRODUCT((O$654:O$663&gt;O$627:O$636)*(O$654:O$663-O$627:O$636)),0)),O696),0)</f>
        <v>330</v>
      </c>
    </row>
    <row r="684" spans="4:15" s="327" customFormat="1" outlineLevel="2" x14ac:dyDescent="0.2">
      <c r="D684" s="631" t="str">
        <f t="shared" si="65"/>
        <v>Luapula</v>
      </c>
      <c r="H684" s="631" t="str">
        <f>Intv_BA!$G$588</f>
        <v>LEEP with BIOP-H</v>
      </c>
      <c r="J684" s="8">
        <f ca="1">ROUND(IF(Intv_Ann_TA!$H$377,IF(J657&lt;=J630,J657,J657-MAX((J$664-J$637),0)*IFERROR((J657-J630)/SUMPRODUCT((J$654:J$663&gt;J$627:J$636)*(J$654:J$663-J$627:J$636)),0)),J697),0)</f>
        <v>256</v>
      </c>
      <c r="K684" s="8">
        <f ca="1">ROUND(IF(Intv_Ann_TA!$H$377,IF(K657&lt;=K630,K657,K657-MAX((K$664-K$637),0)*IFERROR((K657-K630)/SUMPRODUCT((K$654:K$663&gt;K$627:K$636)*(K$654:K$663-K$627:K$636)),0)),K697),0)</f>
        <v>256</v>
      </c>
      <c r="L684" s="8">
        <f ca="1">ROUND(IF(Intv_Ann_TA!$H$377,IF(L657&lt;=L630,L657,L657-MAX((L$664-L$637),0)*IFERROR((L657-L630)/SUMPRODUCT((L$654:L$663&gt;L$627:L$636)*(L$654:L$663-L$627:L$636)),0)),L697),0)</f>
        <v>256</v>
      </c>
      <c r="M684" s="8">
        <f ca="1">ROUND(IF(Intv_Ann_TA!$H$377,IF(M657&lt;=M630,M657,M657-MAX((M$664-M$637),0)*IFERROR((M657-M630)/SUMPRODUCT((M$654:M$663&gt;M$627:M$636)*(M$654:M$663-M$627:M$636)),0)),M697),0)</f>
        <v>256</v>
      </c>
      <c r="N684" s="8">
        <f ca="1">ROUND(IF(Intv_Ann_TA!$H$377,IF(N657&lt;=N630,N657,N657-MAX((N$664-N$637),0)*IFERROR((N657-N630)/SUMPRODUCT((N$654:N$663&gt;N$627:N$636)*(N$654:N$663-N$627:N$636)),0)),N697),0)</f>
        <v>256</v>
      </c>
      <c r="O684" s="8">
        <f ca="1">ROUND(IF(Intv_Ann_TA!$H$377,IF(O657&lt;=O630,O657,O657-MAX((O$664-O$637),0)*IFERROR((O657-O630)/SUMPRODUCT((O$654:O$663&gt;O$627:O$636)*(O$654:O$663-O$627:O$636)),0)),O697),0)</f>
        <v>256</v>
      </c>
    </row>
    <row r="685" spans="4:15" s="327" customFormat="1" outlineLevel="2" x14ac:dyDescent="0.2">
      <c r="D685" s="631" t="str">
        <f t="shared" si="65"/>
        <v>Lusaka</v>
      </c>
      <c r="H685" s="631" t="str">
        <f>Intv_BA!$G$588</f>
        <v>LEEP with BIOP-H</v>
      </c>
      <c r="J685" s="8">
        <f ca="1">ROUND(IF(Intv_Ann_TA!$H$377,IF(J658&lt;=J631,J658,J658-MAX((J$664-J$637),0)*IFERROR((J658-J631)/SUMPRODUCT((J$654:J$663&gt;J$627:J$636)*(J$654:J$663-J$627:J$636)),0)),J698),0)</f>
        <v>919</v>
      </c>
      <c r="K685" s="8">
        <f ca="1">ROUND(IF(Intv_Ann_TA!$H$377,IF(K658&lt;=K631,K658,K658-MAX((K$664-K$637),0)*IFERROR((K658-K631)/SUMPRODUCT((K$654:K$663&gt;K$627:K$636)*(K$654:K$663-K$627:K$636)),0)),K698),0)</f>
        <v>919</v>
      </c>
      <c r="L685" s="8">
        <f ca="1">ROUND(IF(Intv_Ann_TA!$H$377,IF(L658&lt;=L631,L658,L658-MAX((L$664-L$637),0)*IFERROR((L658-L631)/SUMPRODUCT((L$654:L$663&gt;L$627:L$636)*(L$654:L$663-L$627:L$636)),0)),L698),0)</f>
        <v>919</v>
      </c>
      <c r="M685" s="8">
        <f ca="1">ROUND(IF(Intv_Ann_TA!$H$377,IF(M658&lt;=M631,M658,M658-MAX((M$664-M$637),0)*IFERROR((M658-M631)/SUMPRODUCT((M$654:M$663&gt;M$627:M$636)*(M$654:M$663-M$627:M$636)),0)),M698),0)</f>
        <v>919</v>
      </c>
      <c r="N685" s="8">
        <f ca="1">ROUND(IF(Intv_Ann_TA!$H$377,IF(N658&lt;=N631,N658,N658-MAX((N$664-N$637),0)*IFERROR((N658-N631)/SUMPRODUCT((N$654:N$663&gt;N$627:N$636)*(N$654:N$663-N$627:N$636)),0)),N698),0)</f>
        <v>919</v>
      </c>
      <c r="O685" s="8">
        <f ca="1">ROUND(IF(Intv_Ann_TA!$H$377,IF(O658&lt;=O631,O658,O658-MAX((O$664-O$637),0)*IFERROR((O658-O631)/SUMPRODUCT((O$654:O$663&gt;O$627:O$636)*(O$654:O$663-O$627:O$636)),0)),O698),0)</f>
        <v>919</v>
      </c>
    </row>
    <row r="686" spans="4:15" s="327" customFormat="1" outlineLevel="2" x14ac:dyDescent="0.2">
      <c r="D686" s="631" t="str">
        <f t="shared" si="65"/>
        <v>Muchinga</v>
      </c>
      <c r="H686" s="631" t="str">
        <f>Intv_BA!$G$588</f>
        <v>LEEP with BIOP-H</v>
      </c>
      <c r="J686" s="8">
        <f ca="1">ROUND(IF(Intv_Ann_TA!$H$377,IF(J659&lt;=J632,J659,J659-MAX((J$664-J$637),0)*IFERROR((J659-J632)/SUMPRODUCT((J$654:J$663&gt;J$627:J$636)*(J$654:J$663-J$627:J$636)),0)),J699),0)</f>
        <v>17</v>
      </c>
      <c r="K686" s="8">
        <f ca="1">ROUND(IF(Intv_Ann_TA!$H$377,IF(K659&lt;=K632,K659,K659-MAX((K$664-K$637),0)*IFERROR((K659-K632)/SUMPRODUCT((K$654:K$663&gt;K$627:K$636)*(K$654:K$663-K$627:K$636)),0)),K699),0)</f>
        <v>17</v>
      </c>
      <c r="L686" s="8">
        <f ca="1">ROUND(IF(Intv_Ann_TA!$H$377,IF(L659&lt;=L632,L659,L659-MAX((L$664-L$637),0)*IFERROR((L659-L632)/SUMPRODUCT((L$654:L$663&gt;L$627:L$636)*(L$654:L$663-L$627:L$636)),0)),L699),0)</f>
        <v>17</v>
      </c>
      <c r="M686" s="8">
        <f ca="1">ROUND(IF(Intv_Ann_TA!$H$377,IF(M659&lt;=M632,M659,M659-MAX((M$664-M$637),0)*IFERROR((M659-M632)/SUMPRODUCT((M$654:M$663&gt;M$627:M$636)*(M$654:M$663-M$627:M$636)),0)),M699),0)</f>
        <v>17</v>
      </c>
      <c r="N686" s="8">
        <f ca="1">ROUND(IF(Intv_Ann_TA!$H$377,IF(N659&lt;=N632,N659,N659-MAX((N$664-N$637),0)*IFERROR((N659-N632)/SUMPRODUCT((N$654:N$663&gt;N$627:N$636)*(N$654:N$663-N$627:N$636)),0)),N699),0)</f>
        <v>17</v>
      </c>
      <c r="O686" s="8">
        <f ca="1">ROUND(IF(Intv_Ann_TA!$H$377,IF(O659&lt;=O632,O659,O659-MAX((O$664-O$637),0)*IFERROR((O659-O632)/SUMPRODUCT((O$654:O$663&gt;O$627:O$636)*(O$654:O$663-O$627:O$636)),0)),O699),0)</f>
        <v>17</v>
      </c>
    </row>
    <row r="687" spans="4:15" s="327" customFormat="1" outlineLevel="2" x14ac:dyDescent="0.2">
      <c r="D687" s="631" t="str">
        <f t="shared" si="65"/>
        <v>Northern</v>
      </c>
      <c r="H687" s="631" t="str">
        <f>Intv_BA!$G$588</f>
        <v>LEEP with BIOP-H</v>
      </c>
      <c r="J687" s="8">
        <f ca="1">ROUND(IF(Intv_Ann_TA!$H$377,IF(J660&lt;=J633,J660,J660-MAX((J$664-J$637),0)*IFERROR((J660-J633)/SUMPRODUCT((J$654:J$663&gt;J$627:J$636)*(J$654:J$663-J$627:J$636)),0)),J700),0)</f>
        <v>91</v>
      </c>
      <c r="K687" s="8">
        <f ca="1">ROUND(IF(Intv_Ann_TA!$H$377,IF(K660&lt;=K633,K660,K660-MAX((K$664-K$637),0)*IFERROR((K660-K633)/SUMPRODUCT((K$654:K$663&gt;K$627:K$636)*(K$654:K$663-K$627:K$636)),0)),K700),0)</f>
        <v>91</v>
      </c>
      <c r="L687" s="8">
        <f ca="1">ROUND(IF(Intv_Ann_TA!$H$377,IF(L660&lt;=L633,L660,L660-MAX((L$664-L$637),0)*IFERROR((L660-L633)/SUMPRODUCT((L$654:L$663&gt;L$627:L$636)*(L$654:L$663-L$627:L$636)),0)),L700),0)</f>
        <v>91</v>
      </c>
      <c r="M687" s="8">
        <f ca="1">ROUND(IF(Intv_Ann_TA!$H$377,IF(M660&lt;=M633,M660,M660-MAX((M$664-M$637),0)*IFERROR((M660-M633)/SUMPRODUCT((M$654:M$663&gt;M$627:M$636)*(M$654:M$663-M$627:M$636)),0)),M700),0)</f>
        <v>91</v>
      </c>
      <c r="N687" s="8">
        <f ca="1">ROUND(IF(Intv_Ann_TA!$H$377,IF(N660&lt;=N633,N660,N660-MAX((N$664-N$637),0)*IFERROR((N660-N633)/SUMPRODUCT((N$654:N$663&gt;N$627:N$636)*(N$654:N$663-N$627:N$636)),0)),N700),0)</f>
        <v>91</v>
      </c>
      <c r="O687" s="8">
        <f ca="1">ROUND(IF(Intv_Ann_TA!$H$377,IF(O660&lt;=O633,O660,O660-MAX((O$664-O$637),0)*IFERROR((O660-O633)/SUMPRODUCT((O$654:O$663&gt;O$627:O$636)*(O$654:O$663-O$627:O$636)),0)),O700),0)</f>
        <v>91</v>
      </c>
    </row>
    <row r="688" spans="4:15" s="327" customFormat="1" outlineLevel="2" x14ac:dyDescent="0.2">
      <c r="D688" s="631" t="str">
        <f t="shared" si="65"/>
        <v>North-Western</v>
      </c>
      <c r="H688" s="631" t="str">
        <f>Intv_BA!$G$588</f>
        <v>LEEP with BIOP-H</v>
      </c>
      <c r="J688" s="8">
        <f ca="1">ROUND(IF(Intv_Ann_TA!$H$377,IF(J661&lt;=J634,J661,J661-MAX((J$664-J$637),0)*IFERROR((J661-J634)/SUMPRODUCT((J$654:J$663&gt;J$627:J$636)*(J$654:J$663-J$627:J$636)),0)),J701),0)</f>
        <v>109</v>
      </c>
      <c r="K688" s="8">
        <f ca="1">ROUND(IF(Intv_Ann_TA!$H$377,IF(K661&lt;=K634,K661,K661-MAX((K$664-K$637),0)*IFERROR((K661-K634)/SUMPRODUCT((K$654:K$663&gt;K$627:K$636)*(K$654:K$663-K$627:K$636)),0)),K701),0)</f>
        <v>109</v>
      </c>
      <c r="L688" s="8">
        <f ca="1">ROUND(IF(Intv_Ann_TA!$H$377,IF(L661&lt;=L634,L661,L661-MAX((L$664-L$637),0)*IFERROR((L661-L634)/SUMPRODUCT((L$654:L$663&gt;L$627:L$636)*(L$654:L$663-L$627:L$636)),0)),L701),0)</f>
        <v>109</v>
      </c>
      <c r="M688" s="8">
        <f ca="1">ROUND(IF(Intv_Ann_TA!$H$377,IF(M661&lt;=M634,M661,M661-MAX((M$664-M$637),0)*IFERROR((M661-M634)/SUMPRODUCT((M$654:M$663&gt;M$627:M$636)*(M$654:M$663-M$627:M$636)),0)),M701),0)</f>
        <v>109</v>
      </c>
      <c r="N688" s="8">
        <f ca="1">ROUND(IF(Intv_Ann_TA!$H$377,IF(N661&lt;=N634,N661,N661-MAX((N$664-N$637),0)*IFERROR((N661-N634)/SUMPRODUCT((N$654:N$663&gt;N$627:N$636)*(N$654:N$663-N$627:N$636)),0)),N701),0)</f>
        <v>109</v>
      </c>
      <c r="O688" s="8">
        <f ca="1">ROUND(IF(Intv_Ann_TA!$H$377,IF(O661&lt;=O634,O661,O661-MAX((O$664-O$637),0)*IFERROR((O661-O634)/SUMPRODUCT((O$654:O$663&gt;O$627:O$636)*(O$654:O$663-O$627:O$636)),0)),O701),0)</f>
        <v>109</v>
      </c>
    </row>
    <row r="689" spans="4:15" s="327" customFormat="1" outlineLevel="2" x14ac:dyDescent="0.2">
      <c r="D689" s="631" t="str">
        <f t="shared" si="65"/>
        <v>Southern</v>
      </c>
      <c r="H689" s="631" t="str">
        <f>Intv_BA!$G$588</f>
        <v>LEEP with BIOP-H</v>
      </c>
      <c r="J689" s="8">
        <f ca="1">ROUND(IF(Intv_Ann_TA!$H$377,IF(J662&lt;=J635,J662,J662-MAX((J$664-J$637),0)*IFERROR((J662-J635)/SUMPRODUCT((J$654:J$663&gt;J$627:J$636)*(J$654:J$663-J$627:J$636)),0)),J702),0)</f>
        <v>256</v>
      </c>
      <c r="K689" s="8">
        <f ca="1">ROUND(IF(Intv_Ann_TA!$H$377,IF(K662&lt;=K635,K662,K662-MAX((K$664-K$637),0)*IFERROR((K662-K635)/SUMPRODUCT((K$654:K$663&gt;K$627:K$636)*(K$654:K$663-K$627:K$636)),0)),K702),0)</f>
        <v>256</v>
      </c>
      <c r="L689" s="8">
        <f ca="1">ROUND(IF(Intv_Ann_TA!$H$377,IF(L662&lt;=L635,L662,L662-MAX((L$664-L$637),0)*IFERROR((L662-L635)/SUMPRODUCT((L$654:L$663&gt;L$627:L$636)*(L$654:L$663-L$627:L$636)),0)),L702),0)</f>
        <v>256</v>
      </c>
      <c r="M689" s="8">
        <f ca="1">ROUND(IF(Intv_Ann_TA!$H$377,IF(M662&lt;=M635,M662,M662-MAX((M$664-M$637),0)*IFERROR((M662-M635)/SUMPRODUCT((M$654:M$663&gt;M$627:M$636)*(M$654:M$663-M$627:M$636)),0)),M702),0)</f>
        <v>256</v>
      </c>
      <c r="N689" s="8">
        <f ca="1">ROUND(IF(Intv_Ann_TA!$H$377,IF(N662&lt;=N635,N662,N662-MAX((N$664-N$637),0)*IFERROR((N662-N635)/SUMPRODUCT((N$654:N$663&gt;N$627:N$636)*(N$654:N$663-N$627:N$636)),0)),N702),0)</f>
        <v>256</v>
      </c>
      <c r="O689" s="8">
        <f ca="1">ROUND(IF(Intv_Ann_TA!$H$377,IF(O662&lt;=O635,O662,O662-MAX((O$664-O$637),0)*IFERROR((O662-O635)/SUMPRODUCT((O$654:O$663&gt;O$627:O$636)*(O$654:O$663-O$627:O$636)),0)),O702),0)</f>
        <v>256</v>
      </c>
    </row>
    <row r="690" spans="4:15" s="327" customFormat="1" outlineLevel="2" x14ac:dyDescent="0.2">
      <c r="D690" s="631" t="str">
        <f t="shared" si="65"/>
        <v>Western</v>
      </c>
      <c r="H690" s="631" t="str">
        <f>Intv_BA!$G$588</f>
        <v>LEEP with BIOP-H</v>
      </c>
      <c r="J690" s="9">
        <f ca="1">ROUND(IF(Intv_Ann_TA!$H$377,IF(J663&lt;=J636,J663,J663-MAX((J$664-J$637),0)*IFERROR((J663-J636)/SUMPRODUCT((J$654:J$663&gt;J$627:J$636)*(J$654:J$663-J$627:J$636)),0)),J703),0)</f>
        <v>256</v>
      </c>
      <c r="K690" s="9">
        <f ca="1">ROUND(IF(Intv_Ann_TA!$H$377,IF(K663&lt;=K636,K663,K663-MAX((K$664-K$637),0)*IFERROR((K663-K636)/SUMPRODUCT((K$654:K$663&gt;K$627:K$636)*(K$654:K$663-K$627:K$636)),0)),K703),0)</f>
        <v>256</v>
      </c>
      <c r="L690" s="9">
        <f ca="1">ROUND(IF(Intv_Ann_TA!$H$377,IF(L663&lt;=L636,L663,L663-MAX((L$664-L$637),0)*IFERROR((L663-L636)/SUMPRODUCT((L$654:L$663&gt;L$627:L$636)*(L$654:L$663-L$627:L$636)),0)),L703),0)</f>
        <v>256</v>
      </c>
      <c r="M690" s="9">
        <f ca="1">ROUND(IF(Intv_Ann_TA!$H$377,IF(M663&lt;=M636,M663,M663-MAX((M$664-M$637),0)*IFERROR((M663-M636)/SUMPRODUCT((M$654:M$663&gt;M$627:M$636)*(M$654:M$663-M$627:M$636)),0)),M703),0)</f>
        <v>256</v>
      </c>
      <c r="N690" s="9">
        <f ca="1">ROUND(IF(Intv_Ann_TA!$H$377,IF(N663&lt;=N636,N663,N663-MAX((N$664-N$637),0)*IFERROR((N663-N636)/SUMPRODUCT((N$654:N$663&gt;N$627:N$636)*(N$654:N$663-N$627:N$636)),0)),N703),0)</f>
        <v>256</v>
      </c>
      <c r="O690" s="9">
        <f ca="1">ROUND(IF(Intv_Ann_TA!$H$377,IF(O663&lt;=O636,O663,O663-MAX((O$664-O$637),0)*IFERROR((O663-O636)/SUMPRODUCT((O$654:O$663&gt;O$627:O$636)*(O$654:O$663-O$627:O$636)),0)),O703),0)</f>
        <v>256</v>
      </c>
    </row>
    <row r="691" spans="4:15" s="327" customFormat="1" outlineLevel="2" x14ac:dyDescent="0.2">
      <c r="D691" s="630" t="str">
        <f>"Total "&amp;D680</f>
        <v>Total Procedures Performed (According to Home Region)</v>
      </c>
      <c r="H691" s="631" t="str">
        <f>Intv_BA!$G$588</f>
        <v>LEEP with BIOP-H</v>
      </c>
      <c r="J691" s="5">
        <f t="shared" ref="J691:O691" ca="1" si="66">SUM(J681:J690)</f>
        <v>2672</v>
      </c>
      <c r="K691" s="5">
        <f t="shared" ca="1" si="66"/>
        <v>2672</v>
      </c>
      <c r="L691" s="5">
        <f t="shared" ca="1" si="66"/>
        <v>2672</v>
      </c>
      <c r="M691" s="5">
        <f t="shared" ca="1" si="66"/>
        <v>2672</v>
      </c>
      <c r="N691" s="5">
        <f t="shared" ca="1" si="66"/>
        <v>2672</v>
      </c>
      <c r="O691" s="5">
        <f t="shared" ca="1" si="66"/>
        <v>2672</v>
      </c>
    </row>
    <row r="692" spans="4:15" s="327" customFormat="1" outlineLevel="2" x14ac:dyDescent="0.2"/>
    <row r="693" spans="4:15" s="327" customFormat="1" ht="15" outlineLevel="2" x14ac:dyDescent="0.2">
      <c r="D693" s="629" t="s">
        <v>104</v>
      </c>
    </row>
    <row r="694" spans="4:15" s="327" customFormat="1" outlineLevel="2" x14ac:dyDescent="0.2">
      <c r="D694" s="631" t="str">
        <f>Intv_Ann_TA!D380</f>
        <v>Central</v>
      </c>
      <c r="J694" s="8">
        <f ca="1">ROUND(MIN(J627,IF(Intv_Ann_TA!$H$377,MAX(0,J654+IFERROR((SUMPRODUCT((J$627:J$636=0)*J$654:J$663)+SUMPRODUCT((J$627:J$636&gt;0)*(J$654:J$663&gt;J$627:J$636)*(J$654:J$663-J$627:J$636)))*J668/J$678,0)),J654)),0)</f>
        <v>521</v>
      </c>
      <c r="K694" s="8">
        <f ca="1">ROUND(MIN(K627,IF(Intv_Ann_TA!$H$377,MAX(0,K654+IFERROR((SUMPRODUCT((K$627:K$636=0)*K$654:K$663)+SUMPRODUCT((K$627:K$636&gt;0)*(K$654:K$663&gt;K$627:K$636)*(K$654:K$663-K$627:K$636)))*K668/K$678,0)),K654)),0)</f>
        <v>521</v>
      </c>
      <c r="L694" s="8">
        <f ca="1">ROUND(MIN(L627,IF(Intv_Ann_TA!$H$377,MAX(0,L654+IFERROR((SUMPRODUCT((L$627:L$636=0)*L$654:L$663)+SUMPRODUCT((L$627:L$636&gt;0)*(L$654:L$663&gt;L$627:L$636)*(L$654:L$663-L$627:L$636)))*L668/L$678,0)),L654)),0)</f>
        <v>521</v>
      </c>
      <c r="M694" s="8">
        <f ca="1">ROUND(MIN(M627,IF(Intv_Ann_TA!$H$377,MAX(0,M654+IFERROR((SUMPRODUCT((M$627:M$636=0)*M$654:M$663)+SUMPRODUCT((M$627:M$636&gt;0)*(M$654:M$663&gt;M$627:M$636)*(M$654:M$663-M$627:M$636)))*M668/M$678,0)),M654)),0)</f>
        <v>521</v>
      </c>
      <c r="N694" s="8">
        <f ca="1">ROUND(MIN(N627,IF(Intv_Ann_TA!$H$377,MAX(0,N654+IFERROR((SUMPRODUCT((N$627:N$636=0)*N$654:N$663)+SUMPRODUCT((N$627:N$636&gt;0)*(N$654:N$663&gt;N$627:N$636)*(N$654:N$663-N$627:N$636)))*N668/N$678,0)),N654)),0)</f>
        <v>521</v>
      </c>
      <c r="O694" s="8">
        <f ca="1">ROUND(MIN(O627,IF(Intv_Ann_TA!$H$377,MAX(0,O654+IFERROR((SUMPRODUCT((O$627:O$636=0)*O$654:O$663)+SUMPRODUCT((O$627:O$636&gt;0)*(O$654:O$663&gt;O$627:O$636)*(O$654:O$663-O$627:O$636)))*O668/O$678,0)),O654)),0)</f>
        <v>521</v>
      </c>
    </row>
    <row r="695" spans="4:15" s="327" customFormat="1" outlineLevel="2" x14ac:dyDescent="0.2">
      <c r="D695" s="631" t="str">
        <f>Intv_Ann_TA!D381</f>
        <v>Copperbelt</v>
      </c>
      <c r="J695" s="8">
        <f ca="1">ROUND(MIN(J628,IF(Intv_Ann_TA!$H$377,MAX(0,J655+IFERROR((SUMPRODUCT((J$627:J$636=0)*J$654:J$663)+SUMPRODUCT((J$627:J$636&gt;0)*(J$654:J$663&gt;J$627:J$636)*(J$654:J$663-J$627:J$636)))*J669/J$678,0)),J655)),0)</f>
        <v>940</v>
      </c>
      <c r="K695" s="8">
        <f ca="1">ROUND(MIN(K628,IF(Intv_Ann_TA!$H$377,MAX(0,K655+IFERROR((SUMPRODUCT((K$627:K$636=0)*K$654:K$663)+SUMPRODUCT((K$627:K$636&gt;0)*(K$654:K$663&gt;K$627:K$636)*(K$654:K$663-K$627:K$636)))*K669/K$678,0)),K655)),0)</f>
        <v>940</v>
      </c>
      <c r="L695" s="8">
        <f ca="1">ROUND(MIN(L628,IF(Intv_Ann_TA!$H$377,MAX(0,L655+IFERROR((SUMPRODUCT((L$627:L$636=0)*L$654:L$663)+SUMPRODUCT((L$627:L$636&gt;0)*(L$654:L$663&gt;L$627:L$636)*(L$654:L$663-L$627:L$636)))*L669/L$678,0)),L655)),0)</f>
        <v>940</v>
      </c>
      <c r="M695" s="8">
        <f ca="1">ROUND(MIN(M628,IF(Intv_Ann_TA!$H$377,MAX(0,M655+IFERROR((SUMPRODUCT((M$627:M$636=0)*M$654:M$663)+SUMPRODUCT((M$627:M$636&gt;0)*(M$654:M$663&gt;M$627:M$636)*(M$654:M$663-M$627:M$636)))*M669/M$678,0)),M655)),0)</f>
        <v>940</v>
      </c>
      <c r="N695" s="8">
        <f ca="1">ROUND(MIN(N628,IF(Intv_Ann_TA!$H$377,MAX(0,N655+IFERROR((SUMPRODUCT((N$627:N$636=0)*N$654:N$663)+SUMPRODUCT((N$627:N$636&gt;0)*(N$654:N$663&gt;N$627:N$636)*(N$654:N$663-N$627:N$636)))*N669/N$678,0)),N655)),0)</f>
        <v>940</v>
      </c>
      <c r="O695" s="8">
        <f ca="1">ROUND(MIN(O628,IF(Intv_Ann_TA!$H$377,MAX(0,O655+IFERROR((SUMPRODUCT((O$627:O$636=0)*O$654:O$663)+SUMPRODUCT((O$627:O$636&gt;0)*(O$654:O$663&gt;O$627:O$636)*(O$654:O$663-O$627:O$636)))*O669/O$678,0)),O655)),0)</f>
        <v>940</v>
      </c>
    </row>
    <row r="696" spans="4:15" s="327" customFormat="1" outlineLevel="2" x14ac:dyDescent="0.2">
      <c r="D696" s="631" t="str">
        <f>Intv_Ann_TA!D382</f>
        <v>Eastern</v>
      </c>
      <c r="J696" s="8">
        <f ca="1">ROUND(MIN(J629,IF(Intv_Ann_TA!$H$377,MAX(0,J656+IFERROR((SUMPRODUCT((J$627:J$636=0)*J$654:J$663)+SUMPRODUCT((J$627:J$636&gt;0)*(J$654:J$663&gt;J$627:J$636)*(J$654:J$663-J$627:J$636)))*J670/J$678,0)),J656)),0)</f>
        <v>0</v>
      </c>
      <c r="K696" s="8">
        <f ca="1">ROUND(MIN(K629,IF(Intv_Ann_TA!$H$377,MAX(0,K656+IFERROR((SUMPRODUCT((K$627:K$636=0)*K$654:K$663)+SUMPRODUCT((K$627:K$636&gt;0)*(K$654:K$663&gt;K$627:K$636)*(K$654:K$663-K$627:K$636)))*K670/K$678,0)),K656)),0)</f>
        <v>0</v>
      </c>
      <c r="L696" s="8">
        <f ca="1">ROUND(MIN(L629,IF(Intv_Ann_TA!$H$377,MAX(0,L656+IFERROR((SUMPRODUCT((L$627:L$636=0)*L$654:L$663)+SUMPRODUCT((L$627:L$636&gt;0)*(L$654:L$663&gt;L$627:L$636)*(L$654:L$663-L$627:L$636)))*L670/L$678,0)),L656)),0)</f>
        <v>0</v>
      </c>
      <c r="M696" s="8">
        <f ca="1">ROUND(MIN(M629,IF(Intv_Ann_TA!$H$377,MAX(0,M656+IFERROR((SUMPRODUCT((M$627:M$636=0)*M$654:M$663)+SUMPRODUCT((M$627:M$636&gt;0)*(M$654:M$663&gt;M$627:M$636)*(M$654:M$663-M$627:M$636)))*M670/M$678,0)),M656)),0)</f>
        <v>0</v>
      </c>
      <c r="N696" s="8">
        <f ca="1">ROUND(MIN(N629,IF(Intv_Ann_TA!$H$377,MAX(0,N656+IFERROR((SUMPRODUCT((N$627:N$636=0)*N$654:N$663)+SUMPRODUCT((N$627:N$636&gt;0)*(N$654:N$663&gt;N$627:N$636)*(N$654:N$663-N$627:N$636)))*N670/N$678,0)),N656)),0)</f>
        <v>0</v>
      </c>
      <c r="O696" s="8">
        <f ca="1">ROUND(MIN(O629,IF(Intv_Ann_TA!$H$377,MAX(0,O656+IFERROR((SUMPRODUCT((O$627:O$636=0)*O$654:O$663)+SUMPRODUCT((O$627:O$636&gt;0)*(O$654:O$663&gt;O$627:O$636)*(O$654:O$663-O$627:O$636)))*O670/O$678,0)),O656)),0)</f>
        <v>0</v>
      </c>
    </row>
    <row r="697" spans="4:15" s="327" customFormat="1" outlineLevel="2" x14ac:dyDescent="0.2">
      <c r="D697" s="631" t="str">
        <f>Intv_Ann_TA!D383</f>
        <v>Luapula</v>
      </c>
      <c r="J697" s="8">
        <f ca="1">ROUND(MIN(J630,IF(Intv_Ann_TA!$H$377,MAX(0,J657+IFERROR((SUMPRODUCT((J$627:J$636=0)*J$654:J$663)+SUMPRODUCT((J$627:J$636&gt;0)*(J$654:J$663&gt;J$627:J$636)*(J$654:J$663-J$627:J$636)))*J671/J$678,0)),J657)),0)</f>
        <v>0</v>
      </c>
      <c r="K697" s="8">
        <f ca="1">ROUND(MIN(K630,IF(Intv_Ann_TA!$H$377,MAX(0,K657+IFERROR((SUMPRODUCT((K$627:K$636=0)*K$654:K$663)+SUMPRODUCT((K$627:K$636&gt;0)*(K$654:K$663&gt;K$627:K$636)*(K$654:K$663-K$627:K$636)))*K671/K$678,0)),K657)),0)</f>
        <v>0</v>
      </c>
      <c r="L697" s="8">
        <f ca="1">ROUND(MIN(L630,IF(Intv_Ann_TA!$H$377,MAX(0,L657+IFERROR((SUMPRODUCT((L$627:L$636=0)*L$654:L$663)+SUMPRODUCT((L$627:L$636&gt;0)*(L$654:L$663&gt;L$627:L$636)*(L$654:L$663-L$627:L$636)))*L671/L$678,0)),L657)),0)</f>
        <v>0</v>
      </c>
      <c r="M697" s="8">
        <f ca="1">ROUND(MIN(M630,IF(Intv_Ann_TA!$H$377,MAX(0,M657+IFERROR((SUMPRODUCT((M$627:M$636=0)*M$654:M$663)+SUMPRODUCT((M$627:M$636&gt;0)*(M$654:M$663&gt;M$627:M$636)*(M$654:M$663-M$627:M$636)))*M671/M$678,0)),M657)),0)</f>
        <v>0</v>
      </c>
      <c r="N697" s="8">
        <f ca="1">ROUND(MIN(N630,IF(Intv_Ann_TA!$H$377,MAX(0,N657+IFERROR((SUMPRODUCT((N$627:N$636=0)*N$654:N$663)+SUMPRODUCT((N$627:N$636&gt;0)*(N$654:N$663&gt;N$627:N$636)*(N$654:N$663-N$627:N$636)))*N671/N$678,0)),N657)),0)</f>
        <v>0</v>
      </c>
      <c r="O697" s="8">
        <f ca="1">ROUND(MIN(O630,IF(Intv_Ann_TA!$H$377,MAX(0,O657+IFERROR((SUMPRODUCT((O$627:O$636=0)*O$654:O$663)+SUMPRODUCT((O$627:O$636&gt;0)*(O$654:O$663&gt;O$627:O$636)*(O$654:O$663-O$627:O$636)))*O671/O$678,0)),O657)),0)</f>
        <v>0</v>
      </c>
    </row>
    <row r="698" spans="4:15" s="327" customFormat="1" outlineLevel="2" x14ac:dyDescent="0.2">
      <c r="D698" s="631" t="str">
        <f>Intv_Ann_TA!D384</f>
        <v>Lusaka</v>
      </c>
      <c r="J698" s="8">
        <f ca="1">ROUND(MIN(J631,IF(Intv_Ann_TA!$H$377,MAX(0,J658+IFERROR((SUMPRODUCT((J$627:J$636=0)*J$654:J$663)+SUMPRODUCT((J$627:J$636&gt;0)*(J$654:J$663&gt;J$627:J$636)*(J$654:J$663-J$627:J$636)))*J672/J$678,0)),J658)),0)</f>
        <v>1211</v>
      </c>
      <c r="K698" s="8">
        <f ca="1">ROUND(MIN(K631,IF(Intv_Ann_TA!$H$377,MAX(0,K658+IFERROR((SUMPRODUCT((K$627:K$636=0)*K$654:K$663)+SUMPRODUCT((K$627:K$636&gt;0)*(K$654:K$663&gt;K$627:K$636)*(K$654:K$663-K$627:K$636)))*K672/K$678,0)),K658)),0)</f>
        <v>1211</v>
      </c>
      <c r="L698" s="8">
        <f ca="1">ROUND(MIN(L631,IF(Intv_Ann_TA!$H$377,MAX(0,L658+IFERROR((SUMPRODUCT((L$627:L$636=0)*L$654:L$663)+SUMPRODUCT((L$627:L$636&gt;0)*(L$654:L$663&gt;L$627:L$636)*(L$654:L$663-L$627:L$636)))*L672/L$678,0)),L658)),0)</f>
        <v>1211</v>
      </c>
      <c r="M698" s="8">
        <f ca="1">ROUND(MIN(M631,IF(Intv_Ann_TA!$H$377,MAX(0,M658+IFERROR((SUMPRODUCT((M$627:M$636=0)*M$654:M$663)+SUMPRODUCT((M$627:M$636&gt;0)*(M$654:M$663&gt;M$627:M$636)*(M$654:M$663-M$627:M$636)))*M672/M$678,0)),M658)),0)</f>
        <v>1211</v>
      </c>
      <c r="N698" s="8">
        <f ca="1">ROUND(MIN(N631,IF(Intv_Ann_TA!$H$377,MAX(0,N658+IFERROR((SUMPRODUCT((N$627:N$636=0)*N$654:N$663)+SUMPRODUCT((N$627:N$636&gt;0)*(N$654:N$663&gt;N$627:N$636)*(N$654:N$663-N$627:N$636)))*N672/N$678,0)),N658)),0)</f>
        <v>1211</v>
      </c>
      <c r="O698" s="8">
        <f ca="1">ROUND(MIN(O631,IF(Intv_Ann_TA!$H$377,MAX(0,O658+IFERROR((SUMPRODUCT((O$627:O$636=0)*O$654:O$663)+SUMPRODUCT((O$627:O$636&gt;0)*(O$654:O$663&gt;O$627:O$636)*(O$654:O$663-O$627:O$636)))*O672/O$678,0)),O658)),0)</f>
        <v>1211</v>
      </c>
    </row>
    <row r="699" spans="4:15" s="327" customFormat="1" outlineLevel="2" x14ac:dyDescent="0.2">
      <c r="D699" s="631" t="str">
        <f>Intv_Ann_TA!D385</f>
        <v>Muchinga</v>
      </c>
      <c r="J699" s="8">
        <f ca="1">ROUND(MIN(J632,IF(Intv_Ann_TA!$H$377,MAX(0,J659+IFERROR((SUMPRODUCT((J$627:J$636=0)*J$654:J$663)+SUMPRODUCT((J$627:J$636&gt;0)*(J$654:J$663&gt;J$627:J$636)*(J$654:J$663-J$627:J$636)))*J673/J$678,0)),J659)),0)</f>
        <v>0</v>
      </c>
      <c r="K699" s="8">
        <f ca="1">ROUND(MIN(K632,IF(Intv_Ann_TA!$H$377,MAX(0,K659+IFERROR((SUMPRODUCT((K$627:K$636=0)*K$654:K$663)+SUMPRODUCT((K$627:K$636&gt;0)*(K$654:K$663&gt;K$627:K$636)*(K$654:K$663-K$627:K$636)))*K673/K$678,0)),K659)),0)</f>
        <v>0</v>
      </c>
      <c r="L699" s="8">
        <f ca="1">ROUND(MIN(L632,IF(Intv_Ann_TA!$H$377,MAX(0,L659+IFERROR((SUMPRODUCT((L$627:L$636=0)*L$654:L$663)+SUMPRODUCT((L$627:L$636&gt;0)*(L$654:L$663&gt;L$627:L$636)*(L$654:L$663-L$627:L$636)))*L673/L$678,0)),L659)),0)</f>
        <v>0</v>
      </c>
      <c r="M699" s="8">
        <f ca="1">ROUND(MIN(M632,IF(Intv_Ann_TA!$H$377,MAX(0,M659+IFERROR((SUMPRODUCT((M$627:M$636=0)*M$654:M$663)+SUMPRODUCT((M$627:M$636&gt;0)*(M$654:M$663&gt;M$627:M$636)*(M$654:M$663-M$627:M$636)))*M673/M$678,0)),M659)),0)</f>
        <v>0</v>
      </c>
      <c r="N699" s="8">
        <f ca="1">ROUND(MIN(N632,IF(Intv_Ann_TA!$H$377,MAX(0,N659+IFERROR((SUMPRODUCT((N$627:N$636=0)*N$654:N$663)+SUMPRODUCT((N$627:N$636&gt;0)*(N$654:N$663&gt;N$627:N$636)*(N$654:N$663-N$627:N$636)))*N673/N$678,0)),N659)),0)</f>
        <v>0</v>
      </c>
      <c r="O699" s="8">
        <f ca="1">ROUND(MIN(O632,IF(Intv_Ann_TA!$H$377,MAX(0,O659+IFERROR((SUMPRODUCT((O$627:O$636=0)*O$654:O$663)+SUMPRODUCT((O$627:O$636&gt;0)*(O$654:O$663&gt;O$627:O$636)*(O$654:O$663-O$627:O$636)))*O673/O$678,0)),O659)),0)</f>
        <v>0</v>
      </c>
    </row>
    <row r="700" spans="4:15" s="327" customFormat="1" outlineLevel="2" x14ac:dyDescent="0.2">
      <c r="D700" s="631" t="str">
        <f>Intv_Ann_TA!D386</f>
        <v>Northern</v>
      </c>
      <c r="J700" s="8">
        <f ca="1">ROUND(MIN(J633,IF(Intv_Ann_TA!$H$377,MAX(0,J660+IFERROR((SUMPRODUCT((J$627:J$636=0)*J$654:J$663)+SUMPRODUCT((J$627:J$636&gt;0)*(J$654:J$663&gt;J$627:J$636)*(J$654:J$663-J$627:J$636)))*J674/J$678,0)),J660)),0)</f>
        <v>0</v>
      </c>
      <c r="K700" s="8">
        <f ca="1">ROUND(MIN(K633,IF(Intv_Ann_TA!$H$377,MAX(0,K660+IFERROR((SUMPRODUCT((K$627:K$636=0)*K$654:K$663)+SUMPRODUCT((K$627:K$636&gt;0)*(K$654:K$663&gt;K$627:K$636)*(K$654:K$663-K$627:K$636)))*K674/K$678,0)),K660)),0)</f>
        <v>0</v>
      </c>
      <c r="L700" s="8">
        <f ca="1">ROUND(MIN(L633,IF(Intv_Ann_TA!$H$377,MAX(0,L660+IFERROR((SUMPRODUCT((L$627:L$636=0)*L$654:L$663)+SUMPRODUCT((L$627:L$636&gt;0)*(L$654:L$663&gt;L$627:L$636)*(L$654:L$663-L$627:L$636)))*L674/L$678,0)),L660)),0)</f>
        <v>0</v>
      </c>
      <c r="M700" s="8">
        <f ca="1">ROUND(MIN(M633,IF(Intv_Ann_TA!$H$377,MAX(0,M660+IFERROR((SUMPRODUCT((M$627:M$636=0)*M$654:M$663)+SUMPRODUCT((M$627:M$636&gt;0)*(M$654:M$663&gt;M$627:M$636)*(M$654:M$663-M$627:M$636)))*M674/M$678,0)),M660)),0)</f>
        <v>0</v>
      </c>
      <c r="N700" s="8">
        <f ca="1">ROUND(MIN(N633,IF(Intv_Ann_TA!$H$377,MAX(0,N660+IFERROR((SUMPRODUCT((N$627:N$636=0)*N$654:N$663)+SUMPRODUCT((N$627:N$636&gt;0)*(N$654:N$663&gt;N$627:N$636)*(N$654:N$663-N$627:N$636)))*N674/N$678,0)),N660)),0)</f>
        <v>0</v>
      </c>
      <c r="O700" s="8">
        <f ca="1">ROUND(MIN(O633,IF(Intv_Ann_TA!$H$377,MAX(0,O660+IFERROR((SUMPRODUCT((O$627:O$636=0)*O$654:O$663)+SUMPRODUCT((O$627:O$636&gt;0)*(O$654:O$663&gt;O$627:O$636)*(O$654:O$663-O$627:O$636)))*O674/O$678,0)),O660)),0)</f>
        <v>0</v>
      </c>
    </row>
    <row r="701" spans="4:15" s="327" customFormat="1" outlineLevel="2" x14ac:dyDescent="0.2">
      <c r="D701" s="631" t="str">
        <f>Intv_Ann_TA!D387</f>
        <v>North-Western</v>
      </c>
      <c r="J701" s="8">
        <f ca="1">ROUND(MIN(J634,IF(Intv_Ann_TA!$H$377,MAX(0,J661+IFERROR((SUMPRODUCT((J$627:J$636=0)*J$654:J$663)+SUMPRODUCT((J$627:J$636&gt;0)*(J$654:J$663&gt;J$627:J$636)*(J$654:J$663-J$627:J$636)))*J675/J$678,0)),J661)),0)</f>
        <v>0</v>
      </c>
      <c r="K701" s="8">
        <f ca="1">ROUND(MIN(K634,IF(Intv_Ann_TA!$H$377,MAX(0,K661+IFERROR((SUMPRODUCT((K$627:K$636=0)*K$654:K$663)+SUMPRODUCT((K$627:K$636&gt;0)*(K$654:K$663&gt;K$627:K$636)*(K$654:K$663-K$627:K$636)))*K675/K$678,0)),K661)),0)</f>
        <v>0</v>
      </c>
      <c r="L701" s="8">
        <f ca="1">ROUND(MIN(L634,IF(Intv_Ann_TA!$H$377,MAX(0,L661+IFERROR((SUMPRODUCT((L$627:L$636=0)*L$654:L$663)+SUMPRODUCT((L$627:L$636&gt;0)*(L$654:L$663&gt;L$627:L$636)*(L$654:L$663-L$627:L$636)))*L675/L$678,0)),L661)),0)</f>
        <v>0</v>
      </c>
      <c r="M701" s="8">
        <f ca="1">ROUND(MIN(M634,IF(Intv_Ann_TA!$H$377,MAX(0,M661+IFERROR((SUMPRODUCT((M$627:M$636=0)*M$654:M$663)+SUMPRODUCT((M$627:M$636&gt;0)*(M$654:M$663&gt;M$627:M$636)*(M$654:M$663-M$627:M$636)))*M675/M$678,0)),M661)),0)</f>
        <v>0</v>
      </c>
      <c r="N701" s="8">
        <f ca="1">ROUND(MIN(N634,IF(Intv_Ann_TA!$H$377,MAX(0,N661+IFERROR((SUMPRODUCT((N$627:N$636=0)*N$654:N$663)+SUMPRODUCT((N$627:N$636&gt;0)*(N$654:N$663&gt;N$627:N$636)*(N$654:N$663-N$627:N$636)))*N675/N$678,0)),N661)),0)</f>
        <v>0</v>
      </c>
      <c r="O701" s="8">
        <f ca="1">ROUND(MIN(O634,IF(Intv_Ann_TA!$H$377,MAX(0,O661+IFERROR((SUMPRODUCT((O$627:O$636=0)*O$654:O$663)+SUMPRODUCT((O$627:O$636&gt;0)*(O$654:O$663&gt;O$627:O$636)*(O$654:O$663-O$627:O$636)))*O675/O$678,0)),O661)),0)</f>
        <v>0</v>
      </c>
    </row>
    <row r="702" spans="4:15" s="327" customFormat="1" outlineLevel="2" x14ac:dyDescent="0.2">
      <c r="D702" s="631" t="str">
        <f>Intv_Ann_TA!D388</f>
        <v>Southern</v>
      </c>
      <c r="J702" s="8">
        <f ca="1">ROUND(MIN(J635,IF(Intv_Ann_TA!$H$377,MAX(0,J662+IFERROR((SUMPRODUCT((J$627:J$636=0)*J$654:J$663)+SUMPRODUCT((J$627:J$636&gt;0)*(J$654:J$663&gt;J$627:J$636)*(J$654:J$663-J$627:J$636)))*J676/J$678,0)),J662)),0)</f>
        <v>0</v>
      </c>
      <c r="K702" s="8">
        <f ca="1">ROUND(MIN(K635,IF(Intv_Ann_TA!$H$377,MAX(0,K662+IFERROR((SUMPRODUCT((K$627:K$636=0)*K$654:K$663)+SUMPRODUCT((K$627:K$636&gt;0)*(K$654:K$663&gt;K$627:K$636)*(K$654:K$663-K$627:K$636)))*K676/K$678,0)),K662)),0)</f>
        <v>0</v>
      </c>
      <c r="L702" s="8">
        <f ca="1">ROUND(MIN(L635,IF(Intv_Ann_TA!$H$377,MAX(0,L662+IFERROR((SUMPRODUCT((L$627:L$636=0)*L$654:L$663)+SUMPRODUCT((L$627:L$636&gt;0)*(L$654:L$663&gt;L$627:L$636)*(L$654:L$663-L$627:L$636)))*L676/L$678,0)),L662)),0)</f>
        <v>0</v>
      </c>
      <c r="M702" s="8">
        <f ca="1">ROUND(MIN(M635,IF(Intv_Ann_TA!$H$377,MAX(0,M662+IFERROR((SUMPRODUCT((M$627:M$636=0)*M$654:M$663)+SUMPRODUCT((M$627:M$636&gt;0)*(M$654:M$663&gt;M$627:M$636)*(M$654:M$663-M$627:M$636)))*M676/M$678,0)),M662)),0)</f>
        <v>0</v>
      </c>
      <c r="N702" s="8">
        <f ca="1">ROUND(MIN(N635,IF(Intv_Ann_TA!$H$377,MAX(0,N662+IFERROR((SUMPRODUCT((N$627:N$636=0)*N$654:N$663)+SUMPRODUCT((N$627:N$636&gt;0)*(N$654:N$663&gt;N$627:N$636)*(N$654:N$663-N$627:N$636)))*N676/N$678,0)),N662)),0)</f>
        <v>0</v>
      </c>
      <c r="O702" s="8">
        <f ca="1">ROUND(MIN(O635,IF(Intv_Ann_TA!$H$377,MAX(0,O662+IFERROR((SUMPRODUCT((O$627:O$636=0)*O$654:O$663)+SUMPRODUCT((O$627:O$636&gt;0)*(O$654:O$663&gt;O$627:O$636)*(O$654:O$663-O$627:O$636)))*O676/O$678,0)),O662)),0)</f>
        <v>0</v>
      </c>
    </row>
    <row r="703" spans="4:15" s="327" customFormat="1" outlineLevel="2" x14ac:dyDescent="0.2">
      <c r="D703" s="631" t="str">
        <f>Intv_Ann_TA!D389</f>
        <v>Western</v>
      </c>
      <c r="J703" s="9">
        <f ca="1">ROUND(MIN(J636,IF(Intv_Ann_TA!$H$377,MAX(0,J663+IFERROR((SUMPRODUCT((J$627:J$636=0)*J$654:J$663)+SUMPRODUCT((J$627:J$636&gt;0)*(J$654:J$663&gt;J$627:J$636)*(J$654:J$663-J$627:J$636)))*J677/J$678,0)),J663)),0)</f>
        <v>0</v>
      </c>
      <c r="K703" s="9">
        <f ca="1">ROUND(MIN(K636,IF(Intv_Ann_TA!$H$377,MAX(0,K663+IFERROR((SUMPRODUCT((K$627:K$636=0)*K$654:K$663)+SUMPRODUCT((K$627:K$636&gt;0)*(K$654:K$663&gt;K$627:K$636)*(K$654:K$663-K$627:K$636)))*K677/K$678,0)),K663)),0)</f>
        <v>0</v>
      </c>
      <c r="L703" s="9">
        <f ca="1">ROUND(MIN(L636,IF(Intv_Ann_TA!$H$377,MAX(0,L663+IFERROR((SUMPRODUCT((L$627:L$636=0)*L$654:L$663)+SUMPRODUCT((L$627:L$636&gt;0)*(L$654:L$663&gt;L$627:L$636)*(L$654:L$663-L$627:L$636)))*L677/L$678,0)),L663)),0)</f>
        <v>0</v>
      </c>
      <c r="M703" s="9">
        <f ca="1">ROUND(MIN(M636,IF(Intv_Ann_TA!$H$377,MAX(0,M663+IFERROR((SUMPRODUCT((M$627:M$636=0)*M$654:M$663)+SUMPRODUCT((M$627:M$636&gt;0)*(M$654:M$663&gt;M$627:M$636)*(M$654:M$663-M$627:M$636)))*M677/M$678,0)),M663)),0)</f>
        <v>0</v>
      </c>
      <c r="N703" s="9">
        <f ca="1">ROUND(MIN(N636,IF(Intv_Ann_TA!$H$377,MAX(0,N663+IFERROR((SUMPRODUCT((N$627:N$636=0)*N$654:N$663)+SUMPRODUCT((N$627:N$636&gt;0)*(N$654:N$663&gt;N$627:N$636)*(N$654:N$663-N$627:N$636)))*N677/N$678,0)),N663)),0)</f>
        <v>0</v>
      </c>
      <c r="O703" s="9">
        <f ca="1">ROUND(MIN(O636,IF(Intv_Ann_TA!$H$377,MAX(0,O663+IFERROR((SUMPRODUCT((O$627:O$636=0)*O$654:O$663)+SUMPRODUCT((O$627:O$636&gt;0)*(O$654:O$663&gt;O$627:O$636)*(O$654:O$663-O$627:O$636)))*O677/O$678,0)),O663)),0)</f>
        <v>0</v>
      </c>
    </row>
    <row r="704" spans="4:15" s="327" customFormat="1" x14ac:dyDescent="0.2">
      <c r="D704" s="630" t="str">
        <f>"Total "&amp;D693&amp;" ("&amp;Intv_BA!G588&amp;")"</f>
        <v>Total Number of Procedures Performed (LEEP with BIOP-H)</v>
      </c>
      <c r="H704" s="631" t="str">
        <f>Intv_BA!G588</f>
        <v>LEEP with BIOP-H</v>
      </c>
      <c r="J704" s="25">
        <f t="shared" ref="J704:O704" ca="1" si="67">SUM(J694:J703)</f>
        <v>2672</v>
      </c>
      <c r="K704" s="25">
        <f t="shared" ca="1" si="67"/>
        <v>2672</v>
      </c>
      <c r="L704" s="25">
        <f t="shared" ca="1" si="67"/>
        <v>2672</v>
      </c>
      <c r="M704" s="25">
        <f t="shared" ca="1" si="67"/>
        <v>2672</v>
      </c>
      <c r="N704" s="25">
        <f t="shared" ca="1" si="67"/>
        <v>2672</v>
      </c>
      <c r="O704" s="25">
        <f t="shared" ca="1" si="67"/>
        <v>2672</v>
      </c>
    </row>
    <row r="705" spans="3:15" s="327" customFormat="1" x14ac:dyDescent="0.2"/>
    <row r="706" spans="3:15" s="327" customFormat="1" ht="15.75" x14ac:dyDescent="0.2">
      <c r="C706" s="26" t="str">
        <f>"Expected Costs ("&amp;INDEX(LU_Intv_2_Denom,DD_TS_Denom)&amp;")"</f>
        <v>Expected Costs (USD)</v>
      </c>
    </row>
    <row r="707" spans="3:15" s="327" customFormat="1" x14ac:dyDescent="0.2"/>
    <row r="708" spans="3:15" s="327" customFormat="1" ht="15" outlineLevel="2" x14ac:dyDescent="0.2">
      <c r="D708" s="629" t="s">
        <v>105</v>
      </c>
    </row>
    <row r="709" spans="3:15" s="327" customFormat="1" ht="10.5" customHeight="1" outlineLevel="2" x14ac:dyDescent="0.2">
      <c r="D709" s="631" t="str">
        <f>Intv_BA!D758</f>
        <v>Central</v>
      </c>
      <c r="J709" s="8">
        <f ca="1">J694*Intv_BA!$M$712/TS_Denom_Conv_Fact</f>
        <v>6398.4693378333332</v>
      </c>
      <c r="K709" s="8">
        <f ca="1">K694*Intv_BA!$M$712/TS_Denom_Conv_Fact</f>
        <v>6398.4693378333332</v>
      </c>
      <c r="L709" s="8">
        <f ca="1">L694*Intv_BA!$M$712/TS_Denom_Conv_Fact</f>
        <v>6398.4693378333332</v>
      </c>
      <c r="M709" s="8">
        <f ca="1">M694*Intv_BA!$M$712/TS_Denom_Conv_Fact</f>
        <v>6398.4693378333332</v>
      </c>
      <c r="N709" s="8">
        <f ca="1">N694*Intv_BA!$M$712/TS_Denom_Conv_Fact</f>
        <v>6398.4693378333332</v>
      </c>
      <c r="O709" s="8">
        <f ca="1">O694*Intv_BA!$M$712/TS_Denom_Conv_Fact</f>
        <v>6398.4693378333332</v>
      </c>
    </row>
    <row r="710" spans="3:15" s="327" customFormat="1" ht="12.95" customHeight="1" outlineLevel="2" x14ac:dyDescent="0.2">
      <c r="D710" s="631" t="str">
        <f>Intv_BA!D759</f>
        <v>Copperbelt</v>
      </c>
      <c r="J710" s="8">
        <f ca="1">J695*Intv_BA!$M$712/TS_Denom_Conv_Fact</f>
        <v>11544.263296666666</v>
      </c>
      <c r="K710" s="8">
        <f ca="1">K695*Intv_BA!$M$712/TS_Denom_Conv_Fact</f>
        <v>11544.263296666666</v>
      </c>
      <c r="L710" s="8">
        <f ca="1">L695*Intv_BA!$M$712/TS_Denom_Conv_Fact</f>
        <v>11544.263296666666</v>
      </c>
      <c r="M710" s="8">
        <f ca="1">M695*Intv_BA!$M$712/TS_Denom_Conv_Fact</f>
        <v>11544.263296666666</v>
      </c>
      <c r="N710" s="8">
        <f ca="1">N695*Intv_BA!$M$712/TS_Denom_Conv_Fact</f>
        <v>11544.263296666666</v>
      </c>
      <c r="O710" s="8">
        <f ca="1">O695*Intv_BA!$M$712/TS_Denom_Conv_Fact</f>
        <v>11544.263296666666</v>
      </c>
    </row>
    <row r="711" spans="3:15" s="327" customFormat="1" ht="12.95" customHeight="1" outlineLevel="2" x14ac:dyDescent="0.2">
      <c r="D711" s="631" t="str">
        <f>Intv_BA!D760</f>
        <v>Eastern</v>
      </c>
      <c r="J711" s="8">
        <f ca="1">J696*Intv_BA!$M$712/TS_Denom_Conv_Fact</f>
        <v>0</v>
      </c>
      <c r="K711" s="8">
        <f ca="1">K696*Intv_BA!$M$712/TS_Denom_Conv_Fact</f>
        <v>0</v>
      </c>
      <c r="L711" s="8">
        <f ca="1">L696*Intv_BA!$M$712/TS_Denom_Conv_Fact</f>
        <v>0</v>
      </c>
      <c r="M711" s="8">
        <f ca="1">M696*Intv_BA!$M$712/TS_Denom_Conv_Fact</f>
        <v>0</v>
      </c>
      <c r="N711" s="8">
        <f ca="1">N696*Intv_BA!$M$712/TS_Denom_Conv_Fact</f>
        <v>0</v>
      </c>
      <c r="O711" s="8">
        <f ca="1">O696*Intv_BA!$M$712/TS_Denom_Conv_Fact</f>
        <v>0</v>
      </c>
    </row>
    <row r="712" spans="3:15" s="327" customFormat="1" ht="10.5" customHeight="1" outlineLevel="2" x14ac:dyDescent="0.2">
      <c r="D712" s="631" t="str">
        <f>Intv_BA!D761</f>
        <v>Luapula</v>
      </c>
      <c r="J712" s="8">
        <f ca="1">J697*Intv_BA!$M$712/TS_Denom_Conv_Fact</f>
        <v>0</v>
      </c>
      <c r="K712" s="8">
        <f ca="1">K697*Intv_BA!$M$712/TS_Denom_Conv_Fact</f>
        <v>0</v>
      </c>
      <c r="L712" s="8">
        <f ca="1">L697*Intv_BA!$M$712/TS_Denom_Conv_Fact</f>
        <v>0</v>
      </c>
      <c r="M712" s="8">
        <f ca="1">M697*Intv_BA!$M$712/TS_Denom_Conv_Fact</f>
        <v>0</v>
      </c>
      <c r="N712" s="8">
        <f ca="1">N697*Intv_BA!$M$712/TS_Denom_Conv_Fact</f>
        <v>0</v>
      </c>
      <c r="O712" s="8">
        <f ca="1">O697*Intv_BA!$M$712/TS_Denom_Conv_Fact</f>
        <v>0</v>
      </c>
    </row>
    <row r="713" spans="3:15" s="327" customFormat="1" ht="10.5" customHeight="1" outlineLevel="2" x14ac:dyDescent="0.2">
      <c r="D713" s="631" t="str">
        <f>Intv_BA!D762</f>
        <v>Lusaka</v>
      </c>
      <c r="J713" s="8">
        <f ca="1">J698*Intv_BA!$M$712/TS_Denom_Conv_Fact</f>
        <v>14872.449842833334</v>
      </c>
      <c r="K713" s="8">
        <f ca="1">K698*Intv_BA!$M$712/TS_Denom_Conv_Fact</f>
        <v>14872.449842833334</v>
      </c>
      <c r="L713" s="8">
        <f ca="1">L698*Intv_BA!$M$712/TS_Denom_Conv_Fact</f>
        <v>14872.449842833334</v>
      </c>
      <c r="M713" s="8">
        <f ca="1">M698*Intv_BA!$M$712/TS_Denom_Conv_Fact</f>
        <v>14872.449842833334</v>
      </c>
      <c r="N713" s="8">
        <f ca="1">N698*Intv_BA!$M$712/TS_Denom_Conv_Fact</f>
        <v>14872.449842833334</v>
      </c>
      <c r="O713" s="8">
        <f ca="1">O698*Intv_BA!$M$712/TS_Denom_Conv_Fact</f>
        <v>14872.449842833334</v>
      </c>
    </row>
    <row r="714" spans="3:15" s="327" customFormat="1" ht="12.75" customHeight="1" outlineLevel="2" x14ac:dyDescent="0.2">
      <c r="D714" s="631" t="str">
        <f>Intv_BA!D763</f>
        <v>Muchinga</v>
      </c>
      <c r="J714" s="8">
        <f ca="1">J699*Intv_BA!$M$712/TS_Denom_Conv_Fact</f>
        <v>0</v>
      </c>
      <c r="K714" s="8">
        <f ca="1">K699*Intv_BA!$M$712/TS_Denom_Conv_Fact</f>
        <v>0</v>
      </c>
      <c r="L714" s="8">
        <f ca="1">L699*Intv_BA!$M$712/TS_Denom_Conv_Fact</f>
        <v>0</v>
      </c>
      <c r="M714" s="8">
        <f ca="1">M699*Intv_BA!$M$712/TS_Denom_Conv_Fact</f>
        <v>0</v>
      </c>
      <c r="N714" s="8">
        <f ca="1">N699*Intv_BA!$M$712/TS_Denom_Conv_Fact</f>
        <v>0</v>
      </c>
      <c r="O714" s="8">
        <f ca="1">O699*Intv_BA!$M$712/TS_Denom_Conv_Fact</f>
        <v>0</v>
      </c>
    </row>
    <row r="715" spans="3:15" s="327" customFormat="1" ht="12.75" customHeight="1" outlineLevel="2" x14ac:dyDescent="0.2">
      <c r="D715" s="631" t="str">
        <f>Intv_BA!D764</f>
        <v>Northern</v>
      </c>
      <c r="J715" s="8">
        <f ca="1">J700*Intv_BA!$M$712/TS_Denom_Conv_Fact</f>
        <v>0</v>
      </c>
      <c r="K715" s="8">
        <f ca="1">K700*Intv_BA!$M$712/TS_Denom_Conv_Fact</f>
        <v>0</v>
      </c>
      <c r="L715" s="8">
        <f ca="1">L700*Intv_BA!$M$712/TS_Denom_Conv_Fact</f>
        <v>0</v>
      </c>
      <c r="M715" s="8">
        <f ca="1">M700*Intv_BA!$M$712/TS_Denom_Conv_Fact</f>
        <v>0</v>
      </c>
      <c r="N715" s="8">
        <f ca="1">N700*Intv_BA!$M$712/TS_Denom_Conv_Fact</f>
        <v>0</v>
      </c>
      <c r="O715" s="8">
        <f ca="1">O700*Intv_BA!$M$712/TS_Denom_Conv_Fact</f>
        <v>0</v>
      </c>
    </row>
    <row r="716" spans="3:15" s="327" customFormat="1" ht="12.75" customHeight="1" outlineLevel="2" x14ac:dyDescent="0.2">
      <c r="D716" s="631" t="str">
        <f>Intv_BA!D765</f>
        <v>North-Western</v>
      </c>
      <c r="J716" s="8">
        <f ca="1">J701*Intv_BA!$M$712/TS_Denom_Conv_Fact</f>
        <v>0</v>
      </c>
      <c r="K716" s="8">
        <f ca="1">K701*Intv_BA!$M$712/TS_Denom_Conv_Fact</f>
        <v>0</v>
      </c>
      <c r="L716" s="8">
        <f ca="1">L701*Intv_BA!$M$712/TS_Denom_Conv_Fact</f>
        <v>0</v>
      </c>
      <c r="M716" s="8">
        <f ca="1">M701*Intv_BA!$M$712/TS_Denom_Conv_Fact</f>
        <v>0</v>
      </c>
      <c r="N716" s="8">
        <f ca="1">N701*Intv_BA!$M$712/TS_Denom_Conv_Fact</f>
        <v>0</v>
      </c>
      <c r="O716" s="8">
        <f ca="1">O701*Intv_BA!$M$712/TS_Denom_Conv_Fact</f>
        <v>0</v>
      </c>
    </row>
    <row r="717" spans="3:15" s="327" customFormat="1" ht="12.75" customHeight="1" outlineLevel="2" x14ac:dyDescent="0.2">
      <c r="D717" s="631" t="str">
        <f>Intv_BA!D766</f>
        <v>Southern</v>
      </c>
      <c r="J717" s="8">
        <f ca="1">J702*Intv_BA!$M$712/TS_Denom_Conv_Fact</f>
        <v>0</v>
      </c>
      <c r="K717" s="8">
        <f ca="1">K702*Intv_BA!$M$712/TS_Denom_Conv_Fact</f>
        <v>0</v>
      </c>
      <c r="L717" s="8">
        <f ca="1">L702*Intv_BA!$M$712/TS_Denom_Conv_Fact</f>
        <v>0</v>
      </c>
      <c r="M717" s="8">
        <f ca="1">M702*Intv_BA!$M$712/TS_Denom_Conv_Fact</f>
        <v>0</v>
      </c>
      <c r="N717" s="8">
        <f ca="1">N702*Intv_BA!$M$712/TS_Denom_Conv_Fact</f>
        <v>0</v>
      </c>
      <c r="O717" s="8">
        <f ca="1">O702*Intv_BA!$M$712/TS_Denom_Conv_Fact</f>
        <v>0</v>
      </c>
    </row>
    <row r="718" spans="3:15" s="327" customFormat="1" ht="12.75" customHeight="1" outlineLevel="2" x14ac:dyDescent="0.2">
      <c r="D718" s="631" t="str">
        <f>Intv_BA!D767</f>
        <v>Western</v>
      </c>
      <c r="J718" s="9">
        <f ca="1">J703*Intv_BA!$M$712/TS_Denom_Conv_Fact</f>
        <v>0</v>
      </c>
      <c r="K718" s="9">
        <f ca="1">K703*Intv_BA!$M$712/TS_Denom_Conv_Fact</f>
        <v>0</v>
      </c>
      <c r="L718" s="9">
        <f ca="1">L703*Intv_BA!$M$712/TS_Denom_Conv_Fact</f>
        <v>0</v>
      </c>
      <c r="M718" s="9">
        <f ca="1">M703*Intv_BA!$M$712/TS_Denom_Conv_Fact</f>
        <v>0</v>
      </c>
      <c r="N718" s="9">
        <f ca="1">N703*Intv_BA!$M$712/TS_Denom_Conv_Fact</f>
        <v>0</v>
      </c>
      <c r="O718" s="9">
        <f ca="1">O703*Intv_BA!$M$712/TS_Denom_Conv_Fact</f>
        <v>0</v>
      </c>
    </row>
    <row r="719" spans="3:15" s="327" customFormat="1" x14ac:dyDescent="0.2">
      <c r="D719" s="630" t="str">
        <f>"Total "&amp;D708&amp;" ("&amp;INDEX(LU_Intv_2_Denom,DD_TS_Denom)&amp;")"</f>
        <v>Total Supply Costs (USD)</v>
      </c>
      <c r="J719" s="5">
        <f t="shared" ref="J719:O719" ca="1" si="68">SUM(J709:J718)</f>
        <v>32815.182477333336</v>
      </c>
      <c r="K719" s="5">
        <f t="shared" ca="1" si="68"/>
        <v>32815.182477333336</v>
      </c>
      <c r="L719" s="5">
        <f t="shared" ca="1" si="68"/>
        <v>32815.182477333336</v>
      </c>
      <c r="M719" s="5">
        <f t="shared" ca="1" si="68"/>
        <v>32815.182477333336</v>
      </c>
      <c r="N719" s="5">
        <f t="shared" ca="1" si="68"/>
        <v>32815.182477333336</v>
      </c>
      <c r="O719" s="5">
        <f t="shared" ca="1" si="68"/>
        <v>32815.182477333336</v>
      </c>
    </row>
    <row r="720" spans="3:15" s="327" customFormat="1" outlineLevel="2" x14ac:dyDescent="0.2"/>
    <row r="721" spans="4:15" s="327" customFormat="1" ht="15" outlineLevel="2" x14ac:dyDescent="0.2">
      <c r="D721" s="629" t="s">
        <v>288</v>
      </c>
    </row>
    <row r="722" spans="4:15" s="327" customFormat="1" outlineLevel="2" x14ac:dyDescent="0.2">
      <c r="D722" s="631" t="str">
        <f>Intv_BA!D758</f>
        <v>Central</v>
      </c>
      <c r="J722" s="8">
        <f ca="1">Intv_BA!$O$668*J694*J613/TS_Denom_Conv_Fact</f>
        <v>4466.42074108827</v>
      </c>
      <c r="K722" s="8">
        <f ca="1">Intv_BA!$O$668*K694*K613/TS_Denom_Conv_Fact</f>
        <v>4466.42074108827</v>
      </c>
      <c r="L722" s="8">
        <f ca="1">Intv_BA!$O$668*L694*L613/TS_Denom_Conv_Fact</f>
        <v>4466.42074108827</v>
      </c>
      <c r="M722" s="8">
        <f ca="1">Intv_BA!$O$668*M694*M613/TS_Denom_Conv_Fact</f>
        <v>4466.42074108827</v>
      </c>
      <c r="N722" s="8">
        <f ca="1">Intv_BA!$O$668*N694*N613/TS_Denom_Conv_Fact</f>
        <v>4466.42074108827</v>
      </c>
      <c r="O722" s="8">
        <f ca="1">Intv_BA!$O$668*O694*O613/TS_Denom_Conv_Fact</f>
        <v>4466.42074108827</v>
      </c>
    </row>
    <row r="723" spans="4:15" s="327" customFormat="1" outlineLevel="2" x14ac:dyDescent="0.2">
      <c r="D723" s="631" t="str">
        <f>Intv_BA!D759</f>
        <v>Copperbelt</v>
      </c>
      <c r="J723" s="8">
        <f ca="1">Intv_BA!$O$668*J695*J614/TS_Denom_Conv_Fact</f>
        <v>8058.4174599289317</v>
      </c>
      <c r="K723" s="8">
        <f ca="1">Intv_BA!$O$668*K695*K614/TS_Denom_Conv_Fact</f>
        <v>8058.4174599289317</v>
      </c>
      <c r="L723" s="8">
        <f ca="1">Intv_BA!$O$668*L695*L614/TS_Denom_Conv_Fact</f>
        <v>8058.4174599289317</v>
      </c>
      <c r="M723" s="8">
        <f ca="1">Intv_BA!$O$668*M695*M614/TS_Denom_Conv_Fact</f>
        <v>8058.4174599289317</v>
      </c>
      <c r="N723" s="8">
        <f ca="1">Intv_BA!$O$668*N695*N614/TS_Denom_Conv_Fact</f>
        <v>8058.4174599289317</v>
      </c>
      <c r="O723" s="8">
        <f ca="1">Intv_BA!$O$668*O695*O614/TS_Denom_Conv_Fact</f>
        <v>8058.4174599289317</v>
      </c>
    </row>
    <row r="724" spans="4:15" s="327" customFormat="1" outlineLevel="2" x14ac:dyDescent="0.2">
      <c r="D724" s="631" t="str">
        <f>Intv_BA!D760</f>
        <v>Eastern</v>
      </c>
      <c r="J724" s="8">
        <f ca="1">Intv_BA!$O$668*J696*J615/TS_Denom_Conv_Fact</f>
        <v>0</v>
      </c>
      <c r="K724" s="8">
        <f ca="1">Intv_BA!$O$668*K696*K615/TS_Denom_Conv_Fact</f>
        <v>0</v>
      </c>
      <c r="L724" s="8">
        <f ca="1">Intv_BA!$O$668*L696*L615/TS_Denom_Conv_Fact</f>
        <v>0</v>
      </c>
      <c r="M724" s="8">
        <f ca="1">Intv_BA!$O$668*M696*M615/TS_Denom_Conv_Fact</f>
        <v>0</v>
      </c>
      <c r="N724" s="8">
        <f ca="1">Intv_BA!$O$668*N696*N615/TS_Denom_Conv_Fact</f>
        <v>0</v>
      </c>
      <c r="O724" s="8">
        <f ca="1">Intv_BA!$O$668*O696*O615/TS_Denom_Conv_Fact</f>
        <v>0</v>
      </c>
    </row>
    <row r="725" spans="4:15" s="327" customFormat="1" outlineLevel="2" x14ac:dyDescent="0.2">
      <c r="D725" s="631" t="str">
        <f>Intv_BA!D761</f>
        <v>Luapula</v>
      </c>
      <c r="J725" s="8">
        <f ca="1">Intv_BA!$O$668*J697*J616/TS_Denom_Conv_Fact</f>
        <v>0</v>
      </c>
      <c r="K725" s="8">
        <f ca="1">Intv_BA!$O$668*K697*K616/TS_Denom_Conv_Fact</f>
        <v>0</v>
      </c>
      <c r="L725" s="8">
        <f ca="1">Intv_BA!$O$668*L697*L616/TS_Denom_Conv_Fact</f>
        <v>0</v>
      </c>
      <c r="M725" s="8">
        <f ca="1">Intv_BA!$O$668*M697*M616/TS_Denom_Conv_Fact</f>
        <v>0</v>
      </c>
      <c r="N725" s="8">
        <f ca="1">Intv_BA!$O$668*N697*N616/TS_Denom_Conv_Fact</f>
        <v>0</v>
      </c>
      <c r="O725" s="8">
        <f ca="1">Intv_BA!$O$668*O697*O616/TS_Denom_Conv_Fact</f>
        <v>0</v>
      </c>
    </row>
    <row r="726" spans="4:15" s="327" customFormat="1" outlineLevel="2" x14ac:dyDescent="0.2">
      <c r="D726" s="631" t="str">
        <f>Intv_BA!D762</f>
        <v>Lusaka</v>
      </c>
      <c r="J726" s="8">
        <f ca="1">Intv_BA!$O$668*J698*J617/TS_Denom_Conv_Fact</f>
        <v>10381.642068057379</v>
      </c>
      <c r="K726" s="8">
        <f ca="1">Intv_BA!$O$668*K698*K617/TS_Denom_Conv_Fact</f>
        <v>10381.642068057379</v>
      </c>
      <c r="L726" s="8">
        <f ca="1">Intv_BA!$O$668*L698*L617/TS_Denom_Conv_Fact</f>
        <v>10381.642068057379</v>
      </c>
      <c r="M726" s="8">
        <f ca="1">Intv_BA!$O$668*M698*M617/TS_Denom_Conv_Fact</f>
        <v>10381.642068057379</v>
      </c>
      <c r="N726" s="8">
        <f ca="1">Intv_BA!$O$668*N698*N617/TS_Denom_Conv_Fact</f>
        <v>10381.642068057379</v>
      </c>
      <c r="O726" s="8">
        <f ca="1">Intv_BA!$O$668*O698*O617/TS_Denom_Conv_Fact</f>
        <v>10381.642068057379</v>
      </c>
    </row>
    <row r="727" spans="4:15" s="327" customFormat="1" outlineLevel="2" x14ac:dyDescent="0.2">
      <c r="D727" s="631" t="str">
        <f>Intv_BA!D763</f>
        <v>Muchinga</v>
      </c>
      <c r="J727" s="8">
        <f ca="1">Intv_BA!$O$668*J699*J618/TS_Denom_Conv_Fact</f>
        <v>0</v>
      </c>
      <c r="K727" s="8">
        <f ca="1">Intv_BA!$O$668*K699*K618/TS_Denom_Conv_Fact</f>
        <v>0</v>
      </c>
      <c r="L727" s="8">
        <f ca="1">Intv_BA!$O$668*L699*L618/TS_Denom_Conv_Fact</f>
        <v>0</v>
      </c>
      <c r="M727" s="8">
        <f ca="1">Intv_BA!$O$668*M699*M618/TS_Denom_Conv_Fact</f>
        <v>0</v>
      </c>
      <c r="N727" s="8">
        <f ca="1">Intv_BA!$O$668*N699*N618/TS_Denom_Conv_Fact</f>
        <v>0</v>
      </c>
      <c r="O727" s="8">
        <f ca="1">Intv_BA!$O$668*O699*O618/TS_Denom_Conv_Fact</f>
        <v>0</v>
      </c>
    </row>
    <row r="728" spans="4:15" s="327" customFormat="1" outlineLevel="2" x14ac:dyDescent="0.2">
      <c r="D728" s="631" t="str">
        <f>Intv_BA!D764</f>
        <v>Northern</v>
      </c>
      <c r="J728" s="8">
        <f ca="1">Intv_BA!$O$668*J700*J619/TS_Denom_Conv_Fact</f>
        <v>0</v>
      </c>
      <c r="K728" s="8">
        <f ca="1">Intv_BA!$O$668*K700*K619/TS_Denom_Conv_Fact</f>
        <v>0</v>
      </c>
      <c r="L728" s="8">
        <f ca="1">Intv_BA!$O$668*L700*L619/TS_Denom_Conv_Fact</f>
        <v>0</v>
      </c>
      <c r="M728" s="8">
        <f ca="1">Intv_BA!$O$668*M700*M619/TS_Denom_Conv_Fact</f>
        <v>0</v>
      </c>
      <c r="N728" s="8">
        <f ca="1">Intv_BA!$O$668*N700*N619/TS_Denom_Conv_Fact</f>
        <v>0</v>
      </c>
      <c r="O728" s="8">
        <f ca="1">Intv_BA!$O$668*O700*O619/TS_Denom_Conv_Fact</f>
        <v>0</v>
      </c>
    </row>
    <row r="729" spans="4:15" s="327" customFormat="1" outlineLevel="2" x14ac:dyDescent="0.2">
      <c r="D729" s="631" t="str">
        <f>Intv_BA!D765</f>
        <v>North-Western</v>
      </c>
      <c r="J729" s="8">
        <f ca="1">Intv_BA!$O$668*J701*J620/TS_Denom_Conv_Fact</f>
        <v>0</v>
      </c>
      <c r="K729" s="8">
        <f ca="1">Intv_BA!$O$668*K701*K620/TS_Denom_Conv_Fact</f>
        <v>0</v>
      </c>
      <c r="L729" s="8">
        <f ca="1">Intv_BA!$O$668*L701*L620/TS_Denom_Conv_Fact</f>
        <v>0</v>
      </c>
      <c r="M729" s="8">
        <f ca="1">Intv_BA!$O$668*M701*M620/TS_Denom_Conv_Fact</f>
        <v>0</v>
      </c>
      <c r="N729" s="8">
        <f ca="1">Intv_BA!$O$668*N701*N620/TS_Denom_Conv_Fact</f>
        <v>0</v>
      </c>
      <c r="O729" s="8">
        <f ca="1">Intv_BA!$O$668*O701*O620/TS_Denom_Conv_Fact</f>
        <v>0</v>
      </c>
    </row>
    <row r="730" spans="4:15" s="327" customFormat="1" outlineLevel="2" x14ac:dyDescent="0.2">
      <c r="D730" s="631" t="str">
        <f>Intv_BA!D766</f>
        <v>Southern</v>
      </c>
      <c r="J730" s="8">
        <f ca="1">Intv_BA!$O$668*J702*J621/TS_Denom_Conv_Fact</f>
        <v>0</v>
      </c>
      <c r="K730" s="8">
        <f ca="1">Intv_BA!$O$668*K702*K621/TS_Denom_Conv_Fact</f>
        <v>0</v>
      </c>
      <c r="L730" s="8">
        <f ca="1">Intv_BA!$O$668*L702*L621/TS_Denom_Conv_Fact</f>
        <v>0</v>
      </c>
      <c r="M730" s="8">
        <f ca="1">Intv_BA!$O$668*M702*M621/TS_Denom_Conv_Fact</f>
        <v>0</v>
      </c>
      <c r="N730" s="8">
        <f ca="1">Intv_BA!$O$668*N702*N621/TS_Denom_Conv_Fact</f>
        <v>0</v>
      </c>
      <c r="O730" s="8">
        <f ca="1">Intv_BA!$O$668*O702*O621/TS_Denom_Conv_Fact</f>
        <v>0</v>
      </c>
    </row>
    <row r="731" spans="4:15" s="327" customFormat="1" outlineLevel="2" x14ac:dyDescent="0.2">
      <c r="D731" s="631" t="str">
        <f>Intv_BA!D767</f>
        <v>Western</v>
      </c>
      <c r="J731" s="9">
        <f ca="1">Intv_BA!$O$668*J703*J622/TS_Denom_Conv_Fact</f>
        <v>0</v>
      </c>
      <c r="K731" s="9">
        <f ca="1">Intv_BA!$O$668*K703*K622/TS_Denom_Conv_Fact</f>
        <v>0</v>
      </c>
      <c r="L731" s="9">
        <f ca="1">Intv_BA!$O$668*L703*L622/TS_Denom_Conv_Fact</f>
        <v>0</v>
      </c>
      <c r="M731" s="9">
        <f ca="1">Intv_BA!$O$668*M703*M622/TS_Denom_Conv_Fact</f>
        <v>0</v>
      </c>
      <c r="N731" s="9">
        <f ca="1">Intv_BA!$O$668*N703*N622/TS_Denom_Conv_Fact</f>
        <v>0</v>
      </c>
      <c r="O731" s="9">
        <f ca="1">Intv_BA!$O$668*O703*O622/TS_Denom_Conv_Fact</f>
        <v>0</v>
      </c>
    </row>
    <row r="732" spans="4:15" s="327" customFormat="1" x14ac:dyDescent="0.2">
      <c r="D732" s="630" t="str">
        <f>"Total "&amp;D721&amp;" ("&amp;INDEX(LU_Intv_2_Denom,DD_TS_Denom)&amp;")"</f>
        <v>Total Personnel Costs (Hospital) (USD)</v>
      </c>
      <c r="J732" s="5">
        <f t="shared" ref="J732:O732" ca="1" si="69">SUM(J722:J731)</f>
        <v>22906.480269074582</v>
      </c>
      <c r="K732" s="5">
        <f t="shared" ca="1" si="69"/>
        <v>22906.480269074582</v>
      </c>
      <c r="L732" s="5">
        <f t="shared" ca="1" si="69"/>
        <v>22906.480269074582</v>
      </c>
      <c r="M732" s="5">
        <f t="shared" ca="1" si="69"/>
        <v>22906.480269074582</v>
      </c>
      <c r="N732" s="5">
        <f t="shared" ca="1" si="69"/>
        <v>22906.480269074582</v>
      </c>
      <c r="O732" s="5">
        <f t="shared" ca="1" si="69"/>
        <v>22906.480269074582</v>
      </c>
    </row>
    <row r="733" spans="4:15" s="327" customFormat="1" outlineLevel="2" x14ac:dyDescent="0.2"/>
    <row r="734" spans="4:15" s="327" customFormat="1" ht="15" outlineLevel="2" x14ac:dyDescent="0.2">
      <c r="D734" s="629" t="s">
        <v>115</v>
      </c>
    </row>
    <row r="735" spans="4:15" s="327" customFormat="1" outlineLevel="2" x14ac:dyDescent="0.2">
      <c r="D735" s="631" t="str">
        <f>Intv_BA!D758</f>
        <v>Central</v>
      </c>
      <c r="J735" s="8">
        <f ca="1">Intv_BA!$O$682*J694*(1-J613)/TS_Denom_Conv_Fact</f>
        <v>0</v>
      </c>
      <c r="K735" s="8">
        <f ca="1">Intv_BA!$O$682*K694*(1-K613)/TS_Denom_Conv_Fact</f>
        <v>0</v>
      </c>
      <c r="L735" s="8">
        <f ca="1">Intv_BA!$O$682*L694*(1-L613)/TS_Denom_Conv_Fact</f>
        <v>0</v>
      </c>
      <c r="M735" s="8">
        <f ca="1">Intv_BA!$O$682*M694*(1-M613)/TS_Denom_Conv_Fact</f>
        <v>0</v>
      </c>
      <c r="N735" s="8">
        <f ca="1">Intv_BA!$O$682*N694*(1-N613)/TS_Denom_Conv_Fact</f>
        <v>0</v>
      </c>
      <c r="O735" s="8">
        <f ca="1">Intv_BA!$O$682*O694*(1-O613)/TS_Denom_Conv_Fact</f>
        <v>0</v>
      </c>
    </row>
    <row r="736" spans="4:15" s="327" customFormat="1" outlineLevel="2" x14ac:dyDescent="0.2">
      <c r="D736" s="631" t="str">
        <f>Intv_BA!D759</f>
        <v>Copperbelt</v>
      </c>
      <c r="J736" s="8">
        <f ca="1">Intv_BA!$O$682*J695*(1-J614)/TS_Denom_Conv_Fact</f>
        <v>0</v>
      </c>
      <c r="K736" s="8">
        <f ca="1">Intv_BA!$O$682*K695*(1-K614)/TS_Denom_Conv_Fact</f>
        <v>0</v>
      </c>
      <c r="L736" s="8">
        <f ca="1">Intv_BA!$O$682*L695*(1-L614)/TS_Denom_Conv_Fact</f>
        <v>0</v>
      </c>
      <c r="M736" s="8">
        <f ca="1">Intv_BA!$O$682*M695*(1-M614)/TS_Denom_Conv_Fact</f>
        <v>0</v>
      </c>
      <c r="N736" s="8">
        <f ca="1">Intv_BA!$O$682*N695*(1-N614)/TS_Denom_Conv_Fact</f>
        <v>0</v>
      </c>
      <c r="O736" s="8">
        <f ca="1">Intv_BA!$O$682*O695*(1-O614)/TS_Denom_Conv_Fact</f>
        <v>0</v>
      </c>
    </row>
    <row r="737" spans="4:15" s="327" customFormat="1" outlineLevel="2" x14ac:dyDescent="0.2">
      <c r="D737" s="631" t="str">
        <f>Intv_BA!D760</f>
        <v>Eastern</v>
      </c>
      <c r="J737" s="8">
        <f ca="1">Intv_BA!$O$682*J696*(1-J615)/TS_Denom_Conv_Fact</f>
        <v>0</v>
      </c>
      <c r="K737" s="8">
        <f ca="1">Intv_BA!$O$682*K696*(1-K615)/TS_Denom_Conv_Fact</f>
        <v>0</v>
      </c>
      <c r="L737" s="8">
        <f ca="1">Intv_BA!$O$682*L696*(1-L615)/TS_Denom_Conv_Fact</f>
        <v>0</v>
      </c>
      <c r="M737" s="8">
        <f ca="1">Intv_BA!$O$682*M696*(1-M615)/TS_Denom_Conv_Fact</f>
        <v>0</v>
      </c>
      <c r="N737" s="8">
        <f ca="1">Intv_BA!$O$682*N696*(1-N615)/TS_Denom_Conv_Fact</f>
        <v>0</v>
      </c>
      <c r="O737" s="8">
        <f ca="1">Intv_BA!$O$682*O696*(1-O615)/TS_Denom_Conv_Fact</f>
        <v>0</v>
      </c>
    </row>
    <row r="738" spans="4:15" s="327" customFormat="1" outlineLevel="2" x14ac:dyDescent="0.2">
      <c r="D738" s="631" t="str">
        <f>Intv_BA!D761</f>
        <v>Luapula</v>
      </c>
      <c r="J738" s="8">
        <f ca="1">Intv_BA!$O$682*J697*(1-J616)/TS_Denom_Conv_Fact</f>
        <v>0</v>
      </c>
      <c r="K738" s="8">
        <f ca="1">Intv_BA!$O$682*K697*(1-K616)/TS_Denom_Conv_Fact</f>
        <v>0</v>
      </c>
      <c r="L738" s="8">
        <f ca="1">Intv_BA!$O$682*L697*(1-L616)/TS_Denom_Conv_Fact</f>
        <v>0</v>
      </c>
      <c r="M738" s="8">
        <f ca="1">Intv_BA!$O$682*M697*(1-M616)/TS_Denom_Conv_Fact</f>
        <v>0</v>
      </c>
      <c r="N738" s="8">
        <f ca="1">Intv_BA!$O$682*N697*(1-N616)/TS_Denom_Conv_Fact</f>
        <v>0</v>
      </c>
      <c r="O738" s="8">
        <f ca="1">Intv_BA!$O$682*O697*(1-O616)/TS_Denom_Conv_Fact</f>
        <v>0</v>
      </c>
    </row>
    <row r="739" spans="4:15" s="327" customFormat="1" outlineLevel="2" x14ac:dyDescent="0.2">
      <c r="D739" s="631" t="str">
        <f>Intv_BA!D762</f>
        <v>Lusaka</v>
      </c>
      <c r="J739" s="8">
        <f ca="1">Intv_BA!$O$682*J698*(1-J617)/TS_Denom_Conv_Fact</f>
        <v>0</v>
      </c>
      <c r="K739" s="8">
        <f ca="1">Intv_BA!$O$682*K698*(1-K617)/TS_Denom_Conv_Fact</f>
        <v>0</v>
      </c>
      <c r="L739" s="8">
        <f ca="1">Intv_BA!$O$682*L698*(1-L617)/TS_Denom_Conv_Fact</f>
        <v>0</v>
      </c>
      <c r="M739" s="8">
        <f ca="1">Intv_BA!$O$682*M698*(1-M617)/TS_Denom_Conv_Fact</f>
        <v>0</v>
      </c>
      <c r="N739" s="8">
        <f ca="1">Intv_BA!$O$682*N698*(1-N617)/TS_Denom_Conv_Fact</f>
        <v>0</v>
      </c>
      <c r="O739" s="8">
        <f ca="1">Intv_BA!$O$682*O698*(1-O617)/TS_Denom_Conv_Fact</f>
        <v>0</v>
      </c>
    </row>
    <row r="740" spans="4:15" s="327" customFormat="1" outlineLevel="2" x14ac:dyDescent="0.2">
      <c r="D740" s="631" t="str">
        <f>Intv_BA!D763</f>
        <v>Muchinga</v>
      </c>
      <c r="J740" s="8">
        <f ca="1">Intv_BA!$O$682*J699*(1-J618)/TS_Denom_Conv_Fact</f>
        <v>0</v>
      </c>
      <c r="K740" s="8">
        <f ca="1">Intv_BA!$O$682*K699*(1-K618)/TS_Denom_Conv_Fact</f>
        <v>0</v>
      </c>
      <c r="L740" s="8">
        <f ca="1">Intv_BA!$O$682*L699*(1-L618)/TS_Denom_Conv_Fact</f>
        <v>0</v>
      </c>
      <c r="M740" s="8">
        <f ca="1">Intv_BA!$O$682*M699*(1-M618)/TS_Denom_Conv_Fact</f>
        <v>0</v>
      </c>
      <c r="N740" s="8">
        <f ca="1">Intv_BA!$O$682*N699*(1-N618)/TS_Denom_Conv_Fact</f>
        <v>0</v>
      </c>
      <c r="O740" s="8">
        <f ca="1">Intv_BA!$O$682*O699*(1-O618)/TS_Denom_Conv_Fact</f>
        <v>0</v>
      </c>
    </row>
    <row r="741" spans="4:15" s="327" customFormat="1" outlineLevel="2" x14ac:dyDescent="0.2">
      <c r="D741" s="631" t="str">
        <f>Intv_BA!D764</f>
        <v>Northern</v>
      </c>
      <c r="J741" s="8">
        <f ca="1">Intv_BA!$O$682*J700*(1-J619)/TS_Denom_Conv_Fact</f>
        <v>0</v>
      </c>
      <c r="K741" s="8">
        <f ca="1">Intv_BA!$O$682*K700*(1-K619)/TS_Denom_Conv_Fact</f>
        <v>0</v>
      </c>
      <c r="L741" s="8">
        <f ca="1">Intv_BA!$O$682*L700*(1-L619)/TS_Denom_Conv_Fact</f>
        <v>0</v>
      </c>
      <c r="M741" s="8">
        <f ca="1">Intv_BA!$O$682*M700*(1-M619)/TS_Denom_Conv_Fact</f>
        <v>0</v>
      </c>
      <c r="N741" s="8">
        <f ca="1">Intv_BA!$O$682*N700*(1-N619)/TS_Denom_Conv_Fact</f>
        <v>0</v>
      </c>
      <c r="O741" s="8">
        <f ca="1">Intv_BA!$O$682*O700*(1-O619)/TS_Denom_Conv_Fact</f>
        <v>0</v>
      </c>
    </row>
    <row r="742" spans="4:15" s="327" customFormat="1" outlineLevel="2" x14ac:dyDescent="0.2">
      <c r="D742" s="631" t="str">
        <f>Intv_BA!D765</f>
        <v>North-Western</v>
      </c>
      <c r="J742" s="8">
        <f ca="1">Intv_BA!$O$682*J701*(1-J620)/TS_Denom_Conv_Fact</f>
        <v>0</v>
      </c>
      <c r="K742" s="8">
        <f ca="1">Intv_BA!$O$682*K701*(1-K620)/TS_Denom_Conv_Fact</f>
        <v>0</v>
      </c>
      <c r="L742" s="8">
        <f ca="1">Intv_BA!$O$682*L701*(1-L620)/TS_Denom_Conv_Fact</f>
        <v>0</v>
      </c>
      <c r="M742" s="8">
        <f ca="1">Intv_BA!$O$682*M701*(1-M620)/TS_Denom_Conv_Fact</f>
        <v>0</v>
      </c>
      <c r="N742" s="8">
        <f ca="1">Intv_BA!$O$682*N701*(1-N620)/TS_Denom_Conv_Fact</f>
        <v>0</v>
      </c>
      <c r="O742" s="8">
        <f ca="1">Intv_BA!$O$682*O701*(1-O620)/TS_Denom_Conv_Fact</f>
        <v>0</v>
      </c>
    </row>
    <row r="743" spans="4:15" s="327" customFormat="1" outlineLevel="2" x14ac:dyDescent="0.2">
      <c r="D743" s="631" t="str">
        <f>Intv_BA!D766</f>
        <v>Southern</v>
      </c>
      <c r="J743" s="8">
        <f ca="1">Intv_BA!$O$682*J702*(1-J621)/TS_Denom_Conv_Fact</f>
        <v>0</v>
      </c>
      <c r="K743" s="8">
        <f ca="1">Intv_BA!$O$682*K702*(1-K621)/TS_Denom_Conv_Fact</f>
        <v>0</v>
      </c>
      <c r="L743" s="8">
        <f ca="1">Intv_BA!$O$682*L702*(1-L621)/TS_Denom_Conv_Fact</f>
        <v>0</v>
      </c>
      <c r="M743" s="8">
        <f ca="1">Intv_BA!$O$682*M702*(1-M621)/TS_Denom_Conv_Fact</f>
        <v>0</v>
      </c>
      <c r="N743" s="8">
        <f ca="1">Intv_BA!$O$682*N702*(1-N621)/TS_Denom_Conv_Fact</f>
        <v>0</v>
      </c>
      <c r="O743" s="8">
        <f ca="1">Intv_BA!$O$682*O702*(1-O621)/TS_Denom_Conv_Fact</f>
        <v>0</v>
      </c>
    </row>
    <row r="744" spans="4:15" s="327" customFormat="1" outlineLevel="2" x14ac:dyDescent="0.2">
      <c r="D744" s="631" t="str">
        <f>Intv_BA!D767</f>
        <v>Western</v>
      </c>
      <c r="J744" s="9">
        <f ca="1">Intv_BA!$O$682*J703*(1-J622)/TS_Denom_Conv_Fact</f>
        <v>0</v>
      </c>
      <c r="K744" s="9">
        <f ca="1">Intv_BA!$O$682*K703*(1-K622)/TS_Denom_Conv_Fact</f>
        <v>0</v>
      </c>
      <c r="L744" s="9">
        <f ca="1">Intv_BA!$O$682*L703*(1-L622)/TS_Denom_Conv_Fact</f>
        <v>0</v>
      </c>
      <c r="M744" s="9">
        <f ca="1">Intv_BA!$O$682*M703*(1-M622)/TS_Denom_Conv_Fact</f>
        <v>0</v>
      </c>
      <c r="N744" s="9">
        <f ca="1">Intv_BA!$O$682*N703*(1-N622)/TS_Denom_Conv_Fact</f>
        <v>0</v>
      </c>
      <c r="O744" s="9">
        <f ca="1">Intv_BA!$O$682*O703*(1-O622)/TS_Denom_Conv_Fact</f>
        <v>0</v>
      </c>
    </row>
    <row r="745" spans="4:15" s="327" customFormat="1" x14ac:dyDescent="0.2">
      <c r="D745" s="630" t="str">
        <f>"Total "&amp;D734&amp;" ("&amp;INDEX(LU_Intv_2_Denom,DD_TS_Denom)&amp;")"</f>
        <v>Total Personnel Costs (Other) (USD)</v>
      </c>
      <c r="J745" s="5">
        <f t="shared" ref="J745:O745" ca="1" si="70">SUM(J735:J744)</f>
        <v>0</v>
      </c>
      <c r="K745" s="5">
        <f t="shared" ca="1" si="70"/>
        <v>0</v>
      </c>
      <c r="L745" s="5">
        <f t="shared" ca="1" si="70"/>
        <v>0</v>
      </c>
      <c r="M745" s="5">
        <f t="shared" ca="1" si="70"/>
        <v>0</v>
      </c>
      <c r="N745" s="5">
        <f t="shared" ca="1" si="70"/>
        <v>0</v>
      </c>
      <c r="O745" s="5">
        <f t="shared" ca="1" si="70"/>
        <v>0</v>
      </c>
    </row>
    <row r="746" spans="4:15" s="327" customFormat="1" outlineLevel="2" x14ac:dyDescent="0.2"/>
    <row r="747" spans="4:15" s="327" customFormat="1" ht="15" outlineLevel="2" x14ac:dyDescent="0.2">
      <c r="D747" s="629" t="s">
        <v>143</v>
      </c>
    </row>
    <row r="748" spans="4:15" s="327" customFormat="1" outlineLevel="2" x14ac:dyDescent="0.2">
      <c r="D748" s="631" t="str">
        <f>Intv_BA!D758</f>
        <v>Central</v>
      </c>
      <c r="J748" s="8">
        <f ca="1">J694*Intv_BA!$M$748/TS_Denom_Conv_Fact</f>
        <v>32645.859999999997</v>
      </c>
      <c r="K748" s="8">
        <f ca="1">K694*Intv_BA!$M$748/TS_Denom_Conv_Fact</f>
        <v>32645.859999999997</v>
      </c>
      <c r="L748" s="8">
        <f ca="1">L694*Intv_BA!$M$748/TS_Denom_Conv_Fact</f>
        <v>32645.859999999997</v>
      </c>
      <c r="M748" s="8">
        <f ca="1">M694*Intv_BA!$M$748/TS_Denom_Conv_Fact</f>
        <v>32645.859999999997</v>
      </c>
      <c r="N748" s="8">
        <f ca="1">N694*Intv_BA!$M$748/TS_Denom_Conv_Fact</f>
        <v>32645.859999999997</v>
      </c>
      <c r="O748" s="8">
        <f ca="1">O694*Intv_BA!$M$748/TS_Denom_Conv_Fact</f>
        <v>32645.859999999997</v>
      </c>
    </row>
    <row r="749" spans="4:15" s="327" customFormat="1" outlineLevel="2" x14ac:dyDescent="0.2">
      <c r="D749" s="631" t="str">
        <f>Intv_BA!D759</f>
        <v>Copperbelt</v>
      </c>
      <c r="J749" s="8">
        <f ca="1">J695*Intv_BA!$M$748/TS_Denom_Conv_Fact</f>
        <v>58900.399999999994</v>
      </c>
      <c r="K749" s="8">
        <f ca="1">K695*Intv_BA!$M$748/TS_Denom_Conv_Fact</f>
        <v>58900.399999999994</v>
      </c>
      <c r="L749" s="8">
        <f ca="1">L695*Intv_BA!$M$748/TS_Denom_Conv_Fact</f>
        <v>58900.399999999994</v>
      </c>
      <c r="M749" s="8">
        <f ca="1">M695*Intv_BA!$M$748/TS_Denom_Conv_Fact</f>
        <v>58900.399999999994</v>
      </c>
      <c r="N749" s="8">
        <f ca="1">N695*Intv_BA!$M$748/TS_Denom_Conv_Fact</f>
        <v>58900.399999999994</v>
      </c>
      <c r="O749" s="8">
        <f ca="1">O695*Intv_BA!$M$748/TS_Denom_Conv_Fact</f>
        <v>58900.399999999994</v>
      </c>
    </row>
    <row r="750" spans="4:15" s="327" customFormat="1" outlineLevel="2" x14ac:dyDescent="0.2">
      <c r="D750" s="631" t="str">
        <f>Intv_BA!D760</f>
        <v>Eastern</v>
      </c>
      <c r="J750" s="8">
        <f ca="1">J696*Intv_BA!$M$748/TS_Denom_Conv_Fact</f>
        <v>0</v>
      </c>
      <c r="K750" s="8">
        <f ca="1">K696*Intv_BA!$M$748/TS_Denom_Conv_Fact</f>
        <v>0</v>
      </c>
      <c r="L750" s="8">
        <f ca="1">L696*Intv_BA!$M$748/TS_Denom_Conv_Fact</f>
        <v>0</v>
      </c>
      <c r="M750" s="8">
        <f ca="1">M696*Intv_BA!$M$748/TS_Denom_Conv_Fact</f>
        <v>0</v>
      </c>
      <c r="N750" s="8">
        <f ca="1">N696*Intv_BA!$M$748/TS_Denom_Conv_Fact</f>
        <v>0</v>
      </c>
      <c r="O750" s="8">
        <f ca="1">O696*Intv_BA!$M$748/TS_Denom_Conv_Fact</f>
        <v>0</v>
      </c>
    </row>
    <row r="751" spans="4:15" s="327" customFormat="1" outlineLevel="2" x14ac:dyDescent="0.2">
      <c r="D751" s="631" t="str">
        <f>Intv_BA!D761</f>
        <v>Luapula</v>
      </c>
      <c r="J751" s="8">
        <f ca="1">J697*Intv_BA!$M$748/TS_Denom_Conv_Fact</f>
        <v>0</v>
      </c>
      <c r="K751" s="8">
        <f ca="1">K697*Intv_BA!$M$748/TS_Denom_Conv_Fact</f>
        <v>0</v>
      </c>
      <c r="L751" s="8">
        <f ca="1">L697*Intv_BA!$M$748/TS_Denom_Conv_Fact</f>
        <v>0</v>
      </c>
      <c r="M751" s="8">
        <f ca="1">M697*Intv_BA!$M$748/TS_Denom_Conv_Fact</f>
        <v>0</v>
      </c>
      <c r="N751" s="8">
        <f ca="1">N697*Intv_BA!$M$748/TS_Denom_Conv_Fact</f>
        <v>0</v>
      </c>
      <c r="O751" s="8">
        <f ca="1">O697*Intv_BA!$M$748/TS_Denom_Conv_Fact</f>
        <v>0</v>
      </c>
    </row>
    <row r="752" spans="4:15" s="327" customFormat="1" outlineLevel="2" x14ac:dyDescent="0.2">
      <c r="D752" s="631" t="str">
        <f>Intv_BA!D762</f>
        <v>Lusaka</v>
      </c>
      <c r="J752" s="8">
        <f ca="1">J698*Intv_BA!$M$748/TS_Denom_Conv_Fact</f>
        <v>75881.259999999995</v>
      </c>
      <c r="K752" s="8">
        <f ca="1">K698*Intv_BA!$M$748/TS_Denom_Conv_Fact</f>
        <v>75881.259999999995</v>
      </c>
      <c r="L752" s="8">
        <f ca="1">L698*Intv_BA!$M$748/TS_Denom_Conv_Fact</f>
        <v>75881.259999999995</v>
      </c>
      <c r="M752" s="8">
        <f ca="1">M698*Intv_BA!$M$748/TS_Denom_Conv_Fact</f>
        <v>75881.259999999995</v>
      </c>
      <c r="N752" s="8">
        <f ca="1">N698*Intv_BA!$M$748/TS_Denom_Conv_Fact</f>
        <v>75881.259999999995</v>
      </c>
      <c r="O752" s="8">
        <f ca="1">O698*Intv_BA!$M$748/TS_Denom_Conv_Fact</f>
        <v>75881.259999999995</v>
      </c>
    </row>
    <row r="753" spans="4:15" s="327" customFormat="1" outlineLevel="2" x14ac:dyDescent="0.2">
      <c r="D753" s="631" t="str">
        <f>Intv_BA!D763</f>
        <v>Muchinga</v>
      </c>
      <c r="J753" s="8">
        <f ca="1">J699*Intv_BA!$M$748/TS_Denom_Conv_Fact</f>
        <v>0</v>
      </c>
      <c r="K753" s="8">
        <f ca="1">K699*Intv_BA!$M$748/TS_Denom_Conv_Fact</f>
        <v>0</v>
      </c>
      <c r="L753" s="8">
        <f ca="1">L699*Intv_BA!$M$748/TS_Denom_Conv_Fact</f>
        <v>0</v>
      </c>
      <c r="M753" s="8">
        <f ca="1">M699*Intv_BA!$M$748/TS_Denom_Conv_Fact</f>
        <v>0</v>
      </c>
      <c r="N753" s="8">
        <f ca="1">N699*Intv_BA!$M$748/TS_Denom_Conv_Fact</f>
        <v>0</v>
      </c>
      <c r="O753" s="8">
        <f ca="1">O699*Intv_BA!$M$748/TS_Denom_Conv_Fact</f>
        <v>0</v>
      </c>
    </row>
    <row r="754" spans="4:15" s="327" customFormat="1" outlineLevel="2" x14ac:dyDescent="0.2">
      <c r="D754" s="631" t="str">
        <f>Intv_BA!D764</f>
        <v>Northern</v>
      </c>
      <c r="J754" s="8">
        <f ca="1">J700*Intv_BA!$M$748/TS_Denom_Conv_Fact</f>
        <v>0</v>
      </c>
      <c r="K754" s="8">
        <f ca="1">K700*Intv_BA!$M$748/TS_Denom_Conv_Fact</f>
        <v>0</v>
      </c>
      <c r="L754" s="8">
        <f ca="1">L700*Intv_BA!$M$748/TS_Denom_Conv_Fact</f>
        <v>0</v>
      </c>
      <c r="M754" s="8">
        <f ca="1">M700*Intv_BA!$M$748/TS_Denom_Conv_Fact</f>
        <v>0</v>
      </c>
      <c r="N754" s="8">
        <f ca="1">N700*Intv_BA!$M$748/TS_Denom_Conv_Fact</f>
        <v>0</v>
      </c>
      <c r="O754" s="8">
        <f ca="1">O700*Intv_BA!$M$748/TS_Denom_Conv_Fact</f>
        <v>0</v>
      </c>
    </row>
    <row r="755" spans="4:15" s="327" customFormat="1" outlineLevel="2" x14ac:dyDescent="0.2">
      <c r="D755" s="631" t="str">
        <f>Intv_BA!D765</f>
        <v>North-Western</v>
      </c>
      <c r="J755" s="8">
        <f ca="1">J701*Intv_BA!$M$748/TS_Denom_Conv_Fact</f>
        <v>0</v>
      </c>
      <c r="K755" s="8">
        <f ca="1">K701*Intv_BA!$M$748/TS_Denom_Conv_Fact</f>
        <v>0</v>
      </c>
      <c r="L755" s="8">
        <f ca="1">L701*Intv_BA!$M$748/TS_Denom_Conv_Fact</f>
        <v>0</v>
      </c>
      <c r="M755" s="8">
        <f ca="1">M701*Intv_BA!$M$748/TS_Denom_Conv_Fact</f>
        <v>0</v>
      </c>
      <c r="N755" s="8">
        <f ca="1">N701*Intv_BA!$M$748/TS_Denom_Conv_Fact</f>
        <v>0</v>
      </c>
      <c r="O755" s="8">
        <f ca="1">O701*Intv_BA!$M$748/TS_Denom_Conv_Fact</f>
        <v>0</v>
      </c>
    </row>
    <row r="756" spans="4:15" s="327" customFormat="1" outlineLevel="2" x14ac:dyDescent="0.2">
      <c r="D756" s="631" t="str">
        <f>Intv_BA!D766</f>
        <v>Southern</v>
      </c>
      <c r="J756" s="8">
        <f ca="1">J702*Intv_BA!$M$748/TS_Denom_Conv_Fact</f>
        <v>0</v>
      </c>
      <c r="K756" s="8">
        <f ca="1">K702*Intv_BA!$M$748/TS_Denom_Conv_Fact</f>
        <v>0</v>
      </c>
      <c r="L756" s="8">
        <f ca="1">L702*Intv_BA!$M$748/TS_Denom_Conv_Fact</f>
        <v>0</v>
      </c>
      <c r="M756" s="8">
        <f ca="1">M702*Intv_BA!$M$748/TS_Denom_Conv_Fact</f>
        <v>0</v>
      </c>
      <c r="N756" s="8">
        <f ca="1">N702*Intv_BA!$M$748/TS_Denom_Conv_Fact</f>
        <v>0</v>
      </c>
      <c r="O756" s="8">
        <f ca="1">O702*Intv_BA!$M$748/TS_Denom_Conv_Fact</f>
        <v>0</v>
      </c>
    </row>
    <row r="757" spans="4:15" s="327" customFormat="1" outlineLevel="2" x14ac:dyDescent="0.2">
      <c r="D757" s="631" t="str">
        <f>Intv_BA!D767</f>
        <v>Western</v>
      </c>
      <c r="J757" s="9">
        <f ca="1">J703*Intv_BA!$M$748/TS_Denom_Conv_Fact</f>
        <v>0</v>
      </c>
      <c r="K757" s="9">
        <f ca="1">K703*Intv_BA!$M$748/TS_Denom_Conv_Fact</f>
        <v>0</v>
      </c>
      <c r="L757" s="9">
        <f ca="1">L703*Intv_BA!$M$748/TS_Denom_Conv_Fact</f>
        <v>0</v>
      </c>
      <c r="M757" s="9">
        <f ca="1">M703*Intv_BA!$M$748/TS_Denom_Conv_Fact</f>
        <v>0</v>
      </c>
      <c r="N757" s="9">
        <f ca="1">N703*Intv_BA!$M$748/TS_Denom_Conv_Fact</f>
        <v>0</v>
      </c>
      <c r="O757" s="9">
        <f ca="1">O703*Intv_BA!$M$748/TS_Denom_Conv_Fact</f>
        <v>0</v>
      </c>
    </row>
    <row r="758" spans="4:15" s="327" customFormat="1" x14ac:dyDescent="0.2">
      <c r="D758" s="630" t="str">
        <f>"Total "&amp;D747&amp;" ("&amp;INDEX(LU_Intv_2_Denom,DD_TS_Denom)&amp;")"</f>
        <v>Total Other Direct Costs (Lab Tests) (USD)</v>
      </c>
      <c r="J758" s="5">
        <f t="shared" ref="J758:O758" ca="1" si="71">SUM(J748:J757)</f>
        <v>167427.51999999999</v>
      </c>
      <c r="K758" s="5">
        <f t="shared" ca="1" si="71"/>
        <v>167427.51999999999</v>
      </c>
      <c r="L758" s="5">
        <f t="shared" ca="1" si="71"/>
        <v>167427.51999999999</v>
      </c>
      <c r="M758" s="5">
        <f t="shared" ca="1" si="71"/>
        <v>167427.51999999999</v>
      </c>
      <c r="N758" s="5">
        <f t="shared" ca="1" si="71"/>
        <v>167427.51999999999</v>
      </c>
      <c r="O758" s="5">
        <f t="shared" ca="1" si="71"/>
        <v>167427.51999999999</v>
      </c>
    </row>
    <row r="759" spans="4:15" s="327" customFormat="1" x14ac:dyDescent="0.2"/>
    <row r="760" spans="4:15" s="327" customFormat="1" x14ac:dyDescent="0.2">
      <c r="D760" s="630" t="str">
        <f>"Financial Costs [excl. Capex] ("&amp;INDEX(LU_Intv_2_Denom,DD_TS_Denom)&amp;")"</f>
        <v>Financial Costs [excl. Capex] (USD)</v>
      </c>
      <c r="H760" s="631" t="str">
        <f>Intv_BA!G588</f>
        <v>LEEP with BIOP-H</v>
      </c>
      <c r="J760" s="5">
        <f t="shared" ref="J760:O760" ca="1" si="72">J719+J758</f>
        <v>200242.70247733331</v>
      </c>
      <c r="K760" s="5">
        <f t="shared" ca="1" si="72"/>
        <v>200242.70247733331</v>
      </c>
      <c r="L760" s="5">
        <f t="shared" ca="1" si="72"/>
        <v>200242.70247733331</v>
      </c>
      <c r="M760" s="5">
        <f t="shared" ca="1" si="72"/>
        <v>200242.70247733331</v>
      </c>
      <c r="N760" s="5">
        <f t="shared" ca="1" si="72"/>
        <v>200242.70247733331</v>
      </c>
      <c r="O760" s="5">
        <f t="shared" ca="1" si="72"/>
        <v>200242.70247733331</v>
      </c>
    </row>
    <row r="761" spans="4:15" s="327" customFormat="1" x14ac:dyDescent="0.2">
      <c r="D761" s="630" t="str">
        <f>"Economic Costs [excl. Capex] ("&amp;INDEX(LU_Intv_2_Denom,DD_TS_Denom)&amp;")"</f>
        <v>Economic Costs [excl. Capex] (USD)</v>
      </c>
      <c r="H761" s="631" t="str">
        <f>Intv_BA!G588</f>
        <v>LEEP with BIOP-H</v>
      </c>
      <c r="J761" s="5">
        <f t="shared" ref="J761:O761" ca="1" si="73">J719+J732+J745+J758</f>
        <v>223149.18274640793</v>
      </c>
      <c r="K761" s="5">
        <f t="shared" ca="1" si="73"/>
        <v>223149.18274640793</v>
      </c>
      <c r="L761" s="5">
        <f t="shared" ca="1" si="73"/>
        <v>223149.18274640793</v>
      </c>
      <c r="M761" s="5">
        <f t="shared" ca="1" si="73"/>
        <v>223149.18274640793</v>
      </c>
      <c r="N761" s="5">
        <f t="shared" ca="1" si="73"/>
        <v>223149.18274640793</v>
      </c>
      <c r="O761" s="5">
        <f t="shared" ca="1" si="73"/>
        <v>223149.18274640793</v>
      </c>
    </row>
    <row r="762" spans="4:15" s="327" customFormat="1" x14ac:dyDescent="0.2"/>
    <row r="763" spans="4:15" s="327" customFormat="1" ht="15" outlineLevel="1" x14ac:dyDescent="0.2">
      <c r="D763" s="629" t="s">
        <v>1690</v>
      </c>
    </row>
    <row r="764" spans="4:15" s="327" customFormat="1" outlineLevel="1" x14ac:dyDescent="0.2">
      <c r="D764" s="631" t="str">
        <f>Intv_BA!D758</f>
        <v>Central</v>
      </c>
      <c r="H764" s="631" t="str">
        <f>Intv_BA!G$588</f>
        <v>LEEP with BIOP-H</v>
      </c>
      <c r="J764" s="5">
        <f>(J599-I599)*Intv_BA!$L$735/TS_Denom_Conv_Fact</f>
        <v>16526</v>
      </c>
      <c r="K764" s="5">
        <f>(K599-J599)*Intv_BA!$L$735/TS_Denom_Conv_Fact</f>
        <v>0</v>
      </c>
      <c r="L764" s="5">
        <f>(L599-K599)*Intv_BA!$L$735/TS_Denom_Conv_Fact</f>
        <v>0</v>
      </c>
      <c r="M764" s="5">
        <f>(M599-L599)*Intv_BA!$L$735/TS_Denom_Conv_Fact</f>
        <v>0</v>
      </c>
      <c r="N764" s="5">
        <f>(N599-M599)*Intv_BA!$L$735/TS_Denom_Conv_Fact</f>
        <v>0</v>
      </c>
      <c r="O764" s="5">
        <f>(O599-N599)*Intv_BA!$L$735/TS_Denom_Conv_Fact</f>
        <v>0</v>
      </c>
    </row>
    <row r="765" spans="4:15" s="327" customFormat="1" outlineLevel="1" x14ac:dyDescent="0.2">
      <c r="D765" s="631" t="str">
        <f>Intv_BA!D759</f>
        <v>Copperbelt</v>
      </c>
      <c r="H765" s="631" t="str">
        <f>Intv_BA!G$588</f>
        <v>LEEP with BIOP-H</v>
      </c>
      <c r="J765" s="5">
        <f>(J600-I600)*Intv_BA!$L$735/TS_Denom_Conv_Fact</f>
        <v>24789</v>
      </c>
      <c r="K765" s="5">
        <f>(K600-J600)*Intv_BA!$L$735/TS_Denom_Conv_Fact</f>
        <v>0</v>
      </c>
      <c r="L765" s="5">
        <f>(L600-K600)*Intv_BA!$L$735/TS_Denom_Conv_Fact</f>
        <v>0</v>
      </c>
      <c r="M765" s="5">
        <f>(M600-L600)*Intv_BA!$L$735/TS_Denom_Conv_Fact</f>
        <v>0</v>
      </c>
      <c r="N765" s="5">
        <f>(N600-M600)*Intv_BA!$L$735/TS_Denom_Conv_Fact</f>
        <v>0</v>
      </c>
      <c r="O765" s="5">
        <f>(O600-N600)*Intv_BA!$L$735/TS_Denom_Conv_Fact</f>
        <v>0</v>
      </c>
    </row>
    <row r="766" spans="4:15" s="327" customFormat="1" outlineLevel="1" x14ac:dyDescent="0.2">
      <c r="D766" s="631" t="str">
        <f>Intv_BA!D760</f>
        <v>Eastern</v>
      </c>
      <c r="H766" s="631" t="str">
        <f>Intv_BA!G$588</f>
        <v>LEEP with BIOP-H</v>
      </c>
      <c r="J766" s="5">
        <f>(J601-I601)*Intv_BA!$L$735/TS_Denom_Conv_Fact</f>
        <v>24789</v>
      </c>
      <c r="K766" s="5">
        <f>(K601-J601)*Intv_BA!$L$735/TS_Denom_Conv_Fact</f>
        <v>0</v>
      </c>
      <c r="L766" s="5">
        <f>(L601-K601)*Intv_BA!$L$735/TS_Denom_Conv_Fact</f>
        <v>0</v>
      </c>
      <c r="M766" s="5">
        <f>(M601-L601)*Intv_BA!$L$735/TS_Denom_Conv_Fact</f>
        <v>0</v>
      </c>
      <c r="N766" s="5">
        <f>(N601-M601)*Intv_BA!$L$735/TS_Denom_Conv_Fact</f>
        <v>0</v>
      </c>
      <c r="O766" s="5">
        <f>(O601-N601)*Intv_BA!$L$735/TS_Denom_Conv_Fact</f>
        <v>0</v>
      </c>
    </row>
    <row r="767" spans="4:15" s="327" customFormat="1" outlineLevel="1" x14ac:dyDescent="0.2">
      <c r="D767" s="631" t="str">
        <f>Intv_BA!D761</f>
        <v>Luapula</v>
      </c>
      <c r="H767" s="631" t="str">
        <f>Intv_BA!G$588</f>
        <v>LEEP with BIOP-H</v>
      </c>
      <c r="J767" s="5">
        <f>(J602-I602)*Intv_BA!$L$735/TS_Denom_Conv_Fact</f>
        <v>16526</v>
      </c>
      <c r="K767" s="5">
        <f>(K602-J602)*Intv_BA!$L$735/TS_Denom_Conv_Fact</f>
        <v>0</v>
      </c>
      <c r="L767" s="5">
        <f>(L602-K602)*Intv_BA!$L$735/TS_Denom_Conv_Fact</f>
        <v>0</v>
      </c>
      <c r="M767" s="5">
        <f>(M602-L602)*Intv_BA!$L$735/TS_Denom_Conv_Fact</f>
        <v>0</v>
      </c>
      <c r="N767" s="5">
        <f>(N602-M602)*Intv_BA!$L$735/TS_Denom_Conv_Fact</f>
        <v>0</v>
      </c>
      <c r="O767" s="5">
        <f>(O602-N602)*Intv_BA!$L$735/TS_Denom_Conv_Fact</f>
        <v>0</v>
      </c>
    </row>
    <row r="768" spans="4:15" s="327" customFormat="1" outlineLevel="1" x14ac:dyDescent="0.2">
      <c r="D768" s="631" t="str">
        <f>Intv_BA!D762</f>
        <v>Lusaka</v>
      </c>
      <c r="H768" s="631" t="str">
        <f>Intv_BA!G$588</f>
        <v>LEEP with BIOP-H</v>
      </c>
      <c r="J768" s="5">
        <f>(J603-I603)*Intv_BA!$L$735/TS_Denom_Conv_Fact</f>
        <v>8263</v>
      </c>
      <c r="K768" s="5">
        <f>(K603-J603)*Intv_BA!$L$735/TS_Denom_Conv_Fact</f>
        <v>0</v>
      </c>
      <c r="L768" s="5">
        <f>(L603-K603)*Intv_BA!$L$735/TS_Denom_Conv_Fact</f>
        <v>0</v>
      </c>
      <c r="M768" s="5">
        <f>(M603-L603)*Intv_BA!$L$735/TS_Denom_Conv_Fact</f>
        <v>0</v>
      </c>
      <c r="N768" s="5">
        <f>(N603-M603)*Intv_BA!$L$735/TS_Denom_Conv_Fact</f>
        <v>0</v>
      </c>
      <c r="O768" s="5">
        <f>(O603-N603)*Intv_BA!$L$735/TS_Denom_Conv_Fact</f>
        <v>0</v>
      </c>
    </row>
    <row r="769" spans="4:15" s="327" customFormat="1" outlineLevel="1" x14ac:dyDescent="0.2">
      <c r="D769" s="631" t="str">
        <f>Intv_BA!D763</f>
        <v>Muchinga</v>
      </c>
      <c r="H769" s="631" t="str">
        <f>Intv_BA!G$588</f>
        <v>LEEP with BIOP-H</v>
      </c>
      <c r="J769" s="5">
        <f>(J604-I604)*Intv_BA!$L$735/TS_Denom_Conv_Fact</f>
        <v>0</v>
      </c>
      <c r="K769" s="5">
        <f>(K604-J604)*Intv_BA!$L$735/TS_Denom_Conv_Fact</f>
        <v>0</v>
      </c>
      <c r="L769" s="5">
        <f>(L604-K604)*Intv_BA!$L$735/TS_Denom_Conv_Fact</f>
        <v>0</v>
      </c>
      <c r="M769" s="5">
        <f>(M604-L604)*Intv_BA!$L$735/TS_Denom_Conv_Fact</f>
        <v>0</v>
      </c>
      <c r="N769" s="5">
        <f>(N604-M604)*Intv_BA!$L$735/TS_Denom_Conv_Fact</f>
        <v>0</v>
      </c>
      <c r="O769" s="5">
        <f>(O604-N604)*Intv_BA!$L$735/TS_Denom_Conv_Fact</f>
        <v>0</v>
      </c>
    </row>
    <row r="770" spans="4:15" s="327" customFormat="1" outlineLevel="1" x14ac:dyDescent="0.2">
      <c r="D770" s="631" t="str">
        <f>Intv_BA!D764</f>
        <v>Northern</v>
      </c>
      <c r="H770" s="631" t="str">
        <f>Intv_BA!G$588</f>
        <v>LEEP with BIOP-H</v>
      </c>
      <c r="J770" s="5">
        <f>(J605-I605)*Intv_BA!$L$735/TS_Denom_Conv_Fact</f>
        <v>8263</v>
      </c>
      <c r="K770" s="5">
        <f>(K605-J605)*Intv_BA!$L$735/TS_Denom_Conv_Fact</f>
        <v>0</v>
      </c>
      <c r="L770" s="5">
        <f>(L605-K605)*Intv_BA!$L$735/TS_Denom_Conv_Fact</f>
        <v>0</v>
      </c>
      <c r="M770" s="5">
        <f>(M605-L605)*Intv_BA!$L$735/TS_Denom_Conv_Fact</f>
        <v>0</v>
      </c>
      <c r="N770" s="5">
        <f>(N605-M605)*Intv_BA!$L$735/TS_Denom_Conv_Fact</f>
        <v>0</v>
      </c>
      <c r="O770" s="5">
        <f>(O605-N605)*Intv_BA!$L$735/TS_Denom_Conv_Fact</f>
        <v>0</v>
      </c>
    </row>
    <row r="771" spans="4:15" s="327" customFormat="1" outlineLevel="1" x14ac:dyDescent="0.2">
      <c r="D771" s="631" t="str">
        <f>Intv_BA!D765</f>
        <v>North-Western</v>
      </c>
      <c r="H771" s="631" t="str">
        <f>Intv_BA!G$588</f>
        <v>LEEP with BIOP-H</v>
      </c>
      <c r="J771" s="5">
        <f>(J606-I606)*Intv_BA!$L$735/TS_Denom_Conv_Fact</f>
        <v>8263</v>
      </c>
      <c r="K771" s="5">
        <f>(K606-J606)*Intv_BA!$L$735/TS_Denom_Conv_Fact</f>
        <v>0</v>
      </c>
      <c r="L771" s="5">
        <f>(L606-K606)*Intv_BA!$L$735/TS_Denom_Conv_Fact</f>
        <v>0</v>
      </c>
      <c r="M771" s="5">
        <f>(M606-L606)*Intv_BA!$L$735/TS_Denom_Conv_Fact</f>
        <v>0</v>
      </c>
      <c r="N771" s="5">
        <f>(N606-M606)*Intv_BA!$L$735/TS_Denom_Conv_Fact</f>
        <v>0</v>
      </c>
      <c r="O771" s="5">
        <f>(O606-N606)*Intv_BA!$L$735/TS_Denom_Conv_Fact</f>
        <v>0</v>
      </c>
    </row>
    <row r="772" spans="4:15" s="327" customFormat="1" outlineLevel="1" x14ac:dyDescent="0.2">
      <c r="D772" s="631" t="str">
        <f>Intv_BA!D766</f>
        <v>Southern</v>
      </c>
      <c r="H772" s="631" t="str">
        <f>Intv_BA!G$588</f>
        <v>LEEP with BIOP-H</v>
      </c>
      <c r="J772" s="5">
        <f>(J607-I607)*Intv_BA!$L$735/TS_Denom_Conv_Fact</f>
        <v>16526</v>
      </c>
      <c r="K772" s="5">
        <f>(K607-J607)*Intv_BA!$L$735/TS_Denom_Conv_Fact</f>
        <v>0</v>
      </c>
      <c r="L772" s="5">
        <f>(L607-K607)*Intv_BA!$L$735/TS_Denom_Conv_Fact</f>
        <v>0</v>
      </c>
      <c r="M772" s="5">
        <f>(M607-L607)*Intv_BA!$L$735/TS_Denom_Conv_Fact</f>
        <v>0</v>
      </c>
      <c r="N772" s="5">
        <f>(N607-M607)*Intv_BA!$L$735/TS_Denom_Conv_Fact</f>
        <v>0</v>
      </c>
      <c r="O772" s="5">
        <f>(O607-N607)*Intv_BA!$L$735/TS_Denom_Conv_Fact</f>
        <v>0</v>
      </c>
    </row>
    <row r="773" spans="4:15" s="327" customFormat="1" outlineLevel="1" x14ac:dyDescent="0.2">
      <c r="D773" s="631" t="str">
        <f>Intv_BA!D767</f>
        <v>Western</v>
      </c>
      <c r="H773" s="631" t="str">
        <f>Intv_BA!G$588</f>
        <v>LEEP with BIOP-H</v>
      </c>
      <c r="J773" s="5">
        <f>(J608-I608)*Intv_BA!$L$735/TS_Denom_Conv_Fact</f>
        <v>24789</v>
      </c>
      <c r="K773" s="5">
        <f>(K608-J608)*Intv_BA!$L$735/TS_Denom_Conv_Fact</f>
        <v>0</v>
      </c>
      <c r="L773" s="5">
        <f>(L608-K608)*Intv_BA!$L$735/TS_Denom_Conv_Fact</f>
        <v>0</v>
      </c>
      <c r="M773" s="5">
        <f>(M608-L608)*Intv_BA!$L$735/TS_Denom_Conv_Fact</f>
        <v>0</v>
      </c>
      <c r="N773" s="5">
        <f>(N608-M608)*Intv_BA!$L$735/TS_Denom_Conv_Fact</f>
        <v>0</v>
      </c>
      <c r="O773" s="5">
        <f>(O608-N608)*Intv_BA!$L$735/TS_Denom_Conv_Fact</f>
        <v>0</v>
      </c>
    </row>
    <row r="774" spans="4:15" s="327" customFormat="1" ht="15" x14ac:dyDescent="0.2">
      <c r="D774" s="630" t="str">
        <f>D763&amp;" ("&amp;INDEX(LU_Intv_2_Denom,DD_TS_Denom)&amp;")"</f>
        <v>Financial Capital Expenditures (Capex) (NonAnnualized) (USD)</v>
      </c>
      <c r="H774" s="628" t="str">
        <f>Intv_BA!$G$588</f>
        <v>LEEP with BIOP-H</v>
      </c>
      <c r="J774" s="5">
        <f t="shared" ref="J774:O774" si="74">SUM(J764:J773)</f>
        <v>148734</v>
      </c>
      <c r="K774" s="5">
        <f t="shared" si="74"/>
        <v>0</v>
      </c>
      <c r="L774" s="5">
        <f t="shared" si="74"/>
        <v>0</v>
      </c>
      <c r="M774" s="5">
        <f t="shared" si="74"/>
        <v>0</v>
      </c>
      <c r="N774" s="5">
        <f t="shared" si="74"/>
        <v>0</v>
      </c>
      <c r="O774" s="5">
        <f t="shared" si="74"/>
        <v>0</v>
      </c>
    </row>
    <row r="775" spans="4:15" s="327" customFormat="1" ht="15" outlineLevel="2" x14ac:dyDescent="0.2">
      <c r="D775" s="629" t="s">
        <v>1691</v>
      </c>
    </row>
    <row r="776" spans="4:15" s="327" customFormat="1" outlineLevel="2" x14ac:dyDescent="0.2">
      <c r="D776" s="631" t="str">
        <f>Intv_BA!D758</f>
        <v>Central</v>
      </c>
      <c r="H776" s="631" t="str">
        <f>Intv_BA!G$588</f>
        <v>LEEP with BIOP-H</v>
      </c>
      <c r="J776" s="8">
        <f>J599*Intv_BA!$M$737/TS_Denom_Conv_Fact</f>
        <v>5235.6305555555546</v>
      </c>
      <c r="K776" s="8">
        <f>K599*Intv_BA!$M$737/TS_Denom_Conv_Fact</f>
        <v>5235.6305555555546</v>
      </c>
      <c r="L776" s="8">
        <f>L599*Intv_BA!$M$737/TS_Denom_Conv_Fact</f>
        <v>5235.6305555555546</v>
      </c>
      <c r="M776" s="8">
        <f>M599*Intv_BA!$M$737/TS_Denom_Conv_Fact</f>
        <v>5235.6305555555546</v>
      </c>
      <c r="N776" s="8">
        <f>N599*Intv_BA!$M$737/TS_Denom_Conv_Fact</f>
        <v>5235.6305555555546</v>
      </c>
      <c r="O776" s="8">
        <f>O599*Intv_BA!$M$737/TS_Denom_Conv_Fact</f>
        <v>5235.6305555555546</v>
      </c>
    </row>
    <row r="777" spans="4:15" s="327" customFormat="1" outlineLevel="2" x14ac:dyDescent="0.2">
      <c r="D777" s="631" t="str">
        <f>Intv_BA!D759</f>
        <v>Copperbelt</v>
      </c>
      <c r="H777" s="631" t="str">
        <f>Intv_BA!G$588</f>
        <v>LEEP with BIOP-H</v>
      </c>
      <c r="J777" s="8">
        <f>J600*Intv_BA!$M$737/TS_Denom_Conv_Fact</f>
        <v>7853.4458333333314</v>
      </c>
      <c r="K777" s="8">
        <f>K600*Intv_BA!$M$737/TS_Denom_Conv_Fact</f>
        <v>7853.4458333333314</v>
      </c>
      <c r="L777" s="8">
        <f>L600*Intv_BA!$M$737/TS_Denom_Conv_Fact</f>
        <v>7853.4458333333314</v>
      </c>
      <c r="M777" s="8">
        <f>M600*Intv_BA!$M$737/TS_Denom_Conv_Fact</f>
        <v>7853.4458333333314</v>
      </c>
      <c r="N777" s="8">
        <f>N600*Intv_BA!$M$737/TS_Denom_Conv_Fact</f>
        <v>7853.4458333333314</v>
      </c>
      <c r="O777" s="8">
        <f>O600*Intv_BA!$M$737/TS_Denom_Conv_Fact</f>
        <v>7853.4458333333314</v>
      </c>
    </row>
    <row r="778" spans="4:15" s="327" customFormat="1" outlineLevel="2" x14ac:dyDescent="0.2">
      <c r="D778" s="631" t="str">
        <f>Intv_BA!D760</f>
        <v>Eastern</v>
      </c>
      <c r="H778" s="631" t="str">
        <f>Intv_BA!G$588</f>
        <v>LEEP with BIOP-H</v>
      </c>
      <c r="J778" s="8">
        <f>J601*Intv_BA!$M$737/TS_Denom_Conv_Fact</f>
        <v>7853.4458333333314</v>
      </c>
      <c r="K778" s="8">
        <f>K601*Intv_BA!$M$737/TS_Denom_Conv_Fact</f>
        <v>7853.4458333333314</v>
      </c>
      <c r="L778" s="8">
        <f>L601*Intv_BA!$M$737/TS_Denom_Conv_Fact</f>
        <v>7853.4458333333314</v>
      </c>
      <c r="M778" s="8">
        <f>M601*Intv_BA!$M$737/TS_Denom_Conv_Fact</f>
        <v>7853.4458333333314</v>
      </c>
      <c r="N778" s="8">
        <f>N601*Intv_BA!$M$737/TS_Denom_Conv_Fact</f>
        <v>7853.4458333333314</v>
      </c>
      <c r="O778" s="8">
        <f>O601*Intv_BA!$M$737/TS_Denom_Conv_Fact</f>
        <v>7853.4458333333314</v>
      </c>
    </row>
    <row r="779" spans="4:15" s="327" customFormat="1" outlineLevel="2" x14ac:dyDescent="0.2">
      <c r="D779" s="631" t="str">
        <f>Intv_BA!D761</f>
        <v>Luapula</v>
      </c>
      <c r="H779" s="631" t="str">
        <f>Intv_BA!G$588</f>
        <v>LEEP with BIOP-H</v>
      </c>
      <c r="J779" s="8">
        <f>J602*Intv_BA!$M$737/TS_Denom_Conv_Fact</f>
        <v>5235.6305555555546</v>
      </c>
      <c r="K779" s="8">
        <f>K602*Intv_BA!$M$737/TS_Denom_Conv_Fact</f>
        <v>5235.6305555555546</v>
      </c>
      <c r="L779" s="8">
        <f>L602*Intv_BA!$M$737/TS_Denom_Conv_Fact</f>
        <v>5235.6305555555546</v>
      </c>
      <c r="M779" s="8">
        <f>M602*Intv_BA!$M$737/TS_Denom_Conv_Fact</f>
        <v>5235.6305555555546</v>
      </c>
      <c r="N779" s="8">
        <f>N602*Intv_BA!$M$737/TS_Denom_Conv_Fact</f>
        <v>5235.6305555555546</v>
      </c>
      <c r="O779" s="8">
        <f>O602*Intv_BA!$M$737/TS_Denom_Conv_Fact</f>
        <v>5235.6305555555546</v>
      </c>
    </row>
    <row r="780" spans="4:15" s="327" customFormat="1" outlineLevel="2" x14ac:dyDescent="0.2">
      <c r="D780" s="631" t="str">
        <f>Intv_BA!D762</f>
        <v>Lusaka</v>
      </c>
      <c r="H780" s="631" t="str">
        <f>Intv_BA!G$588</f>
        <v>LEEP with BIOP-H</v>
      </c>
      <c r="J780" s="8">
        <f>J603*Intv_BA!$M$737/TS_Denom_Conv_Fact</f>
        <v>2617.8152777777773</v>
      </c>
      <c r="K780" s="8">
        <f>K603*Intv_BA!$M$737/TS_Denom_Conv_Fact</f>
        <v>2617.8152777777773</v>
      </c>
      <c r="L780" s="8">
        <f>L603*Intv_BA!$M$737/TS_Denom_Conv_Fact</f>
        <v>2617.8152777777773</v>
      </c>
      <c r="M780" s="8">
        <f>M603*Intv_BA!$M$737/TS_Denom_Conv_Fact</f>
        <v>2617.8152777777773</v>
      </c>
      <c r="N780" s="8">
        <f>N603*Intv_BA!$M$737/TS_Denom_Conv_Fact</f>
        <v>2617.8152777777773</v>
      </c>
      <c r="O780" s="8">
        <f>O603*Intv_BA!$M$737/TS_Denom_Conv_Fact</f>
        <v>2617.8152777777773</v>
      </c>
    </row>
    <row r="781" spans="4:15" s="327" customFormat="1" outlineLevel="2" x14ac:dyDescent="0.2">
      <c r="D781" s="631" t="str">
        <f>Intv_BA!D763</f>
        <v>Muchinga</v>
      </c>
      <c r="H781" s="631" t="str">
        <f>Intv_BA!G$588</f>
        <v>LEEP with BIOP-H</v>
      </c>
      <c r="J781" s="8">
        <f>J604*Intv_BA!$M$737/TS_Denom_Conv_Fact</f>
        <v>0</v>
      </c>
      <c r="K781" s="8">
        <f>K604*Intv_BA!$M$737/TS_Denom_Conv_Fact</f>
        <v>0</v>
      </c>
      <c r="L781" s="8">
        <f>L604*Intv_BA!$M$737/TS_Denom_Conv_Fact</f>
        <v>0</v>
      </c>
      <c r="M781" s="8">
        <f>M604*Intv_BA!$M$737/TS_Denom_Conv_Fact</f>
        <v>0</v>
      </c>
      <c r="N781" s="8">
        <f>N604*Intv_BA!$M$737/TS_Denom_Conv_Fact</f>
        <v>0</v>
      </c>
      <c r="O781" s="8">
        <f>O604*Intv_BA!$M$737/TS_Denom_Conv_Fact</f>
        <v>0</v>
      </c>
    </row>
    <row r="782" spans="4:15" s="327" customFormat="1" outlineLevel="2" x14ac:dyDescent="0.2">
      <c r="D782" s="631" t="str">
        <f>Intv_BA!D764</f>
        <v>Northern</v>
      </c>
      <c r="H782" s="631" t="str">
        <f>Intv_BA!G$588</f>
        <v>LEEP with BIOP-H</v>
      </c>
      <c r="J782" s="8">
        <f>J605*Intv_BA!$M$737/TS_Denom_Conv_Fact</f>
        <v>2617.8152777777773</v>
      </c>
      <c r="K782" s="8">
        <f>K605*Intv_BA!$M$737/TS_Denom_Conv_Fact</f>
        <v>2617.8152777777773</v>
      </c>
      <c r="L782" s="8">
        <f>L605*Intv_BA!$M$737/TS_Denom_Conv_Fact</f>
        <v>2617.8152777777773</v>
      </c>
      <c r="M782" s="8">
        <f>M605*Intv_BA!$M$737/TS_Denom_Conv_Fact</f>
        <v>2617.8152777777773</v>
      </c>
      <c r="N782" s="8">
        <f>N605*Intv_BA!$M$737/TS_Denom_Conv_Fact</f>
        <v>2617.8152777777773</v>
      </c>
      <c r="O782" s="8">
        <f>O605*Intv_BA!$M$737/TS_Denom_Conv_Fact</f>
        <v>2617.8152777777773</v>
      </c>
    </row>
    <row r="783" spans="4:15" s="327" customFormat="1" outlineLevel="2" x14ac:dyDescent="0.2">
      <c r="D783" s="631" t="str">
        <f>Intv_BA!D765</f>
        <v>North-Western</v>
      </c>
      <c r="H783" s="631" t="str">
        <f>Intv_BA!G$588</f>
        <v>LEEP with BIOP-H</v>
      </c>
      <c r="J783" s="8">
        <f>J606*Intv_BA!$M$737/TS_Denom_Conv_Fact</f>
        <v>2617.8152777777773</v>
      </c>
      <c r="K783" s="8">
        <f>K606*Intv_BA!$M$737/TS_Denom_Conv_Fact</f>
        <v>2617.8152777777773</v>
      </c>
      <c r="L783" s="8">
        <f>L606*Intv_BA!$M$737/TS_Denom_Conv_Fact</f>
        <v>2617.8152777777773</v>
      </c>
      <c r="M783" s="8">
        <f>M606*Intv_BA!$M$737/TS_Denom_Conv_Fact</f>
        <v>2617.8152777777773</v>
      </c>
      <c r="N783" s="8">
        <f>N606*Intv_BA!$M$737/TS_Denom_Conv_Fact</f>
        <v>2617.8152777777773</v>
      </c>
      <c r="O783" s="8">
        <f>O606*Intv_BA!$M$737/TS_Denom_Conv_Fact</f>
        <v>2617.8152777777773</v>
      </c>
    </row>
    <row r="784" spans="4:15" s="327" customFormat="1" outlineLevel="2" x14ac:dyDescent="0.2">
      <c r="D784" s="631" t="str">
        <f>Intv_BA!D766</f>
        <v>Southern</v>
      </c>
      <c r="H784" s="631" t="str">
        <f>Intv_BA!G$588</f>
        <v>LEEP with BIOP-H</v>
      </c>
      <c r="J784" s="8">
        <f>J607*Intv_BA!$M$737/TS_Denom_Conv_Fact</f>
        <v>5235.6305555555546</v>
      </c>
      <c r="K784" s="8">
        <f>K607*Intv_BA!$M$737/TS_Denom_Conv_Fact</f>
        <v>5235.6305555555546</v>
      </c>
      <c r="L784" s="8">
        <f>L607*Intv_BA!$M$737/TS_Denom_Conv_Fact</f>
        <v>5235.6305555555546</v>
      </c>
      <c r="M784" s="8">
        <f>M607*Intv_BA!$M$737/TS_Denom_Conv_Fact</f>
        <v>5235.6305555555546</v>
      </c>
      <c r="N784" s="8">
        <f>N607*Intv_BA!$M$737/TS_Denom_Conv_Fact</f>
        <v>5235.6305555555546</v>
      </c>
      <c r="O784" s="8">
        <f>O607*Intv_BA!$M$737/TS_Denom_Conv_Fact</f>
        <v>5235.6305555555546</v>
      </c>
    </row>
    <row r="785" spans="4:15" s="327" customFormat="1" outlineLevel="2" x14ac:dyDescent="0.2">
      <c r="D785" s="631" t="str">
        <f>Intv_BA!D767</f>
        <v>Western</v>
      </c>
      <c r="H785" s="631" t="str">
        <f>Intv_BA!G$588</f>
        <v>LEEP with BIOP-H</v>
      </c>
      <c r="J785" s="9">
        <f>J608*Intv_BA!$M$737/TS_Denom_Conv_Fact</f>
        <v>7853.4458333333314</v>
      </c>
      <c r="K785" s="9">
        <f>K608*Intv_BA!$M$737/TS_Denom_Conv_Fact</f>
        <v>7853.4458333333314</v>
      </c>
      <c r="L785" s="9">
        <f>L608*Intv_BA!$M$737/TS_Denom_Conv_Fact</f>
        <v>7853.4458333333314</v>
      </c>
      <c r="M785" s="9">
        <f>M608*Intv_BA!$M$737/TS_Denom_Conv_Fact</f>
        <v>7853.4458333333314</v>
      </c>
      <c r="N785" s="9">
        <f>N608*Intv_BA!$M$737/TS_Denom_Conv_Fact</f>
        <v>7853.4458333333314</v>
      </c>
      <c r="O785" s="9">
        <f>O608*Intv_BA!$M$737/TS_Denom_Conv_Fact</f>
        <v>7853.4458333333314</v>
      </c>
    </row>
    <row r="786" spans="4:15" s="327" customFormat="1" ht="15" x14ac:dyDescent="0.2">
      <c r="D786" s="630" t="str">
        <f>D775&amp;" ("&amp;INDEX(LU_Intv_2_Denom,DD_TS_Denom)&amp;")"</f>
        <v>Financial Capital Expenditures (Capex) (Annualized) (USD)</v>
      </c>
      <c r="H786" s="628" t="str">
        <f>Intv_BA!$G$588</f>
        <v>LEEP with BIOP-H</v>
      </c>
      <c r="J786" s="5">
        <f t="shared" ref="J786:O786" si="75">SUM(J776:J785)</f>
        <v>47120.674999999988</v>
      </c>
      <c r="K786" s="5">
        <f t="shared" si="75"/>
        <v>47120.674999999988</v>
      </c>
      <c r="L786" s="5">
        <f t="shared" si="75"/>
        <v>47120.674999999988</v>
      </c>
      <c r="M786" s="5">
        <f t="shared" si="75"/>
        <v>47120.674999999988</v>
      </c>
      <c r="N786" s="5">
        <f t="shared" si="75"/>
        <v>47120.674999999988</v>
      </c>
      <c r="O786" s="5">
        <f t="shared" si="75"/>
        <v>47120.674999999988</v>
      </c>
    </row>
    <row r="787" spans="4:15" s="327" customFormat="1" x14ac:dyDescent="0.2"/>
    <row r="788" spans="4:15" s="327" customFormat="1" ht="15" outlineLevel="1" x14ac:dyDescent="0.2">
      <c r="D788" s="629" t="s">
        <v>731</v>
      </c>
    </row>
    <row r="789" spans="4:15" s="327" customFormat="1" outlineLevel="1" x14ac:dyDescent="0.2">
      <c r="D789" s="631" t="str">
        <f>Intv_BA!D758</f>
        <v>Central</v>
      </c>
      <c r="H789" s="631" t="str">
        <f>Intv_BA!G$588</f>
        <v>LEEP with BIOP-H</v>
      </c>
      <c r="J789" s="14">
        <f>(J599-I599)*Intv_BA!$L$735/TS_Denom_Conv_Fact</f>
        <v>16526</v>
      </c>
      <c r="K789" s="14">
        <f>(K599-J599)*Intv_BA!$L$735/TS_Denom_Conv_Fact</f>
        <v>0</v>
      </c>
      <c r="L789" s="14">
        <f>(L599-K599)*Intv_BA!$L$735/TS_Denom_Conv_Fact</f>
        <v>0</v>
      </c>
      <c r="M789" s="14">
        <f>(M599-L599)*Intv_BA!$L$735/TS_Denom_Conv_Fact</f>
        <v>0</v>
      </c>
      <c r="N789" s="14">
        <f>(N599-M599)*Intv_BA!$L$735/TS_Denom_Conv_Fact</f>
        <v>0</v>
      </c>
      <c r="O789" s="14">
        <f>(O599-N599)*Intv_BA!$L$735/TS_Denom_Conv_Fact</f>
        <v>0</v>
      </c>
    </row>
    <row r="790" spans="4:15" s="327" customFormat="1" outlineLevel="1" x14ac:dyDescent="0.2">
      <c r="D790" s="631" t="str">
        <f>Intv_BA!D759</f>
        <v>Copperbelt</v>
      </c>
      <c r="H790" s="631" t="str">
        <f>Intv_BA!G$588</f>
        <v>LEEP with BIOP-H</v>
      </c>
      <c r="J790" s="14">
        <f>(J600-I600)*Intv_BA!$L$735/TS_Denom_Conv_Fact</f>
        <v>24789</v>
      </c>
      <c r="K790" s="14">
        <f>(K600-J600)*Intv_BA!$L$735/TS_Denom_Conv_Fact</f>
        <v>0</v>
      </c>
      <c r="L790" s="14">
        <f>(L600-K600)*Intv_BA!$L$735/TS_Denom_Conv_Fact</f>
        <v>0</v>
      </c>
      <c r="M790" s="14">
        <f>(M600-L600)*Intv_BA!$L$735/TS_Denom_Conv_Fact</f>
        <v>0</v>
      </c>
      <c r="N790" s="14">
        <f>(N600-M600)*Intv_BA!$L$735/TS_Denom_Conv_Fact</f>
        <v>0</v>
      </c>
      <c r="O790" s="14">
        <f>(O600-N600)*Intv_BA!$L$735/TS_Denom_Conv_Fact</f>
        <v>0</v>
      </c>
    </row>
    <row r="791" spans="4:15" s="327" customFormat="1" outlineLevel="1" x14ac:dyDescent="0.2">
      <c r="D791" s="631" t="str">
        <f>Intv_BA!D760</f>
        <v>Eastern</v>
      </c>
      <c r="H791" s="631" t="str">
        <f>Intv_BA!G$588</f>
        <v>LEEP with BIOP-H</v>
      </c>
      <c r="J791" s="14">
        <f>(J601-I601)*Intv_BA!$L$735/TS_Denom_Conv_Fact</f>
        <v>24789</v>
      </c>
      <c r="K791" s="14">
        <f>(K601-J601)*Intv_BA!$L$735/TS_Denom_Conv_Fact</f>
        <v>0</v>
      </c>
      <c r="L791" s="14">
        <f>(L601-K601)*Intv_BA!$L$735/TS_Denom_Conv_Fact</f>
        <v>0</v>
      </c>
      <c r="M791" s="14">
        <f>(M601-L601)*Intv_BA!$L$735/TS_Denom_Conv_Fact</f>
        <v>0</v>
      </c>
      <c r="N791" s="14">
        <f>(N601-M601)*Intv_BA!$L$735/TS_Denom_Conv_Fact</f>
        <v>0</v>
      </c>
      <c r="O791" s="14">
        <f>(O601-N601)*Intv_BA!$L$735/TS_Denom_Conv_Fact</f>
        <v>0</v>
      </c>
    </row>
    <row r="792" spans="4:15" s="327" customFormat="1" outlineLevel="1" x14ac:dyDescent="0.2">
      <c r="D792" s="631" t="str">
        <f>Intv_BA!D761</f>
        <v>Luapula</v>
      </c>
      <c r="H792" s="631" t="str">
        <f>Intv_BA!G$588</f>
        <v>LEEP with BIOP-H</v>
      </c>
      <c r="J792" s="14">
        <f>(J602-I602)*Intv_BA!$L$735/TS_Denom_Conv_Fact</f>
        <v>16526</v>
      </c>
      <c r="K792" s="14">
        <f>(K602-J602)*Intv_BA!$L$735/TS_Denom_Conv_Fact</f>
        <v>0</v>
      </c>
      <c r="L792" s="14">
        <f>(L602-K602)*Intv_BA!$L$735/TS_Denom_Conv_Fact</f>
        <v>0</v>
      </c>
      <c r="M792" s="14">
        <f>(M602-L602)*Intv_BA!$L$735/TS_Denom_Conv_Fact</f>
        <v>0</v>
      </c>
      <c r="N792" s="14">
        <f>(N602-M602)*Intv_BA!$L$735/TS_Denom_Conv_Fact</f>
        <v>0</v>
      </c>
      <c r="O792" s="14">
        <f>(O602-N602)*Intv_BA!$L$735/TS_Denom_Conv_Fact</f>
        <v>0</v>
      </c>
    </row>
    <row r="793" spans="4:15" s="327" customFormat="1" outlineLevel="1" x14ac:dyDescent="0.2">
      <c r="D793" s="631" t="str">
        <f>Intv_BA!D762</f>
        <v>Lusaka</v>
      </c>
      <c r="H793" s="631" t="str">
        <f>Intv_BA!G$588</f>
        <v>LEEP with BIOP-H</v>
      </c>
      <c r="J793" s="14">
        <f>(J603-I603)*Intv_BA!$L$735/TS_Denom_Conv_Fact</f>
        <v>8263</v>
      </c>
      <c r="K793" s="14">
        <f>(K603-J603)*Intv_BA!$L$735/TS_Denom_Conv_Fact</f>
        <v>0</v>
      </c>
      <c r="L793" s="14">
        <f>(L603-K603)*Intv_BA!$L$735/TS_Denom_Conv_Fact</f>
        <v>0</v>
      </c>
      <c r="M793" s="14">
        <f>(M603-L603)*Intv_BA!$L$735/TS_Denom_Conv_Fact</f>
        <v>0</v>
      </c>
      <c r="N793" s="14">
        <f>(N603-M603)*Intv_BA!$L$735/TS_Denom_Conv_Fact</f>
        <v>0</v>
      </c>
      <c r="O793" s="14">
        <f>(O603-N603)*Intv_BA!$L$735/TS_Denom_Conv_Fact</f>
        <v>0</v>
      </c>
    </row>
    <row r="794" spans="4:15" s="327" customFormat="1" outlineLevel="1" x14ac:dyDescent="0.2">
      <c r="D794" s="631" t="str">
        <f>Intv_BA!D763</f>
        <v>Muchinga</v>
      </c>
      <c r="H794" s="631" t="str">
        <f>Intv_BA!G$588</f>
        <v>LEEP with BIOP-H</v>
      </c>
      <c r="J794" s="14">
        <f>(J604-I604)*Intv_BA!$L$735/TS_Denom_Conv_Fact</f>
        <v>0</v>
      </c>
      <c r="K794" s="14">
        <f>(K604-J604)*Intv_BA!$L$735/TS_Denom_Conv_Fact</f>
        <v>0</v>
      </c>
      <c r="L794" s="14">
        <f>(L604-K604)*Intv_BA!$L$735/TS_Denom_Conv_Fact</f>
        <v>0</v>
      </c>
      <c r="M794" s="14">
        <f>(M604-L604)*Intv_BA!$L$735/TS_Denom_Conv_Fact</f>
        <v>0</v>
      </c>
      <c r="N794" s="14">
        <f>(N604-M604)*Intv_BA!$L$735/TS_Denom_Conv_Fact</f>
        <v>0</v>
      </c>
      <c r="O794" s="14">
        <f>(O604-N604)*Intv_BA!$L$735/TS_Denom_Conv_Fact</f>
        <v>0</v>
      </c>
    </row>
    <row r="795" spans="4:15" s="327" customFormat="1" outlineLevel="1" x14ac:dyDescent="0.2">
      <c r="D795" s="631" t="str">
        <f>Intv_BA!D764</f>
        <v>Northern</v>
      </c>
      <c r="H795" s="631" t="str">
        <f>Intv_BA!G$588</f>
        <v>LEEP with BIOP-H</v>
      </c>
      <c r="J795" s="14">
        <f>(J605-I605)*Intv_BA!$L$735/TS_Denom_Conv_Fact</f>
        <v>8263</v>
      </c>
      <c r="K795" s="14">
        <f>(K605-J605)*Intv_BA!$L$735/TS_Denom_Conv_Fact</f>
        <v>0</v>
      </c>
      <c r="L795" s="14">
        <f>(L605-K605)*Intv_BA!$L$735/TS_Denom_Conv_Fact</f>
        <v>0</v>
      </c>
      <c r="M795" s="14">
        <f>(M605-L605)*Intv_BA!$L$735/TS_Denom_Conv_Fact</f>
        <v>0</v>
      </c>
      <c r="N795" s="14">
        <f>(N605-M605)*Intv_BA!$L$735/TS_Denom_Conv_Fact</f>
        <v>0</v>
      </c>
      <c r="O795" s="14">
        <f>(O605-N605)*Intv_BA!$L$735/TS_Denom_Conv_Fact</f>
        <v>0</v>
      </c>
    </row>
    <row r="796" spans="4:15" s="327" customFormat="1" outlineLevel="1" x14ac:dyDescent="0.2">
      <c r="D796" s="631" t="str">
        <f>Intv_BA!D765</f>
        <v>North-Western</v>
      </c>
      <c r="H796" s="631" t="str">
        <f>Intv_BA!G$588</f>
        <v>LEEP with BIOP-H</v>
      </c>
      <c r="J796" s="14">
        <f>(J606-I606)*Intv_BA!$L$735/TS_Denom_Conv_Fact</f>
        <v>8263</v>
      </c>
      <c r="K796" s="14">
        <f>(K606-J606)*Intv_BA!$L$735/TS_Denom_Conv_Fact</f>
        <v>0</v>
      </c>
      <c r="L796" s="14">
        <f>(L606-K606)*Intv_BA!$L$735/TS_Denom_Conv_Fact</f>
        <v>0</v>
      </c>
      <c r="M796" s="14">
        <f>(M606-L606)*Intv_BA!$L$735/TS_Denom_Conv_Fact</f>
        <v>0</v>
      </c>
      <c r="N796" s="14">
        <f>(N606-M606)*Intv_BA!$L$735/TS_Denom_Conv_Fact</f>
        <v>0</v>
      </c>
      <c r="O796" s="14">
        <f>(O606-N606)*Intv_BA!$L$735/TS_Denom_Conv_Fact</f>
        <v>0</v>
      </c>
    </row>
    <row r="797" spans="4:15" s="327" customFormat="1" outlineLevel="1" x14ac:dyDescent="0.2">
      <c r="D797" s="631" t="str">
        <f>Intv_BA!D766</f>
        <v>Southern</v>
      </c>
      <c r="H797" s="631" t="str">
        <f>Intv_BA!G$588</f>
        <v>LEEP with BIOP-H</v>
      </c>
      <c r="J797" s="14">
        <f>(J607-I607)*Intv_BA!$L$735/TS_Denom_Conv_Fact</f>
        <v>16526</v>
      </c>
      <c r="K797" s="14">
        <f>(K607-J607)*Intv_BA!$L$735/TS_Denom_Conv_Fact</f>
        <v>0</v>
      </c>
      <c r="L797" s="14">
        <f>(L607-K607)*Intv_BA!$L$735/TS_Denom_Conv_Fact</f>
        <v>0</v>
      </c>
      <c r="M797" s="14">
        <f>(M607-L607)*Intv_BA!$L$735/TS_Denom_Conv_Fact</f>
        <v>0</v>
      </c>
      <c r="N797" s="14">
        <f>(N607-M607)*Intv_BA!$L$735/TS_Denom_Conv_Fact</f>
        <v>0</v>
      </c>
      <c r="O797" s="14">
        <f>(O607-N607)*Intv_BA!$L$735/TS_Denom_Conv_Fact</f>
        <v>0</v>
      </c>
    </row>
    <row r="798" spans="4:15" s="327" customFormat="1" outlineLevel="1" x14ac:dyDescent="0.2">
      <c r="D798" s="631" t="str">
        <f>Intv_BA!D767</f>
        <v>Western</v>
      </c>
      <c r="H798" s="631" t="str">
        <f>Intv_BA!G$588</f>
        <v>LEEP with BIOP-H</v>
      </c>
      <c r="J798" s="14">
        <f>(J608-I608)*Intv_BA!$L$735/TS_Denom_Conv_Fact</f>
        <v>24789</v>
      </c>
      <c r="K798" s="14">
        <f>(K608-J608)*Intv_BA!$L$735/TS_Denom_Conv_Fact</f>
        <v>0</v>
      </c>
      <c r="L798" s="14">
        <f>(L608-K608)*Intv_BA!$L$735/TS_Denom_Conv_Fact</f>
        <v>0</v>
      </c>
      <c r="M798" s="14">
        <f>(M608-L608)*Intv_BA!$L$735/TS_Denom_Conv_Fact</f>
        <v>0</v>
      </c>
      <c r="N798" s="14">
        <f>(N608-M608)*Intv_BA!$L$735/TS_Denom_Conv_Fact</f>
        <v>0</v>
      </c>
      <c r="O798" s="14">
        <f>(O608-N608)*Intv_BA!$L$735/TS_Denom_Conv_Fact</f>
        <v>0</v>
      </c>
    </row>
    <row r="799" spans="4:15" s="327" customFormat="1" ht="15" x14ac:dyDescent="0.2">
      <c r="D799" s="630" t="str">
        <f>D788&amp;" ("&amp;INDEX(LU_Intv_2_Denom,DD_TS_Denom)&amp;")"</f>
        <v>Economic Capex (NonAnnualized) (USD)</v>
      </c>
      <c r="H799" s="628" t="str">
        <f>Intv_BA!$G$588</f>
        <v>LEEP with BIOP-H</v>
      </c>
      <c r="J799" s="5">
        <f t="shared" ref="J799:O799" si="76">SUM(J789:J798)</f>
        <v>148734</v>
      </c>
      <c r="K799" s="5">
        <f t="shared" si="76"/>
        <v>0</v>
      </c>
      <c r="L799" s="5">
        <f t="shared" si="76"/>
        <v>0</v>
      </c>
      <c r="M799" s="5">
        <f t="shared" si="76"/>
        <v>0</v>
      </c>
      <c r="N799" s="5">
        <f t="shared" si="76"/>
        <v>0</v>
      </c>
      <c r="O799" s="5">
        <f t="shared" si="76"/>
        <v>0</v>
      </c>
    </row>
    <row r="800" spans="4:15" s="327" customFormat="1" ht="15" outlineLevel="2" x14ac:dyDescent="0.2">
      <c r="D800" s="629" t="s">
        <v>1692</v>
      </c>
    </row>
    <row r="801" spans="4:15" s="327" customFormat="1" outlineLevel="2" x14ac:dyDescent="0.2">
      <c r="D801" s="631" t="str">
        <f>Intv_BA!D758</f>
        <v>Central</v>
      </c>
      <c r="H801" s="631" t="str">
        <f>Intv_BA!G$588</f>
        <v>LEEP with BIOP-H</v>
      </c>
      <c r="J801" s="8">
        <f>J599*Intv_BA!$N$737/TS_Denom_Conv_Fact</f>
        <v>5609.1937941770011</v>
      </c>
      <c r="K801" s="8">
        <f>K599*Intv_BA!$N$737/TS_Denom_Conv_Fact</f>
        <v>5609.1937941770011</v>
      </c>
      <c r="L801" s="8">
        <f>L599*Intv_BA!$N$737/TS_Denom_Conv_Fact</f>
        <v>5609.1937941770011</v>
      </c>
      <c r="M801" s="8">
        <f>M599*Intv_BA!$N$737/TS_Denom_Conv_Fact</f>
        <v>5609.1937941770011</v>
      </c>
      <c r="N801" s="8">
        <f>N599*Intv_BA!$N$737/TS_Denom_Conv_Fact</f>
        <v>5609.1937941770011</v>
      </c>
      <c r="O801" s="8">
        <f>O599*Intv_BA!$N$737/TS_Denom_Conv_Fact</f>
        <v>5609.1937941770011</v>
      </c>
    </row>
    <row r="802" spans="4:15" s="327" customFormat="1" outlineLevel="2" x14ac:dyDescent="0.2">
      <c r="D802" s="631" t="str">
        <f>Intv_BA!D759</f>
        <v>Copperbelt</v>
      </c>
      <c r="H802" s="631" t="str">
        <f>Intv_BA!G$588</f>
        <v>LEEP with BIOP-H</v>
      </c>
      <c r="J802" s="8">
        <f>J600*Intv_BA!$N$737/TS_Denom_Conv_Fact</f>
        <v>8413.7906912655017</v>
      </c>
      <c r="K802" s="8">
        <f>K600*Intv_BA!$N$737/TS_Denom_Conv_Fact</f>
        <v>8413.7906912655017</v>
      </c>
      <c r="L802" s="8">
        <f>L600*Intv_BA!$N$737/TS_Denom_Conv_Fact</f>
        <v>8413.7906912655017</v>
      </c>
      <c r="M802" s="8">
        <f>M600*Intv_BA!$N$737/TS_Denom_Conv_Fact</f>
        <v>8413.7906912655017</v>
      </c>
      <c r="N802" s="8">
        <f>N600*Intv_BA!$N$737/TS_Denom_Conv_Fact</f>
        <v>8413.7906912655017</v>
      </c>
      <c r="O802" s="8">
        <f>O600*Intv_BA!$N$737/TS_Denom_Conv_Fact</f>
        <v>8413.7906912655017</v>
      </c>
    </row>
    <row r="803" spans="4:15" s="327" customFormat="1" outlineLevel="2" x14ac:dyDescent="0.2">
      <c r="D803" s="631" t="str">
        <f>Intv_BA!D760</f>
        <v>Eastern</v>
      </c>
      <c r="H803" s="631" t="str">
        <f>Intv_BA!G$588</f>
        <v>LEEP with BIOP-H</v>
      </c>
      <c r="J803" s="8">
        <f>J601*Intv_BA!$N$737/TS_Denom_Conv_Fact</f>
        <v>8413.7906912655017</v>
      </c>
      <c r="K803" s="8">
        <f>K601*Intv_BA!$N$737/TS_Denom_Conv_Fact</f>
        <v>8413.7906912655017</v>
      </c>
      <c r="L803" s="8">
        <f>L601*Intv_BA!$N$737/TS_Denom_Conv_Fact</f>
        <v>8413.7906912655017</v>
      </c>
      <c r="M803" s="8">
        <f>M601*Intv_BA!$N$737/TS_Denom_Conv_Fact</f>
        <v>8413.7906912655017</v>
      </c>
      <c r="N803" s="8">
        <f>N601*Intv_BA!$N$737/TS_Denom_Conv_Fact</f>
        <v>8413.7906912655017</v>
      </c>
      <c r="O803" s="8">
        <f>O601*Intv_BA!$N$737/TS_Denom_Conv_Fact</f>
        <v>8413.7906912655017</v>
      </c>
    </row>
    <row r="804" spans="4:15" s="327" customFormat="1" outlineLevel="2" x14ac:dyDescent="0.2">
      <c r="D804" s="631" t="str">
        <f>Intv_BA!D761</f>
        <v>Luapula</v>
      </c>
      <c r="H804" s="631" t="str">
        <f>Intv_BA!G$588</f>
        <v>LEEP with BIOP-H</v>
      </c>
      <c r="J804" s="8">
        <f>J602*Intv_BA!$N$737/TS_Denom_Conv_Fact</f>
        <v>5609.1937941770011</v>
      </c>
      <c r="K804" s="8">
        <f>K602*Intv_BA!$N$737/TS_Denom_Conv_Fact</f>
        <v>5609.1937941770011</v>
      </c>
      <c r="L804" s="8">
        <f>L602*Intv_BA!$N$737/TS_Denom_Conv_Fact</f>
        <v>5609.1937941770011</v>
      </c>
      <c r="M804" s="8">
        <f>M602*Intv_BA!$N$737/TS_Denom_Conv_Fact</f>
        <v>5609.1937941770011</v>
      </c>
      <c r="N804" s="8">
        <f>N602*Intv_BA!$N$737/TS_Denom_Conv_Fact</f>
        <v>5609.1937941770011</v>
      </c>
      <c r="O804" s="8">
        <f>O602*Intv_BA!$N$737/TS_Denom_Conv_Fact</f>
        <v>5609.1937941770011</v>
      </c>
    </row>
    <row r="805" spans="4:15" s="327" customFormat="1" outlineLevel="2" x14ac:dyDescent="0.2">
      <c r="D805" s="631" t="str">
        <f>Intv_BA!D762</f>
        <v>Lusaka</v>
      </c>
      <c r="H805" s="631" t="str">
        <f>Intv_BA!G$588</f>
        <v>LEEP with BIOP-H</v>
      </c>
      <c r="J805" s="8">
        <f>J603*Intv_BA!$N$737/TS_Denom_Conv_Fact</f>
        <v>2804.5968970885006</v>
      </c>
      <c r="K805" s="8">
        <f>K603*Intv_BA!$N$737/TS_Denom_Conv_Fact</f>
        <v>2804.5968970885006</v>
      </c>
      <c r="L805" s="8">
        <f>L603*Intv_BA!$N$737/TS_Denom_Conv_Fact</f>
        <v>2804.5968970885006</v>
      </c>
      <c r="M805" s="8">
        <f>M603*Intv_BA!$N$737/TS_Denom_Conv_Fact</f>
        <v>2804.5968970885006</v>
      </c>
      <c r="N805" s="8">
        <f>N603*Intv_BA!$N$737/TS_Denom_Conv_Fact</f>
        <v>2804.5968970885006</v>
      </c>
      <c r="O805" s="8">
        <f>O603*Intv_BA!$N$737/TS_Denom_Conv_Fact</f>
        <v>2804.5968970885006</v>
      </c>
    </row>
    <row r="806" spans="4:15" s="327" customFormat="1" outlineLevel="2" x14ac:dyDescent="0.2">
      <c r="D806" s="631" t="str">
        <f>Intv_BA!D763</f>
        <v>Muchinga</v>
      </c>
      <c r="H806" s="631" t="str">
        <f>Intv_BA!G$588</f>
        <v>LEEP with BIOP-H</v>
      </c>
      <c r="J806" s="8">
        <f>J604*Intv_BA!$N$737/TS_Denom_Conv_Fact</f>
        <v>0</v>
      </c>
      <c r="K806" s="8">
        <f>K604*Intv_BA!$N$737/TS_Denom_Conv_Fact</f>
        <v>0</v>
      </c>
      <c r="L806" s="8">
        <f>L604*Intv_BA!$N$737/TS_Denom_Conv_Fact</f>
        <v>0</v>
      </c>
      <c r="M806" s="8">
        <f>M604*Intv_BA!$N$737/TS_Denom_Conv_Fact</f>
        <v>0</v>
      </c>
      <c r="N806" s="8">
        <f>N604*Intv_BA!$N$737/TS_Denom_Conv_Fact</f>
        <v>0</v>
      </c>
      <c r="O806" s="8">
        <f>O604*Intv_BA!$N$737/TS_Denom_Conv_Fact</f>
        <v>0</v>
      </c>
    </row>
    <row r="807" spans="4:15" s="327" customFormat="1" outlineLevel="2" x14ac:dyDescent="0.2">
      <c r="D807" s="631" t="str">
        <f>Intv_BA!D764</f>
        <v>Northern</v>
      </c>
      <c r="H807" s="631" t="str">
        <f>Intv_BA!G$588</f>
        <v>LEEP with BIOP-H</v>
      </c>
      <c r="J807" s="8">
        <f>J605*Intv_BA!$N$737/TS_Denom_Conv_Fact</f>
        <v>2804.5968970885006</v>
      </c>
      <c r="K807" s="8">
        <f>K605*Intv_BA!$N$737/TS_Denom_Conv_Fact</f>
        <v>2804.5968970885006</v>
      </c>
      <c r="L807" s="8">
        <f>L605*Intv_BA!$N$737/TS_Denom_Conv_Fact</f>
        <v>2804.5968970885006</v>
      </c>
      <c r="M807" s="8">
        <f>M605*Intv_BA!$N$737/TS_Denom_Conv_Fact</f>
        <v>2804.5968970885006</v>
      </c>
      <c r="N807" s="8">
        <f>N605*Intv_BA!$N$737/TS_Denom_Conv_Fact</f>
        <v>2804.5968970885006</v>
      </c>
      <c r="O807" s="8">
        <f>O605*Intv_BA!$N$737/TS_Denom_Conv_Fact</f>
        <v>2804.5968970885006</v>
      </c>
    </row>
    <row r="808" spans="4:15" s="327" customFormat="1" outlineLevel="2" x14ac:dyDescent="0.2">
      <c r="D808" s="631" t="str">
        <f>Intv_BA!D765</f>
        <v>North-Western</v>
      </c>
      <c r="H808" s="631" t="str">
        <f>Intv_BA!G$588</f>
        <v>LEEP with BIOP-H</v>
      </c>
      <c r="J808" s="8">
        <f>J606*Intv_BA!$N$737/TS_Denom_Conv_Fact</f>
        <v>2804.5968970885006</v>
      </c>
      <c r="K808" s="8">
        <f>K606*Intv_BA!$N$737/TS_Denom_Conv_Fact</f>
        <v>2804.5968970885006</v>
      </c>
      <c r="L808" s="8">
        <f>L606*Intv_BA!$N$737/TS_Denom_Conv_Fact</f>
        <v>2804.5968970885006</v>
      </c>
      <c r="M808" s="8">
        <f>M606*Intv_BA!$N$737/TS_Denom_Conv_Fact</f>
        <v>2804.5968970885006</v>
      </c>
      <c r="N808" s="8">
        <f>N606*Intv_BA!$N$737/TS_Denom_Conv_Fact</f>
        <v>2804.5968970885006</v>
      </c>
      <c r="O808" s="8">
        <f>O606*Intv_BA!$N$737/TS_Denom_Conv_Fact</f>
        <v>2804.5968970885006</v>
      </c>
    </row>
    <row r="809" spans="4:15" s="327" customFormat="1" outlineLevel="2" x14ac:dyDescent="0.2">
      <c r="D809" s="631" t="str">
        <f>Intv_BA!D766</f>
        <v>Southern</v>
      </c>
      <c r="H809" s="631" t="str">
        <f>Intv_BA!G$588</f>
        <v>LEEP with BIOP-H</v>
      </c>
      <c r="J809" s="8">
        <f>J607*Intv_BA!$N$737/TS_Denom_Conv_Fact</f>
        <v>5609.1937941770011</v>
      </c>
      <c r="K809" s="8">
        <f>K607*Intv_BA!$N$737/TS_Denom_Conv_Fact</f>
        <v>5609.1937941770011</v>
      </c>
      <c r="L809" s="8">
        <f>L607*Intv_BA!$N$737/TS_Denom_Conv_Fact</f>
        <v>5609.1937941770011</v>
      </c>
      <c r="M809" s="8">
        <f>M607*Intv_BA!$N$737/TS_Denom_Conv_Fact</f>
        <v>5609.1937941770011</v>
      </c>
      <c r="N809" s="8">
        <f>N607*Intv_BA!$N$737/TS_Denom_Conv_Fact</f>
        <v>5609.1937941770011</v>
      </c>
      <c r="O809" s="8">
        <f>O607*Intv_BA!$N$737/TS_Denom_Conv_Fact</f>
        <v>5609.1937941770011</v>
      </c>
    </row>
    <row r="810" spans="4:15" s="327" customFormat="1" outlineLevel="2" x14ac:dyDescent="0.2">
      <c r="D810" s="631" t="str">
        <f>Intv_BA!D767</f>
        <v>Western</v>
      </c>
      <c r="H810" s="631" t="str">
        <f>Intv_BA!G$588</f>
        <v>LEEP with BIOP-H</v>
      </c>
      <c r="J810" s="9">
        <f>J608*Intv_BA!$N$737/TS_Denom_Conv_Fact</f>
        <v>8413.7906912655017</v>
      </c>
      <c r="K810" s="9">
        <f>K608*Intv_BA!$N$737/TS_Denom_Conv_Fact</f>
        <v>8413.7906912655017</v>
      </c>
      <c r="L810" s="9">
        <f>L608*Intv_BA!$N$737/TS_Denom_Conv_Fact</f>
        <v>8413.7906912655017</v>
      </c>
      <c r="M810" s="9">
        <f>M608*Intv_BA!$N$737/TS_Denom_Conv_Fact</f>
        <v>8413.7906912655017</v>
      </c>
      <c r="N810" s="9">
        <f>N608*Intv_BA!$N$737/TS_Denom_Conv_Fact</f>
        <v>8413.7906912655017</v>
      </c>
      <c r="O810" s="9">
        <f>O608*Intv_BA!$N$737/TS_Denom_Conv_Fact</f>
        <v>8413.7906912655017</v>
      </c>
    </row>
    <row r="811" spans="4:15" s="327" customFormat="1" ht="15" x14ac:dyDescent="0.2">
      <c r="D811" s="630" t="str">
        <f>D800&amp;" ("&amp;INDEX(LU_Intv_2_Denom,DD_TS_Denom)&amp;")"</f>
        <v>Economic Capital Expenditures (Capex) (Annualized) (USD)</v>
      </c>
      <c r="H811" s="628" t="str">
        <f>Intv_BA!$G$588</f>
        <v>LEEP with BIOP-H</v>
      </c>
      <c r="J811" s="5">
        <f t="shared" ref="J811:O811" si="77">SUM(J801:J810)</f>
        <v>50482.74414759301</v>
      </c>
      <c r="K811" s="5">
        <f t="shared" si="77"/>
        <v>50482.74414759301</v>
      </c>
      <c r="L811" s="5">
        <f t="shared" si="77"/>
        <v>50482.74414759301</v>
      </c>
      <c r="M811" s="5">
        <f t="shared" si="77"/>
        <v>50482.74414759301</v>
      </c>
      <c r="N811" s="5">
        <f t="shared" si="77"/>
        <v>50482.74414759301</v>
      </c>
      <c r="O811" s="5">
        <f t="shared" si="77"/>
        <v>50482.74414759301</v>
      </c>
    </row>
    <row r="812" spans="4:15" s="327" customFormat="1" x14ac:dyDescent="0.2"/>
    <row r="813" spans="4:15" s="327" customFormat="1" ht="15.75" x14ac:dyDescent="0.2">
      <c r="D813" s="330" t="s">
        <v>732</v>
      </c>
    </row>
    <row r="814" spans="4:15" s="327" customFormat="1" ht="24" customHeight="1" x14ac:dyDescent="0.2">
      <c r="D814" s="930" t="str">
        <f>"Total Fin Costs [incl. Capex] (NonAnnualized) ("&amp;INDEX(LU_Intv_2_Denom,DD_TS_Denom)&amp;")"</f>
        <v>Total Fin Costs [incl. Capex] (NonAnnualized) (USD)</v>
      </c>
      <c r="E814" s="930"/>
      <c r="F814" s="930"/>
      <c r="G814" s="930"/>
      <c r="H814" s="631" t="str">
        <f>Intv_BA!$G$588</f>
        <v>LEEP with BIOP-H</v>
      </c>
      <c r="J814" s="5">
        <f t="shared" ref="J814:O814" ca="1" si="78">J760+J774</f>
        <v>348976.70247733331</v>
      </c>
      <c r="K814" s="5">
        <f t="shared" ca="1" si="78"/>
        <v>200242.70247733331</v>
      </c>
      <c r="L814" s="5">
        <f t="shared" ca="1" si="78"/>
        <v>200242.70247733331</v>
      </c>
      <c r="M814" s="5">
        <f t="shared" ca="1" si="78"/>
        <v>200242.70247733331</v>
      </c>
      <c r="N814" s="5">
        <f t="shared" ca="1" si="78"/>
        <v>200242.70247733331</v>
      </c>
      <c r="O814" s="5">
        <f t="shared" ca="1" si="78"/>
        <v>200242.70247733331</v>
      </c>
    </row>
    <row r="815" spans="4:15" s="327" customFormat="1" ht="27.95" customHeight="1" x14ac:dyDescent="0.2">
      <c r="D815" s="930" t="str">
        <f>"Total Fin Costs [incl. Capex] (Annualized) ("&amp;INDEX(LU_Intv_2_Denom,DD_TS_Denom)&amp;")"</f>
        <v>Total Fin Costs [incl. Capex] (Annualized) (USD)</v>
      </c>
      <c r="E815" s="930"/>
      <c r="F815" s="930"/>
      <c r="G815" s="930"/>
      <c r="H815" s="631" t="str">
        <f>Intv_BA!$G$588</f>
        <v>LEEP with BIOP-H</v>
      </c>
      <c r="J815" s="5">
        <f t="shared" ref="J815:O815" ca="1" si="79">J760+J786</f>
        <v>247363.3774773333</v>
      </c>
      <c r="K815" s="5">
        <f t="shared" ca="1" si="79"/>
        <v>247363.3774773333</v>
      </c>
      <c r="L815" s="5">
        <f t="shared" ca="1" si="79"/>
        <v>247363.3774773333</v>
      </c>
      <c r="M815" s="5">
        <f t="shared" ca="1" si="79"/>
        <v>247363.3774773333</v>
      </c>
      <c r="N815" s="5">
        <f t="shared" ca="1" si="79"/>
        <v>247363.3774773333</v>
      </c>
      <c r="O815" s="5">
        <f t="shared" ca="1" si="79"/>
        <v>247363.3774773333</v>
      </c>
    </row>
    <row r="816" spans="4:15" s="327" customFormat="1" x14ac:dyDescent="0.2"/>
    <row r="817" spans="2:15" s="327" customFormat="1" ht="15.75" x14ac:dyDescent="0.2">
      <c r="D817" s="330" t="s">
        <v>733</v>
      </c>
    </row>
    <row r="818" spans="2:15" s="327" customFormat="1" ht="23.45" customHeight="1" x14ac:dyDescent="0.2">
      <c r="D818" s="930" t="str">
        <f>"Total Econ Costs [incl. Capex] (NonAnnualized) ("&amp;INDEX(LU_Intv_2_Denom,DD_TS_Denom)&amp;")"</f>
        <v>Total Econ Costs [incl. Capex] (NonAnnualized) (USD)</v>
      </c>
      <c r="E818" s="930"/>
      <c r="F818" s="930"/>
      <c r="G818" s="930"/>
      <c r="H818" s="631" t="str">
        <f>Intv_BA!$G$588</f>
        <v>LEEP with BIOP-H</v>
      </c>
      <c r="J818" s="5">
        <f t="shared" ref="J818:O818" ca="1" si="80">J761+J799</f>
        <v>371883.18274640793</v>
      </c>
      <c r="K818" s="5">
        <f t="shared" ca="1" si="80"/>
        <v>223149.18274640793</v>
      </c>
      <c r="L818" s="5">
        <f t="shared" ca="1" si="80"/>
        <v>223149.18274640793</v>
      </c>
      <c r="M818" s="5">
        <f t="shared" ca="1" si="80"/>
        <v>223149.18274640793</v>
      </c>
      <c r="N818" s="5">
        <f t="shared" ca="1" si="80"/>
        <v>223149.18274640793</v>
      </c>
      <c r="O818" s="5">
        <f t="shared" ca="1" si="80"/>
        <v>223149.18274640793</v>
      </c>
    </row>
    <row r="819" spans="2:15" s="327" customFormat="1" ht="25.5" customHeight="1" x14ac:dyDescent="0.2">
      <c r="D819" s="931" t="str">
        <f>"Econ Costs [incl. Capex] (Annualized) ("&amp;INDEX(LU_Intv_2_Denom,DD_TS_Denom)&amp;")"</f>
        <v>Econ Costs [incl. Capex] (Annualized) (USD)</v>
      </c>
      <c r="E819" s="931"/>
      <c r="F819" s="931"/>
      <c r="G819" s="931"/>
      <c r="H819" s="631" t="str">
        <f>Intv_BA!$G$588</f>
        <v>LEEP with BIOP-H</v>
      </c>
      <c r="J819" s="5">
        <f t="shared" ref="J819:O819" ca="1" si="81">J761+J811</f>
        <v>273631.92689400096</v>
      </c>
      <c r="K819" s="5">
        <f t="shared" ca="1" si="81"/>
        <v>273631.92689400096</v>
      </c>
      <c r="L819" s="5">
        <f t="shared" ca="1" si="81"/>
        <v>273631.92689400096</v>
      </c>
      <c r="M819" s="5">
        <f t="shared" ca="1" si="81"/>
        <v>273631.92689400096</v>
      </c>
      <c r="N819" s="5">
        <f t="shared" ca="1" si="81"/>
        <v>273631.92689400096</v>
      </c>
      <c r="O819" s="5">
        <f t="shared" ca="1" si="81"/>
        <v>273631.92689400096</v>
      </c>
    </row>
    <row r="820" spans="2:15" s="327" customFormat="1" x14ac:dyDescent="0.2"/>
    <row r="821" spans="2:15" s="327" customFormat="1" x14ac:dyDescent="0.2"/>
    <row r="822" spans="2:15" s="327" customFormat="1" x14ac:dyDescent="0.2">
      <c r="C822" s="716" t="str">
        <f>"Go to "&amp;HL_Intv_2_Ass</f>
        <v>Go to Loop Electrosurgical Excision Procedure  with BIOP-H</v>
      </c>
      <c r="D822" s="716"/>
      <c r="E822" s="716"/>
      <c r="F822" s="716"/>
      <c r="G822" s="716"/>
      <c r="H822" s="716"/>
      <c r="I822" s="716"/>
    </row>
    <row r="823" spans="2:15" s="327" customFormat="1" x14ac:dyDescent="0.2">
      <c r="C823" s="716" t="str">
        <f>"Go to "&amp;HL_Intv_2_Ann_Ass</f>
        <v>Go to Intervention Services - Annual Assumptions</v>
      </c>
      <c r="D823" s="716"/>
      <c r="E823" s="716"/>
      <c r="F823" s="716"/>
      <c r="G823" s="716"/>
      <c r="H823" s="716"/>
      <c r="I823" s="716"/>
    </row>
    <row r="824" spans="2:15" s="327" customFormat="1" x14ac:dyDescent="0.2"/>
    <row r="825" spans="2:15" s="327" customFormat="1" x14ac:dyDescent="0.2"/>
    <row r="826" spans="2:15" s="327" customFormat="1" ht="18.75" x14ac:dyDescent="0.2">
      <c r="B826" s="452" t="str">
        <f>Intv_5_Name</f>
        <v>Surgery (Radical Hysterectomy plus Stump Removal)</v>
      </c>
    </row>
    <row r="827" spans="2:15" s="327" customFormat="1" x14ac:dyDescent="0.2"/>
    <row r="828" spans="2:15" s="327" customFormat="1" ht="15.75" outlineLevel="2" x14ac:dyDescent="0.2">
      <c r="C828" s="26" t="str">
        <f>"Active "&amp;Intv_BA!D2388&amp;"s"</f>
        <v>Active Central Referral Hospitals</v>
      </c>
    </row>
    <row r="829" spans="2:15" s="327" customFormat="1" outlineLevel="2" x14ac:dyDescent="0.2"/>
    <row r="830" spans="2:15" s="327" customFormat="1" outlineLevel="2" x14ac:dyDescent="0.2">
      <c r="D830" s="518" t="s">
        <v>82</v>
      </c>
      <c r="H830" s="27">
        <v>1</v>
      </c>
    </row>
    <row r="831" spans="2:15" s="327" customFormat="1" outlineLevel="2" x14ac:dyDescent="0.2"/>
    <row r="832" spans="2:15" s="327" customFormat="1" ht="15" outlineLevel="2" x14ac:dyDescent="0.2">
      <c r="D832" s="24" t="str">
        <f>Labels_BA!G10</f>
        <v>Province</v>
      </c>
    </row>
    <row r="833" spans="3:15" s="327" customFormat="1" outlineLevel="2" x14ac:dyDescent="0.2">
      <c r="D833" s="521" t="str">
        <f>Intv_BA!D2529</f>
        <v>Central</v>
      </c>
      <c r="J833" s="8">
        <f>Intv_Ann_TA!J411</f>
        <v>0</v>
      </c>
      <c r="K833" s="8">
        <f>Intv_Ann_TA!K411</f>
        <v>0</v>
      </c>
      <c r="L833" s="8">
        <f>Intv_Ann_TA!L411</f>
        <v>0</v>
      </c>
      <c r="M833" s="8">
        <f>Intv_Ann_TA!M411</f>
        <v>0</v>
      </c>
      <c r="N833" s="8">
        <f>Intv_Ann_TA!N411</f>
        <v>0</v>
      </c>
      <c r="O833" s="8">
        <f>Intv_Ann_TA!O411</f>
        <v>0</v>
      </c>
    </row>
    <row r="834" spans="3:15" s="327" customFormat="1" outlineLevel="2" x14ac:dyDescent="0.2">
      <c r="D834" s="521" t="str">
        <f>Intv_BA!D2530</f>
        <v>Copperbelt</v>
      </c>
      <c r="J834" s="8">
        <f>Intv_Ann_TA!J412</f>
        <v>3</v>
      </c>
      <c r="K834" s="8">
        <f>Intv_Ann_TA!K412</f>
        <v>3</v>
      </c>
      <c r="L834" s="8">
        <f>Intv_Ann_TA!L412</f>
        <v>3</v>
      </c>
      <c r="M834" s="8">
        <f>Intv_Ann_TA!M412</f>
        <v>3</v>
      </c>
      <c r="N834" s="8">
        <f>Intv_Ann_TA!N412</f>
        <v>3</v>
      </c>
      <c r="O834" s="8">
        <f>Intv_Ann_TA!O412</f>
        <v>3</v>
      </c>
    </row>
    <row r="835" spans="3:15" s="327" customFormat="1" outlineLevel="2" x14ac:dyDescent="0.2">
      <c r="D835" s="521" t="str">
        <f>Intv_BA!D2531</f>
        <v>Eastern</v>
      </c>
      <c r="J835" s="8">
        <f>Intv_Ann_TA!J413</f>
        <v>0</v>
      </c>
      <c r="K835" s="8">
        <f>Intv_Ann_TA!K413</f>
        <v>0</v>
      </c>
      <c r="L835" s="8">
        <f>Intv_Ann_TA!L413</f>
        <v>0</v>
      </c>
      <c r="M835" s="8">
        <f>Intv_Ann_TA!M413</f>
        <v>0</v>
      </c>
      <c r="N835" s="8">
        <f>Intv_Ann_TA!N413</f>
        <v>0</v>
      </c>
      <c r="O835" s="8">
        <f>Intv_Ann_TA!O413</f>
        <v>0</v>
      </c>
    </row>
    <row r="836" spans="3:15" s="327" customFormat="1" outlineLevel="2" x14ac:dyDescent="0.2">
      <c r="D836" s="521" t="str">
        <f>Intv_BA!D2532</f>
        <v>Luapula</v>
      </c>
      <c r="J836" s="8">
        <f>Intv_Ann_TA!J414</f>
        <v>0</v>
      </c>
      <c r="K836" s="8">
        <f>Intv_Ann_TA!K414</f>
        <v>0</v>
      </c>
      <c r="L836" s="8">
        <f>Intv_Ann_TA!L414</f>
        <v>0</v>
      </c>
      <c r="M836" s="8">
        <f>Intv_Ann_TA!M414</f>
        <v>0</v>
      </c>
      <c r="N836" s="8">
        <f>Intv_Ann_TA!N414</f>
        <v>0</v>
      </c>
      <c r="O836" s="8">
        <f>Intv_Ann_TA!O414</f>
        <v>0</v>
      </c>
    </row>
    <row r="837" spans="3:15" s="327" customFormat="1" outlineLevel="2" x14ac:dyDescent="0.2">
      <c r="D837" s="521" t="str">
        <f>Intv_BA!D2533</f>
        <v>Lusaka</v>
      </c>
      <c r="J837" s="8">
        <f>Intv_Ann_TA!J415</f>
        <v>1</v>
      </c>
      <c r="K837" s="8">
        <f>Intv_Ann_TA!K415</f>
        <v>1</v>
      </c>
      <c r="L837" s="8">
        <f>Intv_Ann_TA!L415</f>
        <v>1</v>
      </c>
      <c r="M837" s="8">
        <f>Intv_Ann_TA!M415</f>
        <v>1</v>
      </c>
      <c r="N837" s="8">
        <f>Intv_Ann_TA!N415</f>
        <v>1</v>
      </c>
      <c r="O837" s="8">
        <f>Intv_Ann_TA!O415</f>
        <v>1</v>
      </c>
    </row>
    <row r="838" spans="3:15" s="327" customFormat="1" outlineLevel="2" x14ac:dyDescent="0.2">
      <c r="D838" s="521" t="str">
        <f>Intv_BA!D2534</f>
        <v>Muchinga</v>
      </c>
      <c r="J838" s="8">
        <f>Intv_Ann_TA!J416</f>
        <v>0</v>
      </c>
      <c r="K838" s="8">
        <f>Intv_Ann_TA!K416</f>
        <v>0</v>
      </c>
      <c r="L838" s="8">
        <f>Intv_Ann_TA!L416</f>
        <v>0</v>
      </c>
      <c r="M838" s="8">
        <f>Intv_Ann_TA!M416</f>
        <v>0</v>
      </c>
      <c r="N838" s="8">
        <f>Intv_Ann_TA!N416</f>
        <v>0</v>
      </c>
      <c r="O838" s="8">
        <f>Intv_Ann_TA!O416</f>
        <v>0</v>
      </c>
    </row>
    <row r="839" spans="3:15" s="327" customFormat="1" outlineLevel="2" x14ac:dyDescent="0.2">
      <c r="D839" s="521" t="str">
        <f>Intv_BA!D2535</f>
        <v>Northern</v>
      </c>
      <c r="J839" s="8">
        <f>Intv_Ann_TA!J417</f>
        <v>0</v>
      </c>
      <c r="K839" s="8">
        <f>Intv_Ann_TA!K417</f>
        <v>0</v>
      </c>
      <c r="L839" s="8">
        <f>Intv_Ann_TA!L417</f>
        <v>0</v>
      </c>
      <c r="M839" s="8">
        <f>Intv_Ann_TA!M417</f>
        <v>0</v>
      </c>
      <c r="N839" s="8">
        <f>Intv_Ann_TA!N417</f>
        <v>0</v>
      </c>
      <c r="O839" s="8">
        <f>Intv_Ann_TA!O417</f>
        <v>0</v>
      </c>
    </row>
    <row r="840" spans="3:15" s="327" customFormat="1" outlineLevel="2" x14ac:dyDescent="0.2">
      <c r="D840" s="521" t="str">
        <f>Intv_BA!D2536</f>
        <v>North-Western</v>
      </c>
      <c r="J840" s="8">
        <f>Intv_Ann_TA!J418</f>
        <v>0</v>
      </c>
      <c r="K840" s="8">
        <f>Intv_Ann_TA!K418</f>
        <v>0</v>
      </c>
      <c r="L840" s="8">
        <f>Intv_Ann_TA!L418</f>
        <v>0</v>
      </c>
      <c r="M840" s="8">
        <f>Intv_Ann_TA!M418</f>
        <v>0</v>
      </c>
      <c r="N840" s="8">
        <f>Intv_Ann_TA!N418</f>
        <v>0</v>
      </c>
      <c r="O840" s="8">
        <f>Intv_Ann_TA!O418</f>
        <v>0</v>
      </c>
    </row>
    <row r="841" spans="3:15" s="327" customFormat="1" outlineLevel="2" x14ac:dyDescent="0.2">
      <c r="D841" s="521" t="str">
        <f>Intv_BA!D2537</f>
        <v>Southern</v>
      </c>
      <c r="J841" s="8">
        <f>Intv_Ann_TA!J419</f>
        <v>0</v>
      </c>
      <c r="K841" s="8">
        <f>Intv_Ann_TA!K419</f>
        <v>0</v>
      </c>
      <c r="L841" s="8">
        <f>Intv_Ann_TA!L419</f>
        <v>0</v>
      </c>
      <c r="M841" s="8">
        <f>Intv_Ann_TA!M419</f>
        <v>0</v>
      </c>
      <c r="N841" s="8">
        <f>Intv_Ann_TA!N419</f>
        <v>0</v>
      </c>
      <c r="O841" s="8">
        <f>Intv_Ann_TA!O419</f>
        <v>0</v>
      </c>
    </row>
    <row r="842" spans="3:15" s="327" customFormat="1" outlineLevel="2" x14ac:dyDescent="0.2">
      <c r="D842" s="521" t="str">
        <f>Intv_BA!D2538</f>
        <v>Western</v>
      </c>
      <c r="J842" s="9">
        <f>Intv_Ann_TA!J420</f>
        <v>0</v>
      </c>
      <c r="K842" s="9">
        <f>Intv_Ann_TA!K420</f>
        <v>0</v>
      </c>
      <c r="L842" s="9">
        <f>Intv_Ann_TA!L420</f>
        <v>0</v>
      </c>
      <c r="M842" s="9">
        <f>Intv_Ann_TA!M420</f>
        <v>0</v>
      </c>
      <c r="N842" s="9">
        <f>Intv_Ann_TA!N420</f>
        <v>0</v>
      </c>
      <c r="O842" s="9">
        <f>Intv_Ann_TA!O420</f>
        <v>0</v>
      </c>
    </row>
    <row r="843" spans="3:15" s="327" customFormat="1" x14ac:dyDescent="0.2">
      <c r="D843" s="520" t="str">
        <f>"Total "&amp;C828</f>
        <v>Total Active Central Referral Hospitals</v>
      </c>
      <c r="J843" s="5">
        <f t="shared" ref="J843:O843" si="82">SUM(J833:J842)</f>
        <v>4</v>
      </c>
      <c r="K843" s="5">
        <f t="shared" si="82"/>
        <v>4</v>
      </c>
      <c r="L843" s="5">
        <f t="shared" si="82"/>
        <v>4</v>
      </c>
      <c r="M843" s="5">
        <f t="shared" si="82"/>
        <v>4</v>
      </c>
      <c r="N843" s="5">
        <f t="shared" si="82"/>
        <v>4</v>
      </c>
      <c r="O843" s="5">
        <f t="shared" si="82"/>
        <v>4</v>
      </c>
    </row>
    <row r="844" spans="3:15" s="327" customFormat="1" outlineLevel="2" x14ac:dyDescent="0.2"/>
    <row r="845" spans="3:15" s="327" customFormat="1" ht="15.75" outlineLevel="2" x14ac:dyDescent="0.2">
      <c r="C845" s="26" t="str">
        <f>"Active "&amp;Intv_BA!D2389&amp;"s"</f>
        <v>Active Provincial Hospitals</v>
      </c>
    </row>
    <row r="846" spans="3:15" s="327" customFormat="1" outlineLevel="2" x14ac:dyDescent="0.2"/>
    <row r="847" spans="3:15" s="327" customFormat="1" outlineLevel="2" x14ac:dyDescent="0.2">
      <c r="D847" s="518" t="s">
        <v>82</v>
      </c>
      <c r="H847" s="27">
        <v>2</v>
      </c>
    </row>
    <row r="848" spans="3:15" s="327" customFormat="1" outlineLevel="2" x14ac:dyDescent="0.2"/>
    <row r="849" spans="3:15" s="327" customFormat="1" ht="15" outlineLevel="2" x14ac:dyDescent="0.2">
      <c r="D849" s="24" t="str">
        <f>Labels_BA!G10</f>
        <v>Province</v>
      </c>
    </row>
    <row r="850" spans="3:15" s="327" customFormat="1" outlineLevel="2" x14ac:dyDescent="0.2">
      <c r="D850" s="521" t="str">
        <f>Intv_BA!D2529</f>
        <v>Central</v>
      </c>
      <c r="J850" s="8">
        <f>Intv_Ann_TA!J427</f>
        <v>0</v>
      </c>
      <c r="K850" s="8">
        <f>Intv_Ann_TA!K427</f>
        <v>0</v>
      </c>
      <c r="L850" s="8">
        <f>Intv_Ann_TA!L427</f>
        <v>0</v>
      </c>
      <c r="M850" s="8">
        <f>Intv_Ann_TA!M427</f>
        <v>0</v>
      </c>
      <c r="N850" s="8">
        <f>Intv_Ann_TA!N427</f>
        <v>0</v>
      </c>
      <c r="O850" s="8">
        <f>Intv_Ann_TA!O427</f>
        <v>0</v>
      </c>
    </row>
    <row r="851" spans="3:15" s="327" customFormat="1" outlineLevel="2" x14ac:dyDescent="0.2">
      <c r="D851" s="521" t="str">
        <f>Intv_BA!D2530</f>
        <v>Copperbelt</v>
      </c>
      <c r="J851" s="8">
        <f>Intv_Ann_TA!J428</f>
        <v>0</v>
      </c>
      <c r="K851" s="8">
        <f>Intv_Ann_TA!K428</f>
        <v>0</v>
      </c>
      <c r="L851" s="8">
        <f>Intv_Ann_TA!L428</f>
        <v>0</v>
      </c>
      <c r="M851" s="8">
        <f>Intv_Ann_TA!M428</f>
        <v>0</v>
      </c>
      <c r="N851" s="8">
        <f>Intv_Ann_TA!N428</f>
        <v>0</v>
      </c>
      <c r="O851" s="8">
        <f>Intv_Ann_TA!O428</f>
        <v>0</v>
      </c>
    </row>
    <row r="852" spans="3:15" s="327" customFormat="1" outlineLevel="2" x14ac:dyDescent="0.2">
      <c r="D852" s="521" t="str">
        <f>Intv_BA!D2531</f>
        <v>Eastern</v>
      </c>
      <c r="J852" s="8">
        <f>Intv_Ann_TA!J429</f>
        <v>0</v>
      </c>
      <c r="K852" s="8">
        <f>Intv_Ann_TA!K429</f>
        <v>0</v>
      </c>
      <c r="L852" s="8">
        <f>Intv_Ann_TA!L429</f>
        <v>0</v>
      </c>
      <c r="M852" s="8">
        <f>Intv_Ann_TA!M429</f>
        <v>0</v>
      </c>
      <c r="N852" s="8">
        <f>Intv_Ann_TA!N429</f>
        <v>0</v>
      </c>
      <c r="O852" s="8">
        <f>Intv_Ann_TA!O429</f>
        <v>0</v>
      </c>
    </row>
    <row r="853" spans="3:15" s="327" customFormat="1" outlineLevel="2" x14ac:dyDescent="0.2">
      <c r="D853" s="521" t="str">
        <f>Intv_BA!D2532</f>
        <v>Luapula</v>
      </c>
      <c r="J853" s="8">
        <f>Intv_Ann_TA!J430</f>
        <v>0</v>
      </c>
      <c r="K853" s="8">
        <f>Intv_Ann_TA!K430</f>
        <v>0</v>
      </c>
      <c r="L853" s="8">
        <f>Intv_Ann_TA!L430</f>
        <v>0</v>
      </c>
      <c r="M853" s="8">
        <f>Intv_Ann_TA!M430</f>
        <v>0</v>
      </c>
      <c r="N853" s="8">
        <f>Intv_Ann_TA!N430</f>
        <v>0</v>
      </c>
      <c r="O853" s="8">
        <f>Intv_Ann_TA!O430</f>
        <v>0</v>
      </c>
    </row>
    <row r="854" spans="3:15" s="327" customFormat="1" outlineLevel="2" x14ac:dyDescent="0.2">
      <c r="D854" s="521" t="str">
        <f>Intv_BA!D2533</f>
        <v>Lusaka</v>
      </c>
      <c r="J854" s="8">
        <f>Intv_Ann_TA!J431</f>
        <v>0</v>
      </c>
      <c r="K854" s="8">
        <f>Intv_Ann_TA!K431</f>
        <v>0</v>
      </c>
      <c r="L854" s="8">
        <f>Intv_Ann_TA!L431</f>
        <v>0</v>
      </c>
      <c r="M854" s="8">
        <f>Intv_Ann_TA!M431</f>
        <v>0</v>
      </c>
      <c r="N854" s="8">
        <f>Intv_Ann_TA!N431</f>
        <v>0</v>
      </c>
      <c r="O854" s="8">
        <f>Intv_Ann_TA!O431</f>
        <v>0</v>
      </c>
    </row>
    <row r="855" spans="3:15" s="327" customFormat="1" outlineLevel="2" x14ac:dyDescent="0.2">
      <c r="D855" s="521" t="str">
        <f>Intv_BA!D2534</f>
        <v>Muchinga</v>
      </c>
      <c r="J855" s="8">
        <f>Intv_Ann_TA!J432</f>
        <v>0</v>
      </c>
      <c r="K855" s="8">
        <f>Intv_Ann_TA!K432</f>
        <v>0</v>
      </c>
      <c r="L855" s="8">
        <f>Intv_Ann_TA!L432</f>
        <v>0</v>
      </c>
      <c r="M855" s="8">
        <f>Intv_Ann_TA!M432</f>
        <v>0</v>
      </c>
      <c r="N855" s="8">
        <f>Intv_Ann_TA!N432</f>
        <v>0</v>
      </c>
      <c r="O855" s="8">
        <f>Intv_Ann_TA!O432</f>
        <v>0</v>
      </c>
    </row>
    <row r="856" spans="3:15" s="327" customFormat="1" outlineLevel="2" x14ac:dyDescent="0.2">
      <c r="D856" s="521" t="str">
        <f>Intv_BA!D2535</f>
        <v>Northern</v>
      </c>
      <c r="J856" s="8">
        <f>Intv_Ann_TA!J433</f>
        <v>0</v>
      </c>
      <c r="K856" s="8">
        <f>Intv_Ann_TA!K433</f>
        <v>0</v>
      </c>
      <c r="L856" s="8">
        <f>Intv_Ann_TA!L433</f>
        <v>0</v>
      </c>
      <c r="M856" s="8">
        <f>Intv_Ann_TA!M433</f>
        <v>0</v>
      </c>
      <c r="N856" s="8">
        <f>Intv_Ann_TA!N433</f>
        <v>0</v>
      </c>
      <c r="O856" s="8">
        <f>Intv_Ann_TA!O433</f>
        <v>0</v>
      </c>
    </row>
    <row r="857" spans="3:15" s="327" customFormat="1" outlineLevel="2" x14ac:dyDescent="0.2">
      <c r="D857" s="521" t="str">
        <f>Intv_BA!D2536</f>
        <v>North-Western</v>
      </c>
      <c r="J857" s="8">
        <f>Intv_Ann_TA!J434</f>
        <v>0</v>
      </c>
      <c r="K857" s="8">
        <f>Intv_Ann_TA!K434</f>
        <v>0</v>
      </c>
      <c r="L857" s="8">
        <f>Intv_Ann_TA!L434</f>
        <v>0</v>
      </c>
      <c r="M857" s="8">
        <f>Intv_Ann_TA!M434</f>
        <v>0</v>
      </c>
      <c r="N857" s="8">
        <f>Intv_Ann_TA!N434</f>
        <v>0</v>
      </c>
      <c r="O857" s="8">
        <f>Intv_Ann_TA!O434</f>
        <v>0</v>
      </c>
    </row>
    <row r="858" spans="3:15" s="327" customFormat="1" outlineLevel="2" x14ac:dyDescent="0.2">
      <c r="D858" s="521" t="str">
        <f>Intv_BA!D2537</f>
        <v>Southern</v>
      </c>
      <c r="J858" s="8">
        <f>Intv_Ann_TA!J435</f>
        <v>0</v>
      </c>
      <c r="K858" s="8">
        <f>Intv_Ann_TA!K435</f>
        <v>0</v>
      </c>
      <c r="L858" s="8">
        <f>Intv_Ann_TA!L435</f>
        <v>0</v>
      </c>
      <c r="M858" s="8">
        <f>Intv_Ann_TA!M435</f>
        <v>0</v>
      </c>
      <c r="N858" s="8">
        <f>Intv_Ann_TA!N435</f>
        <v>0</v>
      </c>
      <c r="O858" s="8">
        <f>Intv_Ann_TA!O435</f>
        <v>0</v>
      </c>
    </row>
    <row r="859" spans="3:15" s="327" customFormat="1" outlineLevel="2" x14ac:dyDescent="0.2">
      <c r="D859" s="521" t="str">
        <f>Intv_BA!D2538</f>
        <v>Western</v>
      </c>
      <c r="J859" s="9">
        <f>Intv_Ann_TA!J436</f>
        <v>0</v>
      </c>
      <c r="K859" s="9">
        <f>Intv_Ann_TA!K436</f>
        <v>0</v>
      </c>
      <c r="L859" s="9">
        <f>Intv_Ann_TA!L436</f>
        <v>0</v>
      </c>
      <c r="M859" s="9">
        <f>Intv_Ann_TA!M436</f>
        <v>0</v>
      </c>
      <c r="N859" s="9">
        <f>Intv_Ann_TA!N436</f>
        <v>0</v>
      </c>
      <c r="O859" s="9">
        <f>Intv_Ann_TA!O436</f>
        <v>0</v>
      </c>
    </row>
    <row r="860" spans="3:15" s="327" customFormat="1" x14ac:dyDescent="0.2">
      <c r="D860" s="520" t="str">
        <f>"Total "&amp;C845</f>
        <v>Total Active Provincial Hospitals</v>
      </c>
      <c r="J860" s="5">
        <f t="shared" ref="J860:O860" si="83">SUM(J850:J859)</f>
        <v>0</v>
      </c>
      <c r="K860" s="5">
        <f t="shared" si="83"/>
        <v>0</v>
      </c>
      <c r="L860" s="5">
        <f t="shared" si="83"/>
        <v>0</v>
      </c>
      <c r="M860" s="5">
        <f t="shared" si="83"/>
        <v>0</v>
      </c>
      <c r="N860" s="5">
        <f t="shared" si="83"/>
        <v>0</v>
      </c>
      <c r="O860" s="5">
        <f t="shared" si="83"/>
        <v>0</v>
      </c>
    </row>
    <row r="861" spans="3:15" s="327" customFormat="1" outlineLevel="2" x14ac:dyDescent="0.2"/>
    <row r="862" spans="3:15" s="327" customFormat="1" ht="15.75" outlineLevel="2" x14ac:dyDescent="0.2">
      <c r="C862" s="26" t="str">
        <f>"Active "&amp;Intv_BA!D2390&amp;"s"</f>
        <v>Active District Hospitals</v>
      </c>
    </row>
    <row r="863" spans="3:15" s="327" customFormat="1" outlineLevel="2" x14ac:dyDescent="0.2"/>
    <row r="864" spans="3:15" s="327" customFormat="1" outlineLevel="2" x14ac:dyDescent="0.2">
      <c r="D864" s="518" t="s">
        <v>82</v>
      </c>
      <c r="H864" s="27">
        <v>3</v>
      </c>
    </row>
    <row r="865" spans="3:15" s="327" customFormat="1" outlineLevel="2" x14ac:dyDescent="0.2"/>
    <row r="866" spans="3:15" s="327" customFormat="1" ht="15" outlineLevel="2" x14ac:dyDescent="0.2">
      <c r="D866" s="24" t="str">
        <f>Labels_BA!G10</f>
        <v>Province</v>
      </c>
    </row>
    <row r="867" spans="3:15" s="327" customFormat="1" outlineLevel="2" x14ac:dyDescent="0.2">
      <c r="D867" s="521" t="str">
        <f>Intv_BA!D2529</f>
        <v>Central</v>
      </c>
      <c r="J867" s="8">
        <f>Intv_Ann_TA!J443</f>
        <v>0</v>
      </c>
      <c r="K867" s="8">
        <f>Intv_Ann_TA!K443</f>
        <v>0</v>
      </c>
      <c r="L867" s="8">
        <f>Intv_Ann_TA!L443</f>
        <v>0</v>
      </c>
      <c r="M867" s="8">
        <f>Intv_Ann_TA!M443</f>
        <v>0</v>
      </c>
      <c r="N867" s="8">
        <f>Intv_Ann_TA!N443</f>
        <v>0</v>
      </c>
      <c r="O867" s="8">
        <f>Intv_Ann_TA!O443</f>
        <v>0</v>
      </c>
    </row>
    <row r="868" spans="3:15" s="327" customFormat="1" outlineLevel="2" x14ac:dyDescent="0.2">
      <c r="D868" s="521" t="str">
        <f>Intv_BA!D2530</f>
        <v>Copperbelt</v>
      </c>
      <c r="J868" s="8">
        <f>Intv_Ann_TA!J444</f>
        <v>0</v>
      </c>
      <c r="K868" s="8">
        <f>Intv_Ann_TA!K444</f>
        <v>0</v>
      </c>
      <c r="L868" s="8">
        <f>Intv_Ann_TA!L444</f>
        <v>0</v>
      </c>
      <c r="M868" s="8">
        <f>Intv_Ann_TA!M444</f>
        <v>0</v>
      </c>
      <c r="N868" s="8">
        <f>Intv_Ann_TA!N444</f>
        <v>0</v>
      </c>
      <c r="O868" s="8">
        <f>Intv_Ann_TA!O444</f>
        <v>0</v>
      </c>
    </row>
    <row r="869" spans="3:15" s="327" customFormat="1" outlineLevel="2" x14ac:dyDescent="0.2">
      <c r="D869" s="521" t="str">
        <f>Intv_BA!D2531</f>
        <v>Eastern</v>
      </c>
      <c r="J869" s="8">
        <f>Intv_Ann_TA!J445</f>
        <v>0</v>
      </c>
      <c r="K869" s="8">
        <f>Intv_Ann_TA!K445</f>
        <v>0</v>
      </c>
      <c r="L869" s="8">
        <f>Intv_Ann_TA!L445</f>
        <v>0</v>
      </c>
      <c r="M869" s="8">
        <f>Intv_Ann_TA!M445</f>
        <v>0</v>
      </c>
      <c r="N869" s="8">
        <f>Intv_Ann_TA!N445</f>
        <v>0</v>
      </c>
      <c r="O869" s="8">
        <f>Intv_Ann_TA!O445</f>
        <v>0</v>
      </c>
    </row>
    <row r="870" spans="3:15" s="327" customFormat="1" outlineLevel="2" x14ac:dyDescent="0.2">
      <c r="D870" s="521" t="str">
        <f>Intv_BA!D2532</f>
        <v>Luapula</v>
      </c>
      <c r="J870" s="8">
        <f>Intv_Ann_TA!J446</f>
        <v>0</v>
      </c>
      <c r="K870" s="8">
        <f>Intv_Ann_TA!K446</f>
        <v>0</v>
      </c>
      <c r="L870" s="8">
        <f>Intv_Ann_TA!L446</f>
        <v>0</v>
      </c>
      <c r="M870" s="8">
        <f>Intv_Ann_TA!M446</f>
        <v>0</v>
      </c>
      <c r="N870" s="8">
        <f>Intv_Ann_TA!N446</f>
        <v>0</v>
      </c>
      <c r="O870" s="8">
        <f>Intv_Ann_TA!O446</f>
        <v>0</v>
      </c>
    </row>
    <row r="871" spans="3:15" s="327" customFormat="1" outlineLevel="2" x14ac:dyDescent="0.2">
      <c r="D871" s="521" t="str">
        <f>Intv_BA!D2533</f>
        <v>Lusaka</v>
      </c>
      <c r="J871" s="8">
        <f>Intv_Ann_TA!J447</f>
        <v>0</v>
      </c>
      <c r="K871" s="8">
        <f>Intv_Ann_TA!K447</f>
        <v>0</v>
      </c>
      <c r="L871" s="8">
        <f>Intv_Ann_TA!L447</f>
        <v>0</v>
      </c>
      <c r="M871" s="8">
        <f>Intv_Ann_TA!M447</f>
        <v>0</v>
      </c>
      <c r="N871" s="8">
        <f>Intv_Ann_TA!N447</f>
        <v>0</v>
      </c>
      <c r="O871" s="8">
        <f>Intv_Ann_TA!O447</f>
        <v>0</v>
      </c>
    </row>
    <row r="872" spans="3:15" s="327" customFormat="1" outlineLevel="2" x14ac:dyDescent="0.2">
      <c r="D872" s="521" t="str">
        <f>Intv_BA!D2534</f>
        <v>Muchinga</v>
      </c>
      <c r="J872" s="8">
        <f>Intv_Ann_TA!J448</f>
        <v>0</v>
      </c>
      <c r="K872" s="8">
        <f>Intv_Ann_TA!K448</f>
        <v>0</v>
      </c>
      <c r="L872" s="8">
        <f>Intv_Ann_TA!L448</f>
        <v>0</v>
      </c>
      <c r="M872" s="8">
        <f>Intv_Ann_TA!M448</f>
        <v>0</v>
      </c>
      <c r="N872" s="8">
        <f>Intv_Ann_TA!N448</f>
        <v>0</v>
      </c>
      <c r="O872" s="8">
        <f>Intv_Ann_TA!O448</f>
        <v>0</v>
      </c>
    </row>
    <row r="873" spans="3:15" s="327" customFormat="1" outlineLevel="2" x14ac:dyDescent="0.2">
      <c r="D873" s="521" t="str">
        <f>Intv_BA!D2535</f>
        <v>Northern</v>
      </c>
      <c r="J873" s="8">
        <f>Intv_Ann_TA!J449</f>
        <v>0</v>
      </c>
      <c r="K873" s="8">
        <f>Intv_Ann_TA!K449</f>
        <v>0</v>
      </c>
      <c r="L873" s="8">
        <f>Intv_Ann_TA!L449</f>
        <v>0</v>
      </c>
      <c r="M873" s="8">
        <f>Intv_Ann_TA!M449</f>
        <v>0</v>
      </c>
      <c r="N873" s="8">
        <f>Intv_Ann_TA!N449</f>
        <v>0</v>
      </c>
      <c r="O873" s="8">
        <f>Intv_Ann_TA!O449</f>
        <v>0</v>
      </c>
    </row>
    <row r="874" spans="3:15" s="327" customFormat="1" outlineLevel="2" x14ac:dyDescent="0.2">
      <c r="D874" s="521" t="str">
        <f>Intv_BA!D2536</f>
        <v>North-Western</v>
      </c>
      <c r="J874" s="8">
        <f>Intv_Ann_TA!J450</f>
        <v>0</v>
      </c>
      <c r="K874" s="8">
        <f>Intv_Ann_TA!K450</f>
        <v>0</v>
      </c>
      <c r="L874" s="8">
        <f>Intv_Ann_TA!L450</f>
        <v>0</v>
      </c>
      <c r="M874" s="8">
        <f>Intv_Ann_TA!M450</f>
        <v>0</v>
      </c>
      <c r="N874" s="8">
        <f>Intv_Ann_TA!N450</f>
        <v>0</v>
      </c>
      <c r="O874" s="8">
        <f>Intv_Ann_TA!O450</f>
        <v>0</v>
      </c>
    </row>
    <row r="875" spans="3:15" s="327" customFormat="1" outlineLevel="2" x14ac:dyDescent="0.2">
      <c r="D875" s="521" t="str">
        <f>Intv_BA!D2537</f>
        <v>Southern</v>
      </c>
      <c r="J875" s="8">
        <f>Intv_Ann_TA!J451</f>
        <v>0</v>
      </c>
      <c r="K875" s="8">
        <f>Intv_Ann_TA!K451</f>
        <v>0</v>
      </c>
      <c r="L875" s="8">
        <f>Intv_Ann_TA!L451</f>
        <v>0</v>
      </c>
      <c r="M875" s="8">
        <f>Intv_Ann_TA!M451</f>
        <v>0</v>
      </c>
      <c r="N875" s="8">
        <f>Intv_Ann_TA!N451</f>
        <v>0</v>
      </c>
      <c r="O875" s="8">
        <f>Intv_Ann_TA!O451</f>
        <v>0</v>
      </c>
    </row>
    <row r="876" spans="3:15" s="327" customFormat="1" outlineLevel="2" x14ac:dyDescent="0.2">
      <c r="D876" s="521" t="str">
        <f>Intv_BA!D2538</f>
        <v>Western</v>
      </c>
      <c r="J876" s="9">
        <f>Intv_Ann_TA!J452</f>
        <v>0</v>
      </c>
      <c r="K876" s="9">
        <f>Intv_Ann_TA!K452</f>
        <v>0</v>
      </c>
      <c r="L876" s="9">
        <f>Intv_Ann_TA!L452</f>
        <v>0</v>
      </c>
      <c r="M876" s="9">
        <f>Intv_Ann_TA!M452</f>
        <v>0</v>
      </c>
      <c r="N876" s="9">
        <f>Intv_Ann_TA!N452</f>
        <v>0</v>
      </c>
      <c r="O876" s="9">
        <f>Intv_Ann_TA!O452</f>
        <v>0</v>
      </c>
    </row>
    <row r="877" spans="3:15" s="327" customFormat="1" x14ac:dyDescent="0.2">
      <c r="D877" s="520" t="str">
        <f>"Total "&amp;C862</f>
        <v>Total Active District Hospitals</v>
      </c>
      <c r="J877" s="5">
        <f t="shared" ref="J877:O877" si="84">SUM(J867:J876)</f>
        <v>0</v>
      </c>
      <c r="K877" s="5">
        <f t="shared" si="84"/>
        <v>0</v>
      </c>
      <c r="L877" s="5">
        <f t="shared" si="84"/>
        <v>0</v>
      </c>
      <c r="M877" s="5">
        <f t="shared" si="84"/>
        <v>0</v>
      </c>
      <c r="N877" s="5">
        <f t="shared" si="84"/>
        <v>0</v>
      </c>
      <c r="O877" s="5">
        <f t="shared" si="84"/>
        <v>0</v>
      </c>
    </row>
    <row r="878" spans="3:15" s="327" customFormat="1" outlineLevel="2" x14ac:dyDescent="0.2"/>
    <row r="879" spans="3:15" s="327" customFormat="1" ht="15.75" outlineLevel="2" x14ac:dyDescent="0.2">
      <c r="C879" s="26" t="str">
        <f>"Active "&amp;Intv_BA!D2393&amp;"s"</f>
        <v>Active Fixed Health Clinics</v>
      </c>
    </row>
    <row r="880" spans="3:15" s="327" customFormat="1" outlineLevel="2" x14ac:dyDescent="0.2"/>
    <row r="881" spans="3:15" s="327" customFormat="1" outlineLevel="2" x14ac:dyDescent="0.2">
      <c r="D881" s="518" t="s">
        <v>82</v>
      </c>
      <c r="H881" s="27">
        <v>4</v>
      </c>
    </row>
    <row r="882" spans="3:15" s="327" customFormat="1" outlineLevel="2" x14ac:dyDescent="0.2"/>
    <row r="883" spans="3:15" s="327" customFormat="1" ht="15" outlineLevel="2" x14ac:dyDescent="0.2">
      <c r="D883" s="24" t="str">
        <f>Labels_BA!G10</f>
        <v>Province</v>
      </c>
    </row>
    <row r="884" spans="3:15" s="327" customFormat="1" outlineLevel="2" x14ac:dyDescent="0.2">
      <c r="D884" s="521" t="str">
        <f>Intv_BA!D2529</f>
        <v>Central</v>
      </c>
      <c r="J884" s="8">
        <f>Intv_Ann_TA!J459</f>
        <v>0</v>
      </c>
      <c r="K884" s="8">
        <f>Intv_Ann_TA!K459</f>
        <v>0</v>
      </c>
      <c r="L884" s="8">
        <f>Intv_Ann_TA!L459</f>
        <v>0</v>
      </c>
      <c r="M884" s="8">
        <f>Intv_Ann_TA!M459</f>
        <v>0</v>
      </c>
      <c r="N884" s="8">
        <f>Intv_Ann_TA!N459</f>
        <v>0</v>
      </c>
      <c r="O884" s="8">
        <f>Intv_Ann_TA!O459</f>
        <v>0</v>
      </c>
    </row>
    <row r="885" spans="3:15" s="327" customFormat="1" outlineLevel="2" x14ac:dyDescent="0.2">
      <c r="D885" s="521" t="str">
        <f>Intv_BA!D2530</f>
        <v>Copperbelt</v>
      </c>
      <c r="J885" s="8">
        <f>Intv_Ann_TA!J460</f>
        <v>0</v>
      </c>
      <c r="K885" s="8">
        <f>Intv_Ann_TA!K460</f>
        <v>0</v>
      </c>
      <c r="L885" s="8">
        <f>Intv_Ann_TA!L460</f>
        <v>0</v>
      </c>
      <c r="M885" s="8">
        <f>Intv_Ann_TA!M460</f>
        <v>0</v>
      </c>
      <c r="N885" s="8">
        <f>Intv_Ann_TA!N460</f>
        <v>0</v>
      </c>
      <c r="O885" s="8">
        <f>Intv_Ann_TA!O460</f>
        <v>0</v>
      </c>
    </row>
    <row r="886" spans="3:15" s="327" customFormat="1" outlineLevel="2" x14ac:dyDescent="0.2">
      <c r="D886" s="521" t="str">
        <f>Intv_BA!D2531</f>
        <v>Eastern</v>
      </c>
      <c r="J886" s="8">
        <f>Intv_Ann_TA!J461</f>
        <v>0</v>
      </c>
      <c r="K886" s="8">
        <f>Intv_Ann_TA!K461</f>
        <v>0</v>
      </c>
      <c r="L886" s="8">
        <f>Intv_Ann_TA!L461</f>
        <v>0</v>
      </c>
      <c r="M886" s="8">
        <f>Intv_Ann_TA!M461</f>
        <v>0</v>
      </c>
      <c r="N886" s="8">
        <f>Intv_Ann_TA!N461</f>
        <v>0</v>
      </c>
      <c r="O886" s="8">
        <f>Intv_Ann_TA!O461</f>
        <v>0</v>
      </c>
    </row>
    <row r="887" spans="3:15" s="327" customFormat="1" outlineLevel="2" x14ac:dyDescent="0.2">
      <c r="D887" s="521" t="str">
        <f>Intv_BA!D2532</f>
        <v>Luapula</v>
      </c>
      <c r="J887" s="8">
        <f>Intv_Ann_TA!J462</f>
        <v>0</v>
      </c>
      <c r="K887" s="8">
        <f>Intv_Ann_TA!K462</f>
        <v>0</v>
      </c>
      <c r="L887" s="8">
        <f>Intv_Ann_TA!L462</f>
        <v>0</v>
      </c>
      <c r="M887" s="8">
        <f>Intv_Ann_TA!M462</f>
        <v>0</v>
      </c>
      <c r="N887" s="8">
        <f>Intv_Ann_TA!N462</f>
        <v>0</v>
      </c>
      <c r="O887" s="8">
        <f>Intv_Ann_TA!O462</f>
        <v>0</v>
      </c>
    </row>
    <row r="888" spans="3:15" s="327" customFormat="1" outlineLevel="2" x14ac:dyDescent="0.2">
      <c r="D888" s="521" t="str">
        <f>Intv_BA!D2533</f>
        <v>Lusaka</v>
      </c>
      <c r="J888" s="8">
        <f>Intv_Ann_TA!J463</f>
        <v>0</v>
      </c>
      <c r="K888" s="8">
        <f>Intv_Ann_TA!K463</f>
        <v>0</v>
      </c>
      <c r="L888" s="8">
        <f>Intv_Ann_TA!L463</f>
        <v>0</v>
      </c>
      <c r="M888" s="8">
        <f>Intv_Ann_TA!M463</f>
        <v>0</v>
      </c>
      <c r="N888" s="8">
        <f>Intv_Ann_TA!N463</f>
        <v>0</v>
      </c>
      <c r="O888" s="8">
        <f>Intv_Ann_TA!O463</f>
        <v>0</v>
      </c>
    </row>
    <row r="889" spans="3:15" s="327" customFormat="1" outlineLevel="2" x14ac:dyDescent="0.2">
      <c r="D889" s="521" t="str">
        <f>Intv_BA!D2534</f>
        <v>Muchinga</v>
      </c>
      <c r="J889" s="8">
        <f>Intv_Ann_TA!J464</f>
        <v>0</v>
      </c>
      <c r="K889" s="8">
        <f>Intv_Ann_TA!K464</f>
        <v>0</v>
      </c>
      <c r="L889" s="8">
        <f>Intv_Ann_TA!L464</f>
        <v>0</v>
      </c>
      <c r="M889" s="8">
        <f>Intv_Ann_TA!M464</f>
        <v>0</v>
      </c>
      <c r="N889" s="8">
        <f>Intv_Ann_TA!N464</f>
        <v>0</v>
      </c>
      <c r="O889" s="8">
        <f>Intv_Ann_TA!O464</f>
        <v>0</v>
      </c>
    </row>
    <row r="890" spans="3:15" s="327" customFormat="1" outlineLevel="2" x14ac:dyDescent="0.2">
      <c r="D890" s="521" t="str">
        <f>Intv_BA!D2535</f>
        <v>Northern</v>
      </c>
      <c r="J890" s="8">
        <f>Intv_Ann_TA!J465</f>
        <v>0</v>
      </c>
      <c r="K890" s="8">
        <f>Intv_Ann_TA!K465</f>
        <v>0</v>
      </c>
      <c r="L890" s="8">
        <f>Intv_Ann_TA!L465</f>
        <v>0</v>
      </c>
      <c r="M890" s="8">
        <f>Intv_Ann_TA!M465</f>
        <v>0</v>
      </c>
      <c r="N890" s="8">
        <f>Intv_Ann_TA!N465</f>
        <v>0</v>
      </c>
      <c r="O890" s="8">
        <f>Intv_Ann_TA!O465</f>
        <v>0</v>
      </c>
    </row>
    <row r="891" spans="3:15" s="327" customFormat="1" outlineLevel="2" x14ac:dyDescent="0.2">
      <c r="D891" s="521" t="str">
        <f>Intv_BA!D2536</f>
        <v>North-Western</v>
      </c>
      <c r="J891" s="8">
        <f>Intv_Ann_TA!J466</f>
        <v>0</v>
      </c>
      <c r="K891" s="8">
        <f>Intv_Ann_TA!K466</f>
        <v>0</v>
      </c>
      <c r="L891" s="8">
        <f>Intv_Ann_TA!L466</f>
        <v>0</v>
      </c>
      <c r="M891" s="8">
        <f>Intv_Ann_TA!M466</f>
        <v>0</v>
      </c>
      <c r="N891" s="8">
        <f>Intv_Ann_TA!N466</f>
        <v>0</v>
      </c>
      <c r="O891" s="8">
        <f>Intv_Ann_TA!O466</f>
        <v>0</v>
      </c>
    </row>
    <row r="892" spans="3:15" s="327" customFormat="1" outlineLevel="2" x14ac:dyDescent="0.2">
      <c r="D892" s="521" t="str">
        <f>Intv_BA!D2537</f>
        <v>Southern</v>
      </c>
      <c r="J892" s="8">
        <f>Intv_Ann_TA!J467</f>
        <v>0</v>
      </c>
      <c r="K892" s="8">
        <f>Intv_Ann_TA!K467</f>
        <v>0</v>
      </c>
      <c r="L892" s="8">
        <f>Intv_Ann_TA!L467</f>
        <v>0</v>
      </c>
      <c r="M892" s="8">
        <f>Intv_Ann_TA!M467</f>
        <v>0</v>
      </c>
      <c r="N892" s="8">
        <f>Intv_Ann_TA!N467</f>
        <v>0</v>
      </c>
      <c r="O892" s="8">
        <f>Intv_Ann_TA!O467</f>
        <v>0</v>
      </c>
    </row>
    <row r="893" spans="3:15" s="327" customFormat="1" outlineLevel="2" x14ac:dyDescent="0.2">
      <c r="D893" s="521" t="str">
        <f>Intv_BA!D2538</f>
        <v>Western</v>
      </c>
      <c r="J893" s="9">
        <f>Intv_Ann_TA!J468</f>
        <v>0</v>
      </c>
      <c r="K893" s="9">
        <f>Intv_Ann_TA!K468</f>
        <v>0</v>
      </c>
      <c r="L893" s="9">
        <f>Intv_Ann_TA!L468</f>
        <v>0</v>
      </c>
      <c r="M893" s="9">
        <f>Intv_Ann_TA!M468</f>
        <v>0</v>
      </c>
      <c r="N893" s="9">
        <f>Intv_Ann_TA!N468</f>
        <v>0</v>
      </c>
      <c r="O893" s="9">
        <f>Intv_Ann_TA!O468</f>
        <v>0</v>
      </c>
    </row>
    <row r="894" spans="3:15" s="327" customFormat="1" x14ac:dyDescent="0.2">
      <c r="D894" s="520" t="str">
        <f>"Total "&amp;C879</f>
        <v>Total Active Fixed Health Clinics</v>
      </c>
      <c r="J894" s="5">
        <f t="shared" ref="J894:O894" si="85">SUM(J884:J893)</f>
        <v>0</v>
      </c>
      <c r="K894" s="5">
        <f t="shared" si="85"/>
        <v>0</v>
      </c>
      <c r="L894" s="5">
        <f t="shared" si="85"/>
        <v>0</v>
      </c>
      <c r="M894" s="5">
        <f t="shared" si="85"/>
        <v>0</v>
      </c>
      <c r="N894" s="5">
        <f t="shared" si="85"/>
        <v>0</v>
      </c>
      <c r="O894" s="5">
        <f t="shared" si="85"/>
        <v>0</v>
      </c>
    </row>
    <row r="895" spans="3:15" s="327" customFormat="1" outlineLevel="2" x14ac:dyDescent="0.2"/>
    <row r="896" spans="3:15" s="327" customFormat="1" ht="15.75" outlineLevel="2" x14ac:dyDescent="0.2">
      <c r="C896" s="26" t="str">
        <f>"Active "&amp;Intv_BA!D2394&amp;"s"</f>
        <v>Active PCI Mobile Health Teams</v>
      </c>
    </row>
    <row r="897" spans="4:15" s="327" customFormat="1" outlineLevel="2" x14ac:dyDescent="0.2"/>
    <row r="898" spans="4:15" s="327" customFormat="1" outlineLevel="2" x14ac:dyDescent="0.2">
      <c r="D898" s="518" t="s">
        <v>82</v>
      </c>
      <c r="H898" s="27">
        <v>5</v>
      </c>
    </row>
    <row r="899" spans="4:15" s="327" customFormat="1" outlineLevel="2" x14ac:dyDescent="0.2"/>
    <row r="900" spans="4:15" s="327" customFormat="1" ht="15" outlineLevel="2" x14ac:dyDescent="0.2">
      <c r="D900" s="24" t="str">
        <f>Labels_BA!G10</f>
        <v>Province</v>
      </c>
    </row>
    <row r="901" spans="4:15" s="327" customFormat="1" outlineLevel="2" x14ac:dyDescent="0.2">
      <c r="D901" s="521" t="str">
        <f>Intv_BA!D2529</f>
        <v>Central</v>
      </c>
      <c r="J901" s="8">
        <f>Intv_Ann_TA!J475</f>
        <v>0</v>
      </c>
      <c r="K901" s="8">
        <f>Intv_Ann_TA!K475</f>
        <v>0</v>
      </c>
      <c r="L901" s="8">
        <f>Intv_Ann_TA!L475</f>
        <v>0</v>
      </c>
      <c r="M901" s="8">
        <f>Intv_Ann_TA!M475</f>
        <v>0</v>
      </c>
      <c r="N901" s="8">
        <f>Intv_Ann_TA!N475</f>
        <v>0</v>
      </c>
      <c r="O901" s="8">
        <f>Intv_Ann_TA!O475</f>
        <v>0</v>
      </c>
    </row>
    <row r="902" spans="4:15" s="327" customFormat="1" outlineLevel="2" x14ac:dyDescent="0.2">
      <c r="D902" s="521" t="str">
        <f>Intv_BA!D2530</f>
        <v>Copperbelt</v>
      </c>
      <c r="J902" s="8">
        <f>Intv_Ann_TA!J476</f>
        <v>0</v>
      </c>
      <c r="K902" s="8">
        <f>Intv_Ann_TA!K476</f>
        <v>0</v>
      </c>
      <c r="L902" s="8">
        <f>Intv_Ann_TA!L476</f>
        <v>0</v>
      </c>
      <c r="M902" s="8">
        <f>Intv_Ann_TA!M476</f>
        <v>0</v>
      </c>
      <c r="N902" s="8">
        <f>Intv_Ann_TA!N476</f>
        <v>0</v>
      </c>
      <c r="O902" s="8">
        <f>Intv_Ann_TA!O476</f>
        <v>0</v>
      </c>
    </row>
    <row r="903" spans="4:15" s="327" customFormat="1" outlineLevel="2" x14ac:dyDescent="0.2">
      <c r="D903" s="521" t="str">
        <f>Intv_BA!D2531</f>
        <v>Eastern</v>
      </c>
      <c r="J903" s="8">
        <f>Intv_Ann_TA!J477</f>
        <v>0</v>
      </c>
      <c r="K903" s="8">
        <f>Intv_Ann_TA!K477</f>
        <v>0</v>
      </c>
      <c r="L903" s="8">
        <f>Intv_Ann_TA!L477</f>
        <v>0</v>
      </c>
      <c r="M903" s="8">
        <f>Intv_Ann_TA!M477</f>
        <v>0</v>
      </c>
      <c r="N903" s="8">
        <f>Intv_Ann_TA!N477</f>
        <v>0</v>
      </c>
      <c r="O903" s="8">
        <f>Intv_Ann_TA!O477</f>
        <v>0</v>
      </c>
    </row>
    <row r="904" spans="4:15" s="327" customFormat="1" outlineLevel="2" x14ac:dyDescent="0.2">
      <c r="D904" s="521" t="str">
        <f>Intv_BA!D2532</f>
        <v>Luapula</v>
      </c>
      <c r="J904" s="8">
        <f>Intv_Ann_TA!J478</f>
        <v>0</v>
      </c>
      <c r="K904" s="8">
        <f>Intv_Ann_TA!K478</f>
        <v>0</v>
      </c>
      <c r="L904" s="8">
        <f>Intv_Ann_TA!L478</f>
        <v>0</v>
      </c>
      <c r="M904" s="8">
        <f>Intv_Ann_TA!M478</f>
        <v>0</v>
      </c>
      <c r="N904" s="8">
        <f>Intv_Ann_TA!N478</f>
        <v>0</v>
      </c>
      <c r="O904" s="8">
        <f>Intv_Ann_TA!O478</f>
        <v>0</v>
      </c>
    </row>
    <row r="905" spans="4:15" s="327" customFormat="1" outlineLevel="2" x14ac:dyDescent="0.2">
      <c r="D905" s="521" t="str">
        <f>Intv_BA!D2533</f>
        <v>Lusaka</v>
      </c>
      <c r="J905" s="8">
        <f>Intv_Ann_TA!J479</f>
        <v>0</v>
      </c>
      <c r="K905" s="8">
        <f>Intv_Ann_TA!K479</f>
        <v>0</v>
      </c>
      <c r="L905" s="8">
        <f>Intv_Ann_TA!L479</f>
        <v>0</v>
      </c>
      <c r="M905" s="8">
        <f>Intv_Ann_TA!M479</f>
        <v>0</v>
      </c>
      <c r="N905" s="8">
        <f>Intv_Ann_TA!N479</f>
        <v>0</v>
      </c>
      <c r="O905" s="8">
        <f>Intv_Ann_TA!O479</f>
        <v>0</v>
      </c>
    </row>
    <row r="906" spans="4:15" s="327" customFormat="1" outlineLevel="2" x14ac:dyDescent="0.2">
      <c r="D906" s="521" t="str">
        <f>Intv_BA!D2534</f>
        <v>Muchinga</v>
      </c>
      <c r="J906" s="8">
        <f>Intv_Ann_TA!J480</f>
        <v>0</v>
      </c>
      <c r="K906" s="8">
        <f>Intv_Ann_TA!K480</f>
        <v>0</v>
      </c>
      <c r="L906" s="8">
        <f>Intv_Ann_TA!L480</f>
        <v>0</v>
      </c>
      <c r="M906" s="8">
        <f>Intv_Ann_TA!M480</f>
        <v>0</v>
      </c>
      <c r="N906" s="8">
        <f>Intv_Ann_TA!N480</f>
        <v>0</v>
      </c>
      <c r="O906" s="8">
        <f>Intv_Ann_TA!O480</f>
        <v>0</v>
      </c>
    </row>
    <row r="907" spans="4:15" s="327" customFormat="1" outlineLevel="2" x14ac:dyDescent="0.2">
      <c r="D907" s="521" t="str">
        <f>Intv_BA!D2535</f>
        <v>Northern</v>
      </c>
      <c r="J907" s="8">
        <f>Intv_Ann_TA!J481</f>
        <v>0</v>
      </c>
      <c r="K907" s="8">
        <f>Intv_Ann_TA!K481</f>
        <v>0</v>
      </c>
      <c r="L907" s="8">
        <f>Intv_Ann_TA!L481</f>
        <v>0</v>
      </c>
      <c r="M907" s="8">
        <f>Intv_Ann_TA!M481</f>
        <v>0</v>
      </c>
      <c r="N907" s="8">
        <f>Intv_Ann_TA!N481</f>
        <v>0</v>
      </c>
      <c r="O907" s="8">
        <f>Intv_Ann_TA!O481</f>
        <v>0</v>
      </c>
    </row>
    <row r="908" spans="4:15" s="327" customFormat="1" outlineLevel="2" x14ac:dyDescent="0.2">
      <c r="D908" s="521" t="str">
        <f>Intv_BA!D2536</f>
        <v>North-Western</v>
      </c>
      <c r="J908" s="8">
        <f>Intv_Ann_TA!J482</f>
        <v>0</v>
      </c>
      <c r="K908" s="8">
        <f>Intv_Ann_TA!K482</f>
        <v>0</v>
      </c>
      <c r="L908" s="8">
        <f>Intv_Ann_TA!L482</f>
        <v>0</v>
      </c>
      <c r="M908" s="8">
        <f>Intv_Ann_TA!M482</f>
        <v>0</v>
      </c>
      <c r="N908" s="8">
        <f>Intv_Ann_TA!N482</f>
        <v>0</v>
      </c>
      <c r="O908" s="8">
        <f>Intv_Ann_TA!O482</f>
        <v>0</v>
      </c>
    </row>
    <row r="909" spans="4:15" s="327" customFormat="1" outlineLevel="2" x14ac:dyDescent="0.2">
      <c r="D909" s="521" t="str">
        <f>Intv_BA!D2537</f>
        <v>Southern</v>
      </c>
      <c r="J909" s="8">
        <f>Intv_Ann_TA!J483</f>
        <v>0</v>
      </c>
      <c r="K909" s="8">
        <f>Intv_Ann_TA!K483</f>
        <v>0</v>
      </c>
      <c r="L909" s="8">
        <f>Intv_Ann_TA!L483</f>
        <v>0</v>
      </c>
      <c r="M909" s="8">
        <f>Intv_Ann_TA!M483</f>
        <v>0</v>
      </c>
      <c r="N909" s="8">
        <f>Intv_Ann_TA!N483</f>
        <v>0</v>
      </c>
      <c r="O909" s="8">
        <f>Intv_Ann_TA!O483</f>
        <v>0</v>
      </c>
    </row>
    <row r="910" spans="4:15" s="327" customFormat="1" outlineLevel="2" x14ac:dyDescent="0.2">
      <c r="D910" s="521" t="str">
        <f>Intv_BA!D2538</f>
        <v>Western</v>
      </c>
      <c r="J910" s="9">
        <f>Intv_Ann_TA!J484</f>
        <v>0</v>
      </c>
      <c r="K910" s="9">
        <f>Intv_Ann_TA!K484</f>
        <v>0</v>
      </c>
      <c r="L910" s="9">
        <f>Intv_Ann_TA!L484</f>
        <v>0</v>
      </c>
      <c r="M910" s="9">
        <f>Intv_Ann_TA!M484</f>
        <v>0</v>
      </c>
      <c r="N910" s="9">
        <f>Intv_Ann_TA!N484</f>
        <v>0</v>
      </c>
      <c r="O910" s="9">
        <f>Intv_Ann_TA!O484</f>
        <v>0</v>
      </c>
    </row>
    <row r="911" spans="4:15" s="327" customFormat="1" x14ac:dyDescent="0.2">
      <c r="D911" s="520" t="str">
        <f>"Total "&amp;C896</f>
        <v>Total Active PCI Mobile Health Teams</v>
      </c>
      <c r="J911" s="5">
        <f t="shared" ref="J911:O911" si="86">SUM(J901:J910)</f>
        <v>0</v>
      </c>
      <c r="K911" s="5">
        <f t="shared" si="86"/>
        <v>0</v>
      </c>
      <c r="L911" s="5">
        <f t="shared" si="86"/>
        <v>0</v>
      </c>
      <c r="M911" s="5">
        <f t="shared" si="86"/>
        <v>0</v>
      </c>
      <c r="N911" s="5">
        <f t="shared" si="86"/>
        <v>0</v>
      </c>
      <c r="O911" s="5">
        <f t="shared" si="86"/>
        <v>0</v>
      </c>
    </row>
    <row r="912" spans="4:15" s="327" customFormat="1" outlineLevel="2" x14ac:dyDescent="0.2"/>
    <row r="913" spans="3:15" s="327" customFormat="1" ht="15.75" outlineLevel="2" x14ac:dyDescent="0.2">
      <c r="C913" s="26" t="str">
        <f>"Active "&amp;Intv_BA!D2395&amp;"s"</f>
        <v>Active Gov't Mobile Health Team (Hospital)s</v>
      </c>
    </row>
    <row r="914" spans="3:15" s="327" customFormat="1" outlineLevel="2" x14ac:dyDescent="0.2"/>
    <row r="915" spans="3:15" s="327" customFormat="1" outlineLevel="2" x14ac:dyDescent="0.2">
      <c r="D915" s="518" t="s">
        <v>82</v>
      </c>
      <c r="H915" s="27">
        <v>6</v>
      </c>
    </row>
    <row r="916" spans="3:15" s="327" customFormat="1" outlineLevel="2" x14ac:dyDescent="0.2"/>
    <row r="917" spans="3:15" s="327" customFormat="1" ht="15" outlineLevel="2" x14ac:dyDescent="0.2">
      <c r="D917" s="24" t="str">
        <f>Labels_BA!G10</f>
        <v>Province</v>
      </c>
    </row>
    <row r="918" spans="3:15" s="327" customFormat="1" outlineLevel="2" x14ac:dyDescent="0.2">
      <c r="D918" s="521" t="str">
        <f>Intv_BA!D2529</f>
        <v>Central</v>
      </c>
      <c r="J918" s="8">
        <f>Intv_Ann_TA!J491</f>
        <v>0</v>
      </c>
      <c r="K918" s="8">
        <f>Intv_Ann_TA!K491</f>
        <v>0</v>
      </c>
      <c r="L918" s="8">
        <f>Intv_Ann_TA!L491</f>
        <v>0</v>
      </c>
      <c r="M918" s="8">
        <f>Intv_Ann_TA!M491</f>
        <v>0</v>
      </c>
      <c r="N918" s="8">
        <f>Intv_Ann_TA!N491</f>
        <v>0</v>
      </c>
      <c r="O918" s="8">
        <f>Intv_Ann_TA!O491</f>
        <v>0</v>
      </c>
    </row>
    <row r="919" spans="3:15" s="327" customFormat="1" outlineLevel="2" x14ac:dyDescent="0.2">
      <c r="D919" s="521" t="str">
        <f>Intv_BA!D2530</f>
        <v>Copperbelt</v>
      </c>
      <c r="J919" s="8">
        <f>Intv_Ann_TA!J492</f>
        <v>0</v>
      </c>
      <c r="K919" s="8">
        <f>Intv_Ann_TA!K492</f>
        <v>0</v>
      </c>
      <c r="L919" s="8">
        <f>Intv_Ann_TA!L492</f>
        <v>0</v>
      </c>
      <c r="M919" s="8">
        <f>Intv_Ann_TA!M492</f>
        <v>0</v>
      </c>
      <c r="N919" s="8">
        <f>Intv_Ann_TA!N492</f>
        <v>0</v>
      </c>
      <c r="O919" s="8">
        <f>Intv_Ann_TA!O492</f>
        <v>0</v>
      </c>
    </row>
    <row r="920" spans="3:15" s="327" customFormat="1" outlineLevel="2" x14ac:dyDescent="0.2">
      <c r="D920" s="521" t="str">
        <f>Intv_BA!D2531</f>
        <v>Eastern</v>
      </c>
      <c r="J920" s="8">
        <f>Intv_Ann_TA!J493</f>
        <v>0</v>
      </c>
      <c r="K920" s="8">
        <f>Intv_Ann_TA!K493</f>
        <v>0</v>
      </c>
      <c r="L920" s="8">
        <f>Intv_Ann_TA!L493</f>
        <v>0</v>
      </c>
      <c r="M920" s="8">
        <f>Intv_Ann_TA!M493</f>
        <v>0</v>
      </c>
      <c r="N920" s="8">
        <f>Intv_Ann_TA!N493</f>
        <v>0</v>
      </c>
      <c r="O920" s="8">
        <f>Intv_Ann_TA!O493</f>
        <v>0</v>
      </c>
    </row>
    <row r="921" spans="3:15" s="327" customFormat="1" outlineLevel="2" x14ac:dyDescent="0.2">
      <c r="D921" s="521" t="str">
        <f>Intv_BA!D2532</f>
        <v>Luapula</v>
      </c>
      <c r="J921" s="8">
        <f>Intv_Ann_TA!J494</f>
        <v>0</v>
      </c>
      <c r="K921" s="8">
        <f>Intv_Ann_TA!K494</f>
        <v>0</v>
      </c>
      <c r="L921" s="8">
        <f>Intv_Ann_TA!L494</f>
        <v>0</v>
      </c>
      <c r="M921" s="8">
        <f>Intv_Ann_TA!M494</f>
        <v>0</v>
      </c>
      <c r="N921" s="8">
        <f>Intv_Ann_TA!N494</f>
        <v>0</v>
      </c>
      <c r="O921" s="8">
        <f>Intv_Ann_TA!O494</f>
        <v>0</v>
      </c>
    </row>
    <row r="922" spans="3:15" s="327" customFormat="1" outlineLevel="2" x14ac:dyDescent="0.2">
      <c r="D922" s="521" t="str">
        <f>Intv_BA!D2533</f>
        <v>Lusaka</v>
      </c>
      <c r="J922" s="8">
        <f>Intv_Ann_TA!J495</f>
        <v>0</v>
      </c>
      <c r="K922" s="8">
        <f>Intv_Ann_TA!K495</f>
        <v>0</v>
      </c>
      <c r="L922" s="8">
        <f>Intv_Ann_TA!L495</f>
        <v>0</v>
      </c>
      <c r="M922" s="8">
        <f>Intv_Ann_TA!M495</f>
        <v>0</v>
      </c>
      <c r="N922" s="8">
        <f>Intv_Ann_TA!N495</f>
        <v>0</v>
      </c>
      <c r="O922" s="8">
        <f>Intv_Ann_TA!O495</f>
        <v>0</v>
      </c>
    </row>
    <row r="923" spans="3:15" s="327" customFormat="1" outlineLevel="2" x14ac:dyDescent="0.2">
      <c r="D923" s="521" t="str">
        <f>Intv_BA!D2534</f>
        <v>Muchinga</v>
      </c>
      <c r="J923" s="8">
        <f>Intv_Ann_TA!J496</f>
        <v>0</v>
      </c>
      <c r="K923" s="8">
        <f>Intv_Ann_TA!K496</f>
        <v>0</v>
      </c>
      <c r="L923" s="8">
        <f>Intv_Ann_TA!L496</f>
        <v>0</v>
      </c>
      <c r="M923" s="8">
        <f>Intv_Ann_TA!M496</f>
        <v>0</v>
      </c>
      <c r="N923" s="8">
        <f>Intv_Ann_TA!N496</f>
        <v>0</v>
      </c>
      <c r="O923" s="8">
        <f>Intv_Ann_TA!O496</f>
        <v>0</v>
      </c>
    </row>
    <row r="924" spans="3:15" s="327" customFormat="1" outlineLevel="2" x14ac:dyDescent="0.2">
      <c r="D924" s="521" t="str">
        <f>Intv_BA!D2535</f>
        <v>Northern</v>
      </c>
      <c r="J924" s="8">
        <f>Intv_Ann_TA!J497</f>
        <v>0</v>
      </c>
      <c r="K924" s="8">
        <f>Intv_Ann_TA!K497</f>
        <v>0</v>
      </c>
      <c r="L924" s="8">
        <f>Intv_Ann_TA!L497</f>
        <v>0</v>
      </c>
      <c r="M924" s="8">
        <f>Intv_Ann_TA!M497</f>
        <v>0</v>
      </c>
      <c r="N924" s="8">
        <f>Intv_Ann_TA!N497</f>
        <v>0</v>
      </c>
      <c r="O924" s="8">
        <f>Intv_Ann_TA!O497</f>
        <v>0</v>
      </c>
    </row>
    <row r="925" spans="3:15" s="327" customFormat="1" outlineLevel="2" x14ac:dyDescent="0.2">
      <c r="D925" s="521" t="str">
        <f>Intv_BA!D2536</f>
        <v>North-Western</v>
      </c>
      <c r="J925" s="8">
        <f>Intv_Ann_TA!J498</f>
        <v>0</v>
      </c>
      <c r="K925" s="8">
        <f>Intv_Ann_TA!K498</f>
        <v>0</v>
      </c>
      <c r="L925" s="8">
        <f>Intv_Ann_TA!L498</f>
        <v>0</v>
      </c>
      <c r="M925" s="8">
        <f>Intv_Ann_TA!M498</f>
        <v>0</v>
      </c>
      <c r="N925" s="8">
        <f>Intv_Ann_TA!N498</f>
        <v>0</v>
      </c>
      <c r="O925" s="8">
        <f>Intv_Ann_TA!O498</f>
        <v>0</v>
      </c>
    </row>
    <row r="926" spans="3:15" s="327" customFormat="1" outlineLevel="2" x14ac:dyDescent="0.2">
      <c r="D926" s="521" t="str">
        <f>Intv_BA!D2537</f>
        <v>Southern</v>
      </c>
      <c r="J926" s="8">
        <f>Intv_Ann_TA!J499</f>
        <v>0</v>
      </c>
      <c r="K926" s="8">
        <f>Intv_Ann_TA!K499</f>
        <v>0</v>
      </c>
      <c r="L926" s="8">
        <f>Intv_Ann_TA!L499</f>
        <v>0</v>
      </c>
      <c r="M926" s="8">
        <f>Intv_Ann_TA!M499</f>
        <v>0</v>
      </c>
      <c r="N926" s="8">
        <f>Intv_Ann_TA!N499</f>
        <v>0</v>
      </c>
      <c r="O926" s="8">
        <f>Intv_Ann_TA!O499</f>
        <v>0</v>
      </c>
    </row>
    <row r="927" spans="3:15" s="327" customFormat="1" outlineLevel="2" x14ac:dyDescent="0.2">
      <c r="D927" s="521" t="str">
        <f>Intv_BA!D2538</f>
        <v>Western</v>
      </c>
      <c r="J927" s="9">
        <f>Intv_Ann_TA!J500</f>
        <v>0</v>
      </c>
      <c r="K927" s="9">
        <f>Intv_Ann_TA!K500</f>
        <v>0</v>
      </c>
      <c r="L927" s="9">
        <f>Intv_Ann_TA!L500</f>
        <v>0</v>
      </c>
      <c r="M927" s="9">
        <f>Intv_Ann_TA!M500</f>
        <v>0</v>
      </c>
      <c r="N927" s="9">
        <f>Intv_Ann_TA!N500</f>
        <v>0</v>
      </c>
      <c r="O927" s="9">
        <f>Intv_Ann_TA!O500</f>
        <v>0</v>
      </c>
    </row>
    <row r="928" spans="3:15" s="327" customFormat="1" x14ac:dyDescent="0.2">
      <c r="D928" s="520" t="str">
        <f>"Total "&amp;C913</f>
        <v>Total Active Gov't Mobile Health Team (Hospital)s</v>
      </c>
      <c r="J928" s="5">
        <f t="shared" ref="J928:O928" si="87">SUM(J918:J927)</f>
        <v>0</v>
      </c>
      <c r="K928" s="5">
        <f t="shared" si="87"/>
        <v>0</v>
      </c>
      <c r="L928" s="5">
        <f t="shared" si="87"/>
        <v>0</v>
      </c>
      <c r="M928" s="5">
        <f t="shared" si="87"/>
        <v>0</v>
      </c>
      <c r="N928" s="5">
        <f t="shared" si="87"/>
        <v>0</v>
      </c>
      <c r="O928" s="5">
        <f t="shared" si="87"/>
        <v>0</v>
      </c>
    </row>
    <row r="929" spans="3:15" s="327" customFormat="1" outlineLevel="1" x14ac:dyDescent="0.2"/>
    <row r="930" spans="3:15" s="327" customFormat="1" ht="15.75" outlineLevel="1" x14ac:dyDescent="0.2">
      <c r="C930" s="26" t="str">
        <f>"Active "&amp;Intv_BA!D2396&amp;"s"</f>
        <v>Active CIDRZ Mobile Health Teams</v>
      </c>
    </row>
    <row r="931" spans="3:15" s="327" customFormat="1" outlineLevel="1" x14ac:dyDescent="0.2"/>
    <row r="932" spans="3:15" s="327" customFormat="1" outlineLevel="1" x14ac:dyDescent="0.2">
      <c r="D932" s="518" t="s">
        <v>82</v>
      </c>
      <c r="H932" s="27">
        <v>7</v>
      </c>
    </row>
    <row r="933" spans="3:15" s="327" customFormat="1" outlineLevel="1" x14ac:dyDescent="0.2"/>
    <row r="934" spans="3:15" s="327" customFormat="1" ht="15" outlineLevel="1" x14ac:dyDescent="0.2">
      <c r="D934" s="24" t="str">
        <f>Labels_BA!G10</f>
        <v>Province</v>
      </c>
    </row>
    <row r="935" spans="3:15" s="327" customFormat="1" outlineLevel="1" x14ac:dyDescent="0.2">
      <c r="D935" s="521" t="str">
        <f>Intv_BA!D2529</f>
        <v>Central</v>
      </c>
      <c r="J935" s="8">
        <f>Intv_Ann_TA!J507</f>
        <v>0</v>
      </c>
      <c r="K935" s="8">
        <f>Intv_Ann_TA!K507</f>
        <v>0</v>
      </c>
      <c r="L935" s="8">
        <f>Intv_Ann_TA!L507</f>
        <v>0</v>
      </c>
      <c r="M935" s="8">
        <f>Intv_Ann_TA!M507</f>
        <v>0</v>
      </c>
      <c r="N935" s="8">
        <f>Intv_Ann_TA!N507</f>
        <v>0</v>
      </c>
      <c r="O935" s="8">
        <f>Intv_Ann_TA!O507</f>
        <v>0</v>
      </c>
    </row>
    <row r="936" spans="3:15" s="327" customFormat="1" outlineLevel="1" x14ac:dyDescent="0.2">
      <c r="D936" s="521" t="str">
        <f>Intv_BA!D2530</f>
        <v>Copperbelt</v>
      </c>
      <c r="J936" s="8">
        <f>Intv_Ann_TA!J508</f>
        <v>0</v>
      </c>
      <c r="K936" s="8">
        <f>Intv_Ann_TA!K508</f>
        <v>0</v>
      </c>
      <c r="L936" s="8">
        <f>Intv_Ann_TA!L508</f>
        <v>0</v>
      </c>
      <c r="M936" s="8">
        <f>Intv_Ann_TA!M508</f>
        <v>0</v>
      </c>
      <c r="N936" s="8">
        <f>Intv_Ann_TA!N508</f>
        <v>0</v>
      </c>
      <c r="O936" s="8">
        <f>Intv_Ann_TA!O508</f>
        <v>0</v>
      </c>
    </row>
    <row r="937" spans="3:15" s="327" customFormat="1" outlineLevel="1" x14ac:dyDescent="0.2">
      <c r="D937" s="521" t="str">
        <f>Intv_BA!D2531</f>
        <v>Eastern</v>
      </c>
      <c r="J937" s="8">
        <f>Intv_Ann_TA!J509</f>
        <v>0</v>
      </c>
      <c r="K937" s="8">
        <f>Intv_Ann_TA!K509</f>
        <v>0</v>
      </c>
      <c r="L937" s="8">
        <f>Intv_Ann_TA!L509</f>
        <v>0</v>
      </c>
      <c r="M937" s="8">
        <f>Intv_Ann_TA!M509</f>
        <v>0</v>
      </c>
      <c r="N937" s="8">
        <f>Intv_Ann_TA!N509</f>
        <v>0</v>
      </c>
      <c r="O937" s="8">
        <f>Intv_Ann_TA!O509</f>
        <v>0</v>
      </c>
    </row>
    <row r="938" spans="3:15" s="327" customFormat="1" outlineLevel="1" x14ac:dyDescent="0.2">
      <c r="D938" s="521" t="str">
        <f>Intv_BA!D2532</f>
        <v>Luapula</v>
      </c>
      <c r="J938" s="8">
        <f>Intv_Ann_TA!J510</f>
        <v>0</v>
      </c>
      <c r="K938" s="8">
        <f>Intv_Ann_TA!K510</f>
        <v>0</v>
      </c>
      <c r="L938" s="8">
        <f>Intv_Ann_TA!L510</f>
        <v>0</v>
      </c>
      <c r="M938" s="8">
        <f>Intv_Ann_TA!M510</f>
        <v>0</v>
      </c>
      <c r="N938" s="8">
        <f>Intv_Ann_TA!N510</f>
        <v>0</v>
      </c>
      <c r="O938" s="8">
        <f>Intv_Ann_TA!O510</f>
        <v>0</v>
      </c>
    </row>
    <row r="939" spans="3:15" s="327" customFormat="1" outlineLevel="1" x14ac:dyDescent="0.2">
      <c r="D939" s="521" t="str">
        <f>Intv_BA!D2533</f>
        <v>Lusaka</v>
      </c>
      <c r="J939" s="8">
        <f>Intv_Ann_TA!J511</f>
        <v>0</v>
      </c>
      <c r="K939" s="8">
        <f>Intv_Ann_TA!K511</f>
        <v>0</v>
      </c>
      <c r="L939" s="8">
        <f>Intv_Ann_TA!L511</f>
        <v>0</v>
      </c>
      <c r="M939" s="8">
        <f>Intv_Ann_TA!M511</f>
        <v>0</v>
      </c>
      <c r="N939" s="8">
        <f>Intv_Ann_TA!N511</f>
        <v>0</v>
      </c>
      <c r="O939" s="8">
        <f>Intv_Ann_TA!O511</f>
        <v>0</v>
      </c>
    </row>
    <row r="940" spans="3:15" s="327" customFormat="1" outlineLevel="1" x14ac:dyDescent="0.2">
      <c r="D940" s="521" t="str">
        <f>Intv_BA!D2534</f>
        <v>Muchinga</v>
      </c>
      <c r="J940" s="8">
        <f>Intv_Ann_TA!J512</f>
        <v>0</v>
      </c>
      <c r="K940" s="8">
        <f>Intv_Ann_TA!K512</f>
        <v>0</v>
      </c>
      <c r="L940" s="8">
        <f>Intv_Ann_TA!L512</f>
        <v>0</v>
      </c>
      <c r="M940" s="8">
        <f>Intv_Ann_TA!M512</f>
        <v>0</v>
      </c>
      <c r="N940" s="8">
        <f>Intv_Ann_TA!N512</f>
        <v>0</v>
      </c>
      <c r="O940" s="8">
        <f>Intv_Ann_TA!O512</f>
        <v>0</v>
      </c>
    </row>
    <row r="941" spans="3:15" s="327" customFormat="1" outlineLevel="1" x14ac:dyDescent="0.2">
      <c r="D941" s="521" t="str">
        <f>Intv_BA!D2535</f>
        <v>Northern</v>
      </c>
      <c r="J941" s="8">
        <f>Intv_Ann_TA!J513</f>
        <v>0</v>
      </c>
      <c r="K941" s="8">
        <f>Intv_Ann_TA!K513</f>
        <v>0</v>
      </c>
      <c r="L941" s="8">
        <f>Intv_Ann_TA!L513</f>
        <v>0</v>
      </c>
      <c r="M941" s="8">
        <f>Intv_Ann_TA!M513</f>
        <v>0</v>
      </c>
      <c r="N941" s="8">
        <f>Intv_Ann_TA!N513</f>
        <v>0</v>
      </c>
      <c r="O941" s="8">
        <f>Intv_Ann_TA!O513</f>
        <v>0</v>
      </c>
    </row>
    <row r="942" spans="3:15" s="327" customFormat="1" outlineLevel="1" x14ac:dyDescent="0.2">
      <c r="D942" s="521" t="str">
        <f>Intv_BA!D2536</f>
        <v>North-Western</v>
      </c>
      <c r="J942" s="8">
        <f>Intv_Ann_TA!J514</f>
        <v>0</v>
      </c>
      <c r="K942" s="8">
        <f>Intv_Ann_TA!K514</f>
        <v>0</v>
      </c>
      <c r="L942" s="8">
        <f>Intv_Ann_TA!L514</f>
        <v>0</v>
      </c>
      <c r="M942" s="8">
        <f>Intv_Ann_TA!M514</f>
        <v>0</v>
      </c>
      <c r="N942" s="8">
        <f>Intv_Ann_TA!N514</f>
        <v>0</v>
      </c>
      <c r="O942" s="8">
        <f>Intv_Ann_TA!O514</f>
        <v>0</v>
      </c>
    </row>
    <row r="943" spans="3:15" s="327" customFormat="1" outlineLevel="1" x14ac:dyDescent="0.2">
      <c r="D943" s="521" t="str">
        <f>Intv_BA!D2537</f>
        <v>Southern</v>
      </c>
      <c r="J943" s="8">
        <f>Intv_Ann_TA!J515</f>
        <v>0</v>
      </c>
      <c r="K943" s="8">
        <f>Intv_Ann_TA!K515</f>
        <v>0</v>
      </c>
      <c r="L943" s="8">
        <f>Intv_Ann_TA!L515</f>
        <v>0</v>
      </c>
      <c r="M943" s="8">
        <f>Intv_Ann_TA!M515</f>
        <v>0</v>
      </c>
      <c r="N943" s="8">
        <f>Intv_Ann_TA!N515</f>
        <v>0</v>
      </c>
      <c r="O943" s="8">
        <f>Intv_Ann_TA!O515</f>
        <v>0</v>
      </c>
    </row>
    <row r="944" spans="3:15" s="327" customFormat="1" outlineLevel="1" x14ac:dyDescent="0.2">
      <c r="D944" s="521" t="str">
        <f>Intv_BA!D2538</f>
        <v>Western</v>
      </c>
      <c r="J944" s="9">
        <f>Intv_Ann_TA!J516</f>
        <v>0</v>
      </c>
      <c r="K944" s="9">
        <f>Intv_Ann_TA!K516</f>
        <v>0</v>
      </c>
      <c r="L944" s="9">
        <f>Intv_Ann_TA!L516</f>
        <v>0</v>
      </c>
      <c r="M944" s="9">
        <f>Intv_Ann_TA!M516</f>
        <v>0</v>
      </c>
      <c r="N944" s="9">
        <f>Intv_Ann_TA!N516</f>
        <v>0</v>
      </c>
      <c r="O944" s="9">
        <f>Intv_Ann_TA!O516</f>
        <v>0</v>
      </c>
    </row>
    <row r="945" spans="3:15" s="327" customFormat="1" x14ac:dyDescent="0.2">
      <c r="D945" s="520" t="str">
        <f>"Total "&amp;C930</f>
        <v>Total Active CIDRZ Mobile Health Teams</v>
      </c>
      <c r="J945" s="5">
        <f t="shared" ref="J945:O945" si="88">SUM(J935:J944)</f>
        <v>0</v>
      </c>
      <c r="K945" s="5">
        <f t="shared" si="88"/>
        <v>0</v>
      </c>
      <c r="L945" s="5">
        <f t="shared" si="88"/>
        <v>0</v>
      </c>
      <c r="M945" s="5">
        <f t="shared" si="88"/>
        <v>0</v>
      </c>
      <c r="N945" s="5">
        <f t="shared" si="88"/>
        <v>0</v>
      </c>
      <c r="O945" s="5">
        <f t="shared" si="88"/>
        <v>0</v>
      </c>
    </row>
    <row r="946" spans="3:15" s="327" customFormat="1" outlineLevel="1" x14ac:dyDescent="0.2"/>
    <row r="947" spans="3:15" s="327" customFormat="1" ht="15.75" outlineLevel="1" x14ac:dyDescent="0.2">
      <c r="C947" s="26" t="str">
        <f>"Active "&amp;Intv_BA!D2397&amp;"s"</f>
        <v>Active Facility Type 8s</v>
      </c>
    </row>
    <row r="948" spans="3:15" s="327" customFormat="1" outlineLevel="1" x14ac:dyDescent="0.2"/>
    <row r="949" spans="3:15" s="327" customFormat="1" outlineLevel="1" x14ac:dyDescent="0.2">
      <c r="D949" s="518" t="s">
        <v>82</v>
      </c>
      <c r="H949" s="27">
        <v>8</v>
      </c>
    </row>
    <row r="950" spans="3:15" s="327" customFormat="1" outlineLevel="1" x14ac:dyDescent="0.2"/>
    <row r="951" spans="3:15" s="327" customFormat="1" ht="15" outlineLevel="1" x14ac:dyDescent="0.2">
      <c r="D951" s="24" t="str">
        <f>Labels_BA!G10</f>
        <v>Province</v>
      </c>
    </row>
    <row r="952" spans="3:15" s="327" customFormat="1" outlineLevel="1" x14ac:dyDescent="0.2">
      <c r="D952" s="521" t="str">
        <f>Intv_BA!D2529</f>
        <v>Central</v>
      </c>
      <c r="J952" s="8">
        <f>Intv_Ann_TA!J523</f>
        <v>0</v>
      </c>
      <c r="K952" s="8">
        <f>Intv_Ann_TA!K523</f>
        <v>0</v>
      </c>
      <c r="L952" s="8">
        <f>Intv_Ann_TA!L523</f>
        <v>0</v>
      </c>
      <c r="M952" s="8">
        <f>Intv_Ann_TA!M523</f>
        <v>0</v>
      </c>
      <c r="N952" s="8">
        <f>Intv_Ann_TA!N523</f>
        <v>0</v>
      </c>
      <c r="O952" s="8">
        <f>Intv_Ann_TA!O523</f>
        <v>0</v>
      </c>
    </row>
    <row r="953" spans="3:15" s="327" customFormat="1" outlineLevel="1" x14ac:dyDescent="0.2">
      <c r="D953" s="521" t="str">
        <f>Intv_BA!D2530</f>
        <v>Copperbelt</v>
      </c>
      <c r="J953" s="8">
        <f>Intv_Ann_TA!J524</f>
        <v>0</v>
      </c>
      <c r="K953" s="8">
        <f>Intv_Ann_TA!K524</f>
        <v>0</v>
      </c>
      <c r="L953" s="8">
        <f>Intv_Ann_TA!L524</f>
        <v>0</v>
      </c>
      <c r="M953" s="8">
        <f>Intv_Ann_TA!M524</f>
        <v>0</v>
      </c>
      <c r="N953" s="8">
        <f>Intv_Ann_TA!N524</f>
        <v>0</v>
      </c>
      <c r="O953" s="8">
        <f>Intv_Ann_TA!O524</f>
        <v>0</v>
      </c>
    </row>
    <row r="954" spans="3:15" s="327" customFormat="1" outlineLevel="1" x14ac:dyDescent="0.2">
      <c r="D954" s="521" t="str">
        <f>Intv_BA!D2531</f>
        <v>Eastern</v>
      </c>
      <c r="J954" s="8">
        <f>Intv_Ann_TA!J525</f>
        <v>0</v>
      </c>
      <c r="K954" s="8">
        <f>Intv_Ann_TA!K525</f>
        <v>0</v>
      </c>
      <c r="L954" s="8">
        <f>Intv_Ann_TA!L525</f>
        <v>0</v>
      </c>
      <c r="M954" s="8">
        <f>Intv_Ann_TA!M525</f>
        <v>0</v>
      </c>
      <c r="N954" s="8">
        <f>Intv_Ann_TA!N525</f>
        <v>0</v>
      </c>
      <c r="O954" s="8">
        <f>Intv_Ann_TA!O525</f>
        <v>0</v>
      </c>
    </row>
    <row r="955" spans="3:15" s="327" customFormat="1" outlineLevel="1" x14ac:dyDescent="0.2">
      <c r="D955" s="521" t="str">
        <f>Intv_BA!D2532</f>
        <v>Luapula</v>
      </c>
      <c r="J955" s="8">
        <f>Intv_Ann_TA!J526</f>
        <v>0</v>
      </c>
      <c r="K955" s="8">
        <f>Intv_Ann_TA!K526</f>
        <v>0</v>
      </c>
      <c r="L955" s="8">
        <f>Intv_Ann_TA!L526</f>
        <v>0</v>
      </c>
      <c r="M955" s="8">
        <f>Intv_Ann_TA!M526</f>
        <v>0</v>
      </c>
      <c r="N955" s="8">
        <f>Intv_Ann_TA!N526</f>
        <v>0</v>
      </c>
      <c r="O955" s="8">
        <f>Intv_Ann_TA!O526</f>
        <v>0</v>
      </c>
    </row>
    <row r="956" spans="3:15" s="327" customFormat="1" outlineLevel="1" x14ac:dyDescent="0.2">
      <c r="D956" s="521" t="str">
        <f>Intv_BA!D2533</f>
        <v>Lusaka</v>
      </c>
      <c r="J956" s="8">
        <f>Intv_Ann_TA!J527</f>
        <v>0</v>
      </c>
      <c r="K956" s="8">
        <f>Intv_Ann_TA!K527</f>
        <v>0</v>
      </c>
      <c r="L956" s="8">
        <f>Intv_Ann_TA!L527</f>
        <v>0</v>
      </c>
      <c r="M956" s="8">
        <f>Intv_Ann_TA!M527</f>
        <v>0</v>
      </c>
      <c r="N956" s="8">
        <f>Intv_Ann_TA!N527</f>
        <v>0</v>
      </c>
      <c r="O956" s="8">
        <f>Intv_Ann_TA!O527</f>
        <v>0</v>
      </c>
    </row>
    <row r="957" spans="3:15" s="327" customFormat="1" outlineLevel="1" x14ac:dyDescent="0.2">
      <c r="D957" s="521" t="str">
        <f>Intv_BA!D2534</f>
        <v>Muchinga</v>
      </c>
      <c r="J957" s="8">
        <f>Intv_Ann_TA!J528</f>
        <v>0</v>
      </c>
      <c r="K957" s="8">
        <f>Intv_Ann_TA!K528</f>
        <v>0</v>
      </c>
      <c r="L957" s="8">
        <f>Intv_Ann_TA!L528</f>
        <v>0</v>
      </c>
      <c r="M957" s="8">
        <f>Intv_Ann_TA!M528</f>
        <v>0</v>
      </c>
      <c r="N957" s="8">
        <f>Intv_Ann_TA!N528</f>
        <v>0</v>
      </c>
      <c r="O957" s="8">
        <f>Intv_Ann_TA!O528</f>
        <v>0</v>
      </c>
    </row>
    <row r="958" spans="3:15" s="327" customFormat="1" outlineLevel="1" x14ac:dyDescent="0.2">
      <c r="D958" s="521" t="str">
        <f>Intv_BA!D2535</f>
        <v>Northern</v>
      </c>
      <c r="J958" s="8">
        <f>Intv_Ann_TA!J529</f>
        <v>0</v>
      </c>
      <c r="K958" s="8">
        <f>Intv_Ann_TA!K529</f>
        <v>0</v>
      </c>
      <c r="L958" s="8">
        <f>Intv_Ann_TA!L529</f>
        <v>0</v>
      </c>
      <c r="M958" s="8">
        <f>Intv_Ann_TA!M529</f>
        <v>0</v>
      </c>
      <c r="N958" s="8">
        <f>Intv_Ann_TA!N529</f>
        <v>0</v>
      </c>
      <c r="O958" s="8">
        <f>Intv_Ann_TA!O529</f>
        <v>0</v>
      </c>
    </row>
    <row r="959" spans="3:15" s="327" customFormat="1" outlineLevel="1" x14ac:dyDescent="0.2">
      <c r="D959" s="521" t="str">
        <f>Intv_BA!D2536</f>
        <v>North-Western</v>
      </c>
      <c r="J959" s="8">
        <f>Intv_Ann_TA!J530</f>
        <v>0</v>
      </c>
      <c r="K959" s="8">
        <f>Intv_Ann_TA!K530</f>
        <v>0</v>
      </c>
      <c r="L959" s="8">
        <f>Intv_Ann_TA!L530</f>
        <v>0</v>
      </c>
      <c r="M959" s="8">
        <f>Intv_Ann_TA!M530</f>
        <v>0</v>
      </c>
      <c r="N959" s="8">
        <f>Intv_Ann_TA!N530</f>
        <v>0</v>
      </c>
      <c r="O959" s="8">
        <f>Intv_Ann_TA!O530</f>
        <v>0</v>
      </c>
    </row>
    <row r="960" spans="3:15" s="327" customFormat="1" outlineLevel="1" x14ac:dyDescent="0.2">
      <c r="D960" s="521" t="str">
        <f>Intv_BA!D2537</f>
        <v>Southern</v>
      </c>
      <c r="J960" s="8">
        <f>Intv_Ann_TA!J531</f>
        <v>0</v>
      </c>
      <c r="K960" s="8">
        <f>Intv_Ann_TA!K531</f>
        <v>0</v>
      </c>
      <c r="L960" s="8">
        <f>Intv_Ann_TA!L531</f>
        <v>0</v>
      </c>
      <c r="M960" s="8">
        <f>Intv_Ann_TA!M531</f>
        <v>0</v>
      </c>
      <c r="N960" s="8">
        <f>Intv_Ann_TA!N531</f>
        <v>0</v>
      </c>
      <c r="O960" s="8">
        <f>Intv_Ann_TA!O531</f>
        <v>0</v>
      </c>
    </row>
    <row r="961" spans="3:15" s="327" customFormat="1" outlineLevel="1" x14ac:dyDescent="0.2">
      <c r="D961" s="521" t="str">
        <f>Intv_BA!D2538</f>
        <v>Western</v>
      </c>
      <c r="J961" s="9">
        <f>Intv_Ann_TA!J532</f>
        <v>0</v>
      </c>
      <c r="K961" s="9">
        <f>Intv_Ann_TA!K532</f>
        <v>0</v>
      </c>
      <c r="L961" s="9">
        <f>Intv_Ann_TA!L532</f>
        <v>0</v>
      </c>
      <c r="M961" s="9">
        <f>Intv_Ann_TA!M532</f>
        <v>0</v>
      </c>
      <c r="N961" s="9">
        <f>Intv_Ann_TA!N532</f>
        <v>0</v>
      </c>
      <c r="O961" s="9">
        <f>Intv_Ann_TA!O532</f>
        <v>0</v>
      </c>
    </row>
    <row r="962" spans="3:15" s="327" customFormat="1" x14ac:dyDescent="0.2">
      <c r="D962" s="520" t="str">
        <f>"Total "&amp;C947</f>
        <v>Total Active Facility Type 8s</v>
      </c>
      <c r="J962" s="5">
        <f t="shared" ref="J962:O962" si="89">SUM(J952:J961)</f>
        <v>0</v>
      </c>
      <c r="K962" s="5">
        <f t="shared" si="89"/>
        <v>0</v>
      </c>
      <c r="L962" s="5">
        <f t="shared" si="89"/>
        <v>0</v>
      </c>
      <c r="M962" s="5">
        <f t="shared" si="89"/>
        <v>0</v>
      </c>
      <c r="N962" s="5">
        <f t="shared" si="89"/>
        <v>0</v>
      </c>
      <c r="O962" s="5">
        <f t="shared" si="89"/>
        <v>0</v>
      </c>
    </row>
    <row r="963" spans="3:15" s="327" customFormat="1" outlineLevel="1" x14ac:dyDescent="0.2"/>
    <row r="964" spans="3:15" s="327" customFormat="1" ht="15.75" outlineLevel="1" x14ac:dyDescent="0.2">
      <c r="C964" s="26" t="str">
        <f>"Active "&amp;Intv_BA!D2398&amp;"s"</f>
        <v>Active Facility Type 9s</v>
      </c>
    </row>
    <row r="965" spans="3:15" s="327" customFormat="1" outlineLevel="1" x14ac:dyDescent="0.2"/>
    <row r="966" spans="3:15" s="327" customFormat="1" outlineLevel="1" x14ac:dyDescent="0.2">
      <c r="D966" s="518" t="s">
        <v>82</v>
      </c>
      <c r="H966" s="27">
        <v>9</v>
      </c>
    </row>
    <row r="967" spans="3:15" s="327" customFormat="1" outlineLevel="1" x14ac:dyDescent="0.2"/>
    <row r="968" spans="3:15" s="327" customFormat="1" ht="15" outlineLevel="1" x14ac:dyDescent="0.2">
      <c r="D968" s="24" t="str">
        <f>Labels_BA!G10</f>
        <v>Province</v>
      </c>
    </row>
    <row r="969" spans="3:15" s="327" customFormat="1" outlineLevel="1" x14ac:dyDescent="0.2">
      <c r="D969" s="521" t="str">
        <f>Intv_BA!D2529</f>
        <v>Central</v>
      </c>
      <c r="J969" s="8">
        <f>Intv_Ann_TA!J539</f>
        <v>0</v>
      </c>
      <c r="K969" s="8">
        <f>Intv_Ann_TA!K539</f>
        <v>0</v>
      </c>
      <c r="L969" s="8">
        <f>Intv_Ann_TA!L539</f>
        <v>0</v>
      </c>
      <c r="M969" s="8">
        <f>Intv_Ann_TA!M539</f>
        <v>0</v>
      </c>
      <c r="N969" s="8">
        <f>Intv_Ann_TA!N539</f>
        <v>0</v>
      </c>
      <c r="O969" s="8">
        <f>Intv_Ann_TA!O539</f>
        <v>0</v>
      </c>
    </row>
    <row r="970" spans="3:15" s="327" customFormat="1" outlineLevel="1" x14ac:dyDescent="0.2">
      <c r="D970" s="521" t="str">
        <f>Intv_BA!D2530</f>
        <v>Copperbelt</v>
      </c>
      <c r="J970" s="8">
        <f>Intv_Ann_TA!J540</f>
        <v>0</v>
      </c>
      <c r="K970" s="8">
        <f>Intv_Ann_TA!K540</f>
        <v>0</v>
      </c>
      <c r="L970" s="8">
        <f>Intv_Ann_TA!L540</f>
        <v>0</v>
      </c>
      <c r="M970" s="8">
        <f>Intv_Ann_TA!M540</f>
        <v>0</v>
      </c>
      <c r="N970" s="8">
        <f>Intv_Ann_TA!N540</f>
        <v>0</v>
      </c>
      <c r="O970" s="8">
        <f>Intv_Ann_TA!O540</f>
        <v>0</v>
      </c>
    </row>
    <row r="971" spans="3:15" s="327" customFormat="1" outlineLevel="1" x14ac:dyDescent="0.2">
      <c r="D971" s="521" t="str">
        <f>Intv_BA!D2531</f>
        <v>Eastern</v>
      </c>
      <c r="J971" s="8">
        <f>Intv_Ann_TA!J541</f>
        <v>0</v>
      </c>
      <c r="K971" s="8">
        <f>Intv_Ann_TA!K541</f>
        <v>0</v>
      </c>
      <c r="L971" s="8">
        <f>Intv_Ann_TA!L541</f>
        <v>0</v>
      </c>
      <c r="M971" s="8">
        <f>Intv_Ann_TA!M541</f>
        <v>0</v>
      </c>
      <c r="N971" s="8">
        <f>Intv_Ann_TA!N541</f>
        <v>0</v>
      </c>
      <c r="O971" s="8">
        <f>Intv_Ann_TA!O541</f>
        <v>0</v>
      </c>
    </row>
    <row r="972" spans="3:15" s="327" customFormat="1" outlineLevel="1" x14ac:dyDescent="0.2">
      <c r="D972" s="521" t="str">
        <f>Intv_BA!D2532</f>
        <v>Luapula</v>
      </c>
      <c r="J972" s="8">
        <f>Intv_Ann_TA!J542</f>
        <v>0</v>
      </c>
      <c r="K972" s="8">
        <f>Intv_Ann_TA!K542</f>
        <v>0</v>
      </c>
      <c r="L972" s="8">
        <f>Intv_Ann_TA!L542</f>
        <v>0</v>
      </c>
      <c r="M972" s="8">
        <f>Intv_Ann_TA!M542</f>
        <v>0</v>
      </c>
      <c r="N972" s="8">
        <f>Intv_Ann_TA!N542</f>
        <v>0</v>
      </c>
      <c r="O972" s="8">
        <f>Intv_Ann_TA!O542</f>
        <v>0</v>
      </c>
    </row>
    <row r="973" spans="3:15" s="327" customFormat="1" outlineLevel="1" x14ac:dyDescent="0.2">
      <c r="D973" s="521" t="str">
        <f>Intv_BA!D2533</f>
        <v>Lusaka</v>
      </c>
      <c r="J973" s="8">
        <f>Intv_Ann_TA!J543</f>
        <v>0</v>
      </c>
      <c r="K973" s="8">
        <f>Intv_Ann_TA!K543</f>
        <v>0</v>
      </c>
      <c r="L973" s="8">
        <f>Intv_Ann_TA!L543</f>
        <v>0</v>
      </c>
      <c r="M973" s="8">
        <f>Intv_Ann_TA!M543</f>
        <v>0</v>
      </c>
      <c r="N973" s="8">
        <f>Intv_Ann_TA!N543</f>
        <v>0</v>
      </c>
      <c r="O973" s="8">
        <f>Intv_Ann_TA!O543</f>
        <v>0</v>
      </c>
    </row>
    <row r="974" spans="3:15" s="327" customFormat="1" outlineLevel="1" x14ac:dyDescent="0.2">
      <c r="D974" s="521" t="str">
        <f>Intv_BA!D2534</f>
        <v>Muchinga</v>
      </c>
      <c r="J974" s="8">
        <f>Intv_Ann_TA!J544</f>
        <v>0</v>
      </c>
      <c r="K974" s="8">
        <f>Intv_Ann_TA!K544</f>
        <v>0</v>
      </c>
      <c r="L974" s="8">
        <f>Intv_Ann_TA!L544</f>
        <v>0</v>
      </c>
      <c r="M974" s="8">
        <f>Intv_Ann_TA!M544</f>
        <v>0</v>
      </c>
      <c r="N974" s="8">
        <f>Intv_Ann_TA!N544</f>
        <v>0</v>
      </c>
      <c r="O974" s="8">
        <f>Intv_Ann_TA!O544</f>
        <v>0</v>
      </c>
    </row>
    <row r="975" spans="3:15" s="327" customFormat="1" outlineLevel="1" x14ac:dyDescent="0.2">
      <c r="D975" s="521" t="str">
        <f>Intv_BA!D2535</f>
        <v>Northern</v>
      </c>
      <c r="J975" s="8">
        <f>Intv_Ann_TA!J545</f>
        <v>0</v>
      </c>
      <c r="K975" s="8">
        <f>Intv_Ann_TA!K545</f>
        <v>0</v>
      </c>
      <c r="L975" s="8">
        <f>Intv_Ann_TA!L545</f>
        <v>0</v>
      </c>
      <c r="M975" s="8">
        <f>Intv_Ann_TA!M545</f>
        <v>0</v>
      </c>
      <c r="N975" s="8">
        <f>Intv_Ann_TA!N545</f>
        <v>0</v>
      </c>
      <c r="O975" s="8">
        <f>Intv_Ann_TA!O545</f>
        <v>0</v>
      </c>
    </row>
    <row r="976" spans="3:15" s="327" customFormat="1" outlineLevel="1" x14ac:dyDescent="0.2">
      <c r="D976" s="521" t="str">
        <f>Intv_BA!D2536</f>
        <v>North-Western</v>
      </c>
      <c r="J976" s="8">
        <f>Intv_Ann_TA!J546</f>
        <v>0</v>
      </c>
      <c r="K976" s="8">
        <f>Intv_Ann_TA!K546</f>
        <v>0</v>
      </c>
      <c r="L976" s="8">
        <f>Intv_Ann_TA!L546</f>
        <v>0</v>
      </c>
      <c r="M976" s="8">
        <f>Intv_Ann_TA!M546</f>
        <v>0</v>
      </c>
      <c r="N976" s="8">
        <f>Intv_Ann_TA!N546</f>
        <v>0</v>
      </c>
      <c r="O976" s="8">
        <f>Intv_Ann_TA!O546</f>
        <v>0</v>
      </c>
    </row>
    <row r="977" spans="3:15" s="327" customFormat="1" outlineLevel="1" x14ac:dyDescent="0.2">
      <c r="D977" s="521" t="str">
        <f>Intv_BA!D2537</f>
        <v>Southern</v>
      </c>
      <c r="J977" s="8">
        <f>Intv_Ann_TA!J547</f>
        <v>0</v>
      </c>
      <c r="K977" s="8">
        <f>Intv_Ann_TA!K547</f>
        <v>0</v>
      </c>
      <c r="L977" s="8">
        <f>Intv_Ann_TA!L547</f>
        <v>0</v>
      </c>
      <c r="M977" s="8">
        <f>Intv_Ann_TA!M547</f>
        <v>0</v>
      </c>
      <c r="N977" s="8">
        <f>Intv_Ann_TA!N547</f>
        <v>0</v>
      </c>
      <c r="O977" s="8">
        <f>Intv_Ann_TA!O547</f>
        <v>0</v>
      </c>
    </row>
    <row r="978" spans="3:15" s="327" customFormat="1" outlineLevel="1" x14ac:dyDescent="0.2">
      <c r="D978" s="521" t="str">
        <f>Intv_BA!D2538</f>
        <v>Western</v>
      </c>
      <c r="J978" s="9">
        <f>Intv_Ann_TA!J548</f>
        <v>0</v>
      </c>
      <c r="K978" s="9">
        <f>Intv_Ann_TA!K548</f>
        <v>0</v>
      </c>
      <c r="L978" s="9">
        <f>Intv_Ann_TA!L548</f>
        <v>0</v>
      </c>
      <c r="M978" s="9">
        <f>Intv_Ann_TA!M548</f>
        <v>0</v>
      </c>
      <c r="N978" s="9">
        <f>Intv_Ann_TA!N548</f>
        <v>0</v>
      </c>
      <c r="O978" s="9">
        <f>Intv_Ann_TA!O548</f>
        <v>0</v>
      </c>
    </row>
    <row r="979" spans="3:15" s="327" customFormat="1" x14ac:dyDescent="0.2">
      <c r="D979" s="520" t="str">
        <f>"Total "&amp;C964</f>
        <v>Total Active Facility Type 9s</v>
      </c>
      <c r="J979" s="5">
        <f t="shared" ref="J979:O979" si="90">SUM(J969:J978)</f>
        <v>0</v>
      </c>
      <c r="K979" s="5">
        <f t="shared" si="90"/>
        <v>0</v>
      </c>
      <c r="L979" s="5">
        <f t="shared" si="90"/>
        <v>0</v>
      </c>
      <c r="M979" s="5">
        <f t="shared" si="90"/>
        <v>0</v>
      </c>
      <c r="N979" s="5">
        <f t="shared" si="90"/>
        <v>0</v>
      </c>
      <c r="O979" s="5">
        <f t="shared" si="90"/>
        <v>0</v>
      </c>
    </row>
    <row r="980" spans="3:15" s="327" customFormat="1" outlineLevel="1" x14ac:dyDescent="0.2"/>
    <row r="981" spans="3:15" s="327" customFormat="1" ht="15.75" outlineLevel="2" x14ac:dyDescent="0.2">
      <c r="C981" s="26" t="str">
        <f>"Active "&amp;Intv_BA!D2399&amp;"s"</f>
        <v>Active Facility Type 10s</v>
      </c>
    </row>
    <row r="982" spans="3:15" s="327" customFormat="1" outlineLevel="2" x14ac:dyDescent="0.2"/>
    <row r="983" spans="3:15" s="327" customFormat="1" outlineLevel="2" x14ac:dyDescent="0.2">
      <c r="D983" s="518" t="s">
        <v>82</v>
      </c>
      <c r="H983" s="27">
        <v>10</v>
      </c>
    </row>
    <row r="984" spans="3:15" s="327" customFormat="1" outlineLevel="2" x14ac:dyDescent="0.2"/>
    <row r="985" spans="3:15" s="327" customFormat="1" ht="15" outlineLevel="2" x14ac:dyDescent="0.2">
      <c r="D985" s="24" t="str">
        <f>Labels_BA!G10</f>
        <v>Province</v>
      </c>
    </row>
    <row r="986" spans="3:15" s="327" customFormat="1" outlineLevel="2" x14ac:dyDescent="0.2">
      <c r="D986" s="521" t="str">
        <f>Intv_BA!D2529</f>
        <v>Central</v>
      </c>
      <c r="J986" s="8">
        <f>Intv_Ann_TA!J555</f>
        <v>0</v>
      </c>
      <c r="K986" s="8">
        <f>Intv_Ann_TA!K555</f>
        <v>0</v>
      </c>
      <c r="L986" s="8">
        <f>Intv_Ann_TA!L555</f>
        <v>0</v>
      </c>
      <c r="M986" s="8">
        <f>Intv_Ann_TA!M555</f>
        <v>0</v>
      </c>
      <c r="N986" s="8">
        <f>Intv_Ann_TA!N555</f>
        <v>0</v>
      </c>
      <c r="O986" s="8">
        <f>Intv_Ann_TA!O555</f>
        <v>0</v>
      </c>
    </row>
    <row r="987" spans="3:15" s="327" customFormat="1" outlineLevel="2" x14ac:dyDescent="0.2">
      <c r="D987" s="521" t="str">
        <f>Intv_BA!D2530</f>
        <v>Copperbelt</v>
      </c>
      <c r="J987" s="8">
        <f>Intv_Ann_TA!J556</f>
        <v>0</v>
      </c>
      <c r="K987" s="8">
        <f>Intv_Ann_TA!K556</f>
        <v>0</v>
      </c>
      <c r="L987" s="8">
        <f>Intv_Ann_TA!L556</f>
        <v>0</v>
      </c>
      <c r="M987" s="8">
        <f>Intv_Ann_TA!M556</f>
        <v>0</v>
      </c>
      <c r="N987" s="8">
        <f>Intv_Ann_TA!N556</f>
        <v>0</v>
      </c>
      <c r="O987" s="8">
        <f>Intv_Ann_TA!O556</f>
        <v>0</v>
      </c>
    </row>
    <row r="988" spans="3:15" s="327" customFormat="1" outlineLevel="2" x14ac:dyDescent="0.2">
      <c r="D988" s="521" t="str">
        <f>Intv_BA!D2531</f>
        <v>Eastern</v>
      </c>
      <c r="J988" s="8">
        <f>Intv_Ann_TA!J557</f>
        <v>0</v>
      </c>
      <c r="K988" s="8">
        <f>Intv_Ann_TA!K557</f>
        <v>0</v>
      </c>
      <c r="L988" s="8">
        <f>Intv_Ann_TA!L557</f>
        <v>0</v>
      </c>
      <c r="M988" s="8">
        <f>Intv_Ann_TA!M557</f>
        <v>0</v>
      </c>
      <c r="N988" s="8">
        <f>Intv_Ann_TA!N557</f>
        <v>0</v>
      </c>
      <c r="O988" s="8">
        <f>Intv_Ann_TA!O557</f>
        <v>0</v>
      </c>
    </row>
    <row r="989" spans="3:15" s="327" customFormat="1" outlineLevel="2" x14ac:dyDescent="0.2">
      <c r="D989" s="521" t="str">
        <f>Intv_BA!D2532</f>
        <v>Luapula</v>
      </c>
      <c r="J989" s="8">
        <f>Intv_Ann_TA!J558</f>
        <v>0</v>
      </c>
      <c r="K989" s="8">
        <f>Intv_Ann_TA!K558</f>
        <v>0</v>
      </c>
      <c r="L989" s="8">
        <f>Intv_Ann_TA!L558</f>
        <v>0</v>
      </c>
      <c r="M989" s="8">
        <f>Intv_Ann_TA!M558</f>
        <v>0</v>
      </c>
      <c r="N989" s="8">
        <f>Intv_Ann_TA!N558</f>
        <v>0</v>
      </c>
      <c r="O989" s="8">
        <f>Intv_Ann_TA!O558</f>
        <v>0</v>
      </c>
    </row>
    <row r="990" spans="3:15" s="327" customFormat="1" outlineLevel="2" x14ac:dyDescent="0.2">
      <c r="D990" s="521" t="str">
        <f>Intv_BA!D2533</f>
        <v>Lusaka</v>
      </c>
      <c r="J990" s="8">
        <f>Intv_Ann_TA!J559</f>
        <v>0</v>
      </c>
      <c r="K990" s="8">
        <f>Intv_Ann_TA!K559</f>
        <v>0</v>
      </c>
      <c r="L990" s="8">
        <f>Intv_Ann_TA!L559</f>
        <v>0</v>
      </c>
      <c r="M990" s="8">
        <f>Intv_Ann_TA!M559</f>
        <v>0</v>
      </c>
      <c r="N990" s="8">
        <f>Intv_Ann_TA!N559</f>
        <v>0</v>
      </c>
      <c r="O990" s="8">
        <f>Intv_Ann_TA!O559</f>
        <v>0</v>
      </c>
    </row>
    <row r="991" spans="3:15" s="327" customFormat="1" outlineLevel="2" x14ac:dyDescent="0.2">
      <c r="D991" s="521" t="str">
        <f>Intv_BA!D2534</f>
        <v>Muchinga</v>
      </c>
      <c r="J991" s="8">
        <f>Intv_Ann_TA!J560</f>
        <v>0</v>
      </c>
      <c r="K991" s="8">
        <f>Intv_Ann_TA!K560</f>
        <v>0</v>
      </c>
      <c r="L991" s="8">
        <f>Intv_Ann_TA!L560</f>
        <v>0</v>
      </c>
      <c r="M991" s="8">
        <f>Intv_Ann_TA!M560</f>
        <v>0</v>
      </c>
      <c r="N991" s="8">
        <f>Intv_Ann_TA!N560</f>
        <v>0</v>
      </c>
      <c r="O991" s="8">
        <f>Intv_Ann_TA!O560</f>
        <v>0</v>
      </c>
    </row>
    <row r="992" spans="3:15" s="327" customFormat="1" outlineLevel="2" x14ac:dyDescent="0.2">
      <c r="D992" s="521" t="str">
        <f>Intv_BA!D2535</f>
        <v>Northern</v>
      </c>
      <c r="J992" s="8">
        <f>Intv_Ann_TA!J561</f>
        <v>0</v>
      </c>
      <c r="K992" s="8">
        <f>Intv_Ann_TA!K561</f>
        <v>0</v>
      </c>
      <c r="L992" s="8">
        <f>Intv_Ann_TA!L561</f>
        <v>0</v>
      </c>
      <c r="M992" s="8">
        <f>Intv_Ann_TA!M561</f>
        <v>0</v>
      </c>
      <c r="N992" s="8">
        <f>Intv_Ann_TA!N561</f>
        <v>0</v>
      </c>
      <c r="O992" s="8">
        <f>Intv_Ann_TA!O561</f>
        <v>0</v>
      </c>
    </row>
    <row r="993" spans="3:15" s="327" customFormat="1" outlineLevel="2" x14ac:dyDescent="0.2">
      <c r="D993" s="521" t="str">
        <f>Intv_BA!D2536</f>
        <v>North-Western</v>
      </c>
      <c r="J993" s="8">
        <f>Intv_Ann_TA!J562</f>
        <v>0</v>
      </c>
      <c r="K993" s="8">
        <f>Intv_Ann_TA!K562</f>
        <v>0</v>
      </c>
      <c r="L993" s="8">
        <f>Intv_Ann_TA!L562</f>
        <v>0</v>
      </c>
      <c r="M993" s="8">
        <f>Intv_Ann_TA!M562</f>
        <v>0</v>
      </c>
      <c r="N993" s="8">
        <f>Intv_Ann_TA!N562</f>
        <v>0</v>
      </c>
      <c r="O993" s="8">
        <f>Intv_Ann_TA!O562</f>
        <v>0</v>
      </c>
    </row>
    <row r="994" spans="3:15" s="327" customFormat="1" outlineLevel="2" x14ac:dyDescent="0.2">
      <c r="D994" s="521" t="str">
        <f>Intv_BA!D2537</f>
        <v>Southern</v>
      </c>
      <c r="J994" s="8">
        <f>Intv_Ann_TA!J563</f>
        <v>0</v>
      </c>
      <c r="K994" s="8">
        <f>Intv_Ann_TA!K563</f>
        <v>0</v>
      </c>
      <c r="L994" s="8">
        <f>Intv_Ann_TA!L563</f>
        <v>0</v>
      </c>
      <c r="M994" s="8">
        <f>Intv_Ann_TA!M563</f>
        <v>0</v>
      </c>
      <c r="N994" s="8">
        <f>Intv_Ann_TA!N563</f>
        <v>0</v>
      </c>
      <c r="O994" s="8">
        <f>Intv_Ann_TA!O563</f>
        <v>0</v>
      </c>
    </row>
    <row r="995" spans="3:15" s="327" customFormat="1" outlineLevel="2" x14ac:dyDescent="0.2">
      <c r="D995" s="521" t="str">
        <f>Intv_BA!D2538</f>
        <v>Western</v>
      </c>
      <c r="J995" s="9">
        <f>Intv_Ann_TA!J564</f>
        <v>0</v>
      </c>
      <c r="K995" s="9">
        <f>Intv_Ann_TA!K564</f>
        <v>0</v>
      </c>
      <c r="L995" s="9">
        <f>Intv_Ann_TA!L564</f>
        <v>0</v>
      </c>
      <c r="M995" s="9">
        <f>Intv_Ann_TA!M564</f>
        <v>0</v>
      </c>
      <c r="N995" s="9">
        <f>Intv_Ann_TA!N564</f>
        <v>0</v>
      </c>
      <c r="O995" s="9">
        <f>Intv_Ann_TA!O564</f>
        <v>0</v>
      </c>
    </row>
    <row r="996" spans="3:15" s="327" customFormat="1" x14ac:dyDescent="0.2">
      <c r="D996" s="520" t="str">
        <f>"Total "&amp;C981</f>
        <v>Total Active Facility Type 10s</v>
      </c>
      <c r="J996" s="5">
        <f t="shared" ref="J996:O996" si="91">SUM(J986:J995)</f>
        <v>0</v>
      </c>
      <c r="K996" s="5">
        <f t="shared" si="91"/>
        <v>0</v>
      </c>
      <c r="L996" s="5">
        <f t="shared" si="91"/>
        <v>0</v>
      </c>
      <c r="M996" s="5">
        <f t="shared" si="91"/>
        <v>0</v>
      </c>
      <c r="N996" s="5">
        <f t="shared" si="91"/>
        <v>0</v>
      </c>
      <c r="O996" s="5">
        <f t="shared" si="91"/>
        <v>0</v>
      </c>
    </row>
    <row r="997" spans="3:15" s="327" customFormat="1" x14ac:dyDescent="0.2"/>
    <row r="998" spans="3:15" s="327" customFormat="1" x14ac:dyDescent="0.2"/>
    <row r="999" spans="3:15" s="327" customFormat="1" ht="15" x14ac:dyDescent="0.2">
      <c r="D999" s="522" t="str">
        <f>"Total Active Facilities " &amp;Intv_BA!G2360</f>
        <v>Total Active Facilities SURG</v>
      </c>
      <c r="I999" s="437"/>
      <c r="J999" s="14">
        <f t="shared" ref="J999:O999" si="92">SUM(J843,J860,J877,J894,J911,J928,J945,J962,J979,J996)</f>
        <v>4</v>
      </c>
      <c r="K999" s="14">
        <f t="shared" si="92"/>
        <v>4</v>
      </c>
      <c r="L999" s="14">
        <f t="shared" si="92"/>
        <v>4</v>
      </c>
      <c r="M999" s="14">
        <f t="shared" si="92"/>
        <v>4</v>
      </c>
      <c r="N999" s="14">
        <f t="shared" si="92"/>
        <v>4</v>
      </c>
      <c r="O999" s="14">
        <f t="shared" si="92"/>
        <v>4</v>
      </c>
    </row>
    <row r="1000" spans="3:15" s="327" customFormat="1" x14ac:dyDescent="0.2"/>
    <row r="1001" spans="3:15" s="327" customFormat="1" ht="15" x14ac:dyDescent="0.2">
      <c r="D1001" s="522" t="str">
        <f>"Total New Active Facilities " &amp;Intv_BA!$G$2360</f>
        <v>Total New Active Facilities SURG</v>
      </c>
      <c r="J1001" s="14">
        <f t="shared" ref="J1001:O1001" si="93">J999-I999</f>
        <v>4</v>
      </c>
      <c r="K1001" s="14">
        <f t="shared" si="93"/>
        <v>0</v>
      </c>
      <c r="L1001" s="14">
        <f t="shared" si="93"/>
        <v>0</v>
      </c>
      <c r="M1001" s="14">
        <f t="shared" si="93"/>
        <v>0</v>
      </c>
      <c r="N1001" s="14">
        <f t="shared" si="93"/>
        <v>0</v>
      </c>
      <c r="O1001" s="14">
        <f t="shared" si="93"/>
        <v>0</v>
      </c>
    </row>
    <row r="1002" spans="3:15" s="327" customFormat="1" x14ac:dyDescent="0.2"/>
    <row r="1003" spans="3:15" s="327" customFormat="1" ht="15.75" x14ac:dyDescent="0.2">
      <c r="C1003" s="330" t="s">
        <v>123</v>
      </c>
    </row>
    <row r="1004" spans="3:15" s="327" customFormat="1" outlineLevel="1" x14ac:dyDescent="0.2"/>
    <row r="1005" spans="3:15" s="327" customFormat="1" ht="15" outlineLevel="1" x14ac:dyDescent="0.2">
      <c r="D1005" s="522" t="str">
        <f>"Total Active Facilities Offering "&amp;Intv_BA!$G$2360</f>
        <v>Total Active Facilities Offering SURG</v>
      </c>
    </row>
    <row r="1006" spans="3:15" s="327" customFormat="1" outlineLevel="1" x14ac:dyDescent="0.2">
      <c r="D1006" s="521" t="str">
        <f>Intv_BA!D2529</f>
        <v>Central</v>
      </c>
      <c r="H1006" s="546" t="str">
        <f>Intv_BA!$G$2360</f>
        <v>SURG</v>
      </c>
      <c r="J1006" s="8">
        <f t="shared" ref="J1006:O1015" si="94">SUM(J833,J850,J867,J884,J901,J918,J935,J952,J969,J986)</f>
        <v>0</v>
      </c>
      <c r="K1006" s="8">
        <f t="shared" si="94"/>
        <v>0</v>
      </c>
      <c r="L1006" s="8">
        <f t="shared" si="94"/>
        <v>0</v>
      </c>
      <c r="M1006" s="8">
        <f t="shared" si="94"/>
        <v>0</v>
      </c>
      <c r="N1006" s="8">
        <f t="shared" si="94"/>
        <v>0</v>
      </c>
      <c r="O1006" s="8">
        <f t="shared" si="94"/>
        <v>0</v>
      </c>
    </row>
    <row r="1007" spans="3:15" s="327" customFormat="1" outlineLevel="1" x14ac:dyDescent="0.2">
      <c r="D1007" s="521" t="str">
        <f>Intv_BA!D2530</f>
        <v>Copperbelt</v>
      </c>
      <c r="H1007" s="546" t="str">
        <f>Intv_BA!$G$2360</f>
        <v>SURG</v>
      </c>
      <c r="J1007" s="8">
        <f t="shared" si="94"/>
        <v>3</v>
      </c>
      <c r="K1007" s="8">
        <f t="shared" si="94"/>
        <v>3</v>
      </c>
      <c r="L1007" s="8">
        <f t="shared" si="94"/>
        <v>3</v>
      </c>
      <c r="M1007" s="8">
        <f t="shared" si="94"/>
        <v>3</v>
      </c>
      <c r="N1007" s="8">
        <f t="shared" si="94"/>
        <v>3</v>
      </c>
      <c r="O1007" s="8">
        <f t="shared" si="94"/>
        <v>3</v>
      </c>
    </row>
    <row r="1008" spans="3:15" s="327" customFormat="1" outlineLevel="1" x14ac:dyDescent="0.2">
      <c r="D1008" s="521" t="str">
        <f>Intv_BA!D2531</f>
        <v>Eastern</v>
      </c>
      <c r="H1008" s="546" t="str">
        <f>Intv_BA!$G$2360</f>
        <v>SURG</v>
      </c>
      <c r="J1008" s="8">
        <f t="shared" si="94"/>
        <v>0</v>
      </c>
      <c r="K1008" s="8">
        <f t="shared" si="94"/>
        <v>0</v>
      </c>
      <c r="L1008" s="8">
        <f t="shared" si="94"/>
        <v>0</v>
      </c>
      <c r="M1008" s="8">
        <f t="shared" si="94"/>
        <v>0</v>
      </c>
      <c r="N1008" s="8">
        <f t="shared" si="94"/>
        <v>0</v>
      </c>
      <c r="O1008" s="8">
        <f t="shared" si="94"/>
        <v>0</v>
      </c>
    </row>
    <row r="1009" spans="4:15" s="327" customFormat="1" outlineLevel="1" x14ac:dyDescent="0.2">
      <c r="D1009" s="521" t="str">
        <f>Intv_BA!D2532</f>
        <v>Luapula</v>
      </c>
      <c r="H1009" s="546" t="str">
        <f>Intv_BA!$G$2360</f>
        <v>SURG</v>
      </c>
      <c r="J1009" s="8">
        <f t="shared" si="94"/>
        <v>0</v>
      </c>
      <c r="K1009" s="8">
        <f t="shared" si="94"/>
        <v>0</v>
      </c>
      <c r="L1009" s="8">
        <f t="shared" si="94"/>
        <v>0</v>
      </c>
      <c r="M1009" s="8">
        <f t="shared" si="94"/>
        <v>0</v>
      </c>
      <c r="N1009" s="8">
        <f t="shared" si="94"/>
        <v>0</v>
      </c>
      <c r="O1009" s="8">
        <f t="shared" si="94"/>
        <v>0</v>
      </c>
    </row>
    <row r="1010" spans="4:15" s="327" customFormat="1" outlineLevel="1" x14ac:dyDescent="0.2">
      <c r="D1010" s="521" t="str">
        <f>Intv_BA!D2533</f>
        <v>Lusaka</v>
      </c>
      <c r="H1010" s="546" t="str">
        <f>Intv_BA!$G$2360</f>
        <v>SURG</v>
      </c>
      <c r="J1010" s="8">
        <f t="shared" si="94"/>
        <v>1</v>
      </c>
      <c r="K1010" s="8">
        <f t="shared" si="94"/>
        <v>1</v>
      </c>
      <c r="L1010" s="8">
        <f t="shared" si="94"/>
        <v>1</v>
      </c>
      <c r="M1010" s="8">
        <f t="shared" si="94"/>
        <v>1</v>
      </c>
      <c r="N1010" s="8">
        <f t="shared" si="94"/>
        <v>1</v>
      </c>
      <c r="O1010" s="8">
        <f t="shared" si="94"/>
        <v>1</v>
      </c>
    </row>
    <row r="1011" spans="4:15" s="327" customFormat="1" outlineLevel="1" x14ac:dyDescent="0.2">
      <c r="D1011" s="521" t="str">
        <f>Intv_BA!D2534</f>
        <v>Muchinga</v>
      </c>
      <c r="H1011" s="546" t="str">
        <f>Intv_BA!$G$2360</f>
        <v>SURG</v>
      </c>
      <c r="J1011" s="8">
        <f t="shared" si="94"/>
        <v>0</v>
      </c>
      <c r="K1011" s="8">
        <f t="shared" si="94"/>
        <v>0</v>
      </c>
      <c r="L1011" s="8">
        <f t="shared" si="94"/>
        <v>0</v>
      </c>
      <c r="M1011" s="8">
        <f t="shared" si="94"/>
        <v>0</v>
      </c>
      <c r="N1011" s="8">
        <f t="shared" si="94"/>
        <v>0</v>
      </c>
      <c r="O1011" s="8">
        <f t="shared" si="94"/>
        <v>0</v>
      </c>
    </row>
    <row r="1012" spans="4:15" s="327" customFormat="1" outlineLevel="1" x14ac:dyDescent="0.2">
      <c r="D1012" s="521" t="str">
        <f>Intv_BA!D2535</f>
        <v>Northern</v>
      </c>
      <c r="H1012" s="546" t="str">
        <f>Intv_BA!$G$2360</f>
        <v>SURG</v>
      </c>
      <c r="J1012" s="8">
        <f t="shared" si="94"/>
        <v>0</v>
      </c>
      <c r="K1012" s="8">
        <f t="shared" si="94"/>
        <v>0</v>
      </c>
      <c r="L1012" s="8">
        <f t="shared" si="94"/>
        <v>0</v>
      </c>
      <c r="M1012" s="8">
        <f t="shared" si="94"/>
        <v>0</v>
      </c>
      <c r="N1012" s="8">
        <f t="shared" si="94"/>
        <v>0</v>
      </c>
      <c r="O1012" s="8">
        <f t="shared" si="94"/>
        <v>0</v>
      </c>
    </row>
    <row r="1013" spans="4:15" s="327" customFormat="1" outlineLevel="1" x14ac:dyDescent="0.2">
      <c r="D1013" s="521" t="str">
        <f>Intv_BA!D2536</f>
        <v>North-Western</v>
      </c>
      <c r="H1013" s="546" t="str">
        <f>Intv_BA!$G$2360</f>
        <v>SURG</v>
      </c>
      <c r="J1013" s="8">
        <f t="shared" si="94"/>
        <v>0</v>
      </c>
      <c r="K1013" s="8">
        <f t="shared" si="94"/>
        <v>0</v>
      </c>
      <c r="L1013" s="8">
        <f t="shared" si="94"/>
        <v>0</v>
      </c>
      <c r="M1013" s="8">
        <f t="shared" si="94"/>
        <v>0</v>
      </c>
      <c r="N1013" s="8">
        <f t="shared" si="94"/>
        <v>0</v>
      </c>
      <c r="O1013" s="8">
        <f t="shared" si="94"/>
        <v>0</v>
      </c>
    </row>
    <row r="1014" spans="4:15" s="327" customFormat="1" outlineLevel="1" x14ac:dyDescent="0.2">
      <c r="D1014" s="521" t="str">
        <f>Intv_BA!D2537</f>
        <v>Southern</v>
      </c>
      <c r="H1014" s="546" t="str">
        <f>Intv_BA!$G$2360</f>
        <v>SURG</v>
      </c>
      <c r="J1014" s="8">
        <f t="shared" si="94"/>
        <v>0</v>
      </c>
      <c r="K1014" s="8">
        <f t="shared" si="94"/>
        <v>0</v>
      </c>
      <c r="L1014" s="8">
        <f t="shared" si="94"/>
        <v>0</v>
      </c>
      <c r="M1014" s="8">
        <f t="shared" si="94"/>
        <v>0</v>
      </c>
      <c r="N1014" s="8">
        <f t="shared" si="94"/>
        <v>0</v>
      </c>
      <c r="O1014" s="8">
        <f t="shared" si="94"/>
        <v>0</v>
      </c>
    </row>
    <row r="1015" spans="4:15" s="327" customFormat="1" outlineLevel="1" x14ac:dyDescent="0.2">
      <c r="D1015" s="521" t="str">
        <f>Intv_BA!D2538</f>
        <v>Western</v>
      </c>
      <c r="H1015" s="546" t="str">
        <f>Intv_BA!$G$2360</f>
        <v>SURG</v>
      </c>
      <c r="J1015" s="9">
        <f t="shared" si="94"/>
        <v>0</v>
      </c>
      <c r="K1015" s="9">
        <f t="shared" si="94"/>
        <v>0</v>
      </c>
      <c r="L1015" s="9">
        <f t="shared" si="94"/>
        <v>0</v>
      </c>
      <c r="M1015" s="9">
        <f t="shared" si="94"/>
        <v>0</v>
      </c>
      <c r="N1015" s="9">
        <f t="shared" si="94"/>
        <v>0</v>
      </c>
      <c r="O1015" s="9">
        <f t="shared" si="94"/>
        <v>0</v>
      </c>
    </row>
    <row r="1016" spans="4:15" s="327" customFormat="1" ht="15" x14ac:dyDescent="0.2">
      <c r="D1016" s="522" t="str">
        <f>D1005&amp;" ("&amp;Intv_BA!$G$2360&amp;")"</f>
        <v>Total Active Facilities Offering SURG (SURG)</v>
      </c>
      <c r="J1016" s="5">
        <f t="shared" ref="J1016:O1016" si="95">SUM(J1006:J1015)</f>
        <v>4</v>
      </c>
      <c r="K1016" s="5">
        <f t="shared" si="95"/>
        <v>4</v>
      </c>
      <c r="L1016" s="5">
        <f t="shared" si="95"/>
        <v>4</v>
      </c>
      <c r="M1016" s="5">
        <f t="shared" si="95"/>
        <v>4</v>
      </c>
      <c r="N1016" s="5">
        <f t="shared" si="95"/>
        <v>4</v>
      </c>
      <c r="O1016" s="5">
        <f t="shared" si="95"/>
        <v>4</v>
      </c>
    </row>
    <row r="1017" spans="4:15" s="327" customFormat="1" x14ac:dyDescent="0.2"/>
    <row r="1018" spans="4:15" s="327" customFormat="1" x14ac:dyDescent="0.2"/>
    <row r="1019" spans="4:15" s="327" customFormat="1" ht="15" x14ac:dyDescent="0.2">
      <c r="D1019" s="519" t="s">
        <v>114</v>
      </c>
    </row>
    <row r="1020" spans="4:15" s="327" customFormat="1" outlineLevel="1" x14ac:dyDescent="0.2">
      <c r="D1020" s="521" t="str">
        <f>Intv_Ann_TA!D575</f>
        <v>Central</v>
      </c>
      <c r="H1020" s="546" t="str">
        <f>Intv_BA!$G$2360</f>
        <v>SURG</v>
      </c>
      <c r="J1020" s="13">
        <f t="shared" ref="J1020:O1029" si="96">IFERROR((J833+J850+J867)/J1006,0)</f>
        <v>0</v>
      </c>
      <c r="K1020" s="13">
        <f t="shared" si="96"/>
        <v>0</v>
      </c>
      <c r="L1020" s="13">
        <f t="shared" si="96"/>
        <v>0</v>
      </c>
      <c r="M1020" s="13">
        <f t="shared" si="96"/>
        <v>0</v>
      </c>
      <c r="N1020" s="13">
        <f t="shared" si="96"/>
        <v>0</v>
      </c>
      <c r="O1020" s="13">
        <f t="shared" si="96"/>
        <v>0</v>
      </c>
    </row>
    <row r="1021" spans="4:15" s="327" customFormat="1" outlineLevel="1" x14ac:dyDescent="0.2">
      <c r="D1021" s="521" t="str">
        <f>Intv_Ann_TA!D576</f>
        <v>Copperbelt</v>
      </c>
      <c r="H1021" s="546" t="str">
        <f>Intv_BA!$G$2360</f>
        <v>SURG</v>
      </c>
      <c r="J1021" s="13">
        <f t="shared" si="96"/>
        <v>1</v>
      </c>
      <c r="K1021" s="13">
        <f t="shared" si="96"/>
        <v>1</v>
      </c>
      <c r="L1021" s="13">
        <f t="shared" si="96"/>
        <v>1</v>
      </c>
      <c r="M1021" s="13">
        <f t="shared" si="96"/>
        <v>1</v>
      </c>
      <c r="N1021" s="13">
        <f t="shared" si="96"/>
        <v>1</v>
      </c>
      <c r="O1021" s="13">
        <f t="shared" si="96"/>
        <v>1</v>
      </c>
    </row>
    <row r="1022" spans="4:15" s="327" customFormat="1" outlineLevel="1" x14ac:dyDescent="0.2">
      <c r="D1022" s="521" t="str">
        <f>Intv_Ann_TA!D577</f>
        <v>Eastern</v>
      </c>
      <c r="H1022" s="546" t="str">
        <f>Intv_BA!$G$2360</f>
        <v>SURG</v>
      </c>
      <c r="J1022" s="13">
        <f t="shared" si="96"/>
        <v>0</v>
      </c>
      <c r="K1022" s="13">
        <f t="shared" si="96"/>
        <v>0</v>
      </c>
      <c r="L1022" s="13">
        <f t="shared" si="96"/>
        <v>0</v>
      </c>
      <c r="M1022" s="13">
        <f t="shared" si="96"/>
        <v>0</v>
      </c>
      <c r="N1022" s="13">
        <f t="shared" si="96"/>
        <v>0</v>
      </c>
      <c r="O1022" s="13">
        <f t="shared" si="96"/>
        <v>0</v>
      </c>
    </row>
    <row r="1023" spans="4:15" s="327" customFormat="1" outlineLevel="1" x14ac:dyDescent="0.2">
      <c r="D1023" s="521" t="str">
        <f>Intv_Ann_TA!D578</f>
        <v>Luapula</v>
      </c>
      <c r="H1023" s="546" t="str">
        <f>Intv_BA!$G$2360</f>
        <v>SURG</v>
      </c>
      <c r="J1023" s="13">
        <f t="shared" si="96"/>
        <v>0</v>
      </c>
      <c r="K1023" s="13">
        <f t="shared" si="96"/>
        <v>0</v>
      </c>
      <c r="L1023" s="13">
        <f t="shared" si="96"/>
        <v>0</v>
      </c>
      <c r="M1023" s="13">
        <f t="shared" si="96"/>
        <v>0</v>
      </c>
      <c r="N1023" s="13">
        <f t="shared" si="96"/>
        <v>0</v>
      </c>
      <c r="O1023" s="13">
        <f t="shared" si="96"/>
        <v>0</v>
      </c>
    </row>
    <row r="1024" spans="4:15" s="327" customFormat="1" outlineLevel="1" x14ac:dyDescent="0.2">
      <c r="D1024" s="521" t="str">
        <f>Intv_Ann_TA!D579</f>
        <v>Lusaka</v>
      </c>
      <c r="H1024" s="546" t="str">
        <f>Intv_BA!$G$2360</f>
        <v>SURG</v>
      </c>
      <c r="J1024" s="13">
        <f t="shared" si="96"/>
        <v>1</v>
      </c>
      <c r="K1024" s="13">
        <f t="shared" si="96"/>
        <v>1</v>
      </c>
      <c r="L1024" s="13">
        <f t="shared" si="96"/>
        <v>1</v>
      </c>
      <c r="M1024" s="13">
        <f t="shared" si="96"/>
        <v>1</v>
      </c>
      <c r="N1024" s="13">
        <f t="shared" si="96"/>
        <v>1</v>
      </c>
      <c r="O1024" s="13">
        <f t="shared" si="96"/>
        <v>1</v>
      </c>
    </row>
    <row r="1025" spans="3:15" s="327" customFormat="1" outlineLevel="1" x14ac:dyDescent="0.2">
      <c r="D1025" s="521" t="str">
        <f>Intv_Ann_TA!D580</f>
        <v>Muchinga</v>
      </c>
      <c r="H1025" s="546" t="str">
        <f>Intv_BA!$G$2360</f>
        <v>SURG</v>
      </c>
      <c r="J1025" s="13">
        <f t="shared" si="96"/>
        <v>0</v>
      </c>
      <c r="K1025" s="13">
        <f t="shared" si="96"/>
        <v>0</v>
      </c>
      <c r="L1025" s="13">
        <f t="shared" si="96"/>
        <v>0</v>
      </c>
      <c r="M1025" s="13">
        <f t="shared" si="96"/>
        <v>0</v>
      </c>
      <c r="N1025" s="13">
        <f t="shared" si="96"/>
        <v>0</v>
      </c>
      <c r="O1025" s="13">
        <f t="shared" si="96"/>
        <v>0</v>
      </c>
    </row>
    <row r="1026" spans="3:15" s="327" customFormat="1" outlineLevel="1" x14ac:dyDescent="0.2">
      <c r="D1026" s="521" t="str">
        <f>Intv_Ann_TA!D581</f>
        <v>Northern</v>
      </c>
      <c r="H1026" s="546" t="str">
        <f>Intv_BA!$G$2360</f>
        <v>SURG</v>
      </c>
      <c r="J1026" s="13">
        <f t="shared" si="96"/>
        <v>0</v>
      </c>
      <c r="K1026" s="13">
        <f t="shared" si="96"/>
        <v>0</v>
      </c>
      <c r="L1026" s="13">
        <f t="shared" si="96"/>
        <v>0</v>
      </c>
      <c r="M1026" s="13">
        <f t="shared" si="96"/>
        <v>0</v>
      </c>
      <c r="N1026" s="13">
        <f t="shared" si="96"/>
        <v>0</v>
      </c>
      <c r="O1026" s="13">
        <f t="shared" si="96"/>
        <v>0</v>
      </c>
    </row>
    <row r="1027" spans="3:15" s="327" customFormat="1" outlineLevel="1" x14ac:dyDescent="0.2">
      <c r="D1027" s="521" t="str">
        <f>Intv_Ann_TA!D582</f>
        <v>North-Western</v>
      </c>
      <c r="H1027" s="546" t="str">
        <f>Intv_BA!$G$2360</f>
        <v>SURG</v>
      </c>
      <c r="J1027" s="13">
        <f t="shared" si="96"/>
        <v>0</v>
      </c>
      <c r="K1027" s="13">
        <f t="shared" si="96"/>
        <v>0</v>
      </c>
      <c r="L1027" s="13">
        <f t="shared" si="96"/>
        <v>0</v>
      </c>
      <c r="M1027" s="13">
        <f t="shared" si="96"/>
        <v>0</v>
      </c>
      <c r="N1027" s="13">
        <f t="shared" si="96"/>
        <v>0</v>
      </c>
      <c r="O1027" s="13">
        <f t="shared" si="96"/>
        <v>0</v>
      </c>
    </row>
    <row r="1028" spans="3:15" s="327" customFormat="1" outlineLevel="1" x14ac:dyDescent="0.2">
      <c r="D1028" s="521" t="str">
        <f>Intv_Ann_TA!D583</f>
        <v>Southern</v>
      </c>
      <c r="H1028" s="546" t="str">
        <f>Intv_BA!$G$2360</f>
        <v>SURG</v>
      </c>
      <c r="J1028" s="13">
        <f t="shared" si="96"/>
        <v>0</v>
      </c>
      <c r="K1028" s="13">
        <f t="shared" si="96"/>
        <v>0</v>
      </c>
      <c r="L1028" s="13">
        <f t="shared" si="96"/>
        <v>0</v>
      </c>
      <c r="M1028" s="13">
        <f t="shared" si="96"/>
        <v>0</v>
      </c>
      <c r="N1028" s="13">
        <f t="shared" si="96"/>
        <v>0</v>
      </c>
      <c r="O1028" s="13">
        <f t="shared" si="96"/>
        <v>0</v>
      </c>
    </row>
    <row r="1029" spans="3:15" s="327" customFormat="1" outlineLevel="1" x14ac:dyDescent="0.2">
      <c r="D1029" s="521" t="str">
        <f>Intv_Ann_TA!D584</f>
        <v>Western</v>
      </c>
      <c r="H1029" s="546" t="str">
        <f>Intv_BA!$G$2360</f>
        <v>SURG</v>
      </c>
      <c r="J1029" s="13">
        <f t="shared" si="96"/>
        <v>0</v>
      </c>
      <c r="K1029" s="13">
        <f t="shared" si="96"/>
        <v>0</v>
      </c>
      <c r="L1029" s="13">
        <f t="shared" si="96"/>
        <v>0</v>
      </c>
      <c r="M1029" s="13">
        <f t="shared" si="96"/>
        <v>0</v>
      </c>
      <c r="N1029" s="13">
        <f t="shared" si="96"/>
        <v>0</v>
      </c>
      <c r="O1029" s="13">
        <f t="shared" si="96"/>
        <v>0</v>
      </c>
    </row>
    <row r="1030" spans="3:15" s="327" customFormat="1" x14ac:dyDescent="0.2"/>
    <row r="1031" spans="3:15" s="327" customFormat="1" ht="15.75" x14ac:dyDescent="0.2">
      <c r="C1031" s="330" t="s">
        <v>102</v>
      </c>
    </row>
    <row r="1032" spans="3:15" s="327" customFormat="1" x14ac:dyDescent="0.2"/>
    <row r="1033" spans="3:15" s="327" customFormat="1" ht="15" outlineLevel="2" x14ac:dyDescent="0.2">
      <c r="D1033" s="519" t="s">
        <v>103</v>
      </c>
      <c r="J1033" s="322"/>
      <c r="K1033" s="322"/>
      <c r="L1033" s="322"/>
      <c r="M1033" s="322"/>
      <c r="N1033" s="322"/>
      <c r="O1033" s="322"/>
    </row>
    <row r="1034" spans="3:15" s="327" customFormat="1" outlineLevel="2" x14ac:dyDescent="0.2">
      <c r="D1034" s="521" t="str">
        <f>Intv_Ann_TA!D575</f>
        <v>Central</v>
      </c>
      <c r="H1034" s="521" t="str">
        <f>Intv_BA!$G$2360</f>
        <v>SURG</v>
      </c>
      <c r="J1034" s="8">
        <f>ROUND(J833*Intv_BA!$L$2388+J850*Intv_BA!$L$2389+J867*Intv_BA!$L$2390+J884*Intv_BA!$L$2393+J901*Intv_BA!$L$2393+J918*Intv_BA!$L$2395+J935*Intv_BA!$L$2396+J952*Intv_BA!$L$2397+J969*Intv_BA!$L$2398+J986*Intv_BA!$L$2399,0)</f>
        <v>0</v>
      </c>
      <c r="K1034" s="8">
        <f>ROUND(K833*Intv_BA!$L$2388+K850*Intv_BA!$L$2389+K867*Intv_BA!$L$2390+K884*Intv_BA!$L$2393+K901*Intv_BA!$L$2393+K918*Intv_BA!$L$2395+K935*Intv_BA!$L$2396+K952*Intv_BA!$L$2397+K969*Intv_BA!$L$2398+K986*Intv_BA!$L$2399,0)</f>
        <v>0</v>
      </c>
      <c r="L1034" s="8">
        <f>ROUND(L833*Intv_BA!$L$2388+L850*Intv_BA!$L$2389+L867*Intv_BA!$L$2390+L884*Intv_BA!$L$2393+L901*Intv_BA!$L$2393+L918*Intv_BA!$L$2395+L935*Intv_BA!$L$2396+L952*Intv_BA!$L$2397+L969*Intv_BA!$L$2398+L986*Intv_BA!$L$2399,0)</f>
        <v>0</v>
      </c>
      <c r="M1034" s="8">
        <f>ROUND(M833*Intv_BA!$L$2388+M850*Intv_BA!$L$2389+M867*Intv_BA!$L$2390+M884*Intv_BA!$L$2393+M901*Intv_BA!$L$2393+M918*Intv_BA!$L$2395+M935*Intv_BA!$L$2396+M952*Intv_BA!$L$2397+M969*Intv_BA!$L$2398+M986*Intv_BA!$L$2399,0)</f>
        <v>0</v>
      </c>
      <c r="N1034" s="8">
        <f>ROUND(N833*Intv_BA!$L$2388+N850*Intv_BA!$L$2389+N867*Intv_BA!$L$2390+N884*Intv_BA!$L$2393+N901*Intv_BA!$L$2393+N918*Intv_BA!$L$2395+N935*Intv_BA!$L$2396+N952*Intv_BA!$L$2397+N969*Intv_BA!$L$2398+N986*Intv_BA!$L$2399,0)</f>
        <v>0</v>
      </c>
      <c r="O1034" s="8">
        <f>ROUND(O833*Intv_BA!$L$2388+O850*Intv_BA!$L$2389+O867*Intv_BA!$L$2390+O884*Intv_BA!$L$2393+O901*Intv_BA!$L$2393+O918*Intv_BA!$L$2395+O935*Intv_BA!$L$2396+O952*Intv_BA!$L$2397+O969*Intv_BA!$L$2398+O986*Intv_BA!$L$2399,0)</f>
        <v>0</v>
      </c>
    </row>
    <row r="1035" spans="3:15" s="327" customFormat="1" outlineLevel="2" x14ac:dyDescent="0.2">
      <c r="D1035" s="521" t="str">
        <f>Intv_Ann_TA!D576</f>
        <v>Copperbelt</v>
      </c>
      <c r="H1035" s="521" t="str">
        <f>Intv_BA!$G$2360</f>
        <v>SURG</v>
      </c>
      <c r="J1035" s="8">
        <f>ROUND(J834*Intv_BA!$L$2388+J851*Intv_BA!$L$2389+J868*Intv_BA!$L$2390+J885*Intv_BA!$L$2393+J902*Intv_BA!$L$2393+J919*Intv_BA!$L$2395+J936*Intv_BA!$L$2396+J953*Intv_BA!$L$2397+J970*Intv_BA!$L$2398+J987*Intv_BA!$L$2399,0)</f>
        <v>0</v>
      </c>
      <c r="K1035" s="8">
        <f>ROUND(K834*Intv_BA!$L$2388+K851*Intv_BA!$L$2389+K868*Intv_BA!$L$2390+K885*Intv_BA!$L$2393+K902*Intv_BA!$L$2393+K919*Intv_BA!$L$2395+K936*Intv_BA!$L$2396+K953*Intv_BA!$L$2397+K970*Intv_BA!$L$2398+K987*Intv_BA!$L$2399,0)</f>
        <v>0</v>
      </c>
      <c r="L1035" s="8">
        <f>ROUND(L834*Intv_BA!$L$2388+L851*Intv_BA!$L$2389+L868*Intv_BA!$L$2390+L885*Intv_BA!$L$2393+L902*Intv_BA!$L$2393+L919*Intv_BA!$L$2395+L936*Intv_BA!$L$2396+L953*Intv_BA!$L$2397+L970*Intv_BA!$L$2398+L987*Intv_BA!$L$2399,0)</f>
        <v>0</v>
      </c>
      <c r="M1035" s="8">
        <f>ROUND(M834*Intv_BA!$L$2388+M851*Intv_BA!$L$2389+M868*Intv_BA!$L$2390+M885*Intv_BA!$L$2393+M902*Intv_BA!$L$2393+M919*Intv_BA!$L$2395+M936*Intv_BA!$L$2396+M953*Intv_BA!$L$2397+M970*Intv_BA!$L$2398+M987*Intv_BA!$L$2399,0)</f>
        <v>0</v>
      </c>
      <c r="N1035" s="8">
        <f>ROUND(N834*Intv_BA!$L$2388+N851*Intv_BA!$L$2389+N868*Intv_BA!$L$2390+N885*Intv_BA!$L$2393+N902*Intv_BA!$L$2393+N919*Intv_BA!$L$2395+N936*Intv_BA!$L$2396+N953*Intv_BA!$L$2397+N970*Intv_BA!$L$2398+N987*Intv_BA!$L$2399,0)</f>
        <v>0</v>
      </c>
      <c r="O1035" s="8">
        <f>ROUND(O834*Intv_BA!$L$2388+O851*Intv_BA!$L$2389+O868*Intv_BA!$L$2390+O885*Intv_BA!$L$2393+O902*Intv_BA!$L$2393+O919*Intv_BA!$L$2395+O936*Intv_BA!$L$2396+O953*Intv_BA!$L$2397+O970*Intv_BA!$L$2398+O987*Intv_BA!$L$2399,0)</f>
        <v>0</v>
      </c>
    </row>
    <row r="1036" spans="3:15" s="327" customFormat="1" outlineLevel="2" x14ac:dyDescent="0.2">
      <c r="D1036" s="521" t="str">
        <f>Intv_Ann_TA!D577</f>
        <v>Eastern</v>
      </c>
      <c r="H1036" s="521" t="str">
        <f>Intv_BA!$G$2360</f>
        <v>SURG</v>
      </c>
      <c r="J1036" s="8">
        <f>ROUND(J835*Intv_BA!$L$2388+J852*Intv_BA!$L$2389+J869*Intv_BA!$L$2390+J886*Intv_BA!$L$2393+J903*Intv_BA!$L$2393+J920*Intv_BA!$L$2395+J937*Intv_BA!$L$2396+J954*Intv_BA!$L$2397+J971*Intv_BA!$L$2398+J988*Intv_BA!$L$2399,0)</f>
        <v>0</v>
      </c>
      <c r="K1036" s="8">
        <f>ROUND(K835*Intv_BA!$L$2388+K852*Intv_BA!$L$2389+K869*Intv_BA!$L$2390+K886*Intv_BA!$L$2393+K903*Intv_BA!$L$2393+K920*Intv_BA!$L$2395+K937*Intv_BA!$L$2396+K954*Intv_BA!$L$2397+K971*Intv_BA!$L$2398+K988*Intv_BA!$L$2399,0)</f>
        <v>0</v>
      </c>
      <c r="L1036" s="8">
        <f>ROUND(L835*Intv_BA!$L$2388+L852*Intv_BA!$L$2389+L869*Intv_BA!$L$2390+L886*Intv_BA!$L$2393+L903*Intv_BA!$L$2393+L920*Intv_BA!$L$2395+L937*Intv_BA!$L$2396+L954*Intv_BA!$L$2397+L971*Intv_BA!$L$2398+L988*Intv_BA!$L$2399,0)</f>
        <v>0</v>
      </c>
      <c r="M1036" s="8">
        <f>ROUND(M835*Intv_BA!$L$2388+M852*Intv_BA!$L$2389+M869*Intv_BA!$L$2390+M886*Intv_BA!$L$2393+M903*Intv_BA!$L$2393+M920*Intv_BA!$L$2395+M937*Intv_BA!$L$2396+M954*Intv_BA!$L$2397+M971*Intv_BA!$L$2398+M988*Intv_BA!$L$2399,0)</f>
        <v>0</v>
      </c>
      <c r="N1036" s="8">
        <f>ROUND(N835*Intv_BA!$L$2388+N852*Intv_BA!$L$2389+N869*Intv_BA!$L$2390+N886*Intv_BA!$L$2393+N903*Intv_BA!$L$2393+N920*Intv_BA!$L$2395+N937*Intv_BA!$L$2396+N954*Intv_BA!$L$2397+N971*Intv_BA!$L$2398+N988*Intv_BA!$L$2399,0)</f>
        <v>0</v>
      </c>
      <c r="O1036" s="8">
        <f>ROUND(O835*Intv_BA!$L$2388+O852*Intv_BA!$L$2389+O869*Intv_BA!$L$2390+O886*Intv_BA!$L$2393+O903*Intv_BA!$L$2393+O920*Intv_BA!$L$2395+O937*Intv_BA!$L$2396+O954*Intv_BA!$L$2397+O971*Intv_BA!$L$2398+O988*Intv_BA!$L$2399,0)</f>
        <v>0</v>
      </c>
    </row>
    <row r="1037" spans="3:15" s="327" customFormat="1" outlineLevel="2" x14ac:dyDescent="0.2">
      <c r="D1037" s="521" t="str">
        <f>Intv_Ann_TA!D578</f>
        <v>Luapula</v>
      </c>
      <c r="H1037" s="521" t="str">
        <f>Intv_BA!$G$2360</f>
        <v>SURG</v>
      </c>
      <c r="J1037" s="8">
        <f>ROUND(J836*Intv_BA!$L$2388+J853*Intv_BA!$L$2389+J870*Intv_BA!$L$2390+J887*Intv_BA!$L$2393+J904*Intv_BA!$L$2393+J921*Intv_BA!$L$2395+J938*Intv_BA!$L$2396+J955*Intv_BA!$L$2397+J972*Intv_BA!$L$2398+J989*Intv_BA!$L$2399,0)</f>
        <v>0</v>
      </c>
      <c r="K1037" s="8">
        <f>ROUND(K836*Intv_BA!$L$2388+K853*Intv_BA!$L$2389+K870*Intv_BA!$L$2390+K887*Intv_BA!$L$2393+K904*Intv_BA!$L$2393+K921*Intv_BA!$L$2395+K938*Intv_BA!$L$2396+K955*Intv_BA!$L$2397+K972*Intv_BA!$L$2398+K989*Intv_BA!$L$2399,0)</f>
        <v>0</v>
      </c>
      <c r="L1037" s="8">
        <f>ROUND(L836*Intv_BA!$L$2388+L853*Intv_BA!$L$2389+L870*Intv_BA!$L$2390+L887*Intv_BA!$L$2393+L904*Intv_BA!$L$2393+L921*Intv_BA!$L$2395+L938*Intv_BA!$L$2396+L955*Intv_BA!$L$2397+L972*Intv_BA!$L$2398+L989*Intv_BA!$L$2399,0)</f>
        <v>0</v>
      </c>
      <c r="M1037" s="8">
        <f>ROUND(M836*Intv_BA!$L$2388+M853*Intv_BA!$L$2389+M870*Intv_BA!$L$2390+M887*Intv_BA!$L$2393+M904*Intv_BA!$L$2393+M921*Intv_BA!$L$2395+M938*Intv_BA!$L$2396+M955*Intv_BA!$L$2397+M972*Intv_BA!$L$2398+M989*Intv_BA!$L$2399,0)</f>
        <v>0</v>
      </c>
      <c r="N1037" s="8">
        <f>ROUND(N836*Intv_BA!$L$2388+N853*Intv_BA!$L$2389+N870*Intv_BA!$L$2390+N887*Intv_BA!$L$2393+N904*Intv_BA!$L$2393+N921*Intv_BA!$L$2395+N938*Intv_BA!$L$2396+N955*Intv_BA!$L$2397+N972*Intv_BA!$L$2398+N989*Intv_BA!$L$2399,0)</f>
        <v>0</v>
      </c>
      <c r="O1037" s="8">
        <f>ROUND(O836*Intv_BA!$L$2388+O853*Intv_BA!$L$2389+O870*Intv_BA!$L$2390+O887*Intv_BA!$L$2393+O904*Intv_BA!$L$2393+O921*Intv_BA!$L$2395+O938*Intv_BA!$L$2396+O955*Intv_BA!$L$2397+O972*Intv_BA!$L$2398+O989*Intv_BA!$L$2399,0)</f>
        <v>0</v>
      </c>
    </row>
    <row r="1038" spans="3:15" s="327" customFormat="1" outlineLevel="2" x14ac:dyDescent="0.2">
      <c r="D1038" s="521" t="str">
        <f>Intv_Ann_TA!D579</f>
        <v>Lusaka</v>
      </c>
      <c r="H1038" s="521" t="str">
        <f>Intv_BA!$G$2360</f>
        <v>SURG</v>
      </c>
      <c r="J1038" s="8">
        <f>ROUND(J837*Intv_BA!$L$2388+J854*Intv_BA!$L$2389+J871*Intv_BA!$L$2390+J888*Intv_BA!$L$2393+J905*Intv_BA!$L$2393+J922*Intv_BA!$L$2395+J939*Intv_BA!$L$2396+J956*Intv_BA!$L$2397+J973*Intv_BA!$L$2398+J990*Intv_BA!$L$2399,0)</f>
        <v>0</v>
      </c>
      <c r="K1038" s="8">
        <f>ROUND(K837*Intv_BA!$L$2388+K854*Intv_BA!$L$2389+K871*Intv_BA!$L$2390+K888*Intv_BA!$L$2393+K905*Intv_BA!$L$2393+K922*Intv_BA!$L$2395+K939*Intv_BA!$L$2396+K956*Intv_BA!$L$2397+K973*Intv_BA!$L$2398+K990*Intv_BA!$L$2399,0)</f>
        <v>0</v>
      </c>
      <c r="L1038" s="8">
        <f>ROUND(L837*Intv_BA!$L$2388+L854*Intv_BA!$L$2389+L871*Intv_BA!$L$2390+L888*Intv_BA!$L$2393+L905*Intv_BA!$L$2393+L922*Intv_BA!$L$2395+L939*Intv_BA!$L$2396+L956*Intv_BA!$L$2397+L973*Intv_BA!$L$2398+L990*Intv_BA!$L$2399,0)</f>
        <v>0</v>
      </c>
      <c r="M1038" s="8">
        <f>ROUND(M837*Intv_BA!$L$2388+M854*Intv_BA!$L$2389+M871*Intv_BA!$L$2390+M888*Intv_BA!$L$2393+M905*Intv_BA!$L$2393+M922*Intv_BA!$L$2395+M939*Intv_BA!$L$2396+M956*Intv_BA!$L$2397+M973*Intv_BA!$L$2398+M990*Intv_BA!$L$2399,0)</f>
        <v>0</v>
      </c>
      <c r="N1038" s="8">
        <f>ROUND(N837*Intv_BA!$L$2388+N854*Intv_BA!$L$2389+N871*Intv_BA!$L$2390+N888*Intv_BA!$L$2393+N905*Intv_BA!$L$2393+N922*Intv_BA!$L$2395+N939*Intv_BA!$L$2396+N956*Intv_BA!$L$2397+N973*Intv_BA!$L$2398+N990*Intv_BA!$L$2399,0)</f>
        <v>0</v>
      </c>
      <c r="O1038" s="8">
        <f>ROUND(O837*Intv_BA!$L$2388+O854*Intv_BA!$L$2389+O871*Intv_BA!$L$2390+O888*Intv_BA!$L$2393+O905*Intv_BA!$L$2393+O922*Intv_BA!$L$2395+O939*Intv_BA!$L$2396+O956*Intv_BA!$L$2397+O973*Intv_BA!$L$2398+O990*Intv_BA!$L$2399,0)</f>
        <v>0</v>
      </c>
    </row>
    <row r="1039" spans="3:15" s="327" customFormat="1" outlineLevel="2" x14ac:dyDescent="0.2">
      <c r="D1039" s="521" t="str">
        <f>Intv_Ann_TA!D580</f>
        <v>Muchinga</v>
      </c>
      <c r="H1039" s="521" t="str">
        <f>Intv_BA!$G$2360</f>
        <v>SURG</v>
      </c>
      <c r="J1039" s="8">
        <f>ROUND(J838*Intv_BA!$L$2388+J855*Intv_BA!$L$2389+J872*Intv_BA!$L$2390+J889*Intv_BA!$L$2393+J906*Intv_BA!$L$2393+J923*Intv_BA!$L$2395+J940*Intv_BA!$L$2396+J957*Intv_BA!$L$2397+J974*Intv_BA!$L$2398+J991*Intv_BA!$L$2399,0)</f>
        <v>0</v>
      </c>
      <c r="K1039" s="8">
        <f>ROUND(K838*Intv_BA!$L$2388+K855*Intv_BA!$L$2389+K872*Intv_BA!$L$2390+K889*Intv_BA!$L$2393+K906*Intv_BA!$L$2393+K923*Intv_BA!$L$2395+K940*Intv_BA!$L$2396+K957*Intv_BA!$L$2397+K974*Intv_BA!$L$2398+K991*Intv_BA!$L$2399,0)</f>
        <v>0</v>
      </c>
      <c r="L1039" s="8">
        <f>ROUND(L838*Intv_BA!$L$2388+L855*Intv_BA!$L$2389+L872*Intv_BA!$L$2390+L889*Intv_BA!$L$2393+L906*Intv_BA!$L$2393+L923*Intv_BA!$L$2395+L940*Intv_BA!$L$2396+L957*Intv_BA!$L$2397+L974*Intv_BA!$L$2398+L991*Intv_BA!$L$2399,0)</f>
        <v>0</v>
      </c>
      <c r="M1039" s="8">
        <f>ROUND(M838*Intv_BA!$L$2388+M855*Intv_BA!$L$2389+M872*Intv_BA!$L$2390+M889*Intv_BA!$L$2393+M906*Intv_BA!$L$2393+M923*Intv_BA!$L$2395+M940*Intv_BA!$L$2396+M957*Intv_BA!$L$2397+M974*Intv_BA!$L$2398+M991*Intv_BA!$L$2399,0)</f>
        <v>0</v>
      </c>
      <c r="N1039" s="8">
        <f>ROUND(N838*Intv_BA!$L$2388+N855*Intv_BA!$L$2389+N872*Intv_BA!$L$2390+N889*Intv_BA!$L$2393+N906*Intv_BA!$L$2393+N923*Intv_BA!$L$2395+N940*Intv_BA!$L$2396+N957*Intv_BA!$L$2397+N974*Intv_BA!$L$2398+N991*Intv_BA!$L$2399,0)</f>
        <v>0</v>
      </c>
      <c r="O1039" s="8">
        <f>ROUND(O838*Intv_BA!$L$2388+O855*Intv_BA!$L$2389+O872*Intv_BA!$L$2390+O889*Intv_BA!$L$2393+O906*Intv_BA!$L$2393+O923*Intv_BA!$L$2395+O940*Intv_BA!$L$2396+O957*Intv_BA!$L$2397+O974*Intv_BA!$L$2398+O991*Intv_BA!$L$2399,0)</f>
        <v>0</v>
      </c>
    </row>
    <row r="1040" spans="3:15" s="327" customFormat="1" outlineLevel="2" x14ac:dyDescent="0.2">
      <c r="D1040" s="521" t="str">
        <f>Intv_Ann_TA!D581</f>
        <v>Northern</v>
      </c>
      <c r="H1040" s="521" t="str">
        <f>Intv_BA!$G$2360</f>
        <v>SURG</v>
      </c>
      <c r="J1040" s="8">
        <f>ROUND(J839*Intv_BA!$L$2388+J856*Intv_BA!$L$2389+J873*Intv_BA!$L$2390+J890*Intv_BA!$L$2393+J907*Intv_BA!$L$2393+J924*Intv_BA!$L$2395+J941*Intv_BA!$L$2396+J958*Intv_BA!$L$2397+J975*Intv_BA!$L$2398+J992*Intv_BA!$L$2399,0)</f>
        <v>0</v>
      </c>
      <c r="K1040" s="8">
        <f>ROUND(K839*Intv_BA!$L$2388+K856*Intv_BA!$L$2389+K873*Intv_BA!$L$2390+K890*Intv_BA!$L$2393+K907*Intv_BA!$L$2393+K924*Intv_BA!$L$2395+K941*Intv_BA!$L$2396+K958*Intv_BA!$L$2397+K975*Intv_BA!$L$2398+K992*Intv_BA!$L$2399,0)</f>
        <v>0</v>
      </c>
      <c r="L1040" s="8">
        <f>ROUND(L839*Intv_BA!$L$2388+L856*Intv_BA!$L$2389+L873*Intv_BA!$L$2390+L890*Intv_BA!$L$2393+L907*Intv_BA!$L$2393+L924*Intv_BA!$L$2395+L941*Intv_BA!$L$2396+L958*Intv_BA!$L$2397+L975*Intv_BA!$L$2398+L992*Intv_BA!$L$2399,0)</f>
        <v>0</v>
      </c>
      <c r="M1040" s="8">
        <f>ROUND(M839*Intv_BA!$L$2388+M856*Intv_BA!$L$2389+M873*Intv_BA!$L$2390+M890*Intv_BA!$L$2393+M907*Intv_BA!$L$2393+M924*Intv_BA!$L$2395+M941*Intv_BA!$L$2396+M958*Intv_BA!$L$2397+M975*Intv_BA!$L$2398+M992*Intv_BA!$L$2399,0)</f>
        <v>0</v>
      </c>
      <c r="N1040" s="8">
        <f>ROUND(N839*Intv_BA!$L$2388+N856*Intv_BA!$L$2389+N873*Intv_BA!$L$2390+N890*Intv_BA!$L$2393+N907*Intv_BA!$L$2393+N924*Intv_BA!$L$2395+N941*Intv_BA!$L$2396+N958*Intv_BA!$L$2397+N975*Intv_BA!$L$2398+N992*Intv_BA!$L$2399,0)</f>
        <v>0</v>
      </c>
      <c r="O1040" s="8">
        <f>ROUND(O839*Intv_BA!$L$2388+O856*Intv_BA!$L$2389+O873*Intv_BA!$L$2390+O890*Intv_BA!$L$2393+O907*Intv_BA!$L$2393+O924*Intv_BA!$L$2395+O941*Intv_BA!$L$2396+O958*Intv_BA!$L$2397+O975*Intv_BA!$L$2398+O992*Intv_BA!$L$2399,0)</f>
        <v>0</v>
      </c>
    </row>
    <row r="1041" spans="4:15" s="327" customFormat="1" outlineLevel="2" x14ac:dyDescent="0.2">
      <c r="D1041" s="521" t="str">
        <f>Intv_Ann_TA!D582</f>
        <v>North-Western</v>
      </c>
      <c r="H1041" s="521" t="str">
        <f>Intv_BA!$G$2360</f>
        <v>SURG</v>
      </c>
      <c r="J1041" s="8">
        <f>ROUND(J840*Intv_BA!$L$2388+J857*Intv_BA!$L$2389+J874*Intv_BA!$L$2390+J891*Intv_BA!$L$2393+J908*Intv_BA!$L$2393+J925*Intv_BA!$L$2395+J942*Intv_BA!$L$2396+J959*Intv_BA!$L$2397+J976*Intv_BA!$L$2398+J993*Intv_BA!$L$2399,0)</f>
        <v>0</v>
      </c>
      <c r="K1041" s="8">
        <f>ROUND(K840*Intv_BA!$L$2388+K857*Intv_BA!$L$2389+K874*Intv_BA!$L$2390+K891*Intv_BA!$L$2393+K908*Intv_BA!$L$2393+K925*Intv_BA!$L$2395+K942*Intv_BA!$L$2396+K959*Intv_BA!$L$2397+K976*Intv_BA!$L$2398+K993*Intv_BA!$L$2399,0)</f>
        <v>0</v>
      </c>
      <c r="L1041" s="8">
        <f>ROUND(L840*Intv_BA!$L$2388+L857*Intv_BA!$L$2389+L874*Intv_BA!$L$2390+L891*Intv_BA!$L$2393+L908*Intv_BA!$L$2393+L925*Intv_BA!$L$2395+L942*Intv_BA!$L$2396+L959*Intv_BA!$L$2397+L976*Intv_BA!$L$2398+L993*Intv_BA!$L$2399,0)</f>
        <v>0</v>
      </c>
      <c r="M1041" s="8">
        <f>ROUND(M840*Intv_BA!$L$2388+M857*Intv_BA!$L$2389+M874*Intv_BA!$L$2390+M891*Intv_BA!$L$2393+M908*Intv_BA!$L$2393+M925*Intv_BA!$L$2395+M942*Intv_BA!$L$2396+M959*Intv_BA!$L$2397+M976*Intv_BA!$L$2398+M993*Intv_BA!$L$2399,0)</f>
        <v>0</v>
      </c>
      <c r="N1041" s="8">
        <f>ROUND(N840*Intv_BA!$L$2388+N857*Intv_BA!$L$2389+N874*Intv_BA!$L$2390+N891*Intv_BA!$L$2393+N908*Intv_BA!$L$2393+N925*Intv_BA!$L$2395+N942*Intv_BA!$L$2396+N959*Intv_BA!$L$2397+N976*Intv_BA!$L$2398+N993*Intv_BA!$L$2399,0)</f>
        <v>0</v>
      </c>
      <c r="O1041" s="8">
        <f>ROUND(O840*Intv_BA!$L$2388+O857*Intv_BA!$L$2389+O874*Intv_BA!$L$2390+O891*Intv_BA!$L$2393+O908*Intv_BA!$L$2393+O925*Intv_BA!$L$2395+O942*Intv_BA!$L$2396+O959*Intv_BA!$L$2397+O976*Intv_BA!$L$2398+O993*Intv_BA!$L$2399,0)</f>
        <v>0</v>
      </c>
    </row>
    <row r="1042" spans="4:15" s="327" customFormat="1" outlineLevel="2" x14ac:dyDescent="0.2">
      <c r="D1042" s="521" t="str">
        <f>Intv_Ann_TA!D583</f>
        <v>Southern</v>
      </c>
      <c r="H1042" s="521" t="str">
        <f>Intv_BA!$G$2360</f>
        <v>SURG</v>
      </c>
      <c r="J1042" s="8">
        <f>ROUND(J841*Intv_BA!$L$2388+J858*Intv_BA!$L$2389+J875*Intv_BA!$L$2390+J892*Intv_BA!$L$2393+J909*Intv_BA!$L$2393+J926*Intv_BA!$L$2395+J943*Intv_BA!$L$2396+J960*Intv_BA!$L$2397+J977*Intv_BA!$L$2398+J994*Intv_BA!$L$2399,0)</f>
        <v>0</v>
      </c>
      <c r="K1042" s="8">
        <f>ROUND(K841*Intv_BA!$L$2388+K858*Intv_BA!$L$2389+K875*Intv_BA!$L$2390+K892*Intv_BA!$L$2393+K909*Intv_BA!$L$2393+K926*Intv_BA!$L$2395+K943*Intv_BA!$L$2396+K960*Intv_BA!$L$2397+K977*Intv_BA!$L$2398+K994*Intv_BA!$L$2399,0)</f>
        <v>0</v>
      </c>
      <c r="L1042" s="8">
        <f>ROUND(L841*Intv_BA!$L$2388+L858*Intv_BA!$L$2389+L875*Intv_BA!$L$2390+L892*Intv_BA!$L$2393+L909*Intv_BA!$L$2393+L926*Intv_BA!$L$2395+L943*Intv_BA!$L$2396+L960*Intv_BA!$L$2397+L977*Intv_BA!$L$2398+L994*Intv_BA!$L$2399,0)</f>
        <v>0</v>
      </c>
      <c r="M1042" s="8">
        <f>ROUND(M841*Intv_BA!$L$2388+M858*Intv_BA!$L$2389+M875*Intv_BA!$L$2390+M892*Intv_BA!$L$2393+M909*Intv_BA!$L$2393+M926*Intv_BA!$L$2395+M943*Intv_BA!$L$2396+M960*Intv_BA!$L$2397+M977*Intv_BA!$L$2398+M994*Intv_BA!$L$2399,0)</f>
        <v>0</v>
      </c>
      <c r="N1042" s="8">
        <f>ROUND(N841*Intv_BA!$L$2388+N858*Intv_BA!$L$2389+N875*Intv_BA!$L$2390+N892*Intv_BA!$L$2393+N909*Intv_BA!$L$2393+N926*Intv_BA!$L$2395+N943*Intv_BA!$L$2396+N960*Intv_BA!$L$2397+N977*Intv_BA!$L$2398+N994*Intv_BA!$L$2399,0)</f>
        <v>0</v>
      </c>
      <c r="O1042" s="8">
        <f>ROUND(O841*Intv_BA!$L$2388+O858*Intv_BA!$L$2389+O875*Intv_BA!$L$2390+O892*Intv_BA!$L$2393+O909*Intv_BA!$L$2393+O926*Intv_BA!$L$2395+O943*Intv_BA!$L$2396+O960*Intv_BA!$L$2397+O977*Intv_BA!$L$2398+O994*Intv_BA!$L$2399,0)</f>
        <v>0</v>
      </c>
    </row>
    <row r="1043" spans="4:15" s="327" customFormat="1" outlineLevel="2" x14ac:dyDescent="0.2">
      <c r="D1043" s="521" t="str">
        <f>Intv_Ann_TA!D584</f>
        <v>Western</v>
      </c>
      <c r="H1043" s="521" t="str">
        <f>Intv_BA!$G$2360</f>
        <v>SURG</v>
      </c>
      <c r="J1043" s="9">
        <f>ROUND(J842*Intv_BA!$L$2388+J859*Intv_BA!$L$2389+J876*Intv_BA!$L$2390+J893*Intv_BA!$L$2393+J910*Intv_BA!$L$2393+J927*Intv_BA!$L$2395+J944*Intv_BA!$L$2396+J961*Intv_BA!$L$2397+J978*Intv_BA!$L$2398+J995*Intv_BA!$L$2399,0)</f>
        <v>0</v>
      </c>
      <c r="K1043" s="9">
        <f>ROUND(K842*Intv_BA!$L$2388+K859*Intv_BA!$L$2389+K876*Intv_BA!$L$2390+K893*Intv_BA!$L$2393+K910*Intv_BA!$L$2393+K927*Intv_BA!$L$2395+K944*Intv_BA!$L$2396+K961*Intv_BA!$L$2397+K978*Intv_BA!$L$2398+K995*Intv_BA!$L$2399,0)</f>
        <v>0</v>
      </c>
      <c r="L1043" s="9">
        <f>ROUND(L842*Intv_BA!$L$2388+L859*Intv_BA!$L$2389+L876*Intv_BA!$L$2390+L893*Intv_BA!$L$2393+L910*Intv_BA!$L$2393+L927*Intv_BA!$L$2395+L944*Intv_BA!$L$2396+L961*Intv_BA!$L$2397+L978*Intv_BA!$L$2398+L995*Intv_BA!$L$2399,0)</f>
        <v>0</v>
      </c>
      <c r="M1043" s="9">
        <f>ROUND(M842*Intv_BA!$L$2388+M859*Intv_BA!$L$2389+M876*Intv_BA!$L$2390+M893*Intv_BA!$L$2393+M910*Intv_BA!$L$2393+M927*Intv_BA!$L$2395+M944*Intv_BA!$L$2396+M961*Intv_BA!$L$2397+M978*Intv_BA!$L$2398+M995*Intv_BA!$L$2399,0)</f>
        <v>0</v>
      </c>
      <c r="N1043" s="9">
        <f>ROUND(N842*Intv_BA!$L$2388+N859*Intv_BA!$L$2389+N876*Intv_BA!$L$2390+N893*Intv_BA!$L$2393+N910*Intv_BA!$L$2393+N927*Intv_BA!$L$2395+N944*Intv_BA!$L$2396+N961*Intv_BA!$L$2397+N978*Intv_BA!$L$2398+N995*Intv_BA!$L$2399,0)</f>
        <v>0</v>
      </c>
      <c r="O1043" s="9">
        <f>ROUND(O842*Intv_BA!$L$2388+O859*Intv_BA!$L$2389+O876*Intv_BA!$L$2390+O893*Intv_BA!$L$2393+O910*Intv_BA!$L$2393+O927*Intv_BA!$L$2395+O944*Intv_BA!$L$2396+O961*Intv_BA!$L$2397+O978*Intv_BA!$L$2398+O995*Intv_BA!$L$2399,0)</f>
        <v>0</v>
      </c>
    </row>
    <row r="1044" spans="4:15" s="327" customFormat="1" x14ac:dyDescent="0.2">
      <c r="D1044" s="520" t="str">
        <f>"Total "&amp;D1033</f>
        <v>Total Maximum Procedures</v>
      </c>
      <c r="H1044" s="521" t="str">
        <f>Intv_BA!$G$2360</f>
        <v>SURG</v>
      </c>
      <c r="J1044" s="5">
        <f t="shared" ref="J1044:O1044" si="97">SUM(J1034:J1043)</f>
        <v>0</v>
      </c>
      <c r="K1044" s="5">
        <f t="shared" si="97"/>
        <v>0</v>
      </c>
      <c r="L1044" s="5">
        <f t="shared" si="97"/>
        <v>0</v>
      </c>
      <c r="M1044" s="5">
        <f t="shared" si="97"/>
        <v>0</v>
      </c>
      <c r="N1044" s="5">
        <f t="shared" si="97"/>
        <v>0</v>
      </c>
      <c r="O1044" s="5">
        <f t="shared" si="97"/>
        <v>0</v>
      </c>
    </row>
    <row r="1045" spans="4:15" s="327" customFormat="1" x14ac:dyDescent="0.2"/>
    <row r="1046" spans="4:15" s="327" customFormat="1" outlineLevel="2" x14ac:dyDescent="0.2"/>
    <row r="1047" spans="4:15" s="327" customFormat="1" ht="15" outlineLevel="2" x14ac:dyDescent="0.2">
      <c r="D1047" s="519" t="s">
        <v>383</v>
      </c>
    </row>
    <row r="1048" spans="4:15" s="327" customFormat="1" outlineLevel="2" x14ac:dyDescent="0.2">
      <c r="D1048" s="521" t="str">
        <f>Intv_Ann_TA!D575</f>
        <v>Central</v>
      </c>
      <c r="H1048" s="521" t="str">
        <f>Intv_BA!$G$2360</f>
        <v>SURG</v>
      </c>
      <c r="J1048" s="8">
        <f ca="1">ROUND(Intv_Ann_TA!J575*Intv_BA!$J$2362*(1-Intv_BA!$J$2363),0)</f>
        <v>4</v>
      </c>
      <c r="K1048" s="8">
        <f ca="1">ROUND(Intv_Ann_TA!K575*Intv_BA!$J$2362*(1-Intv_BA!$J$2363),0)</f>
        <v>4</v>
      </c>
      <c r="L1048" s="8">
        <f ca="1">ROUND(Intv_Ann_TA!L575*Intv_BA!$J$2362*(1-Intv_BA!$J$2363),0)</f>
        <v>4</v>
      </c>
      <c r="M1048" s="8">
        <f ca="1">ROUND(Intv_Ann_TA!M575*Intv_BA!$J$2362*(1-Intv_BA!$J$2363),0)</f>
        <v>4</v>
      </c>
      <c r="N1048" s="8">
        <f ca="1">ROUND(Intv_Ann_TA!N575*Intv_BA!$J$2362*(1-Intv_BA!$J$2363),0)</f>
        <v>4</v>
      </c>
      <c r="O1048" s="8">
        <f ca="1">ROUND(Intv_Ann_TA!O575*Intv_BA!$J$2362*(1-Intv_BA!$J$2363),0)</f>
        <v>4</v>
      </c>
    </row>
    <row r="1049" spans="4:15" s="327" customFormat="1" outlineLevel="2" x14ac:dyDescent="0.2">
      <c r="D1049" s="521" t="str">
        <f>Intv_Ann_TA!D576</f>
        <v>Copperbelt</v>
      </c>
      <c r="H1049" s="521" t="str">
        <f>Intv_BA!$G$2360</f>
        <v>SURG</v>
      </c>
      <c r="J1049" s="8">
        <f ca="1">ROUND(Intv_Ann_TA!J576*Intv_BA!$J$2362*(1-Intv_BA!$J$2363),0)</f>
        <v>6</v>
      </c>
      <c r="K1049" s="8">
        <f ca="1">ROUND(Intv_Ann_TA!K576*Intv_BA!$J$2362*(1-Intv_BA!$J$2363),0)</f>
        <v>6</v>
      </c>
      <c r="L1049" s="8">
        <f ca="1">ROUND(Intv_Ann_TA!L576*Intv_BA!$J$2362*(1-Intv_BA!$J$2363),0)</f>
        <v>6</v>
      </c>
      <c r="M1049" s="8">
        <f ca="1">ROUND(Intv_Ann_TA!M576*Intv_BA!$J$2362*(1-Intv_BA!$J$2363),0)</f>
        <v>6</v>
      </c>
      <c r="N1049" s="8">
        <f ca="1">ROUND(Intv_Ann_TA!N576*Intv_BA!$J$2362*(1-Intv_BA!$J$2363),0)</f>
        <v>6</v>
      </c>
      <c r="O1049" s="8">
        <f ca="1">ROUND(Intv_Ann_TA!O576*Intv_BA!$J$2362*(1-Intv_BA!$J$2363),0)</f>
        <v>6</v>
      </c>
    </row>
    <row r="1050" spans="4:15" s="327" customFormat="1" outlineLevel="2" x14ac:dyDescent="0.2">
      <c r="D1050" s="521" t="str">
        <f>Intv_Ann_TA!D577</f>
        <v>Eastern</v>
      </c>
      <c r="H1050" s="521" t="str">
        <f>Intv_BA!$G$2360</f>
        <v>SURG</v>
      </c>
      <c r="J1050" s="8">
        <f ca="1">ROUND(Intv_Ann_TA!J577*Intv_BA!$J$2362*(1-Intv_BA!$J$2363),0)</f>
        <v>7</v>
      </c>
      <c r="K1050" s="8">
        <f ca="1">ROUND(Intv_Ann_TA!K577*Intv_BA!$J$2362*(1-Intv_BA!$J$2363),0)</f>
        <v>7</v>
      </c>
      <c r="L1050" s="8">
        <f ca="1">ROUND(Intv_Ann_TA!L577*Intv_BA!$J$2362*(1-Intv_BA!$J$2363),0)</f>
        <v>7</v>
      </c>
      <c r="M1050" s="8">
        <f ca="1">ROUND(Intv_Ann_TA!M577*Intv_BA!$J$2362*(1-Intv_BA!$J$2363),0)</f>
        <v>7</v>
      </c>
      <c r="N1050" s="8">
        <f ca="1">ROUND(Intv_Ann_TA!N577*Intv_BA!$J$2362*(1-Intv_BA!$J$2363),0)</f>
        <v>7</v>
      </c>
      <c r="O1050" s="8">
        <f ca="1">ROUND(Intv_Ann_TA!O577*Intv_BA!$J$2362*(1-Intv_BA!$J$2363),0)</f>
        <v>7</v>
      </c>
    </row>
    <row r="1051" spans="4:15" s="327" customFormat="1" outlineLevel="2" x14ac:dyDescent="0.2">
      <c r="D1051" s="521" t="str">
        <f>Intv_Ann_TA!D578</f>
        <v>Luapula</v>
      </c>
      <c r="H1051" s="521" t="str">
        <f>Intv_BA!$G$2360</f>
        <v>SURG</v>
      </c>
      <c r="J1051" s="8">
        <f ca="1">ROUND(Intv_Ann_TA!J578*Intv_BA!$J$2362*(1-Intv_BA!$J$2363),0)</f>
        <v>6</v>
      </c>
      <c r="K1051" s="8">
        <f ca="1">ROUND(Intv_Ann_TA!K578*Intv_BA!$J$2362*(1-Intv_BA!$J$2363),0)</f>
        <v>6</v>
      </c>
      <c r="L1051" s="8">
        <f ca="1">ROUND(Intv_Ann_TA!L578*Intv_BA!$J$2362*(1-Intv_BA!$J$2363),0)</f>
        <v>6</v>
      </c>
      <c r="M1051" s="8">
        <f ca="1">ROUND(Intv_Ann_TA!M578*Intv_BA!$J$2362*(1-Intv_BA!$J$2363),0)</f>
        <v>6</v>
      </c>
      <c r="N1051" s="8">
        <f ca="1">ROUND(Intv_Ann_TA!N578*Intv_BA!$J$2362*(1-Intv_BA!$J$2363),0)</f>
        <v>6</v>
      </c>
      <c r="O1051" s="8">
        <f ca="1">ROUND(Intv_Ann_TA!O578*Intv_BA!$J$2362*(1-Intv_BA!$J$2363),0)</f>
        <v>6</v>
      </c>
    </row>
    <row r="1052" spans="4:15" s="327" customFormat="1" outlineLevel="2" x14ac:dyDescent="0.2">
      <c r="D1052" s="521" t="str">
        <f>Intv_Ann_TA!D579</f>
        <v>Lusaka</v>
      </c>
      <c r="H1052" s="521" t="str">
        <f>Intv_BA!$G$2360</f>
        <v>SURG</v>
      </c>
      <c r="J1052" s="8">
        <f ca="1">ROUND(Intv_Ann_TA!J579*Intv_BA!$J$2362*(1-Intv_BA!$J$2363),0)</f>
        <v>21</v>
      </c>
      <c r="K1052" s="8">
        <f ca="1">ROUND(Intv_Ann_TA!K579*Intv_BA!$J$2362*(1-Intv_BA!$J$2363),0)</f>
        <v>21</v>
      </c>
      <c r="L1052" s="8">
        <f ca="1">ROUND(Intv_Ann_TA!L579*Intv_BA!$J$2362*(1-Intv_BA!$J$2363),0)</f>
        <v>21</v>
      </c>
      <c r="M1052" s="8">
        <f ca="1">ROUND(Intv_Ann_TA!M579*Intv_BA!$J$2362*(1-Intv_BA!$J$2363),0)</f>
        <v>21</v>
      </c>
      <c r="N1052" s="8">
        <f ca="1">ROUND(Intv_Ann_TA!N579*Intv_BA!$J$2362*(1-Intv_BA!$J$2363),0)</f>
        <v>21</v>
      </c>
      <c r="O1052" s="8">
        <f ca="1">ROUND(Intv_Ann_TA!O579*Intv_BA!$J$2362*(1-Intv_BA!$J$2363),0)</f>
        <v>21</v>
      </c>
    </row>
    <row r="1053" spans="4:15" s="327" customFormat="1" outlineLevel="2" x14ac:dyDescent="0.2">
      <c r="D1053" s="521" t="str">
        <f>Intv_Ann_TA!D580</f>
        <v>Muchinga</v>
      </c>
      <c r="H1053" s="521" t="str">
        <f>Intv_BA!$G$2360</f>
        <v>SURG</v>
      </c>
      <c r="J1053" s="8">
        <f ca="1">ROUND(Intv_Ann_TA!J580*Intv_BA!$J$2362*(1-Intv_BA!$J$2363),0)</f>
        <v>0</v>
      </c>
      <c r="K1053" s="8">
        <f ca="1">ROUND(Intv_Ann_TA!K580*Intv_BA!$J$2362*(1-Intv_BA!$J$2363),0)</f>
        <v>0</v>
      </c>
      <c r="L1053" s="8">
        <f ca="1">ROUND(Intv_Ann_TA!L580*Intv_BA!$J$2362*(1-Intv_BA!$J$2363),0)</f>
        <v>0</v>
      </c>
      <c r="M1053" s="8">
        <f ca="1">ROUND(Intv_Ann_TA!M580*Intv_BA!$J$2362*(1-Intv_BA!$J$2363),0)</f>
        <v>0</v>
      </c>
      <c r="N1053" s="8">
        <f ca="1">ROUND(Intv_Ann_TA!N580*Intv_BA!$J$2362*(1-Intv_BA!$J$2363),0)</f>
        <v>0</v>
      </c>
      <c r="O1053" s="8">
        <f ca="1">ROUND(Intv_Ann_TA!O580*Intv_BA!$J$2362*(1-Intv_BA!$J$2363),0)</f>
        <v>0</v>
      </c>
    </row>
    <row r="1054" spans="4:15" s="327" customFormat="1" outlineLevel="2" x14ac:dyDescent="0.2">
      <c r="D1054" s="521" t="str">
        <f>Intv_Ann_TA!D581</f>
        <v>Northern</v>
      </c>
      <c r="H1054" s="521" t="str">
        <f>Intv_BA!$G$2360</f>
        <v>SURG</v>
      </c>
      <c r="J1054" s="8">
        <f ca="1">ROUND(Intv_Ann_TA!J581*Intv_BA!$J$2362*(1-Intv_BA!$J$2363),0)</f>
        <v>2</v>
      </c>
      <c r="K1054" s="8">
        <f ca="1">ROUND(Intv_Ann_TA!K581*Intv_BA!$J$2362*(1-Intv_BA!$J$2363),0)</f>
        <v>2</v>
      </c>
      <c r="L1054" s="8">
        <f ca="1">ROUND(Intv_Ann_TA!L581*Intv_BA!$J$2362*(1-Intv_BA!$J$2363),0)</f>
        <v>2</v>
      </c>
      <c r="M1054" s="8">
        <f ca="1">ROUND(Intv_Ann_TA!M581*Intv_BA!$J$2362*(1-Intv_BA!$J$2363),0)</f>
        <v>2</v>
      </c>
      <c r="N1054" s="8">
        <f ca="1">ROUND(Intv_Ann_TA!N581*Intv_BA!$J$2362*(1-Intv_BA!$J$2363),0)</f>
        <v>2</v>
      </c>
      <c r="O1054" s="8">
        <f ca="1">ROUND(Intv_Ann_TA!O581*Intv_BA!$J$2362*(1-Intv_BA!$J$2363),0)</f>
        <v>2</v>
      </c>
    </row>
    <row r="1055" spans="4:15" s="327" customFormat="1" outlineLevel="2" x14ac:dyDescent="0.2">
      <c r="D1055" s="521" t="str">
        <f>Intv_Ann_TA!D582</f>
        <v>North-Western</v>
      </c>
      <c r="H1055" s="521" t="str">
        <f>Intv_BA!$G$2360</f>
        <v>SURG</v>
      </c>
      <c r="J1055" s="8">
        <f ca="1">ROUND(Intv_Ann_TA!J582*Intv_BA!$J$2362*(1-Intv_BA!$J$2363),0)</f>
        <v>2</v>
      </c>
      <c r="K1055" s="8">
        <f ca="1">ROUND(Intv_Ann_TA!K582*Intv_BA!$J$2362*(1-Intv_BA!$J$2363),0)</f>
        <v>2</v>
      </c>
      <c r="L1055" s="8">
        <f ca="1">ROUND(Intv_Ann_TA!L582*Intv_BA!$J$2362*(1-Intv_BA!$J$2363),0)</f>
        <v>2</v>
      </c>
      <c r="M1055" s="8">
        <f ca="1">ROUND(Intv_Ann_TA!M582*Intv_BA!$J$2362*(1-Intv_BA!$J$2363),0)</f>
        <v>2</v>
      </c>
      <c r="N1055" s="8">
        <f ca="1">ROUND(Intv_Ann_TA!N582*Intv_BA!$J$2362*(1-Intv_BA!$J$2363),0)</f>
        <v>2</v>
      </c>
      <c r="O1055" s="8">
        <f ca="1">ROUND(Intv_Ann_TA!O582*Intv_BA!$J$2362*(1-Intv_BA!$J$2363),0)</f>
        <v>2</v>
      </c>
    </row>
    <row r="1056" spans="4:15" s="327" customFormat="1" outlineLevel="2" x14ac:dyDescent="0.2">
      <c r="D1056" s="521" t="str">
        <f>Intv_Ann_TA!D583</f>
        <v>Southern</v>
      </c>
      <c r="H1056" s="521" t="str">
        <f>Intv_BA!$G$2360</f>
        <v>SURG</v>
      </c>
      <c r="J1056" s="8">
        <f ca="1">ROUND(Intv_Ann_TA!J583*Intv_BA!$J$2362*(1-Intv_BA!$J$2363),0)</f>
        <v>6</v>
      </c>
      <c r="K1056" s="8">
        <f ca="1">ROUND(Intv_Ann_TA!K583*Intv_BA!$J$2362*(1-Intv_BA!$J$2363),0)</f>
        <v>6</v>
      </c>
      <c r="L1056" s="8">
        <f ca="1">ROUND(Intv_Ann_TA!L583*Intv_BA!$J$2362*(1-Intv_BA!$J$2363),0)</f>
        <v>6</v>
      </c>
      <c r="M1056" s="8">
        <f ca="1">ROUND(Intv_Ann_TA!M583*Intv_BA!$J$2362*(1-Intv_BA!$J$2363),0)</f>
        <v>6</v>
      </c>
      <c r="N1056" s="8">
        <f ca="1">ROUND(Intv_Ann_TA!N583*Intv_BA!$J$2362*(1-Intv_BA!$J$2363),0)</f>
        <v>6</v>
      </c>
      <c r="O1056" s="8">
        <f ca="1">ROUND(Intv_Ann_TA!O583*Intv_BA!$J$2362*(1-Intv_BA!$J$2363),0)</f>
        <v>6</v>
      </c>
    </row>
    <row r="1057" spans="4:15" s="327" customFormat="1" outlineLevel="2" x14ac:dyDescent="0.2">
      <c r="D1057" s="521" t="str">
        <f>Intv_Ann_TA!D584</f>
        <v>Western</v>
      </c>
      <c r="H1057" s="521" t="str">
        <f>Intv_BA!$G$2360</f>
        <v>SURG</v>
      </c>
      <c r="J1057" s="9">
        <f ca="1">ROUND(Intv_Ann_TA!J584*Intv_BA!$J$2362*(1-Intv_BA!$J$2363),0)</f>
        <v>6</v>
      </c>
      <c r="K1057" s="9">
        <f ca="1">ROUND(Intv_Ann_TA!K584*Intv_BA!$J$2362*(1-Intv_BA!$J$2363),0)</f>
        <v>6</v>
      </c>
      <c r="L1057" s="9">
        <f ca="1">ROUND(Intv_Ann_TA!L584*Intv_BA!$J$2362*(1-Intv_BA!$J$2363),0)</f>
        <v>6</v>
      </c>
      <c r="M1057" s="9">
        <f ca="1">ROUND(Intv_Ann_TA!M584*Intv_BA!$J$2362*(1-Intv_BA!$J$2363),0)</f>
        <v>6</v>
      </c>
      <c r="N1057" s="9">
        <f ca="1">ROUND(Intv_Ann_TA!N584*Intv_BA!$J$2362*(1-Intv_BA!$J$2363),0)</f>
        <v>6</v>
      </c>
      <c r="O1057" s="9">
        <f ca="1">ROUND(Intv_Ann_TA!O584*Intv_BA!$J$2362*(1-Intv_BA!$J$2363),0)</f>
        <v>6</v>
      </c>
    </row>
    <row r="1058" spans="4:15" s="327" customFormat="1" outlineLevel="2" x14ac:dyDescent="0.2">
      <c r="D1058" s="520" t="str">
        <f>"Total "&amp;D1047</f>
        <v>Total Population Seeking Service (New)</v>
      </c>
      <c r="H1058" s="521" t="str">
        <f>Intv_BA!$G$2360</f>
        <v>SURG</v>
      </c>
      <c r="J1058" s="5">
        <f t="shared" ref="J1058:O1058" ca="1" si="98">SUM(J1048:J1057)</f>
        <v>60</v>
      </c>
      <c r="K1058" s="5">
        <f t="shared" ca="1" si="98"/>
        <v>60</v>
      </c>
      <c r="L1058" s="5">
        <f t="shared" ca="1" si="98"/>
        <v>60</v>
      </c>
      <c r="M1058" s="5">
        <f t="shared" ca="1" si="98"/>
        <v>60</v>
      </c>
      <c r="N1058" s="5">
        <f t="shared" ca="1" si="98"/>
        <v>60</v>
      </c>
      <c r="O1058" s="5">
        <f t="shared" ca="1" si="98"/>
        <v>60</v>
      </c>
    </row>
    <row r="1059" spans="4:15" s="327" customFormat="1" outlineLevel="2" x14ac:dyDescent="0.2"/>
    <row r="1060" spans="4:15" s="327" customFormat="1" ht="15" outlineLevel="2" x14ac:dyDescent="0.2">
      <c r="D1060" s="519" t="s">
        <v>390</v>
      </c>
      <c r="J1060" s="322"/>
      <c r="K1060" s="322"/>
      <c r="L1060" s="322"/>
      <c r="M1060" s="322"/>
      <c r="N1060" s="322"/>
      <c r="O1060" s="322"/>
    </row>
    <row r="1061" spans="4:15" s="327" customFormat="1" outlineLevel="2" x14ac:dyDescent="0.2">
      <c r="D1061" s="521" t="str">
        <f>Intv_Ann_TA!D575</f>
        <v>Central</v>
      </c>
      <c r="H1061" s="521" t="str">
        <f>Intv_BA!$G$2360</f>
        <v>SURG</v>
      </c>
      <c r="J1061" s="8">
        <f t="shared" ref="J1061:O1070" ca="1" si="99">I1061+J1048-I1088</f>
        <v>4</v>
      </c>
      <c r="K1061" s="8">
        <f t="shared" ca="1" si="99"/>
        <v>8</v>
      </c>
      <c r="L1061" s="8">
        <f t="shared" ca="1" si="99"/>
        <v>12</v>
      </c>
      <c r="M1061" s="8">
        <f t="shared" ca="1" si="99"/>
        <v>16</v>
      </c>
      <c r="N1061" s="8">
        <f t="shared" ca="1" si="99"/>
        <v>20</v>
      </c>
      <c r="O1061" s="8">
        <f t="shared" ca="1" si="99"/>
        <v>24</v>
      </c>
    </row>
    <row r="1062" spans="4:15" s="327" customFormat="1" outlineLevel="2" x14ac:dyDescent="0.2">
      <c r="D1062" s="521" t="str">
        <f>Intv_Ann_TA!D576</f>
        <v>Copperbelt</v>
      </c>
      <c r="H1062" s="521" t="str">
        <f>Intv_BA!$G$2360</f>
        <v>SURG</v>
      </c>
      <c r="J1062" s="8">
        <f t="shared" ca="1" si="99"/>
        <v>6</v>
      </c>
      <c r="K1062" s="8">
        <f t="shared" ca="1" si="99"/>
        <v>12</v>
      </c>
      <c r="L1062" s="8">
        <f t="shared" ca="1" si="99"/>
        <v>18</v>
      </c>
      <c r="M1062" s="8">
        <f t="shared" ca="1" si="99"/>
        <v>24</v>
      </c>
      <c r="N1062" s="8">
        <f t="shared" ca="1" si="99"/>
        <v>30</v>
      </c>
      <c r="O1062" s="8">
        <f t="shared" ca="1" si="99"/>
        <v>36</v>
      </c>
    </row>
    <row r="1063" spans="4:15" s="327" customFormat="1" outlineLevel="2" x14ac:dyDescent="0.2">
      <c r="D1063" s="521" t="str">
        <f>Intv_Ann_TA!D577</f>
        <v>Eastern</v>
      </c>
      <c r="H1063" s="521" t="str">
        <f>Intv_BA!$G$2360</f>
        <v>SURG</v>
      </c>
      <c r="J1063" s="8">
        <f t="shared" ca="1" si="99"/>
        <v>7</v>
      </c>
      <c r="K1063" s="8">
        <f t="shared" ca="1" si="99"/>
        <v>14</v>
      </c>
      <c r="L1063" s="8">
        <f t="shared" ca="1" si="99"/>
        <v>21</v>
      </c>
      <c r="M1063" s="8">
        <f t="shared" ca="1" si="99"/>
        <v>28</v>
      </c>
      <c r="N1063" s="8">
        <f t="shared" ca="1" si="99"/>
        <v>35</v>
      </c>
      <c r="O1063" s="8">
        <f t="shared" ca="1" si="99"/>
        <v>42</v>
      </c>
    </row>
    <row r="1064" spans="4:15" s="327" customFormat="1" outlineLevel="2" x14ac:dyDescent="0.2">
      <c r="D1064" s="521" t="str">
        <f>Intv_Ann_TA!D578</f>
        <v>Luapula</v>
      </c>
      <c r="H1064" s="521" t="str">
        <f>Intv_BA!$G$2360</f>
        <v>SURG</v>
      </c>
      <c r="J1064" s="8">
        <f t="shared" ca="1" si="99"/>
        <v>6</v>
      </c>
      <c r="K1064" s="8">
        <f t="shared" ca="1" si="99"/>
        <v>12</v>
      </c>
      <c r="L1064" s="8">
        <f t="shared" ca="1" si="99"/>
        <v>18</v>
      </c>
      <c r="M1064" s="8">
        <f t="shared" ca="1" si="99"/>
        <v>24</v>
      </c>
      <c r="N1064" s="8">
        <f t="shared" ca="1" si="99"/>
        <v>30</v>
      </c>
      <c r="O1064" s="8">
        <f t="shared" ca="1" si="99"/>
        <v>36</v>
      </c>
    </row>
    <row r="1065" spans="4:15" s="327" customFormat="1" outlineLevel="2" x14ac:dyDescent="0.2">
      <c r="D1065" s="521" t="str">
        <f>Intv_Ann_TA!D579</f>
        <v>Lusaka</v>
      </c>
      <c r="H1065" s="521" t="str">
        <f>Intv_BA!$G$2360</f>
        <v>SURG</v>
      </c>
      <c r="J1065" s="8">
        <f t="shared" ca="1" si="99"/>
        <v>21</v>
      </c>
      <c r="K1065" s="8">
        <f t="shared" ca="1" si="99"/>
        <v>42</v>
      </c>
      <c r="L1065" s="8">
        <f t="shared" ca="1" si="99"/>
        <v>63</v>
      </c>
      <c r="M1065" s="8">
        <f t="shared" ca="1" si="99"/>
        <v>84</v>
      </c>
      <c r="N1065" s="8">
        <f t="shared" ca="1" si="99"/>
        <v>105</v>
      </c>
      <c r="O1065" s="8">
        <f t="shared" ca="1" si="99"/>
        <v>126</v>
      </c>
    </row>
    <row r="1066" spans="4:15" s="327" customFormat="1" outlineLevel="2" x14ac:dyDescent="0.2">
      <c r="D1066" s="521" t="str">
        <f>Intv_Ann_TA!D580</f>
        <v>Muchinga</v>
      </c>
      <c r="H1066" s="521" t="str">
        <f>Intv_BA!$G$2360</f>
        <v>SURG</v>
      </c>
      <c r="J1066" s="8">
        <f t="shared" ca="1" si="99"/>
        <v>0</v>
      </c>
      <c r="K1066" s="8">
        <f t="shared" ca="1" si="99"/>
        <v>0</v>
      </c>
      <c r="L1066" s="8">
        <f t="shared" ca="1" si="99"/>
        <v>0</v>
      </c>
      <c r="M1066" s="8">
        <f t="shared" ca="1" si="99"/>
        <v>0</v>
      </c>
      <c r="N1066" s="8">
        <f t="shared" ca="1" si="99"/>
        <v>0</v>
      </c>
      <c r="O1066" s="8">
        <f t="shared" ca="1" si="99"/>
        <v>0</v>
      </c>
    </row>
    <row r="1067" spans="4:15" s="327" customFormat="1" outlineLevel="2" x14ac:dyDescent="0.2">
      <c r="D1067" s="521" t="str">
        <f>Intv_Ann_TA!D581</f>
        <v>Northern</v>
      </c>
      <c r="H1067" s="521" t="str">
        <f>Intv_BA!$G$2360</f>
        <v>SURG</v>
      </c>
      <c r="J1067" s="8">
        <f t="shared" ca="1" si="99"/>
        <v>2</v>
      </c>
      <c r="K1067" s="8">
        <f t="shared" ca="1" si="99"/>
        <v>4</v>
      </c>
      <c r="L1067" s="8">
        <f t="shared" ca="1" si="99"/>
        <v>6</v>
      </c>
      <c r="M1067" s="8">
        <f t="shared" ca="1" si="99"/>
        <v>8</v>
      </c>
      <c r="N1067" s="8">
        <f t="shared" ca="1" si="99"/>
        <v>10</v>
      </c>
      <c r="O1067" s="8">
        <f t="shared" ca="1" si="99"/>
        <v>12</v>
      </c>
    </row>
    <row r="1068" spans="4:15" s="327" customFormat="1" outlineLevel="2" x14ac:dyDescent="0.2">
      <c r="D1068" s="521" t="str">
        <f>Intv_Ann_TA!D582</f>
        <v>North-Western</v>
      </c>
      <c r="H1068" s="521" t="str">
        <f>Intv_BA!$G$2360</f>
        <v>SURG</v>
      </c>
      <c r="J1068" s="8">
        <f t="shared" ca="1" si="99"/>
        <v>2</v>
      </c>
      <c r="K1068" s="8">
        <f t="shared" ca="1" si="99"/>
        <v>4</v>
      </c>
      <c r="L1068" s="8">
        <f t="shared" ca="1" si="99"/>
        <v>6</v>
      </c>
      <c r="M1068" s="8">
        <f t="shared" ca="1" si="99"/>
        <v>8</v>
      </c>
      <c r="N1068" s="8">
        <f t="shared" ca="1" si="99"/>
        <v>10</v>
      </c>
      <c r="O1068" s="8">
        <f t="shared" ca="1" si="99"/>
        <v>12</v>
      </c>
    </row>
    <row r="1069" spans="4:15" s="327" customFormat="1" outlineLevel="2" x14ac:dyDescent="0.2">
      <c r="D1069" s="521" t="str">
        <f>Intv_Ann_TA!D583</f>
        <v>Southern</v>
      </c>
      <c r="H1069" s="521" t="str">
        <f>Intv_BA!$G$2360</f>
        <v>SURG</v>
      </c>
      <c r="J1069" s="8">
        <f t="shared" ca="1" si="99"/>
        <v>6</v>
      </c>
      <c r="K1069" s="8">
        <f t="shared" ca="1" si="99"/>
        <v>12</v>
      </c>
      <c r="L1069" s="8">
        <f t="shared" ca="1" si="99"/>
        <v>18</v>
      </c>
      <c r="M1069" s="8">
        <f t="shared" ca="1" si="99"/>
        <v>24</v>
      </c>
      <c r="N1069" s="8">
        <f t="shared" ca="1" si="99"/>
        <v>30</v>
      </c>
      <c r="O1069" s="8">
        <f t="shared" ca="1" si="99"/>
        <v>36</v>
      </c>
    </row>
    <row r="1070" spans="4:15" s="327" customFormat="1" outlineLevel="2" x14ac:dyDescent="0.2">
      <c r="D1070" s="521" t="str">
        <f>Intv_Ann_TA!D584</f>
        <v>Western</v>
      </c>
      <c r="H1070" s="521" t="str">
        <f>Intv_BA!$G$2360</f>
        <v>SURG</v>
      </c>
      <c r="J1070" s="9">
        <f t="shared" ca="1" si="99"/>
        <v>6</v>
      </c>
      <c r="K1070" s="9">
        <f t="shared" ca="1" si="99"/>
        <v>12</v>
      </c>
      <c r="L1070" s="9">
        <f t="shared" ca="1" si="99"/>
        <v>18</v>
      </c>
      <c r="M1070" s="9">
        <f t="shared" ca="1" si="99"/>
        <v>24</v>
      </c>
      <c r="N1070" s="9">
        <f t="shared" ca="1" si="99"/>
        <v>30</v>
      </c>
      <c r="O1070" s="9">
        <f t="shared" ca="1" si="99"/>
        <v>36</v>
      </c>
    </row>
    <row r="1071" spans="4:15" s="327" customFormat="1" x14ac:dyDescent="0.2">
      <c r="D1071" s="520" t="str">
        <f>"Total "&amp;D1060</f>
        <v>Total Population Seeking Service (Cumulative)</v>
      </c>
      <c r="H1071" s="521" t="str">
        <f>Intv_BA!$G$2360</f>
        <v>SURG</v>
      </c>
      <c r="J1071" s="5">
        <f t="shared" ref="J1071:O1071" ca="1" si="100">SUM(J1061:J1070)</f>
        <v>60</v>
      </c>
      <c r="K1071" s="5">
        <f t="shared" ca="1" si="100"/>
        <v>120</v>
      </c>
      <c r="L1071" s="5">
        <f t="shared" ca="1" si="100"/>
        <v>180</v>
      </c>
      <c r="M1071" s="5">
        <f t="shared" ca="1" si="100"/>
        <v>240</v>
      </c>
      <c r="N1071" s="5">
        <f t="shared" ca="1" si="100"/>
        <v>300</v>
      </c>
      <c r="O1071" s="5">
        <f t="shared" ca="1" si="100"/>
        <v>360</v>
      </c>
    </row>
    <row r="1072" spans="4:15" s="327" customFormat="1" x14ac:dyDescent="0.2"/>
    <row r="1073" spans="4:15" s="327" customFormat="1" outlineLevel="2" x14ac:dyDescent="0.2"/>
    <row r="1074" spans="4:15" s="327" customFormat="1" ht="15" outlineLevel="2" x14ac:dyDescent="0.2">
      <c r="D1074" s="519" t="s">
        <v>185</v>
      </c>
    </row>
    <row r="1075" spans="4:15" s="327" customFormat="1" outlineLevel="2" x14ac:dyDescent="0.2">
      <c r="D1075" s="521" t="str">
        <f t="shared" ref="D1075:D1084" si="101">D1034</f>
        <v>Central</v>
      </c>
      <c r="H1075" s="521" t="str">
        <f>Intv_BA!$G$2360</f>
        <v>SURG</v>
      </c>
      <c r="J1075" s="8">
        <f t="shared" ref="J1075:O1084" ca="1" si="102">MAX(J1034-J1061,0)</f>
        <v>0</v>
      </c>
      <c r="K1075" s="8">
        <f t="shared" ca="1" si="102"/>
        <v>0</v>
      </c>
      <c r="L1075" s="8">
        <f t="shared" ca="1" si="102"/>
        <v>0</v>
      </c>
      <c r="M1075" s="8">
        <f t="shared" ca="1" si="102"/>
        <v>0</v>
      </c>
      <c r="N1075" s="8">
        <f t="shared" ca="1" si="102"/>
        <v>0</v>
      </c>
      <c r="O1075" s="8">
        <f t="shared" ca="1" si="102"/>
        <v>0</v>
      </c>
    </row>
    <row r="1076" spans="4:15" s="327" customFormat="1" outlineLevel="2" x14ac:dyDescent="0.2">
      <c r="D1076" s="521" t="str">
        <f t="shared" si="101"/>
        <v>Copperbelt</v>
      </c>
      <c r="H1076" s="521" t="str">
        <f>Intv_BA!$G$2360</f>
        <v>SURG</v>
      </c>
      <c r="J1076" s="8">
        <f t="shared" ca="1" si="102"/>
        <v>0</v>
      </c>
      <c r="K1076" s="8">
        <f t="shared" ca="1" si="102"/>
        <v>0</v>
      </c>
      <c r="L1076" s="8">
        <f t="shared" ca="1" si="102"/>
        <v>0</v>
      </c>
      <c r="M1076" s="8">
        <f t="shared" ca="1" si="102"/>
        <v>0</v>
      </c>
      <c r="N1076" s="8">
        <f t="shared" ca="1" si="102"/>
        <v>0</v>
      </c>
      <c r="O1076" s="8">
        <f t="shared" ca="1" si="102"/>
        <v>0</v>
      </c>
    </row>
    <row r="1077" spans="4:15" s="327" customFormat="1" outlineLevel="2" x14ac:dyDescent="0.2">
      <c r="D1077" s="521" t="str">
        <f t="shared" si="101"/>
        <v>Eastern</v>
      </c>
      <c r="H1077" s="521" t="str">
        <f>Intv_BA!$G$2360</f>
        <v>SURG</v>
      </c>
      <c r="J1077" s="8">
        <f t="shared" ca="1" si="102"/>
        <v>0</v>
      </c>
      <c r="K1077" s="8">
        <f t="shared" ca="1" si="102"/>
        <v>0</v>
      </c>
      <c r="L1077" s="8">
        <f t="shared" ca="1" si="102"/>
        <v>0</v>
      </c>
      <c r="M1077" s="8">
        <f t="shared" ca="1" si="102"/>
        <v>0</v>
      </c>
      <c r="N1077" s="8">
        <f t="shared" ca="1" si="102"/>
        <v>0</v>
      </c>
      <c r="O1077" s="8">
        <f t="shared" ca="1" si="102"/>
        <v>0</v>
      </c>
    </row>
    <row r="1078" spans="4:15" s="327" customFormat="1" outlineLevel="2" x14ac:dyDescent="0.2">
      <c r="D1078" s="521" t="str">
        <f t="shared" si="101"/>
        <v>Luapula</v>
      </c>
      <c r="H1078" s="521" t="str">
        <f>Intv_BA!$G$2360</f>
        <v>SURG</v>
      </c>
      <c r="J1078" s="8">
        <f t="shared" ca="1" si="102"/>
        <v>0</v>
      </c>
      <c r="K1078" s="8">
        <f t="shared" ca="1" si="102"/>
        <v>0</v>
      </c>
      <c r="L1078" s="8">
        <f t="shared" ca="1" si="102"/>
        <v>0</v>
      </c>
      <c r="M1078" s="8">
        <f t="shared" ca="1" si="102"/>
        <v>0</v>
      </c>
      <c r="N1078" s="8">
        <f t="shared" ca="1" si="102"/>
        <v>0</v>
      </c>
      <c r="O1078" s="8">
        <f t="shared" ca="1" si="102"/>
        <v>0</v>
      </c>
    </row>
    <row r="1079" spans="4:15" s="327" customFormat="1" outlineLevel="2" x14ac:dyDescent="0.2">
      <c r="D1079" s="521" t="str">
        <f t="shared" si="101"/>
        <v>Lusaka</v>
      </c>
      <c r="H1079" s="521" t="str">
        <f>Intv_BA!$G$2360</f>
        <v>SURG</v>
      </c>
      <c r="J1079" s="8">
        <f t="shared" ca="1" si="102"/>
        <v>0</v>
      </c>
      <c r="K1079" s="8">
        <f t="shared" ca="1" si="102"/>
        <v>0</v>
      </c>
      <c r="L1079" s="8">
        <f t="shared" ca="1" si="102"/>
        <v>0</v>
      </c>
      <c r="M1079" s="8">
        <f t="shared" ca="1" si="102"/>
        <v>0</v>
      </c>
      <c r="N1079" s="8">
        <f t="shared" ca="1" si="102"/>
        <v>0</v>
      </c>
      <c r="O1079" s="8">
        <f t="shared" ca="1" si="102"/>
        <v>0</v>
      </c>
    </row>
    <row r="1080" spans="4:15" s="327" customFormat="1" outlineLevel="2" x14ac:dyDescent="0.2">
      <c r="D1080" s="521" t="str">
        <f t="shared" si="101"/>
        <v>Muchinga</v>
      </c>
      <c r="H1080" s="521" t="str">
        <f>Intv_BA!$G$2360</f>
        <v>SURG</v>
      </c>
      <c r="J1080" s="8">
        <f t="shared" ca="1" si="102"/>
        <v>0</v>
      </c>
      <c r="K1080" s="8">
        <f t="shared" ca="1" si="102"/>
        <v>0</v>
      </c>
      <c r="L1080" s="8">
        <f t="shared" ca="1" si="102"/>
        <v>0</v>
      </c>
      <c r="M1080" s="8">
        <f t="shared" ca="1" si="102"/>
        <v>0</v>
      </c>
      <c r="N1080" s="8">
        <f t="shared" ca="1" si="102"/>
        <v>0</v>
      </c>
      <c r="O1080" s="8">
        <f t="shared" ca="1" si="102"/>
        <v>0</v>
      </c>
    </row>
    <row r="1081" spans="4:15" s="327" customFormat="1" outlineLevel="2" x14ac:dyDescent="0.2">
      <c r="D1081" s="521" t="str">
        <f t="shared" si="101"/>
        <v>Northern</v>
      </c>
      <c r="H1081" s="521" t="str">
        <f>Intv_BA!$G$2360</f>
        <v>SURG</v>
      </c>
      <c r="J1081" s="8">
        <f t="shared" ca="1" si="102"/>
        <v>0</v>
      </c>
      <c r="K1081" s="8">
        <f t="shared" ca="1" si="102"/>
        <v>0</v>
      </c>
      <c r="L1081" s="8">
        <f t="shared" ca="1" si="102"/>
        <v>0</v>
      </c>
      <c r="M1081" s="8">
        <f t="shared" ca="1" si="102"/>
        <v>0</v>
      </c>
      <c r="N1081" s="8">
        <f t="shared" ca="1" si="102"/>
        <v>0</v>
      </c>
      <c r="O1081" s="8">
        <f t="shared" ca="1" si="102"/>
        <v>0</v>
      </c>
    </row>
    <row r="1082" spans="4:15" s="327" customFormat="1" outlineLevel="2" x14ac:dyDescent="0.2">
      <c r="D1082" s="521" t="str">
        <f t="shared" si="101"/>
        <v>North-Western</v>
      </c>
      <c r="H1082" s="521" t="str">
        <f>Intv_BA!$G$2360</f>
        <v>SURG</v>
      </c>
      <c r="J1082" s="8">
        <f t="shared" ca="1" si="102"/>
        <v>0</v>
      </c>
      <c r="K1082" s="8">
        <f t="shared" ca="1" si="102"/>
        <v>0</v>
      </c>
      <c r="L1082" s="8">
        <f t="shared" ca="1" si="102"/>
        <v>0</v>
      </c>
      <c r="M1082" s="8">
        <f t="shared" ca="1" si="102"/>
        <v>0</v>
      </c>
      <c r="N1082" s="8">
        <f t="shared" ca="1" si="102"/>
        <v>0</v>
      </c>
      <c r="O1082" s="8">
        <f t="shared" ca="1" si="102"/>
        <v>0</v>
      </c>
    </row>
    <row r="1083" spans="4:15" s="327" customFormat="1" outlineLevel="2" x14ac:dyDescent="0.2">
      <c r="D1083" s="521" t="str">
        <f t="shared" si="101"/>
        <v>Southern</v>
      </c>
      <c r="H1083" s="521" t="str">
        <f>Intv_BA!$G$2360</f>
        <v>SURG</v>
      </c>
      <c r="J1083" s="8">
        <f t="shared" ca="1" si="102"/>
        <v>0</v>
      </c>
      <c r="K1083" s="8">
        <f t="shared" ca="1" si="102"/>
        <v>0</v>
      </c>
      <c r="L1083" s="8">
        <f t="shared" ca="1" si="102"/>
        <v>0</v>
      </c>
      <c r="M1083" s="8">
        <f t="shared" ca="1" si="102"/>
        <v>0</v>
      </c>
      <c r="N1083" s="8">
        <f t="shared" ca="1" si="102"/>
        <v>0</v>
      </c>
      <c r="O1083" s="8">
        <f t="shared" ca="1" si="102"/>
        <v>0</v>
      </c>
    </row>
    <row r="1084" spans="4:15" s="327" customFormat="1" outlineLevel="2" x14ac:dyDescent="0.2">
      <c r="D1084" s="521" t="str">
        <f t="shared" si="101"/>
        <v>Western</v>
      </c>
      <c r="H1084" s="521" t="str">
        <f>Intv_BA!$G$2360</f>
        <v>SURG</v>
      </c>
      <c r="J1084" s="9">
        <f t="shared" ca="1" si="102"/>
        <v>0</v>
      </c>
      <c r="K1084" s="9">
        <f t="shared" ca="1" si="102"/>
        <v>0</v>
      </c>
      <c r="L1084" s="9">
        <f t="shared" ca="1" si="102"/>
        <v>0</v>
      </c>
      <c r="M1084" s="9">
        <f t="shared" ca="1" si="102"/>
        <v>0</v>
      </c>
      <c r="N1084" s="9">
        <f t="shared" ca="1" si="102"/>
        <v>0</v>
      </c>
      <c r="O1084" s="9">
        <f t="shared" ca="1" si="102"/>
        <v>0</v>
      </c>
    </row>
    <row r="1085" spans="4:15" s="327" customFormat="1" outlineLevel="2" x14ac:dyDescent="0.2">
      <c r="D1085" s="520" t="str">
        <f>"Total "&amp;D1074</f>
        <v>Total Excess Capacity</v>
      </c>
      <c r="H1085" s="521" t="str">
        <f>Intv_BA!$G$2360</f>
        <v>SURG</v>
      </c>
      <c r="J1085" s="5">
        <f t="shared" ref="J1085:O1085" ca="1" si="103">SUM(J1075:J1084)</f>
        <v>0</v>
      </c>
      <c r="K1085" s="5">
        <f t="shared" ca="1" si="103"/>
        <v>0</v>
      </c>
      <c r="L1085" s="5">
        <f t="shared" ca="1" si="103"/>
        <v>0</v>
      </c>
      <c r="M1085" s="5">
        <f t="shared" ca="1" si="103"/>
        <v>0</v>
      </c>
      <c r="N1085" s="5">
        <f t="shared" ca="1" si="103"/>
        <v>0</v>
      </c>
      <c r="O1085" s="5">
        <f t="shared" ca="1" si="103"/>
        <v>0</v>
      </c>
    </row>
    <row r="1086" spans="4:15" s="327" customFormat="1" outlineLevel="2" x14ac:dyDescent="0.2"/>
    <row r="1087" spans="4:15" s="327" customFormat="1" ht="15" outlineLevel="2" x14ac:dyDescent="0.2">
      <c r="D1087" s="519" t="s">
        <v>384</v>
      </c>
    </row>
    <row r="1088" spans="4:15" s="327" customFormat="1" outlineLevel="2" x14ac:dyDescent="0.2">
      <c r="D1088" s="521" t="str">
        <f t="shared" ref="D1088:D1097" si="104">D1034</f>
        <v>Central</v>
      </c>
      <c r="H1088" s="521" t="str">
        <f>Intv_BA!$G$2360</f>
        <v>SURG</v>
      </c>
      <c r="J1088" s="8">
        <f ca="1">ROUND(IF(Intv_Ann_TA!$H$572,IF(J1061&lt;=J1034,J1061,J1061-MAX((J$1071-J$1044),0)*IFERROR((J1061-J1034)/SUMPRODUCT((J$1061:J$1070&gt;J$1034:J$1043)*(J$1061:J$1070-J$1034:J$1043)),0)),J1101),0)</f>
        <v>0</v>
      </c>
      <c r="K1088" s="8">
        <f ca="1">ROUND(IF(Intv_Ann_TA!$H$572,IF(K1061&lt;=K1034,K1061,K1061-MAX((K$1071-K$1044),0)*IFERROR((K1061-K1034)/SUMPRODUCT((K$1061:K$1070&gt;K$1034:K$1043)*(K$1061:K$1070-K$1034:K$1043)),0)),K1101),0)</f>
        <v>0</v>
      </c>
      <c r="L1088" s="8">
        <f ca="1">ROUND(IF(Intv_Ann_TA!$H$572,IF(L1061&lt;=L1034,L1061,L1061-MAX((L$1071-L$1044),0)*IFERROR((L1061-L1034)/SUMPRODUCT((L$1061:L$1070&gt;L$1034:L$1043)*(L$1061:L$1070-L$1034:L$1043)),0)),L1101),0)</f>
        <v>0</v>
      </c>
      <c r="M1088" s="8">
        <f ca="1">ROUND(IF(Intv_Ann_TA!$H$572,IF(M1061&lt;=M1034,M1061,M1061-MAX((M$1071-M$1044),0)*IFERROR((M1061-M1034)/SUMPRODUCT((M$1061:M$1070&gt;M$1034:M$1043)*(M$1061:M$1070-M$1034:M$1043)),0)),M1101),0)</f>
        <v>0</v>
      </c>
      <c r="N1088" s="8">
        <f ca="1">ROUND(IF(Intv_Ann_TA!$H$572,IF(N1061&lt;=N1034,N1061,N1061-MAX((N$1071-N$1044),0)*IFERROR((N1061-N1034)/SUMPRODUCT((N$1061:N$1070&gt;N$1034:N$1043)*(N$1061:N$1070-N$1034:N$1043)),0)),N1101),0)</f>
        <v>0</v>
      </c>
      <c r="O1088" s="8">
        <f ca="1">ROUND(IF(Intv_Ann_TA!$H$572,IF(O1061&lt;=O1034,O1061,O1061-MAX((O$1071-O$1044),0)*IFERROR((O1061-O1034)/SUMPRODUCT((O$1061:O$1070&gt;O$1034:O$1043)*(O$1061:O$1070-O$1034:O$1043)),0)),O1101),0)</f>
        <v>0</v>
      </c>
    </row>
    <row r="1089" spans="4:15" s="327" customFormat="1" outlineLevel="2" x14ac:dyDescent="0.2">
      <c r="D1089" s="521" t="str">
        <f t="shared" si="104"/>
        <v>Copperbelt</v>
      </c>
      <c r="H1089" s="521" t="str">
        <f>Intv_BA!$G$2360</f>
        <v>SURG</v>
      </c>
      <c r="J1089" s="8">
        <f ca="1">ROUND(IF(Intv_Ann_TA!$H$572,IF(J1062&lt;=J1035,J1062,J1062-MAX((J$1071-J$1044),0)*IFERROR((J1062-J1035)/SUMPRODUCT((J$1061:J$1070&gt;J$1034:J$1043)*(J$1061:J$1070-J$1034:J$1043)),0)),J1102),0)</f>
        <v>0</v>
      </c>
      <c r="K1089" s="8">
        <f ca="1">ROUND(IF(Intv_Ann_TA!$H$572,IF(K1062&lt;=K1035,K1062,K1062-MAX((K$1071-K$1044),0)*IFERROR((K1062-K1035)/SUMPRODUCT((K$1061:K$1070&gt;K$1034:K$1043)*(K$1061:K$1070-K$1034:K$1043)),0)),K1102),0)</f>
        <v>0</v>
      </c>
      <c r="L1089" s="8">
        <f ca="1">ROUND(IF(Intv_Ann_TA!$H$572,IF(L1062&lt;=L1035,L1062,L1062-MAX((L$1071-L$1044),0)*IFERROR((L1062-L1035)/SUMPRODUCT((L$1061:L$1070&gt;L$1034:L$1043)*(L$1061:L$1070-L$1034:L$1043)),0)),L1102),0)</f>
        <v>0</v>
      </c>
      <c r="M1089" s="8">
        <f ca="1">ROUND(IF(Intv_Ann_TA!$H$572,IF(M1062&lt;=M1035,M1062,M1062-MAX((M$1071-M$1044),0)*IFERROR((M1062-M1035)/SUMPRODUCT((M$1061:M$1070&gt;M$1034:M$1043)*(M$1061:M$1070-M$1034:M$1043)),0)),M1102),0)</f>
        <v>0</v>
      </c>
      <c r="N1089" s="8">
        <f ca="1">ROUND(IF(Intv_Ann_TA!$H$572,IF(N1062&lt;=N1035,N1062,N1062-MAX((N$1071-N$1044),0)*IFERROR((N1062-N1035)/SUMPRODUCT((N$1061:N$1070&gt;N$1034:N$1043)*(N$1061:N$1070-N$1034:N$1043)),0)),N1102),0)</f>
        <v>0</v>
      </c>
      <c r="O1089" s="8">
        <f ca="1">ROUND(IF(Intv_Ann_TA!$H$572,IF(O1062&lt;=O1035,O1062,O1062-MAX((O$1071-O$1044),0)*IFERROR((O1062-O1035)/SUMPRODUCT((O$1061:O$1070&gt;O$1034:O$1043)*(O$1061:O$1070-O$1034:O$1043)),0)),O1102),0)</f>
        <v>0</v>
      </c>
    </row>
    <row r="1090" spans="4:15" s="327" customFormat="1" outlineLevel="2" x14ac:dyDescent="0.2">
      <c r="D1090" s="521" t="str">
        <f t="shared" si="104"/>
        <v>Eastern</v>
      </c>
      <c r="H1090" s="521" t="str">
        <f>Intv_BA!$G$2360</f>
        <v>SURG</v>
      </c>
      <c r="J1090" s="8">
        <f ca="1">ROUND(IF(Intv_Ann_TA!$H$572,IF(J1063&lt;=J1036,J1063,J1063-MAX((J$1071-J$1044),0)*IFERROR((J1063-J1036)/SUMPRODUCT((J$1061:J$1070&gt;J$1034:J$1043)*(J$1061:J$1070-J$1034:J$1043)),0)),J1103),0)</f>
        <v>0</v>
      </c>
      <c r="K1090" s="8">
        <f ca="1">ROUND(IF(Intv_Ann_TA!$H$572,IF(K1063&lt;=K1036,K1063,K1063-MAX((K$1071-K$1044),0)*IFERROR((K1063-K1036)/SUMPRODUCT((K$1061:K$1070&gt;K$1034:K$1043)*(K$1061:K$1070-K$1034:K$1043)),0)),K1103),0)</f>
        <v>0</v>
      </c>
      <c r="L1090" s="8">
        <f ca="1">ROUND(IF(Intv_Ann_TA!$H$572,IF(L1063&lt;=L1036,L1063,L1063-MAX((L$1071-L$1044),0)*IFERROR((L1063-L1036)/SUMPRODUCT((L$1061:L$1070&gt;L$1034:L$1043)*(L$1061:L$1070-L$1034:L$1043)),0)),L1103),0)</f>
        <v>0</v>
      </c>
      <c r="M1090" s="8">
        <f ca="1">ROUND(IF(Intv_Ann_TA!$H$572,IF(M1063&lt;=M1036,M1063,M1063-MAX((M$1071-M$1044),0)*IFERROR((M1063-M1036)/SUMPRODUCT((M$1061:M$1070&gt;M$1034:M$1043)*(M$1061:M$1070-M$1034:M$1043)),0)),M1103),0)</f>
        <v>0</v>
      </c>
      <c r="N1090" s="8">
        <f ca="1">ROUND(IF(Intv_Ann_TA!$H$572,IF(N1063&lt;=N1036,N1063,N1063-MAX((N$1071-N$1044),0)*IFERROR((N1063-N1036)/SUMPRODUCT((N$1061:N$1070&gt;N$1034:N$1043)*(N$1061:N$1070-N$1034:N$1043)),0)),N1103),0)</f>
        <v>0</v>
      </c>
      <c r="O1090" s="8">
        <f ca="1">ROUND(IF(Intv_Ann_TA!$H$572,IF(O1063&lt;=O1036,O1063,O1063-MAX((O$1071-O$1044),0)*IFERROR((O1063-O1036)/SUMPRODUCT((O$1061:O$1070&gt;O$1034:O$1043)*(O$1061:O$1070-O$1034:O$1043)),0)),O1103),0)</f>
        <v>0</v>
      </c>
    </row>
    <row r="1091" spans="4:15" s="327" customFormat="1" outlineLevel="2" x14ac:dyDescent="0.2">
      <c r="D1091" s="521" t="str">
        <f t="shared" si="104"/>
        <v>Luapula</v>
      </c>
      <c r="H1091" s="521" t="str">
        <f>Intv_BA!$G$2360</f>
        <v>SURG</v>
      </c>
      <c r="J1091" s="8">
        <f ca="1">ROUND(IF(Intv_Ann_TA!$H$572,IF(J1064&lt;=J1037,J1064,J1064-MAX((J$1071-J$1044),0)*IFERROR((J1064-J1037)/SUMPRODUCT((J$1061:J$1070&gt;J$1034:J$1043)*(J$1061:J$1070-J$1034:J$1043)),0)),J1104),0)</f>
        <v>0</v>
      </c>
      <c r="K1091" s="8">
        <f ca="1">ROUND(IF(Intv_Ann_TA!$H$572,IF(K1064&lt;=K1037,K1064,K1064-MAX((K$1071-K$1044),0)*IFERROR((K1064-K1037)/SUMPRODUCT((K$1061:K$1070&gt;K$1034:K$1043)*(K$1061:K$1070-K$1034:K$1043)),0)),K1104),0)</f>
        <v>0</v>
      </c>
      <c r="L1091" s="8">
        <f ca="1">ROUND(IF(Intv_Ann_TA!$H$572,IF(L1064&lt;=L1037,L1064,L1064-MAX((L$1071-L$1044),0)*IFERROR((L1064-L1037)/SUMPRODUCT((L$1061:L$1070&gt;L$1034:L$1043)*(L$1061:L$1070-L$1034:L$1043)),0)),L1104),0)</f>
        <v>0</v>
      </c>
      <c r="M1091" s="8">
        <f ca="1">ROUND(IF(Intv_Ann_TA!$H$572,IF(M1064&lt;=M1037,M1064,M1064-MAX((M$1071-M$1044),0)*IFERROR((M1064-M1037)/SUMPRODUCT((M$1061:M$1070&gt;M$1034:M$1043)*(M$1061:M$1070-M$1034:M$1043)),0)),M1104),0)</f>
        <v>0</v>
      </c>
      <c r="N1091" s="8">
        <f ca="1">ROUND(IF(Intv_Ann_TA!$H$572,IF(N1064&lt;=N1037,N1064,N1064-MAX((N$1071-N$1044),0)*IFERROR((N1064-N1037)/SUMPRODUCT((N$1061:N$1070&gt;N$1034:N$1043)*(N$1061:N$1070-N$1034:N$1043)),0)),N1104),0)</f>
        <v>0</v>
      </c>
      <c r="O1091" s="8">
        <f ca="1">ROUND(IF(Intv_Ann_TA!$H$572,IF(O1064&lt;=O1037,O1064,O1064-MAX((O$1071-O$1044),0)*IFERROR((O1064-O1037)/SUMPRODUCT((O$1061:O$1070&gt;O$1034:O$1043)*(O$1061:O$1070-O$1034:O$1043)),0)),O1104),0)</f>
        <v>0</v>
      </c>
    </row>
    <row r="1092" spans="4:15" s="327" customFormat="1" outlineLevel="2" x14ac:dyDescent="0.2">
      <c r="D1092" s="521" t="str">
        <f t="shared" si="104"/>
        <v>Lusaka</v>
      </c>
      <c r="H1092" s="521" t="str">
        <f>Intv_BA!$G$2360</f>
        <v>SURG</v>
      </c>
      <c r="J1092" s="8">
        <f ca="1">ROUND(IF(Intv_Ann_TA!$H$572,IF(J1065&lt;=J1038,J1065,J1065-MAX((J$1071-J$1044),0)*IFERROR((J1065-J1038)/SUMPRODUCT((J$1061:J$1070&gt;J$1034:J$1043)*(J$1061:J$1070-J$1034:J$1043)),0)),J1105),0)</f>
        <v>0</v>
      </c>
      <c r="K1092" s="8">
        <f ca="1">ROUND(IF(Intv_Ann_TA!$H$572,IF(K1065&lt;=K1038,K1065,K1065-MAX((K$1071-K$1044),0)*IFERROR((K1065-K1038)/SUMPRODUCT((K$1061:K$1070&gt;K$1034:K$1043)*(K$1061:K$1070-K$1034:K$1043)),0)),K1105),0)</f>
        <v>0</v>
      </c>
      <c r="L1092" s="8">
        <f ca="1">ROUND(IF(Intv_Ann_TA!$H$572,IF(L1065&lt;=L1038,L1065,L1065-MAX((L$1071-L$1044),0)*IFERROR((L1065-L1038)/SUMPRODUCT((L$1061:L$1070&gt;L$1034:L$1043)*(L$1061:L$1070-L$1034:L$1043)),0)),L1105),0)</f>
        <v>0</v>
      </c>
      <c r="M1092" s="8">
        <f ca="1">ROUND(IF(Intv_Ann_TA!$H$572,IF(M1065&lt;=M1038,M1065,M1065-MAX((M$1071-M$1044),0)*IFERROR((M1065-M1038)/SUMPRODUCT((M$1061:M$1070&gt;M$1034:M$1043)*(M$1061:M$1070-M$1034:M$1043)),0)),M1105),0)</f>
        <v>0</v>
      </c>
      <c r="N1092" s="8">
        <f ca="1">ROUND(IF(Intv_Ann_TA!$H$572,IF(N1065&lt;=N1038,N1065,N1065-MAX((N$1071-N$1044),0)*IFERROR((N1065-N1038)/SUMPRODUCT((N$1061:N$1070&gt;N$1034:N$1043)*(N$1061:N$1070-N$1034:N$1043)),0)),N1105),0)</f>
        <v>0</v>
      </c>
      <c r="O1092" s="8">
        <f ca="1">ROUND(IF(Intv_Ann_TA!$H$572,IF(O1065&lt;=O1038,O1065,O1065-MAX((O$1071-O$1044),0)*IFERROR((O1065-O1038)/SUMPRODUCT((O$1061:O$1070&gt;O$1034:O$1043)*(O$1061:O$1070-O$1034:O$1043)),0)),O1105),0)</f>
        <v>0</v>
      </c>
    </row>
    <row r="1093" spans="4:15" s="327" customFormat="1" outlineLevel="2" x14ac:dyDescent="0.2">
      <c r="D1093" s="521" t="str">
        <f t="shared" si="104"/>
        <v>Muchinga</v>
      </c>
      <c r="H1093" s="521" t="str">
        <f>Intv_BA!$G$2360</f>
        <v>SURG</v>
      </c>
      <c r="J1093" s="8">
        <f ca="1">ROUND(IF(Intv_Ann_TA!$H$572,IF(J1066&lt;=J1039,J1066,J1066-MAX((J$1071-J$1044),0)*IFERROR((J1066-J1039)/SUMPRODUCT((J$1061:J$1070&gt;J$1034:J$1043)*(J$1061:J$1070-J$1034:J$1043)),0)),J1106),0)</f>
        <v>0</v>
      </c>
      <c r="K1093" s="8">
        <f ca="1">ROUND(IF(Intv_Ann_TA!$H$572,IF(K1066&lt;=K1039,K1066,K1066-MAX((K$1071-K$1044),0)*IFERROR((K1066-K1039)/SUMPRODUCT((K$1061:K$1070&gt;K$1034:K$1043)*(K$1061:K$1070-K$1034:K$1043)),0)),K1106),0)</f>
        <v>0</v>
      </c>
      <c r="L1093" s="8">
        <f ca="1">ROUND(IF(Intv_Ann_TA!$H$572,IF(L1066&lt;=L1039,L1066,L1066-MAX((L$1071-L$1044),0)*IFERROR((L1066-L1039)/SUMPRODUCT((L$1061:L$1070&gt;L$1034:L$1043)*(L$1061:L$1070-L$1034:L$1043)),0)),L1106),0)</f>
        <v>0</v>
      </c>
      <c r="M1093" s="8">
        <f ca="1">ROUND(IF(Intv_Ann_TA!$H$572,IF(M1066&lt;=M1039,M1066,M1066-MAX((M$1071-M$1044),0)*IFERROR((M1066-M1039)/SUMPRODUCT((M$1061:M$1070&gt;M$1034:M$1043)*(M$1061:M$1070-M$1034:M$1043)),0)),M1106),0)</f>
        <v>0</v>
      </c>
      <c r="N1093" s="8">
        <f ca="1">ROUND(IF(Intv_Ann_TA!$H$572,IF(N1066&lt;=N1039,N1066,N1066-MAX((N$1071-N$1044),0)*IFERROR((N1066-N1039)/SUMPRODUCT((N$1061:N$1070&gt;N$1034:N$1043)*(N$1061:N$1070-N$1034:N$1043)),0)),N1106),0)</f>
        <v>0</v>
      </c>
      <c r="O1093" s="8">
        <f ca="1">ROUND(IF(Intv_Ann_TA!$H$572,IF(O1066&lt;=O1039,O1066,O1066-MAX((O$1071-O$1044),0)*IFERROR((O1066-O1039)/SUMPRODUCT((O$1061:O$1070&gt;O$1034:O$1043)*(O$1061:O$1070-O$1034:O$1043)),0)),O1106),0)</f>
        <v>0</v>
      </c>
    </row>
    <row r="1094" spans="4:15" s="327" customFormat="1" outlineLevel="2" x14ac:dyDescent="0.2">
      <c r="D1094" s="521" t="str">
        <f t="shared" si="104"/>
        <v>Northern</v>
      </c>
      <c r="H1094" s="521" t="str">
        <f>Intv_BA!$G$2360</f>
        <v>SURG</v>
      </c>
      <c r="J1094" s="8">
        <f ca="1">ROUND(IF(Intv_Ann_TA!$H$572,IF(J1067&lt;=J1040,J1067,J1067-MAX((J$1071-J$1044),0)*IFERROR((J1067-J1040)/SUMPRODUCT((J$1061:J$1070&gt;J$1034:J$1043)*(J$1061:J$1070-J$1034:J$1043)),0)),J1107),0)</f>
        <v>0</v>
      </c>
      <c r="K1094" s="8">
        <f ca="1">ROUND(IF(Intv_Ann_TA!$H$572,IF(K1067&lt;=K1040,K1067,K1067-MAX((K$1071-K$1044),0)*IFERROR((K1067-K1040)/SUMPRODUCT((K$1061:K$1070&gt;K$1034:K$1043)*(K$1061:K$1070-K$1034:K$1043)),0)),K1107),0)</f>
        <v>0</v>
      </c>
      <c r="L1094" s="8">
        <f ca="1">ROUND(IF(Intv_Ann_TA!$H$572,IF(L1067&lt;=L1040,L1067,L1067-MAX((L$1071-L$1044),0)*IFERROR((L1067-L1040)/SUMPRODUCT((L$1061:L$1070&gt;L$1034:L$1043)*(L$1061:L$1070-L$1034:L$1043)),0)),L1107),0)</f>
        <v>0</v>
      </c>
      <c r="M1094" s="8">
        <f ca="1">ROUND(IF(Intv_Ann_TA!$H$572,IF(M1067&lt;=M1040,M1067,M1067-MAX((M$1071-M$1044),0)*IFERROR((M1067-M1040)/SUMPRODUCT((M$1061:M$1070&gt;M$1034:M$1043)*(M$1061:M$1070-M$1034:M$1043)),0)),M1107),0)</f>
        <v>0</v>
      </c>
      <c r="N1094" s="8">
        <f ca="1">ROUND(IF(Intv_Ann_TA!$H$572,IF(N1067&lt;=N1040,N1067,N1067-MAX((N$1071-N$1044),0)*IFERROR((N1067-N1040)/SUMPRODUCT((N$1061:N$1070&gt;N$1034:N$1043)*(N$1061:N$1070-N$1034:N$1043)),0)),N1107),0)</f>
        <v>0</v>
      </c>
      <c r="O1094" s="8">
        <f ca="1">ROUND(IF(Intv_Ann_TA!$H$572,IF(O1067&lt;=O1040,O1067,O1067-MAX((O$1071-O$1044),0)*IFERROR((O1067-O1040)/SUMPRODUCT((O$1061:O$1070&gt;O$1034:O$1043)*(O$1061:O$1070-O$1034:O$1043)),0)),O1107),0)</f>
        <v>0</v>
      </c>
    </row>
    <row r="1095" spans="4:15" s="327" customFormat="1" outlineLevel="2" x14ac:dyDescent="0.2">
      <c r="D1095" s="521" t="str">
        <f t="shared" si="104"/>
        <v>North-Western</v>
      </c>
      <c r="H1095" s="521" t="str">
        <f>Intv_BA!$G$2360</f>
        <v>SURG</v>
      </c>
      <c r="J1095" s="8">
        <f ca="1">ROUND(IF(Intv_Ann_TA!$H$572,IF(J1068&lt;=J1041,J1068,J1068-MAX((J$1071-J$1044),0)*IFERROR((J1068-J1041)/SUMPRODUCT((J$1061:J$1070&gt;J$1034:J$1043)*(J$1061:J$1070-J$1034:J$1043)),0)),J1108),0)</f>
        <v>0</v>
      </c>
      <c r="K1095" s="8">
        <f ca="1">ROUND(IF(Intv_Ann_TA!$H$572,IF(K1068&lt;=K1041,K1068,K1068-MAX((K$1071-K$1044),0)*IFERROR((K1068-K1041)/SUMPRODUCT((K$1061:K$1070&gt;K$1034:K$1043)*(K$1061:K$1070-K$1034:K$1043)),0)),K1108),0)</f>
        <v>0</v>
      </c>
      <c r="L1095" s="8">
        <f ca="1">ROUND(IF(Intv_Ann_TA!$H$572,IF(L1068&lt;=L1041,L1068,L1068-MAX((L$1071-L$1044),0)*IFERROR((L1068-L1041)/SUMPRODUCT((L$1061:L$1070&gt;L$1034:L$1043)*(L$1061:L$1070-L$1034:L$1043)),0)),L1108),0)</f>
        <v>0</v>
      </c>
      <c r="M1095" s="8">
        <f ca="1">ROUND(IF(Intv_Ann_TA!$H$572,IF(M1068&lt;=M1041,M1068,M1068-MAX((M$1071-M$1044),0)*IFERROR((M1068-M1041)/SUMPRODUCT((M$1061:M$1070&gt;M$1034:M$1043)*(M$1061:M$1070-M$1034:M$1043)),0)),M1108),0)</f>
        <v>0</v>
      </c>
      <c r="N1095" s="8">
        <f ca="1">ROUND(IF(Intv_Ann_TA!$H$572,IF(N1068&lt;=N1041,N1068,N1068-MAX((N$1071-N$1044),0)*IFERROR((N1068-N1041)/SUMPRODUCT((N$1061:N$1070&gt;N$1034:N$1043)*(N$1061:N$1070-N$1034:N$1043)),0)),N1108),0)</f>
        <v>0</v>
      </c>
      <c r="O1095" s="8">
        <f ca="1">ROUND(IF(Intv_Ann_TA!$H$572,IF(O1068&lt;=O1041,O1068,O1068-MAX((O$1071-O$1044),0)*IFERROR((O1068-O1041)/SUMPRODUCT((O$1061:O$1070&gt;O$1034:O$1043)*(O$1061:O$1070-O$1034:O$1043)),0)),O1108),0)</f>
        <v>0</v>
      </c>
    </row>
    <row r="1096" spans="4:15" s="327" customFormat="1" outlineLevel="2" x14ac:dyDescent="0.2">
      <c r="D1096" s="521" t="str">
        <f t="shared" si="104"/>
        <v>Southern</v>
      </c>
      <c r="H1096" s="521" t="str">
        <f>Intv_BA!$G$2360</f>
        <v>SURG</v>
      </c>
      <c r="J1096" s="8">
        <f ca="1">ROUND(IF(Intv_Ann_TA!$H$572,IF(J1069&lt;=J1042,J1069,J1069-MAX((J$1071-J$1044),0)*IFERROR((J1069-J1042)/SUMPRODUCT((J$1061:J$1070&gt;J$1034:J$1043)*(J$1061:J$1070-J$1034:J$1043)),0)),J1109),0)</f>
        <v>0</v>
      </c>
      <c r="K1096" s="8">
        <f ca="1">ROUND(IF(Intv_Ann_TA!$H$572,IF(K1069&lt;=K1042,K1069,K1069-MAX((K$1071-K$1044),0)*IFERROR((K1069-K1042)/SUMPRODUCT((K$1061:K$1070&gt;K$1034:K$1043)*(K$1061:K$1070-K$1034:K$1043)),0)),K1109),0)</f>
        <v>0</v>
      </c>
      <c r="L1096" s="8">
        <f ca="1">ROUND(IF(Intv_Ann_TA!$H$572,IF(L1069&lt;=L1042,L1069,L1069-MAX((L$1071-L$1044),0)*IFERROR((L1069-L1042)/SUMPRODUCT((L$1061:L$1070&gt;L$1034:L$1043)*(L$1061:L$1070-L$1034:L$1043)),0)),L1109),0)</f>
        <v>0</v>
      </c>
      <c r="M1096" s="8">
        <f ca="1">ROUND(IF(Intv_Ann_TA!$H$572,IF(M1069&lt;=M1042,M1069,M1069-MAX((M$1071-M$1044),0)*IFERROR((M1069-M1042)/SUMPRODUCT((M$1061:M$1070&gt;M$1034:M$1043)*(M$1061:M$1070-M$1034:M$1043)),0)),M1109),0)</f>
        <v>0</v>
      </c>
      <c r="N1096" s="8">
        <f ca="1">ROUND(IF(Intv_Ann_TA!$H$572,IF(N1069&lt;=N1042,N1069,N1069-MAX((N$1071-N$1044),0)*IFERROR((N1069-N1042)/SUMPRODUCT((N$1061:N$1070&gt;N$1034:N$1043)*(N$1061:N$1070-N$1034:N$1043)),0)),N1109),0)</f>
        <v>0</v>
      </c>
      <c r="O1096" s="8">
        <f ca="1">ROUND(IF(Intv_Ann_TA!$H$572,IF(O1069&lt;=O1042,O1069,O1069-MAX((O$1071-O$1044),0)*IFERROR((O1069-O1042)/SUMPRODUCT((O$1061:O$1070&gt;O$1034:O$1043)*(O$1061:O$1070-O$1034:O$1043)),0)),O1109),0)</f>
        <v>0</v>
      </c>
    </row>
    <row r="1097" spans="4:15" s="327" customFormat="1" outlineLevel="2" x14ac:dyDescent="0.2">
      <c r="D1097" s="521" t="str">
        <f t="shared" si="104"/>
        <v>Western</v>
      </c>
      <c r="H1097" s="521" t="str">
        <f>Intv_BA!$G$2360</f>
        <v>SURG</v>
      </c>
      <c r="J1097" s="9">
        <f ca="1">ROUND(IF(Intv_Ann_TA!$H$572,IF(J1070&lt;=J1043,J1070,J1070-MAX((J$1071-J$1044),0)*IFERROR((J1070-J1043)/SUMPRODUCT((J$1061:J$1070&gt;J$1034:J$1043)*(J$1061:J$1070-J$1034:J$1043)),0)),J1110),0)</f>
        <v>0</v>
      </c>
      <c r="K1097" s="9">
        <f ca="1">ROUND(IF(Intv_Ann_TA!$H$572,IF(K1070&lt;=K1043,K1070,K1070-MAX((K$1071-K$1044),0)*IFERROR((K1070-K1043)/SUMPRODUCT((K$1061:K$1070&gt;K$1034:K$1043)*(K$1061:K$1070-K$1034:K$1043)),0)),K1110),0)</f>
        <v>0</v>
      </c>
      <c r="L1097" s="9">
        <f ca="1">ROUND(IF(Intv_Ann_TA!$H$572,IF(L1070&lt;=L1043,L1070,L1070-MAX((L$1071-L$1044),0)*IFERROR((L1070-L1043)/SUMPRODUCT((L$1061:L$1070&gt;L$1034:L$1043)*(L$1061:L$1070-L$1034:L$1043)),0)),L1110),0)</f>
        <v>0</v>
      </c>
      <c r="M1097" s="9">
        <f ca="1">ROUND(IF(Intv_Ann_TA!$H$572,IF(M1070&lt;=M1043,M1070,M1070-MAX((M$1071-M$1044),0)*IFERROR((M1070-M1043)/SUMPRODUCT((M$1061:M$1070&gt;M$1034:M$1043)*(M$1061:M$1070-M$1034:M$1043)),0)),M1110),0)</f>
        <v>0</v>
      </c>
      <c r="N1097" s="9">
        <f ca="1">ROUND(IF(Intv_Ann_TA!$H$572,IF(N1070&lt;=N1043,N1070,N1070-MAX((N$1071-N$1044),0)*IFERROR((N1070-N1043)/SUMPRODUCT((N$1061:N$1070&gt;N$1034:N$1043)*(N$1061:N$1070-N$1034:N$1043)),0)),N1110),0)</f>
        <v>0</v>
      </c>
      <c r="O1097" s="9">
        <f ca="1">ROUND(IF(Intv_Ann_TA!$H$572,IF(O1070&lt;=O1043,O1070,O1070-MAX((O$1071-O$1044),0)*IFERROR((O1070-O1043)/SUMPRODUCT((O$1061:O$1070&gt;O$1034:O$1043)*(O$1061:O$1070-O$1034:O$1043)),0)),O1110),0)</f>
        <v>0</v>
      </c>
    </row>
    <row r="1098" spans="4:15" s="327" customFormat="1" outlineLevel="2" x14ac:dyDescent="0.2">
      <c r="D1098" s="520" t="str">
        <f>"Total "&amp;D1087</f>
        <v>Total Procedures Performed (According to Home Region)</v>
      </c>
      <c r="H1098" s="521" t="str">
        <f>Intv_BA!$G$2360</f>
        <v>SURG</v>
      </c>
      <c r="J1098" s="5">
        <f t="shared" ref="J1098:O1098" ca="1" si="105">SUM(J1088:J1097)</f>
        <v>0</v>
      </c>
      <c r="K1098" s="5">
        <f t="shared" ca="1" si="105"/>
        <v>0</v>
      </c>
      <c r="L1098" s="5">
        <f t="shared" ca="1" si="105"/>
        <v>0</v>
      </c>
      <c r="M1098" s="5">
        <f t="shared" ca="1" si="105"/>
        <v>0</v>
      </c>
      <c r="N1098" s="5">
        <f t="shared" ca="1" si="105"/>
        <v>0</v>
      </c>
      <c r="O1098" s="5">
        <f t="shared" ca="1" si="105"/>
        <v>0</v>
      </c>
    </row>
    <row r="1099" spans="4:15" s="327" customFormat="1" outlineLevel="2" x14ac:dyDescent="0.2"/>
    <row r="1100" spans="4:15" s="327" customFormat="1" ht="15" outlineLevel="2" x14ac:dyDescent="0.2">
      <c r="D1100" s="519" t="s">
        <v>104</v>
      </c>
    </row>
    <row r="1101" spans="4:15" s="327" customFormat="1" outlineLevel="2" x14ac:dyDescent="0.2">
      <c r="D1101" s="521" t="str">
        <f>Intv_Ann_TA!D575</f>
        <v>Central</v>
      </c>
      <c r="J1101" s="8">
        <f ca="1">ROUND(MIN(J1034,IF(Intv_Ann_TA!$H$572,MAX(0,J1061+IFERROR((SUMPRODUCT((J$1034:J$1043=0)*J$1061:J$1070)+SUMPRODUCT((J$1034:J$1043&gt;0)*(J$1061:J$1070&gt;J$1034:J$1043)*(J$1061:J$1070-J$1034:J$1043)))*J1075/J$1085,0)),J1061)),0)</f>
        <v>0</v>
      </c>
      <c r="K1101" s="8">
        <f ca="1">ROUND(MIN(K1034,IF(Intv_Ann_TA!$H$572,MAX(0,K1061+IFERROR((SUMPRODUCT((K$1034:K$1043=0)*K$1061:K$1070)+SUMPRODUCT((K$1034:K$1043&gt;0)*(K$1061:K$1070&gt;K$1034:K$1043)*(K$1061:K$1070-K$1034:K$1043)))*K1075/K$1085,0)),K1061)),0)</f>
        <v>0</v>
      </c>
      <c r="L1101" s="8">
        <f ca="1">ROUND(MIN(L1034,IF(Intv_Ann_TA!$H$572,MAX(0,L1061+IFERROR((SUMPRODUCT((L$1034:L$1043=0)*L$1061:L$1070)+SUMPRODUCT((L$1034:L$1043&gt;0)*(L$1061:L$1070&gt;L$1034:L$1043)*(L$1061:L$1070-L$1034:L$1043)))*L1075/L$1085,0)),L1061)),0)</f>
        <v>0</v>
      </c>
      <c r="M1101" s="8">
        <f ca="1">ROUND(MIN(M1034,IF(Intv_Ann_TA!$H$572,MAX(0,M1061+IFERROR((SUMPRODUCT((M$1034:M$1043=0)*M$1061:M$1070)+SUMPRODUCT((M$1034:M$1043&gt;0)*(M$1061:M$1070&gt;M$1034:M$1043)*(M$1061:M$1070-M$1034:M$1043)))*M1075/M$1085,0)),M1061)),0)</f>
        <v>0</v>
      </c>
      <c r="N1101" s="8">
        <f ca="1">ROUND(MIN(N1034,IF(Intv_Ann_TA!$H$572,MAX(0,N1061+IFERROR((SUMPRODUCT((N$1034:N$1043=0)*N$1061:N$1070)+SUMPRODUCT((N$1034:N$1043&gt;0)*(N$1061:N$1070&gt;N$1034:N$1043)*(N$1061:N$1070-N$1034:N$1043)))*N1075/N$1085,0)),N1061)),0)</f>
        <v>0</v>
      </c>
      <c r="O1101" s="8">
        <f ca="1">ROUND(MIN(O1034,IF(Intv_Ann_TA!$H$572,MAX(0,O1061+IFERROR((SUMPRODUCT((O$1034:O$1043=0)*O$1061:O$1070)+SUMPRODUCT((O$1034:O$1043&gt;0)*(O$1061:O$1070&gt;O$1034:O$1043)*(O$1061:O$1070-O$1034:O$1043)))*O1075/O$1085,0)),O1061)),0)</f>
        <v>0</v>
      </c>
    </row>
    <row r="1102" spans="4:15" s="327" customFormat="1" outlineLevel="2" x14ac:dyDescent="0.2">
      <c r="D1102" s="521" t="str">
        <f>Intv_Ann_TA!D576</f>
        <v>Copperbelt</v>
      </c>
      <c r="J1102" s="8">
        <f ca="1">ROUND(MIN(J1035,IF(Intv_Ann_TA!$H$572,MAX(0,J1062+IFERROR((SUMPRODUCT((J$1034:J$1043=0)*J$1061:J$1070)+SUMPRODUCT((J$1034:J$1043&gt;0)*(J$1061:J$1070&gt;J$1034:J$1043)*(J$1061:J$1070-J$1034:J$1043)))*J1076/J$1085,0)),J1062)),0)</f>
        <v>0</v>
      </c>
      <c r="K1102" s="8">
        <f ca="1">ROUND(MIN(K1035,IF(Intv_Ann_TA!$H$572,MAX(0,K1062+IFERROR((SUMPRODUCT((K$1034:K$1043=0)*K$1061:K$1070)+SUMPRODUCT((K$1034:K$1043&gt;0)*(K$1061:K$1070&gt;K$1034:K$1043)*(K$1061:K$1070-K$1034:K$1043)))*K1076/K$1085,0)),K1062)),0)</f>
        <v>0</v>
      </c>
      <c r="L1102" s="8">
        <f ca="1">ROUND(MIN(L1035,IF(Intv_Ann_TA!$H$572,MAX(0,L1062+IFERROR((SUMPRODUCT((L$1034:L$1043=0)*L$1061:L$1070)+SUMPRODUCT((L$1034:L$1043&gt;0)*(L$1061:L$1070&gt;L$1034:L$1043)*(L$1061:L$1070-L$1034:L$1043)))*L1076/L$1085,0)),L1062)),0)</f>
        <v>0</v>
      </c>
      <c r="M1102" s="8">
        <f ca="1">ROUND(MIN(M1035,IF(Intv_Ann_TA!$H$572,MAX(0,M1062+IFERROR((SUMPRODUCT((M$1034:M$1043=0)*M$1061:M$1070)+SUMPRODUCT((M$1034:M$1043&gt;0)*(M$1061:M$1070&gt;M$1034:M$1043)*(M$1061:M$1070-M$1034:M$1043)))*M1076/M$1085,0)),M1062)),0)</f>
        <v>0</v>
      </c>
      <c r="N1102" s="8">
        <f ca="1">ROUND(MIN(N1035,IF(Intv_Ann_TA!$H$572,MAX(0,N1062+IFERROR((SUMPRODUCT((N$1034:N$1043=0)*N$1061:N$1070)+SUMPRODUCT((N$1034:N$1043&gt;0)*(N$1061:N$1070&gt;N$1034:N$1043)*(N$1061:N$1070-N$1034:N$1043)))*N1076/N$1085,0)),N1062)),0)</f>
        <v>0</v>
      </c>
      <c r="O1102" s="8">
        <f ca="1">ROUND(MIN(O1035,IF(Intv_Ann_TA!$H$572,MAX(0,O1062+IFERROR((SUMPRODUCT((O$1034:O$1043=0)*O$1061:O$1070)+SUMPRODUCT((O$1034:O$1043&gt;0)*(O$1061:O$1070&gt;O$1034:O$1043)*(O$1061:O$1070-O$1034:O$1043)))*O1076/O$1085,0)),O1062)),0)</f>
        <v>0</v>
      </c>
    </row>
    <row r="1103" spans="4:15" s="327" customFormat="1" outlineLevel="2" x14ac:dyDescent="0.2">
      <c r="D1103" s="521" t="str">
        <f>Intv_Ann_TA!D577</f>
        <v>Eastern</v>
      </c>
      <c r="J1103" s="8">
        <f ca="1">ROUND(MIN(J1036,IF(Intv_Ann_TA!$H$572,MAX(0,J1063+IFERROR((SUMPRODUCT((J$1034:J$1043=0)*J$1061:J$1070)+SUMPRODUCT((J$1034:J$1043&gt;0)*(J$1061:J$1070&gt;J$1034:J$1043)*(J$1061:J$1070-J$1034:J$1043)))*J1077/J$1085,0)),J1063)),0)</f>
        <v>0</v>
      </c>
      <c r="K1103" s="8">
        <f ca="1">ROUND(MIN(K1036,IF(Intv_Ann_TA!$H$572,MAX(0,K1063+IFERROR((SUMPRODUCT((K$1034:K$1043=0)*K$1061:K$1070)+SUMPRODUCT((K$1034:K$1043&gt;0)*(K$1061:K$1070&gt;K$1034:K$1043)*(K$1061:K$1070-K$1034:K$1043)))*K1077/K$1085,0)),K1063)),0)</f>
        <v>0</v>
      </c>
      <c r="L1103" s="8">
        <f ca="1">ROUND(MIN(L1036,IF(Intv_Ann_TA!$H$572,MAX(0,L1063+IFERROR((SUMPRODUCT((L$1034:L$1043=0)*L$1061:L$1070)+SUMPRODUCT((L$1034:L$1043&gt;0)*(L$1061:L$1070&gt;L$1034:L$1043)*(L$1061:L$1070-L$1034:L$1043)))*L1077/L$1085,0)),L1063)),0)</f>
        <v>0</v>
      </c>
      <c r="M1103" s="8">
        <f ca="1">ROUND(MIN(M1036,IF(Intv_Ann_TA!$H$572,MAX(0,M1063+IFERROR((SUMPRODUCT((M$1034:M$1043=0)*M$1061:M$1070)+SUMPRODUCT((M$1034:M$1043&gt;0)*(M$1061:M$1070&gt;M$1034:M$1043)*(M$1061:M$1070-M$1034:M$1043)))*M1077/M$1085,0)),M1063)),0)</f>
        <v>0</v>
      </c>
      <c r="N1103" s="8">
        <f ca="1">ROUND(MIN(N1036,IF(Intv_Ann_TA!$H$572,MAX(0,N1063+IFERROR((SUMPRODUCT((N$1034:N$1043=0)*N$1061:N$1070)+SUMPRODUCT((N$1034:N$1043&gt;0)*(N$1061:N$1070&gt;N$1034:N$1043)*(N$1061:N$1070-N$1034:N$1043)))*N1077/N$1085,0)),N1063)),0)</f>
        <v>0</v>
      </c>
      <c r="O1103" s="8">
        <f ca="1">ROUND(MIN(O1036,IF(Intv_Ann_TA!$H$572,MAX(0,O1063+IFERROR((SUMPRODUCT((O$1034:O$1043=0)*O$1061:O$1070)+SUMPRODUCT((O$1034:O$1043&gt;0)*(O$1061:O$1070&gt;O$1034:O$1043)*(O$1061:O$1070-O$1034:O$1043)))*O1077/O$1085,0)),O1063)),0)</f>
        <v>0</v>
      </c>
    </row>
    <row r="1104" spans="4:15" s="327" customFormat="1" outlineLevel="2" x14ac:dyDescent="0.2">
      <c r="D1104" s="521" t="str">
        <f>Intv_Ann_TA!D578</f>
        <v>Luapula</v>
      </c>
      <c r="J1104" s="8">
        <f ca="1">ROUND(MIN(J1037,IF(Intv_Ann_TA!$H$572,MAX(0,J1064+IFERROR((SUMPRODUCT((J$1034:J$1043=0)*J$1061:J$1070)+SUMPRODUCT((J$1034:J$1043&gt;0)*(J$1061:J$1070&gt;J$1034:J$1043)*(J$1061:J$1070-J$1034:J$1043)))*J1078/J$1085,0)),J1064)),0)</f>
        <v>0</v>
      </c>
      <c r="K1104" s="8">
        <f ca="1">ROUND(MIN(K1037,IF(Intv_Ann_TA!$H$572,MAX(0,K1064+IFERROR((SUMPRODUCT((K$1034:K$1043=0)*K$1061:K$1070)+SUMPRODUCT((K$1034:K$1043&gt;0)*(K$1061:K$1070&gt;K$1034:K$1043)*(K$1061:K$1070-K$1034:K$1043)))*K1078/K$1085,0)),K1064)),0)</f>
        <v>0</v>
      </c>
      <c r="L1104" s="8">
        <f ca="1">ROUND(MIN(L1037,IF(Intv_Ann_TA!$H$572,MAX(0,L1064+IFERROR((SUMPRODUCT((L$1034:L$1043=0)*L$1061:L$1070)+SUMPRODUCT((L$1034:L$1043&gt;0)*(L$1061:L$1070&gt;L$1034:L$1043)*(L$1061:L$1070-L$1034:L$1043)))*L1078/L$1085,0)),L1064)),0)</f>
        <v>0</v>
      </c>
      <c r="M1104" s="8">
        <f ca="1">ROUND(MIN(M1037,IF(Intv_Ann_TA!$H$572,MAX(0,M1064+IFERROR((SUMPRODUCT((M$1034:M$1043=0)*M$1061:M$1070)+SUMPRODUCT((M$1034:M$1043&gt;0)*(M$1061:M$1070&gt;M$1034:M$1043)*(M$1061:M$1070-M$1034:M$1043)))*M1078/M$1085,0)),M1064)),0)</f>
        <v>0</v>
      </c>
      <c r="N1104" s="8">
        <f ca="1">ROUND(MIN(N1037,IF(Intv_Ann_TA!$H$572,MAX(0,N1064+IFERROR((SUMPRODUCT((N$1034:N$1043=0)*N$1061:N$1070)+SUMPRODUCT((N$1034:N$1043&gt;0)*(N$1061:N$1070&gt;N$1034:N$1043)*(N$1061:N$1070-N$1034:N$1043)))*N1078/N$1085,0)),N1064)),0)</f>
        <v>0</v>
      </c>
      <c r="O1104" s="8">
        <f ca="1">ROUND(MIN(O1037,IF(Intv_Ann_TA!$H$572,MAX(0,O1064+IFERROR((SUMPRODUCT((O$1034:O$1043=0)*O$1061:O$1070)+SUMPRODUCT((O$1034:O$1043&gt;0)*(O$1061:O$1070&gt;O$1034:O$1043)*(O$1061:O$1070-O$1034:O$1043)))*O1078/O$1085,0)),O1064)),0)</f>
        <v>0</v>
      </c>
    </row>
    <row r="1105" spans="3:15" s="327" customFormat="1" outlineLevel="2" x14ac:dyDescent="0.2">
      <c r="D1105" s="521" t="str">
        <f>Intv_Ann_TA!D579</f>
        <v>Lusaka</v>
      </c>
      <c r="J1105" s="8">
        <f ca="1">ROUND(MIN(J1038,IF(Intv_Ann_TA!$H$572,MAX(0,J1065+IFERROR((SUMPRODUCT((J$1034:J$1043=0)*J$1061:J$1070)+SUMPRODUCT((J$1034:J$1043&gt;0)*(J$1061:J$1070&gt;J$1034:J$1043)*(J$1061:J$1070-J$1034:J$1043)))*J1079/J$1085,0)),J1065)),0)</f>
        <v>0</v>
      </c>
      <c r="K1105" s="8">
        <f ca="1">ROUND(MIN(K1038,IF(Intv_Ann_TA!$H$572,MAX(0,K1065+IFERROR((SUMPRODUCT((K$1034:K$1043=0)*K$1061:K$1070)+SUMPRODUCT((K$1034:K$1043&gt;0)*(K$1061:K$1070&gt;K$1034:K$1043)*(K$1061:K$1070-K$1034:K$1043)))*K1079/K$1085,0)),K1065)),0)</f>
        <v>0</v>
      </c>
      <c r="L1105" s="8">
        <f ca="1">ROUND(MIN(L1038,IF(Intv_Ann_TA!$H$572,MAX(0,L1065+IFERROR((SUMPRODUCT((L$1034:L$1043=0)*L$1061:L$1070)+SUMPRODUCT((L$1034:L$1043&gt;0)*(L$1061:L$1070&gt;L$1034:L$1043)*(L$1061:L$1070-L$1034:L$1043)))*L1079/L$1085,0)),L1065)),0)</f>
        <v>0</v>
      </c>
      <c r="M1105" s="8">
        <f ca="1">ROUND(MIN(M1038,IF(Intv_Ann_TA!$H$572,MAX(0,M1065+IFERROR((SUMPRODUCT((M$1034:M$1043=0)*M$1061:M$1070)+SUMPRODUCT((M$1034:M$1043&gt;0)*(M$1061:M$1070&gt;M$1034:M$1043)*(M$1061:M$1070-M$1034:M$1043)))*M1079/M$1085,0)),M1065)),0)</f>
        <v>0</v>
      </c>
      <c r="N1105" s="8">
        <f ca="1">ROUND(MIN(N1038,IF(Intv_Ann_TA!$H$572,MAX(0,N1065+IFERROR((SUMPRODUCT((N$1034:N$1043=0)*N$1061:N$1070)+SUMPRODUCT((N$1034:N$1043&gt;0)*(N$1061:N$1070&gt;N$1034:N$1043)*(N$1061:N$1070-N$1034:N$1043)))*N1079/N$1085,0)),N1065)),0)</f>
        <v>0</v>
      </c>
      <c r="O1105" s="8">
        <f ca="1">ROUND(MIN(O1038,IF(Intv_Ann_TA!$H$572,MAX(0,O1065+IFERROR((SUMPRODUCT((O$1034:O$1043=0)*O$1061:O$1070)+SUMPRODUCT((O$1034:O$1043&gt;0)*(O$1061:O$1070&gt;O$1034:O$1043)*(O$1061:O$1070-O$1034:O$1043)))*O1079/O$1085,0)),O1065)),0)</f>
        <v>0</v>
      </c>
    </row>
    <row r="1106" spans="3:15" s="327" customFormat="1" outlineLevel="2" x14ac:dyDescent="0.2">
      <c r="D1106" s="521" t="str">
        <f>Intv_Ann_TA!D580</f>
        <v>Muchinga</v>
      </c>
      <c r="J1106" s="8">
        <f ca="1">ROUND(MIN(J1039,IF(Intv_Ann_TA!$H$572,MAX(0,J1066+IFERROR((SUMPRODUCT((J$1034:J$1043=0)*J$1061:J$1070)+SUMPRODUCT((J$1034:J$1043&gt;0)*(J$1061:J$1070&gt;J$1034:J$1043)*(J$1061:J$1070-J$1034:J$1043)))*J1080/J$1085,0)),J1066)),0)</f>
        <v>0</v>
      </c>
      <c r="K1106" s="8">
        <f ca="1">ROUND(MIN(K1039,IF(Intv_Ann_TA!$H$572,MAX(0,K1066+IFERROR((SUMPRODUCT((K$1034:K$1043=0)*K$1061:K$1070)+SUMPRODUCT((K$1034:K$1043&gt;0)*(K$1061:K$1070&gt;K$1034:K$1043)*(K$1061:K$1070-K$1034:K$1043)))*K1080/K$1085,0)),K1066)),0)</f>
        <v>0</v>
      </c>
      <c r="L1106" s="8">
        <f ca="1">ROUND(MIN(L1039,IF(Intv_Ann_TA!$H$572,MAX(0,L1066+IFERROR((SUMPRODUCT((L$1034:L$1043=0)*L$1061:L$1070)+SUMPRODUCT((L$1034:L$1043&gt;0)*(L$1061:L$1070&gt;L$1034:L$1043)*(L$1061:L$1070-L$1034:L$1043)))*L1080/L$1085,0)),L1066)),0)</f>
        <v>0</v>
      </c>
      <c r="M1106" s="8">
        <f ca="1">ROUND(MIN(M1039,IF(Intv_Ann_TA!$H$572,MAX(0,M1066+IFERROR((SUMPRODUCT((M$1034:M$1043=0)*M$1061:M$1070)+SUMPRODUCT((M$1034:M$1043&gt;0)*(M$1061:M$1070&gt;M$1034:M$1043)*(M$1061:M$1070-M$1034:M$1043)))*M1080/M$1085,0)),M1066)),0)</f>
        <v>0</v>
      </c>
      <c r="N1106" s="8">
        <f ca="1">ROUND(MIN(N1039,IF(Intv_Ann_TA!$H$572,MAX(0,N1066+IFERROR((SUMPRODUCT((N$1034:N$1043=0)*N$1061:N$1070)+SUMPRODUCT((N$1034:N$1043&gt;0)*(N$1061:N$1070&gt;N$1034:N$1043)*(N$1061:N$1070-N$1034:N$1043)))*N1080/N$1085,0)),N1066)),0)</f>
        <v>0</v>
      </c>
      <c r="O1106" s="8">
        <f ca="1">ROUND(MIN(O1039,IF(Intv_Ann_TA!$H$572,MAX(0,O1066+IFERROR((SUMPRODUCT((O$1034:O$1043=0)*O$1061:O$1070)+SUMPRODUCT((O$1034:O$1043&gt;0)*(O$1061:O$1070&gt;O$1034:O$1043)*(O$1061:O$1070-O$1034:O$1043)))*O1080/O$1085,0)),O1066)),0)</f>
        <v>0</v>
      </c>
    </row>
    <row r="1107" spans="3:15" s="327" customFormat="1" outlineLevel="2" x14ac:dyDescent="0.2">
      <c r="D1107" s="521" t="str">
        <f>Intv_Ann_TA!D581</f>
        <v>Northern</v>
      </c>
      <c r="J1107" s="8">
        <f ca="1">ROUND(MIN(J1040,IF(Intv_Ann_TA!$H$572,MAX(0,J1067+IFERROR((SUMPRODUCT((J$1034:J$1043=0)*J$1061:J$1070)+SUMPRODUCT((J$1034:J$1043&gt;0)*(J$1061:J$1070&gt;J$1034:J$1043)*(J$1061:J$1070-J$1034:J$1043)))*J1081/J$1085,0)),J1067)),0)</f>
        <v>0</v>
      </c>
      <c r="K1107" s="8">
        <f ca="1">ROUND(MIN(K1040,IF(Intv_Ann_TA!$H$572,MAX(0,K1067+IFERROR((SUMPRODUCT((K$1034:K$1043=0)*K$1061:K$1070)+SUMPRODUCT((K$1034:K$1043&gt;0)*(K$1061:K$1070&gt;K$1034:K$1043)*(K$1061:K$1070-K$1034:K$1043)))*K1081/K$1085,0)),K1067)),0)</f>
        <v>0</v>
      </c>
      <c r="L1107" s="8">
        <f ca="1">ROUND(MIN(L1040,IF(Intv_Ann_TA!$H$572,MAX(0,L1067+IFERROR((SUMPRODUCT((L$1034:L$1043=0)*L$1061:L$1070)+SUMPRODUCT((L$1034:L$1043&gt;0)*(L$1061:L$1070&gt;L$1034:L$1043)*(L$1061:L$1070-L$1034:L$1043)))*L1081/L$1085,0)),L1067)),0)</f>
        <v>0</v>
      </c>
      <c r="M1107" s="8">
        <f ca="1">ROUND(MIN(M1040,IF(Intv_Ann_TA!$H$572,MAX(0,M1067+IFERROR((SUMPRODUCT((M$1034:M$1043=0)*M$1061:M$1070)+SUMPRODUCT((M$1034:M$1043&gt;0)*(M$1061:M$1070&gt;M$1034:M$1043)*(M$1061:M$1070-M$1034:M$1043)))*M1081/M$1085,0)),M1067)),0)</f>
        <v>0</v>
      </c>
      <c r="N1107" s="8">
        <f ca="1">ROUND(MIN(N1040,IF(Intv_Ann_TA!$H$572,MAX(0,N1067+IFERROR((SUMPRODUCT((N$1034:N$1043=0)*N$1061:N$1070)+SUMPRODUCT((N$1034:N$1043&gt;0)*(N$1061:N$1070&gt;N$1034:N$1043)*(N$1061:N$1070-N$1034:N$1043)))*N1081/N$1085,0)),N1067)),0)</f>
        <v>0</v>
      </c>
      <c r="O1107" s="8">
        <f ca="1">ROUND(MIN(O1040,IF(Intv_Ann_TA!$H$572,MAX(0,O1067+IFERROR((SUMPRODUCT((O$1034:O$1043=0)*O$1061:O$1070)+SUMPRODUCT((O$1034:O$1043&gt;0)*(O$1061:O$1070&gt;O$1034:O$1043)*(O$1061:O$1070-O$1034:O$1043)))*O1081/O$1085,0)),O1067)),0)</f>
        <v>0</v>
      </c>
    </row>
    <row r="1108" spans="3:15" s="327" customFormat="1" outlineLevel="2" x14ac:dyDescent="0.2">
      <c r="D1108" s="521" t="str">
        <f>Intv_Ann_TA!D582</f>
        <v>North-Western</v>
      </c>
      <c r="J1108" s="8">
        <f ca="1">ROUND(MIN(J1041,IF(Intv_Ann_TA!$H$572,MAX(0,J1068+IFERROR((SUMPRODUCT((J$1034:J$1043=0)*J$1061:J$1070)+SUMPRODUCT((J$1034:J$1043&gt;0)*(J$1061:J$1070&gt;J$1034:J$1043)*(J$1061:J$1070-J$1034:J$1043)))*J1082/J$1085,0)),J1068)),0)</f>
        <v>0</v>
      </c>
      <c r="K1108" s="8">
        <f ca="1">ROUND(MIN(K1041,IF(Intv_Ann_TA!$H$572,MAX(0,K1068+IFERROR((SUMPRODUCT((K$1034:K$1043=0)*K$1061:K$1070)+SUMPRODUCT((K$1034:K$1043&gt;0)*(K$1061:K$1070&gt;K$1034:K$1043)*(K$1061:K$1070-K$1034:K$1043)))*K1082/K$1085,0)),K1068)),0)</f>
        <v>0</v>
      </c>
      <c r="L1108" s="8">
        <f ca="1">ROUND(MIN(L1041,IF(Intv_Ann_TA!$H$572,MAX(0,L1068+IFERROR((SUMPRODUCT((L$1034:L$1043=0)*L$1061:L$1070)+SUMPRODUCT((L$1034:L$1043&gt;0)*(L$1061:L$1070&gt;L$1034:L$1043)*(L$1061:L$1070-L$1034:L$1043)))*L1082/L$1085,0)),L1068)),0)</f>
        <v>0</v>
      </c>
      <c r="M1108" s="8">
        <f ca="1">ROUND(MIN(M1041,IF(Intv_Ann_TA!$H$572,MAX(0,M1068+IFERROR((SUMPRODUCT((M$1034:M$1043=0)*M$1061:M$1070)+SUMPRODUCT((M$1034:M$1043&gt;0)*(M$1061:M$1070&gt;M$1034:M$1043)*(M$1061:M$1070-M$1034:M$1043)))*M1082/M$1085,0)),M1068)),0)</f>
        <v>0</v>
      </c>
      <c r="N1108" s="8">
        <f ca="1">ROUND(MIN(N1041,IF(Intv_Ann_TA!$H$572,MAX(0,N1068+IFERROR((SUMPRODUCT((N$1034:N$1043=0)*N$1061:N$1070)+SUMPRODUCT((N$1034:N$1043&gt;0)*(N$1061:N$1070&gt;N$1034:N$1043)*(N$1061:N$1070-N$1034:N$1043)))*N1082/N$1085,0)),N1068)),0)</f>
        <v>0</v>
      </c>
      <c r="O1108" s="8">
        <f ca="1">ROUND(MIN(O1041,IF(Intv_Ann_TA!$H$572,MAX(0,O1068+IFERROR((SUMPRODUCT((O$1034:O$1043=0)*O$1061:O$1070)+SUMPRODUCT((O$1034:O$1043&gt;0)*(O$1061:O$1070&gt;O$1034:O$1043)*(O$1061:O$1070-O$1034:O$1043)))*O1082/O$1085,0)),O1068)),0)</f>
        <v>0</v>
      </c>
    </row>
    <row r="1109" spans="3:15" s="327" customFormat="1" outlineLevel="2" x14ac:dyDescent="0.2">
      <c r="D1109" s="521" t="str">
        <f>Intv_Ann_TA!D583</f>
        <v>Southern</v>
      </c>
      <c r="J1109" s="8">
        <f ca="1">ROUND(MIN(J1042,IF(Intv_Ann_TA!$H$572,MAX(0,J1069+IFERROR((SUMPRODUCT((J$1034:J$1043=0)*J$1061:J$1070)+SUMPRODUCT((J$1034:J$1043&gt;0)*(J$1061:J$1070&gt;J$1034:J$1043)*(J$1061:J$1070-J$1034:J$1043)))*J1083/J$1085,0)),J1069)),0)</f>
        <v>0</v>
      </c>
      <c r="K1109" s="8">
        <f ca="1">ROUND(MIN(K1042,IF(Intv_Ann_TA!$H$572,MAX(0,K1069+IFERROR((SUMPRODUCT((K$1034:K$1043=0)*K$1061:K$1070)+SUMPRODUCT((K$1034:K$1043&gt;0)*(K$1061:K$1070&gt;K$1034:K$1043)*(K$1061:K$1070-K$1034:K$1043)))*K1083/K$1085,0)),K1069)),0)</f>
        <v>0</v>
      </c>
      <c r="L1109" s="8">
        <f ca="1">ROUND(MIN(L1042,IF(Intv_Ann_TA!$H$572,MAX(0,L1069+IFERROR((SUMPRODUCT((L$1034:L$1043=0)*L$1061:L$1070)+SUMPRODUCT((L$1034:L$1043&gt;0)*(L$1061:L$1070&gt;L$1034:L$1043)*(L$1061:L$1070-L$1034:L$1043)))*L1083/L$1085,0)),L1069)),0)</f>
        <v>0</v>
      </c>
      <c r="M1109" s="8">
        <f ca="1">ROUND(MIN(M1042,IF(Intv_Ann_TA!$H$572,MAX(0,M1069+IFERROR((SUMPRODUCT((M$1034:M$1043=0)*M$1061:M$1070)+SUMPRODUCT((M$1034:M$1043&gt;0)*(M$1061:M$1070&gt;M$1034:M$1043)*(M$1061:M$1070-M$1034:M$1043)))*M1083/M$1085,0)),M1069)),0)</f>
        <v>0</v>
      </c>
      <c r="N1109" s="8">
        <f ca="1">ROUND(MIN(N1042,IF(Intv_Ann_TA!$H$572,MAX(0,N1069+IFERROR((SUMPRODUCT((N$1034:N$1043=0)*N$1061:N$1070)+SUMPRODUCT((N$1034:N$1043&gt;0)*(N$1061:N$1070&gt;N$1034:N$1043)*(N$1061:N$1070-N$1034:N$1043)))*N1083/N$1085,0)),N1069)),0)</f>
        <v>0</v>
      </c>
      <c r="O1109" s="8">
        <f ca="1">ROUND(MIN(O1042,IF(Intv_Ann_TA!$H$572,MAX(0,O1069+IFERROR((SUMPRODUCT((O$1034:O$1043=0)*O$1061:O$1070)+SUMPRODUCT((O$1034:O$1043&gt;0)*(O$1061:O$1070&gt;O$1034:O$1043)*(O$1061:O$1070-O$1034:O$1043)))*O1083/O$1085,0)),O1069)),0)</f>
        <v>0</v>
      </c>
    </row>
    <row r="1110" spans="3:15" s="327" customFormat="1" outlineLevel="2" x14ac:dyDescent="0.2">
      <c r="D1110" s="521" t="str">
        <f>Intv_Ann_TA!D584</f>
        <v>Western</v>
      </c>
      <c r="J1110" s="9">
        <f ca="1">ROUND(MIN(J1043,IF(Intv_Ann_TA!$H$572,MAX(0,J1070+IFERROR((SUMPRODUCT((J$1034:J$1043=0)*J$1061:J$1070)+SUMPRODUCT((J$1034:J$1043&gt;0)*(J$1061:J$1070&gt;J$1034:J$1043)*(J$1061:J$1070-J$1034:J$1043)))*J1084/J$1085,0)),J1070)),0)</f>
        <v>0</v>
      </c>
      <c r="K1110" s="9">
        <f ca="1">ROUND(MIN(K1043,IF(Intv_Ann_TA!$H$572,MAX(0,K1070+IFERROR((SUMPRODUCT((K$1034:K$1043=0)*K$1061:K$1070)+SUMPRODUCT((K$1034:K$1043&gt;0)*(K$1061:K$1070&gt;K$1034:K$1043)*(K$1061:K$1070-K$1034:K$1043)))*K1084/K$1085,0)),K1070)),0)</f>
        <v>0</v>
      </c>
      <c r="L1110" s="9">
        <f ca="1">ROUND(MIN(L1043,IF(Intv_Ann_TA!$H$572,MAX(0,L1070+IFERROR((SUMPRODUCT((L$1034:L$1043=0)*L$1061:L$1070)+SUMPRODUCT((L$1034:L$1043&gt;0)*(L$1061:L$1070&gt;L$1034:L$1043)*(L$1061:L$1070-L$1034:L$1043)))*L1084/L$1085,0)),L1070)),0)</f>
        <v>0</v>
      </c>
      <c r="M1110" s="9">
        <f ca="1">ROUND(MIN(M1043,IF(Intv_Ann_TA!$H$572,MAX(0,M1070+IFERROR((SUMPRODUCT((M$1034:M$1043=0)*M$1061:M$1070)+SUMPRODUCT((M$1034:M$1043&gt;0)*(M$1061:M$1070&gt;M$1034:M$1043)*(M$1061:M$1070-M$1034:M$1043)))*M1084/M$1085,0)),M1070)),0)</f>
        <v>0</v>
      </c>
      <c r="N1110" s="9">
        <f ca="1">ROUND(MIN(N1043,IF(Intv_Ann_TA!$H$572,MAX(0,N1070+IFERROR((SUMPRODUCT((N$1034:N$1043=0)*N$1061:N$1070)+SUMPRODUCT((N$1034:N$1043&gt;0)*(N$1061:N$1070&gt;N$1034:N$1043)*(N$1061:N$1070-N$1034:N$1043)))*N1084/N$1085,0)),N1070)),0)</f>
        <v>0</v>
      </c>
      <c r="O1110" s="9">
        <f ca="1">ROUND(MIN(O1043,IF(Intv_Ann_TA!$H$572,MAX(0,O1070+IFERROR((SUMPRODUCT((O$1034:O$1043=0)*O$1061:O$1070)+SUMPRODUCT((O$1034:O$1043&gt;0)*(O$1061:O$1070&gt;O$1034:O$1043)*(O$1061:O$1070-O$1034:O$1043)))*O1084/O$1085,0)),O1070)),0)</f>
        <v>0</v>
      </c>
    </row>
    <row r="1111" spans="3:15" s="327" customFormat="1" x14ac:dyDescent="0.2">
      <c r="D1111" s="520" t="str">
        <f>"Total "&amp;D1100&amp;" ("&amp;Intv_BA!G2360&amp;")"</f>
        <v>Total Number of Procedures Performed (SURG)</v>
      </c>
      <c r="H1111" s="521" t="str">
        <f>Intv_BA!G2360</f>
        <v>SURG</v>
      </c>
      <c r="J1111" s="25">
        <f t="shared" ref="J1111:O1111" ca="1" si="106">SUM(J1101:J1110)</f>
        <v>0</v>
      </c>
      <c r="K1111" s="25">
        <f t="shared" ca="1" si="106"/>
        <v>0</v>
      </c>
      <c r="L1111" s="25">
        <f t="shared" ca="1" si="106"/>
        <v>0</v>
      </c>
      <c r="M1111" s="25">
        <f t="shared" ca="1" si="106"/>
        <v>0</v>
      </c>
      <c r="N1111" s="25">
        <f t="shared" ca="1" si="106"/>
        <v>0</v>
      </c>
      <c r="O1111" s="25">
        <f t="shared" ca="1" si="106"/>
        <v>0</v>
      </c>
    </row>
    <row r="1112" spans="3:15" s="327" customFormat="1" x14ac:dyDescent="0.2"/>
    <row r="1113" spans="3:15" s="327" customFormat="1" ht="15.75" x14ac:dyDescent="0.2">
      <c r="C1113" s="26" t="str">
        <f>"Expected Costs ("&amp;INDEX(LU_Intv_5_Denom,DD_TS_Denom)&amp;")"</f>
        <v>Expected Costs (USD)</v>
      </c>
    </row>
    <row r="1114" spans="3:15" s="327" customFormat="1" x14ac:dyDescent="0.2"/>
    <row r="1115" spans="3:15" s="327" customFormat="1" ht="15" outlineLevel="2" x14ac:dyDescent="0.2">
      <c r="D1115" s="519" t="s">
        <v>105</v>
      </c>
    </row>
    <row r="1116" spans="3:15" s="327" customFormat="1" ht="10.5" customHeight="1" outlineLevel="2" x14ac:dyDescent="0.2">
      <c r="D1116" s="521" t="str">
        <f>Intv_BA!D2529</f>
        <v>Central</v>
      </c>
      <c r="J1116" s="8">
        <f ca="1">J1101*Intv_BA!$M$2482/TS_Denom_Conv_Fact</f>
        <v>0</v>
      </c>
      <c r="K1116" s="8">
        <f ca="1">K1101*Intv_BA!$M$2482/TS_Denom_Conv_Fact</f>
        <v>0</v>
      </c>
      <c r="L1116" s="8">
        <f ca="1">L1101*Intv_BA!$M$2482/TS_Denom_Conv_Fact</f>
        <v>0</v>
      </c>
      <c r="M1116" s="8">
        <f ca="1">M1101*Intv_BA!$M$2482/TS_Denom_Conv_Fact</f>
        <v>0</v>
      </c>
      <c r="N1116" s="8">
        <f ca="1">N1101*Intv_BA!$M$2482/TS_Denom_Conv_Fact</f>
        <v>0</v>
      </c>
      <c r="O1116" s="8">
        <f ca="1">O1101*Intv_BA!$M$2482/TS_Denom_Conv_Fact</f>
        <v>0</v>
      </c>
    </row>
    <row r="1117" spans="3:15" s="327" customFormat="1" ht="12.95" customHeight="1" outlineLevel="2" x14ac:dyDescent="0.2">
      <c r="D1117" s="521" t="str">
        <f>Intv_BA!D2530</f>
        <v>Copperbelt</v>
      </c>
      <c r="J1117" s="8">
        <f ca="1">J1102*Intv_BA!$M$2482/TS_Denom_Conv_Fact</f>
        <v>0</v>
      </c>
      <c r="K1117" s="8">
        <f ca="1">K1102*Intv_BA!$M$2482/TS_Denom_Conv_Fact</f>
        <v>0</v>
      </c>
      <c r="L1117" s="8">
        <f ca="1">L1102*Intv_BA!$M$2482/TS_Denom_Conv_Fact</f>
        <v>0</v>
      </c>
      <c r="M1117" s="8">
        <f ca="1">M1102*Intv_BA!$M$2482/TS_Denom_Conv_Fact</f>
        <v>0</v>
      </c>
      <c r="N1117" s="8">
        <f ca="1">N1102*Intv_BA!$M$2482/TS_Denom_Conv_Fact</f>
        <v>0</v>
      </c>
      <c r="O1117" s="8">
        <f ca="1">O1102*Intv_BA!$M$2482/TS_Denom_Conv_Fact</f>
        <v>0</v>
      </c>
    </row>
    <row r="1118" spans="3:15" s="327" customFormat="1" ht="12.95" customHeight="1" outlineLevel="2" x14ac:dyDescent="0.2">
      <c r="D1118" s="521" t="str">
        <f>Intv_BA!D2531</f>
        <v>Eastern</v>
      </c>
      <c r="J1118" s="8">
        <f ca="1">J1103*Intv_BA!$M$2482/TS_Denom_Conv_Fact</f>
        <v>0</v>
      </c>
      <c r="K1118" s="8">
        <f ca="1">K1103*Intv_BA!$M$2482/TS_Denom_Conv_Fact</f>
        <v>0</v>
      </c>
      <c r="L1118" s="8">
        <f ca="1">L1103*Intv_BA!$M$2482/TS_Denom_Conv_Fact</f>
        <v>0</v>
      </c>
      <c r="M1118" s="8">
        <f ca="1">M1103*Intv_BA!$M$2482/TS_Denom_Conv_Fact</f>
        <v>0</v>
      </c>
      <c r="N1118" s="8">
        <f ca="1">N1103*Intv_BA!$M$2482/TS_Denom_Conv_Fact</f>
        <v>0</v>
      </c>
      <c r="O1118" s="8">
        <f ca="1">O1103*Intv_BA!$M$2482/TS_Denom_Conv_Fact</f>
        <v>0</v>
      </c>
    </row>
    <row r="1119" spans="3:15" s="327" customFormat="1" ht="10.5" customHeight="1" outlineLevel="2" x14ac:dyDescent="0.2">
      <c r="D1119" s="521" t="str">
        <f>Intv_BA!D2532</f>
        <v>Luapula</v>
      </c>
      <c r="J1119" s="8">
        <f ca="1">J1104*Intv_BA!$M$2482/TS_Denom_Conv_Fact</f>
        <v>0</v>
      </c>
      <c r="K1119" s="8">
        <f ca="1">K1104*Intv_BA!$M$2482/TS_Denom_Conv_Fact</f>
        <v>0</v>
      </c>
      <c r="L1119" s="8">
        <f ca="1">L1104*Intv_BA!$M$2482/TS_Denom_Conv_Fact</f>
        <v>0</v>
      </c>
      <c r="M1119" s="8">
        <f ca="1">M1104*Intv_BA!$M$2482/TS_Denom_Conv_Fact</f>
        <v>0</v>
      </c>
      <c r="N1119" s="8">
        <f ca="1">N1104*Intv_BA!$M$2482/TS_Denom_Conv_Fact</f>
        <v>0</v>
      </c>
      <c r="O1119" s="8">
        <f ca="1">O1104*Intv_BA!$M$2482/TS_Denom_Conv_Fact</f>
        <v>0</v>
      </c>
    </row>
    <row r="1120" spans="3:15" s="327" customFormat="1" ht="10.5" customHeight="1" outlineLevel="2" x14ac:dyDescent="0.2">
      <c r="D1120" s="521" t="str">
        <f>Intv_BA!D2533</f>
        <v>Lusaka</v>
      </c>
      <c r="J1120" s="8">
        <f ca="1">J1105*Intv_BA!$M$2482/TS_Denom_Conv_Fact</f>
        <v>0</v>
      </c>
      <c r="K1120" s="8">
        <f ca="1">K1105*Intv_BA!$M$2482/TS_Denom_Conv_Fact</f>
        <v>0</v>
      </c>
      <c r="L1120" s="8">
        <f ca="1">L1105*Intv_BA!$M$2482/TS_Denom_Conv_Fact</f>
        <v>0</v>
      </c>
      <c r="M1120" s="8">
        <f ca="1">M1105*Intv_BA!$M$2482/TS_Denom_Conv_Fact</f>
        <v>0</v>
      </c>
      <c r="N1120" s="8">
        <f ca="1">N1105*Intv_BA!$M$2482/TS_Denom_Conv_Fact</f>
        <v>0</v>
      </c>
      <c r="O1120" s="8">
        <f ca="1">O1105*Intv_BA!$M$2482/TS_Denom_Conv_Fact</f>
        <v>0</v>
      </c>
    </row>
    <row r="1121" spans="4:15" s="327" customFormat="1" ht="12.75" customHeight="1" outlineLevel="2" x14ac:dyDescent="0.2">
      <c r="D1121" s="521" t="str">
        <f>Intv_BA!D2534</f>
        <v>Muchinga</v>
      </c>
      <c r="J1121" s="8">
        <f ca="1">J1106*Intv_BA!$M$2482/TS_Denom_Conv_Fact</f>
        <v>0</v>
      </c>
      <c r="K1121" s="8">
        <f ca="1">K1106*Intv_BA!$M$2482/TS_Denom_Conv_Fact</f>
        <v>0</v>
      </c>
      <c r="L1121" s="8">
        <f ca="1">L1106*Intv_BA!$M$2482/TS_Denom_Conv_Fact</f>
        <v>0</v>
      </c>
      <c r="M1121" s="8">
        <f ca="1">M1106*Intv_BA!$M$2482/TS_Denom_Conv_Fact</f>
        <v>0</v>
      </c>
      <c r="N1121" s="8">
        <f ca="1">N1106*Intv_BA!$M$2482/TS_Denom_Conv_Fact</f>
        <v>0</v>
      </c>
      <c r="O1121" s="8">
        <f ca="1">O1106*Intv_BA!$M$2482/TS_Denom_Conv_Fact</f>
        <v>0</v>
      </c>
    </row>
    <row r="1122" spans="4:15" s="327" customFormat="1" ht="12.75" customHeight="1" outlineLevel="2" x14ac:dyDescent="0.2">
      <c r="D1122" s="521" t="str">
        <f>Intv_BA!D2535</f>
        <v>Northern</v>
      </c>
      <c r="J1122" s="8">
        <f ca="1">J1107*Intv_BA!$M$2482/TS_Denom_Conv_Fact</f>
        <v>0</v>
      </c>
      <c r="K1122" s="8">
        <f ca="1">K1107*Intv_BA!$M$2482/TS_Denom_Conv_Fact</f>
        <v>0</v>
      </c>
      <c r="L1122" s="8">
        <f ca="1">L1107*Intv_BA!$M$2482/TS_Denom_Conv_Fact</f>
        <v>0</v>
      </c>
      <c r="M1122" s="8">
        <f ca="1">M1107*Intv_BA!$M$2482/TS_Denom_Conv_Fact</f>
        <v>0</v>
      </c>
      <c r="N1122" s="8">
        <f ca="1">N1107*Intv_BA!$M$2482/TS_Denom_Conv_Fact</f>
        <v>0</v>
      </c>
      <c r="O1122" s="8">
        <f ca="1">O1107*Intv_BA!$M$2482/TS_Denom_Conv_Fact</f>
        <v>0</v>
      </c>
    </row>
    <row r="1123" spans="4:15" s="327" customFormat="1" ht="12.75" customHeight="1" outlineLevel="2" x14ac:dyDescent="0.2">
      <c r="D1123" s="521" t="str">
        <f>Intv_BA!D2536</f>
        <v>North-Western</v>
      </c>
      <c r="J1123" s="8">
        <f ca="1">J1108*Intv_BA!$M$2482/TS_Denom_Conv_Fact</f>
        <v>0</v>
      </c>
      <c r="K1123" s="8">
        <f ca="1">K1108*Intv_BA!$M$2482/TS_Denom_Conv_Fact</f>
        <v>0</v>
      </c>
      <c r="L1123" s="8">
        <f ca="1">L1108*Intv_BA!$M$2482/TS_Denom_Conv_Fact</f>
        <v>0</v>
      </c>
      <c r="M1123" s="8">
        <f ca="1">M1108*Intv_BA!$M$2482/TS_Denom_Conv_Fact</f>
        <v>0</v>
      </c>
      <c r="N1123" s="8">
        <f ca="1">N1108*Intv_BA!$M$2482/TS_Denom_Conv_Fact</f>
        <v>0</v>
      </c>
      <c r="O1123" s="8">
        <f ca="1">O1108*Intv_BA!$M$2482/TS_Denom_Conv_Fact</f>
        <v>0</v>
      </c>
    </row>
    <row r="1124" spans="4:15" s="327" customFormat="1" ht="12.75" customHeight="1" outlineLevel="2" x14ac:dyDescent="0.2">
      <c r="D1124" s="521" t="str">
        <f>Intv_BA!D2537</f>
        <v>Southern</v>
      </c>
      <c r="J1124" s="8">
        <f ca="1">J1109*Intv_BA!$M$2482/TS_Denom_Conv_Fact</f>
        <v>0</v>
      </c>
      <c r="K1124" s="8">
        <f ca="1">K1109*Intv_BA!$M$2482/TS_Denom_Conv_Fact</f>
        <v>0</v>
      </c>
      <c r="L1124" s="8">
        <f ca="1">L1109*Intv_BA!$M$2482/TS_Denom_Conv_Fact</f>
        <v>0</v>
      </c>
      <c r="M1124" s="8">
        <f ca="1">M1109*Intv_BA!$M$2482/TS_Denom_Conv_Fact</f>
        <v>0</v>
      </c>
      <c r="N1124" s="8">
        <f ca="1">N1109*Intv_BA!$M$2482/TS_Denom_Conv_Fact</f>
        <v>0</v>
      </c>
      <c r="O1124" s="8">
        <f ca="1">O1109*Intv_BA!$M$2482/TS_Denom_Conv_Fact</f>
        <v>0</v>
      </c>
    </row>
    <row r="1125" spans="4:15" s="327" customFormat="1" ht="12.75" customHeight="1" outlineLevel="2" x14ac:dyDescent="0.2">
      <c r="D1125" s="521" t="str">
        <f>Intv_BA!D2538</f>
        <v>Western</v>
      </c>
      <c r="J1125" s="9">
        <f ca="1">J1110*Intv_BA!$M$2482/TS_Denom_Conv_Fact</f>
        <v>0</v>
      </c>
      <c r="K1125" s="9">
        <f ca="1">K1110*Intv_BA!$M$2482/TS_Denom_Conv_Fact</f>
        <v>0</v>
      </c>
      <c r="L1125" s="9">
        <f ca="1">L1110*Intv_BA!$M$2482/TS_Denom_Conv_Fact</f>
        <v>0</v>
      </c>
      <c r="M1125" s="9">
        <f ca="1">M1110*Intv_BA!$M$2482/TS_Denom_Conv_Fact</f>
        <v>0</v>
      </c>
      <c r="N1125" s="9">
        <f ca="1">N1110*Intv_BA!$M$2482/TS_Denom_Conv_Fact</f>
        <v>0</v>
      </c>
      <c r="O1125" s="9">
        <f ca="1">O1110*Intv_BA!$M$2482/TS_Denom_Conv_Fact</f>
        <v>0</v>
      </c>
    </row>
    <row r="1126" spans="4:15" s="327" customFormat="1" x14ac:dyDescent="0.2">
      <c r="D1126" s="520" t="str">
        <f>"Total "&amp;D1115&amp;" ("&amp;INDEX(LU_Intv_5_Denom,DD_TS_Denom)&amp;")"</f>
        <v>Total Supply Costs (USD)</v>
      </c>
      <c r="J1126" s="5">
        <f t="shared" ref="J1126:O1126" ca="1" si="107">SUM(J1116:J1125)</f>
        <v>0</v>
      </c>
      <c r="K1126" s="5">
        <f t="shared" ca="1" si="107"/>
        <v>0</v>
      </c>
      <c r="L1126" s="5">
        <f t="shared" ca="1" si="107"/>
        <v>0</v>
      </c>
      <c r="M1126" s="5">
        <f t="shared" ca="1" si="107"/>
        <v>0</v>
      </c>
      <c r="N1126" s="5">
        <f t="shared" ca="1" si="107"/>
        <v>0</v>
      </c>
      <c r="O1126" s="5">
        <f t="shared" ca="1" si="107"/>
        <v>0</v>
      </c>
    </row>
    <row r="1127" spans="4:15" s="327" customFormat="1" outlineLevel="2" x14ac:dyDescent="0.2"/>
    <row r="1128" spans="4:15" s="327" customFormat="1" ht="15" outlineLevel="2" x14ac:dyDescent="0.2">
      <c r="D1128" s="519" t="s">
        <v>288</v>
      </c>
    </row>
    <row r="1129" spans="4:15" s="327" customFormat="1" outlineLevel="2" x14ac:dyDescent="0.2">
      <c r="D1129" s="521" t="str">
        <f>Intv_BA!D2529</f>
        <v>Central</v>
      </c>
      <c r="J1129" s="8">
        <f ca="1">Intv_BA!$O$2444*J1101*J1020/TS_Denom_Conv_Fact</f>
        <v>0</v>
      </c>
      <c r="K1129" s="8">
        <f ca="1">Intv_BA!$O$2444*K1101*K1020/TS_Denom_Conv_Fact</f>
        <v>0</v>
      </c>
      <c r="L1129" s="8">
        <f ca="1">Intv_BA!$O$2444*L1101*L1020/TS_Denom_Conv_Fact</f>
        <v>0</v>
      </c>
      <c r="M1129" s="8">
        <f ca="1">Intv_BA!$O$2444*M1101*M1020/TS_Denom_Conv_Fact</f>
        <v>0</v>
      </c>
      <c r="N1129" s="8">
        <f ca="1">Intv_BA!$O$2444*N1101*N1020/TS_Denom_Conv_Fact</f>
        <v>0</v>
      </c>
      <c r="O1129" s="8">
        <f ca="1">Intv_BA!$O$2444*O1101*O1020/TS_Denom_Conv_Fact</f>
        <v>0</v>
      </c>
    </row>
    <row r="1130" spans="4:15" s="327" customFormat="1" outlineLevel="2" x14ac:dyDescent="0.2">
      <c r="D1130" s="521" t="str">
        <f>Intv_BA!D2530</f>
        <v>Copperbelt</v>
      </c>
      <c r="J1130" s="8">
        <f ca="1">Intv_BA!$O$2444*J1102*J1021/TS_Denom_Conv_Fact</f>
        <v>0</v>
      </c>
      <c r="K1130" s="8">
        <f ca="1">Intv_BA!$O$2444*K1102*K1021/TS_Denom_Conv_Fact</f>
        <v>0</v>
      </c>
      <c r="L1130" s="8">
        <f ca="1">Intv_BA!$O$2444*L1102*L1021/TS_Denom_Conv_Fact</f>
        <v>0</v>
      </c>
      <c r="M1130" s="8">
        <f ca="1">Intv_BA!$O$2444*M1102*M1021/TS_Denom_Conv_Fact</f>
        <v>0</v>
      </c>
      <c r="N1130" s="8">
        <f ca="1">Intv_BA!$O$2444*N1102*N1021/TS_Denom_Conv_Fact</f>
        <v>0</v>
      </c>
      <c r="O1130" s="8">
        <f ca="1">Intv_BA!$O$2444*O1102*O1021/TS_Denom_Conv_Fact</f>
        <v>0</v>
      </c>
    </row>
    <row r="1131" spans="4:15" s="327" customFormat="1" outlineLevel="2" x14ac:dyDescent="0.2">
      <c r="D1131" s="521" t="str">
        <f>Intv_BA!D2531</f>
        <v>Eastern</v>
      </c>
      <c r="J1131" s="8">
        <f ca="1">Intv_BA!$O$2444*J1103*J1022/TS_Denom_Conv_Fact</f>
        <v>0</v>
      </c>
      <c r="K1131" s="8">
        <f ca="1">Intv_BA!$O$2444*K1103*K1022/TS_Denom_Conv_Fact</f>
        <v>0</v>
      </c>
      <c r="L1131" s="8">
        <f ca="1">Intv_BA!$O$2444*L1103*L1022/TS_Denom_Conv_Fact</f>
        <v>0</v>
      </c>
      <c r="M1131" s="8">
        <f ca="1">Intv_BA!$O$2444*M1103*M1022/TS_Denom_Conv_Fact</f>
        <v>0</v>
      </c>
      <c r="N1131" s="8">
        <f ca="1">Intv_BA!$O$2444*N1103*N1022/TS_Denom_Conv_Fact</f>
        <v>0</v>
      </c>
      <c r="O1131" s="8">
        <f ca="1">Intv_BA!$O$2444*O1103*O1022/TS_Denom_Conv_Fact</f>
        <v>0</v>
      </c>
    </row>
    <row r="1132" spans="4:15" s="327" customFormat="1" outlineLevel="2" x14ac:dyDescent="0.2">
      <c r="D1132" s="521" t="str">
        <f>Intv_BA!D2532</f>
        <v>Luapula</v>
      </c>
      <c r="J1132" s="8">
        <f ca="1">Intv_BA!$O$2444*J1104*J1023/TS_Denom_Conv_Fact</f>
        <v>0</v>
      </c>
      <c r="K1132" s="8">
        <f ca="1">Intv_BA!$O$2444*K1104*K1023/TS_Denom_Conv_Fact</f>
        <v>0</v>
      </c>
      <c r="L1132" s="8">
        <f ca="1">Intv_BA!$O$2444*L1104*L1023/TS_Denom_Conv_Fact</f>
        <v>0</v>
      </c>
      <c r="M1132" s="8">
        <f ca="1">Intv_BA!$O$2444*M1104*M1023/TS_Denom_Conv_Fact</f>
        <v>0</v>
      </c>
      <c r="N1132" s="8">
        <f ca="1">Intv_BA!$O$2444*N1104*N1023/TS_Denom_Conv_Fact</f>
        <v>0</v>
      </c>
      <c r="O1132" s="8">
        <f ca="1">Intv_BA!$O$2444*O1104*O1023/TS_Denom_Conv_Fact</f>
        <v>0</v>
      </c>
    </row>
    <row r="1133" spans="4:15" s="327" customFormat="1" outlineLevel="2" x14ac:dyDescent="0.2">
      <c r="D1133" s="521" t="str">
        <f>Intv_BA!D2533</f>
        <v>Lusaka</v>
      </c>
      <c r="J1133" s="8">
        <f ca="1">Intv_BA!$O$2444*J1105*J1024/TS_Denom_Conv_Fact</f>
        <v>0</v>
      </c>
      <c r="K1133" s="8">
        <f ca="1">Intv_BA!$O$2444*K1105*K1024/TS_Denom_Conv_Fact</f>
        <v>0</v>
      </c>
      <c r="L1133" s="8">
        <f ca="1">Intv_BA!$O$2444*L1105*L1024/TS_Denom_Conv_Fact</f>
        <v>0</v>
      </c>
      <c r="M1133" s="8">
        <f ca="1">Intv_BA!$O$2444*M1105*M1024/TS_Denom_Conv_Fact</f>
        <v>0</v>
      </c>
      <c r="N1133" s="8">
        <f ca="1">Intv_BA!$O$2444*N1105*N1024/TS_Denom_Conv_Fact</f>
        <v>0</v>
      </c>
      <c r="O1133" s="8">
        <f ca="1">Intv_BA!$O$2444*O1105*O1024/TS_Denom_Conv_Fact</f>
        <v>0</v>
      </c>
    </row>
    <row r="1134" spans="4:15" s="327" customFormat="1" outlineLevel="2" x14ac:dyDescent="0.2">
      <c r="D1134" s="521" t="str">
        <f>Intv_BA!D2534</f>
        <v>Muchinga</v>
      </c>
      <c r="J1134" s="8">
        <f ca="1">Intv_BA!$O$2444*J1106*J1025/TS_Denom_Conv_Fact</f>
        <v>0</v>
      </c>
      <c r="K1134" s="8">
        <f ca="1">Intv_BA!$O$2444*K1106*K1025/TS_Denom_Conv_Fact</f>
        <v>0</v>
      </c>
      <c r="L1134" s="8">
        <f ca="1">Intv_BA!$O$2444*L1106*L1025/TS_Denom_Conv_Fact</f>
        <v>0</v>
      </c>
      <c r="M1134" s="8">
        <f ca="1">Intv_BA!$O$2444*M1106*M1025/TS_Denom_Conv_Fact</f>
        <v>0</v>
      </c>
      <c r="N1134" s="8">
        <f ca="1">Intv_BA!$O$2444*N1106*N1025/TS_Denom_Conv_Fact</f>
        <v>0</v>
      </c>
      <c r="O1134" s="8">
        <f ca="1">Intv_BA!$O$2444*O1106*O1025/TS_Denom_Conv_Fact</f>
        <v>0</v>
      </c>
    </row>
    <row r="1135" spans="4:15" s="327" customFormat="1" outlineLevel="2" x14ac:dyDescent="0.2">
      <c r="D1135" s="521" t="str">
        <f>Intv_BA!D2535</f>
        <v>Northern</v>
      </c>
      <c r="J1135" s="8">
        <f ca="1">Intv_BA!$O$2444*J1107*J1026/TS_Denom_Conv_Fact</f>
        <v>0</v>
      </c>
      <c r="K1135" s="8">
        <f ca="1">Intv_BA!$O$2444*K1107*K1026/TS_Denom_Conv_Fact</f>
        <v>0</v>
      </c>
      <c r="L1135" s="8">
        <f ca="1">Intv_BA!$O$2444*L1107*L1026/TS_Denom_Conv_Fact</f>
        <v>0</v>
      </c>
      <c r="M1135" s="8">
        <f ca="1">Intv_BA!$O$2444*M1107*M1026/TS_Denom_Conv_Fact</f>
        <v>0</v>
      </c>
      <c r="N1135" s="8">
        <f ca="1">Intv_BA!$O$2444*N1107*N1026/TS_Denom_Conv_Fact</f>
        <v>0</v>
      </c>
      <c r="O1135" s="8">
        <f ca="1">Intv_BA!$O$2444*O1107*O1026/TS_Denom_Conv_Fact</f>
        <v>0</v>
      </c>
    </row>
    <row r="1136" spans="4:15" s="327" customFormat="1" outlineLevel="2" x14ac:dyDescent="0.2">
      <c r="D1136" s="521" t="str">
        <f>Intv_BA!D2536</f>
        <v>North-Western</v>
      </c>
      <c r="J1136" s="8">
        <f ca="1">Intv_BA!$O$2444*J1108*J1027/TS_Denom_Conv_Fact</f>
        <v>0</v>
      </c>
      <c r="K1136" s="8">
        <f ca="1">Intv_BA!$O$2444*K1108*K1027/TS_Denom_Conv_Fact</f>
        <v>0</v>
      </c>
      <c r="L1136" s="8">
        <f ca="1">Intv_BA!$O$2444*L1108*L1027/TS_Denom_Conv_Fact</f>
        <v>0</v>
      </c>
      <c r="M1136" s="8">
        <f ca="1">Intv_BA!$O$2444*M1108*M1027/TS_Denom_Conv_Fact</f>
        <v>0</v>
      </c>
      <c r="N1136" s="8">
        <f ca="1">Intv_BA!$O$2444*N1108*N1027/TS_Denom_Conv_Fact</f>
        <v>0</v>
      </c>
      <c r="O1136" s="8">
        <f ca="1">Intv_BA!$O$2444*O1108*O1027/TS_Denom_Conv_Fact</f>
        <v>0</v>
      </c>
    </row>
    <row r="1137" spans="4:15" s="327" customFormat="1" outlineLevel="2" x14ac:dyDescent="0.2">
      <c r="D1137" s="521" t="str">
        <f>Intv_BA!D2537</f>
        <v>Southern</v>
      </c>
      <c r="J1137" s="8">
        <f ca="1">Intv_BA!$O$2444*J1109*J1028/TS_Denom_Conv_Fact</f>
        <v>0</v>
      </c>
      <c r="K1137" s="8">
        <f ca="1">Intv_BA!$O$2444*K1109*K1028/TS_Denom_Conv_Fact</f>
        <v>0</v>
      </c>
      <c r="L1137" s="8">
        <f ca="1">Intv_BA!$O$2444*L1109*L1028/TS_Denom_Conv_Fact</f>
        <v>0</v>
      </c>
      <c r="M1137" s="8">
        <f ca="1">Intv_BA!$O$2444*M1109*M1028/TS_Denom_Conv_Fact</f>
        <v>0</v>
      </c>
      <c r="N1137" s="8">
        <f ca="1">Intv_BA!$O$2444*N1109*N1028/TS_Denom_Conv_Fact</f>
        <v>0</v>
      </c>
      <c r="O1137" s="8">
        <f ca="1">Intv_BA!$O$2444*O1109*O1028/TS_Denom_Conv_Fact</f>
        <v>0</v>
      </c>
    </row>
    <row r="1138" spans="4:15" s="327" customFormat="1" outlineLevel="2" x14ac:dyDescent="0.2">
      <c r="D1138" s="521" t="str">
        <f>Intv_BA!D2538</f>
        <v>Western</v>
      </c>
      <c r="J1138" s="9">
        <f ca="1">Intv_BA!$O$2444*J1110*J1029/TS_Denom_Conv_Fact</f>
        <v>0</v>
      </c>
      <c r="K1138" s="9">
        <f ca="1">Intv_BA!$O$2444*K1110*K1029/TS_Denom_Conv_Fact</f>
        <v>0</v>
      </c>
      <c r="L1138" s="9">
        <f ca="1">Intv_BA!$O$2444*L1110*L1029/TS_Denom_Conv_Fact</f>
        <v>0</v>
      </c>
      <c r="M1138" s="9">
        <f ca="1">Intv_BA!$O$2444*M1110*M1029/TS_Denom_Conv_Fact</f>
        <v>0</v>
      </c>
      <c r="N1138" s="9">
        <f ca="1">Intv_BA!$O$2444*N1110*N1029/TS_Denom_Conv_Fact</f>
        <v>0</v>
      </c>
      <c r="O1138" s="9">
        <f ca="1">Intv_BA!$O$2444*O1110*O1029/TS_Denom_Conv_Fact</f>
        <v>0</v>
      </c>
    </row>
    <row r="1139" spans="4:15" s="327" customFormat="1" x14ac:dyDescent="0.2">
      <c r="D1139" s="520" t="str">
        <f>"Total "&amp;D1128&amp;" ("&amp;INDEX(LU_Intv_5_Denom,DD_TS_Denom)&amp;")"</f>
        <v>Total Personnel Costs (Hospital) (USD)</v>
      </c>
      <c r="J1139" s="5">
        <f t="shared" ref="J1139:O1139" ca="1" si="108">SUM(J1129:J1138)</f>
        <v>0</v>
      </c>
      <c r="K1139" s="5">
        <f t="shared" ca="1" si="108"/>
        <v>0</v>
      </c>
      <c r="L1139" s="5">
        <f t="shared" ca="1" si="108"/>
        <v>0</v>
      </c>
      <c r="M1139" s="5">
        <f t="shared" ca="1" si="108"/>
        <v>0</v>
      </c>
      <c r="N1139" s="5">
        <f t="shared" ca="1" si="108"/>
        <v>0</v>
      </c>
      <c r="O1139" s="5">
        <f t="shared" ca="1" si="108"/>
        <v>0</v>
      </c>
    </row>
    <row r="1140" spans="4:15" s="327" customFormat="1" outlineLevel="2" x14ac:dyDescent="0.2"/>
    <row r="1141" spans="4:15" s="327" customFormat="1" ht="15" outlineLevel="2" x14ac:dyDescent="0.2">
      <c r="D1141" s="519" t="s">
        <v>115</v>
      </c>
    </row>
    <row r="1142" spans="4:15" s="327" customFormat="1" outlineLevel="2" x14ac:dyDescent="0.2">
      <c r="D1142" s="521" t="str">
        <f>Intv_BA!D2529</f>
        <v>Central</v>
      </c>
      <c r="J1142" s="8">
        <f ca="1">Intv_BA!$O$2458*J1101*(1-J1020)/TS_Denom_Conv_Fact</f>
        <v>0</v>
      </c>
      <c r="K1142" s="8">
        <f ca="1">Intv_BA!$O$2458*K1101*(1-K1020)/TS_Denom_Conv_Fact</f>
        <v>0</v>
      </c>
      <c r="L1142" s="8">
        <f ca="1">Intv_BA!$O$2458*L1101*(1-L1020)/TS_Denom_Conv_Fact</f>
        <v>0</v>
      </c>
      <c r="M1142" s="8">
        <f ca="1">Intv_BA!$O$2458*M1101*(1-M1020)/TS_Denom_Conv_Fact</f>
        <v>0</v>
      </c>
      <c r="N1142" s="8">
        <f ca="1">Intv_BA!$O$2458*N1101*(1-N1020)/TS_Denom_Conv_Fact</f>
        <v>0</v>
      </c>
      <c r="O1142" s="8">
        <f ca="1">Intv_BA!$O$2458*O1101*(1-O1020)/TS_Denom_Conv_Fact</f>
        <v>0</v>
      </c>
    </row>
    <row r="1143" spans="4:15" s="327" customFormat="1" outlineLevel="2" x14ac:dyDescent="0.2">
      <c r="D1143" s="521" t="str">
        <f>Intv_BA!D2530</f>
        <v>Copperbelt</v>
      </c>
      <c r="J1143" s="8">
        <f ca="1">Intv_BA!$O$2458*J1102*(1-J1021)/TS_Denom_Conv_Fact</f>
        <v>0</v>
      </c>
      <c r="K1143" s="8">
        <f ca="1">Intv_BA!$O$2458*K1102*(1-K1021)/TS_Denom_Conv_Fact</f>
        <v>0</v>
      </c>
      <c r="L1143" s="8">
        <f ca="1">Intv_BA!$O$2458*L1102*(1-L1021)/TS_Denom_Conv_Fact</f>
        <v>0</v>
      </c>
      <c r="M1143" s="8">
        <f ca="1">Intv_BA!$O$2458*M1102*(1-M1021)/TS_Denom_Conv_Fact</f>
        <v>0</v>
      </c>
      <c r="N1143" s="8">
        <f ca="1">Intv_BA!$O$2458*N1102*(1-N1021)/TS_Denom_Conv_Fact</f>
        <v>0</v>
      </c>
      <c r="O1143" s="8">
        <f ca="1">Intv_BA!$O$2458*O1102*(1-O1021)/TS_Denom_Conv_Fact</f>
        <v>0</v>
      </c>
    </row>
    <row r="1144" spans="4:15" s="327" customFormat="1" outlineLevel="2" x14ac:dyDescent="0.2">
      <c r="D1144" s="521" t="str">
        <f>Intv_BA!D2531</f>
        <v>Eastern</v>
      </c>
      <c r="J1144" s="8">
        <f ca="1">Intv_BA!$O$2458*J1103*(1-J1022)/TS_Denom_Conv_Fact</f>
        <v>0</v>
      </c>
      <c r="K1144" s="8">
        <f ca="1">Intv_BA!$O$2458*K1103*(1-K1022)/TS_Denom_Conv_Fact</f>
        <v>0</v>
      </c>
      <c r="L1144" s="8">
        <f ca="1">Intv_BA!$O$2458*L1103*(1-L1022)/TS_Denom_Conv_Fact</f>
        <v>0</v>
      </c>
      <c r="M1144" s="8">
        <f ca="1">Intv_BA!$O$2458*M1103*(1-M1022)/TS_Denom_Conv_Fact</f>
        <v>0</v>
      </c>
      <c r="N1144" s="8">
        <f ca="1">Intv_BA!$O$2458*N1103*(1-N1022)/TS_Denom_Conv_Fact</f>
        <v>0</v>
      </c>
      <c r="O1144" s="8">
        <f ca="1">Intv_BA!$O$2458*O1103*(1-O1022)/TS_Denom_Conv_Fact</f>
        <v>0</v>
      </c>
    </row>
    <row r="1145" spans="4:15" s="327" customFormat="1" outlineLevel="2" x14ac:dyDescent="0.2">
      <c r="D1145" s="521" t="str">
        <f>Intv_BA!D2532</f>
        <v>Luapula</v>
      </c>
      <c r="J1145" s="8">
        <f ca="1">Intv_BA!$O$2458*J1104*(1-J1023)/TS_Denom_Conv_Fact</f>
        <v>0</v>
      </c>
      <c r="K1145" s="8">
        <f ca="1">Intv_BA!$O$2458*K1104*(1-K1023)/TS_Denom_Conv_Fact</f>
        <v>0</v>
      </c>
      <c r="L1145" s="8">
        <f ca="1">Intv_BA!$O$2458*L1104*(1-L1023)/TS_Denom_Conv_Fact</f>
        <v>0</v>
      </c>
      <c r="M1145" s="8">
        <f ca="1">Intv_BA!$O$2458*M1104*(1-M1023)/TS_Denom_Conv_Fact</f>
        <v>0</v>
      </c>
      <c r="N1145" s="8">
        <f ca="1">Intv_BA!$O$2458*N1104*(1-N1023)/TS_Denom_Conv_Fact</f>
        <v>0</v>
      </c>
      <c r="O1145" s="8">
        <f ca="1">Intv_BA!$O$2458*O1104*(1-O1023)/TS_Denom_Conv_Fact</f>
        <v>0</v>
      </c>
    </row>
    <row r="1146" spans="4:15" s="327" customFormat="1" outlineLevel="2" x14ac:dyDescent="0.2">
      <c r="D1146" s="521" t="str">
        <f>Intv_BA!D2533</f>
        <v>Lusaka</v>
      </c>
      <c r="J1146" s="8">
        <f ca="1">Intv_BA!$O$2458*J1105*(1-J1024)/TS_Denom_Conv_Fact</f>
        <v>0</v>
      </c>
      <c r="K1146" s="8">
        <f ca="1">Intv_BA!$O$2458*K1105*(1-K1024)/TS_Denom_Conv_Fact</f>
        <v>0</v>
      </c>
      <c r="L1146" s="8">
        <f ca="1">Intv_BA!$O$2458*L1105*(1-L1024)/TS_Denom_Conv_Fact</f>
        <v>0</v>
      </c>
      <c r="M1146" s="8">
        <f ca="1">Intv_BA!$O$2458*M1105*(1-M1024)/TS_Denom_Conv_Fact</f>
        <v>0</v>
      </c>
      <c r="N1146" s="8">
        <f ca="1">Intv_BA!$O$2458*N1105*(1-N1024)/TS_Denom_Conv_Fact</f>
        <v>0</v>
      </c>
      <c r="O1146" s="8">
        <f ca="1">Intv_BA!$O$2458*O1105*(1-O1024)/TS_Denom_Conv_Fact</f>
        <v>0</v>
      </c>
    </row>
    <row r="1147" spans="4:15" s="327" customFormat="1" outlineLevel="2" x14ac:dyDescent="0.2">
      <c r="D1147" s="521" t="str">
        <f>Intv_BA!D2534</f>
        <v>Muchinga</v>
      </c>
      <c r="J1147" s="8">
        <f ca="1">Intv_BA!$O$2458*J1106*(1-J1025)/TS_Denom_Conv_Fact</f>
        <v>0</v>
      </c>
      <c r="K1147" s="8">
        <f ca="1">Intv_BA!$O$2458*K1106*(1-K1025)/TS_Denom_Conv_Fact</f>
        <v>0</v>
      </c>
      <c r="L1147" s="8">
        <f ca="1">Intv_BA!$O$2458*L1106*(1-L1025)/TS_Denom_Conv_Fact</f>
        <v>0</v>
      </c>
      <c r="M1147" s="8">
        <f ca="1">Intv_BA!$O$2458*M1106*(1-M1025)/TS_Denom_Conv_Fact</f>
        <v>0</v>
      </c>
      <c r="N1147" s="8">
        <f ca="1">Intv_BA!$O$2458*N1106*(1-N1025)/TS_Denom_Conv_Fact</f>
        <v>0</v>
      </c>
      <c r="O1147" s="8">
        <f ca="1">Intv_BA!$O$2458*O1106*(1-O1025)/TS_Denom_Conv_Fact</f>
        <v>0</v>
      </c>
    </row>
    <row r="1148" spans="4:15" s="327" customFormat="1" outlineLevel="2" x14ac:dyDescent="0.2">
      <c r="D1148" s="521" t="str">
        <f>Intv_BA!D2535</f>
        <v>Northern</v>
      </c>
      <c r="J1148" s="8">
        <f ca="1">Intv_BA!$O$2458*J1107*(1-J1026)/TS_Denom_Conv_Fact</f>
        <v>0</v>
      </c>
      <c r="K1148" s="8">
        <f ca="1">Intv_BA!$O$2458*K1107*(1-K1026)/TS_Denom_Conv_Fact</f>
        <v>0</v>
      </c>
      <c r="L1148" s="8">
        <f ca="1">Intv_BA!$O$2458*L1107*(1-L1026)/TS_Denom_Conv_Fact</f>
        <v>0</v>
      </c>
      <c r="M1148" s="8">
        <f ca="1">Intv_BA!$O$2458*M1107*(1-M1026)/TS_Denom_Conv_Fact</f>
        <v>0</v>
      </c>
      <c r="N1148" s="8">
        <f ca="1">Intv_BA!$O$2458*N1107*(1-N1026)/TS_Denom_Conv_Fact</f>
        <v>0</v>
      </c>
      <c r="O1148" s="8">
        <f ca="1">Intv_BA!$O$2458*O1107*(1-O1026)/TS_Denom_Conv_Fact</f>
        <v>0</v>
      </c>
    </row>
    <row r="1149" spans="4:15" s="327" customFormat="1" outlineLevel="2" x14ac:dyDescent="0.2">
      <c r="D1149" s="521" t="str">
        <f>Intv_BA!D2536</f>
        <v>North-Western</v>
      </c>
      <c r="J1149" s="8">
        <f ca="1">Intv_BA!$O$2458*J1108*(1-J1027)/TS_Denom_Conv_Fact</f>
        <v>0</v>
      </c>
      <c r="K1149" s="8">
        <f ca="1">Intv_BA!$O$2458*K1108*(1-K1027)/TS_Denom_Conv_Fact</f>
        <v>0</v>
      </c>
      <c r="L1149" s="8">
        <f ca="1">Intv_BA!$O$2458*L1108*(1-L1027)/TS_Denom_Conv_Fact</f>
        <v>0</v>
      </c>
      <c r="M1149" s="8">
        <f ca="1">Intv_BA!$O$2458*M1108*(1-M1027)/TS_Denom_Conv_Fact</f>
        <v>0</v>
      </c>
      <c r="N1149" s="8">
        <f ca="1">Intv_BA!$O$2458*N1108*(1-N1027)/TS_Denom_Conv_Fact</f>
        <v>0</v>
      </c>
      <c r="O1149" s="8">
        <f ca="1">Intv_BA!$O$2458*O1108*(1-O1027)/TS_Denom_Conv_Fact</f>
        <v>0</v>
      </c>
    </row>
    <row r="1150" spans="4:15" s="327" customFormat="1" outlineLevel="2" x14ac:dyDescent="0.2">
      <c r="D1150" s="521" t="str">
        <f>Intv_BA!D2537</f>
        <v>Southern</v>
      </c>
      <c r="J1150" s="8">
        <f ca="1">Intv_BA!$O$2458*J1109*(1-J1028)/TS_Denom_Conv_Fact</f>
        <v>0</v>
      </c>
      <c r="K1150" s="8">
        <f ca="1">Intv_BA!$O$2458*K1109*(1-K1028)/TS_Denom_Conv_Fact</f>
        <v>0</v>
      </c>
      <c r="L1150" s="8">
        <f ca="1">Intv_BA!$O$2458*L1109*(1-L1028)/TS_Denom_Conv_Fact</f>
        <v>0</v>
      </c>
      <c r="M1150" s="8">
        <f ca="1">Intv_BA!$O$2458*M1109*(1-M1028)/TS_Denom_Conv_Fact</f>
        <v>0</v>
      </c>
      <c r="N1150" s="8">
        <f ca="1">Intv_BA!$O$2458*N1109*(1-N1028)/TS_Denom_Conv_Fact</f>
        <v>0</v>
      </c>
      <c r="O1150" s="8">
        <f ca="1">Intv_BA!$O$2458*O1109*(1-O1028)/TS_Denom_Conv_Fact</f>
        <v>0</v>
      </c>
    </row>
    <row r="1151" spans="4:15" s="327" customFormat="1" outlineLevel="2" x14ac:dyDescent="0.2">
      <c r="D1151" s="521" t="str">
        <f>Intv_BA!D2538</f>
        <v>Western</v>
      </c>
      <c r="J1151" s="9">
        <f ca="1">Intv_BA!$O$2458*J1110*(1-J1029)/TS_Denom_Conv_Fact</f>
        <v>0</v>
      </c>
      <c r="K1151" s="9">
        <f ca="1">Intv_BA!$O$2458*K1110*(1-K1029)/TS_Denom_Conv_Fact</f>
        <v>0</v>
      </c>
      <c r="L1151" s="9">
        <f ca="1">Intv_BA!$O$2458*L1110*(1-L1029)/TS_Denom_Conv_Fact</f>
        <v>0</v>
      </c>
      <c r="M1151" s="9">
        <f ca="1">Intv_BA!$O$2458*M1110*(1-M1029)/TS_Denom_Conv_Fact</f>
        <v>0</v>
      </c>
      <c r="N1151" s="9">
        <f ca="1">Intv_BA!$O$2458*N1110*(1-N1029)/TS_Denom_Conv_Fact</f>
        <v>0</v>
      </c>
      <c r="O1151" s="9">
        <f ca="1">Intv_BA!$O$2458*O1110*(1-O1029)/TS_Denom_Conv_Fact</f>
        <v>0</v>
      </c>
    </row>
    <row r="1152" spans="4:15" s="327" customFormat="1" x14ac:dyDescent="0.2">
      <c r="D1152" s="520" t="str">
        <f>"Total "&amp;D1141&amp;" ("&amp;INDEX(LU_Intv_5_Denom,DD_TS_Denom)&amp;")"</f>
        <v>Total Personnel Costs (Other) (USD)</v>
      </c>
      <c r="J1152" s="5">
        <f t="shared" ref="J1152:O1152" ca="1" si="109">SUM(J1142:J1151)</f>
        <v>0</v>
      </c>
      <c r="K1152" s="5">
        <f t="shared" ca="1" si="109"/>
        <v>0</v>
      </c>
      <c r="L1152" s="5">
        <f t="shared" ca="1" si="109"/>
        <v>0</v>
      </c>
      <c r="M1152" s="5">
        <f t="shared" ca="1" si="109"/>
        <v>0</v>
      </c>
      <c r="N1152" s="5">
        <f t="shared" ca="1" si="109"/>
        <v>0</v>
      </c>
      <c r="O1152" s="5">
        <f t="shared" ca="1" si="109"/>
        <v>0</v>
      </c>
    </row>
    <row r="1153" spans="4:15" s="327" customFormat="1" outlineLevel="2" x14ac:dyDescent="0.2"/>
    <row r="1154" spans="4:15" s="327" customFormat="1" ht="15" outlineLevel="2" x14ac:dyDescent="0.2">
      <c r="D1154" s="519" t="s">
        <v>143</v>
      </c>
    </row>
    <row r="1155" spans="4:15" s="327" customFormat="1" outlineLevel="2" x14ac:dyDescent="0.2">
      <c r="D1155" s="521" t="str">
        <f>Intv_BA!D2529</f>
        <v>Central</v>
      </c>
      <c r="J1155" s="8">
        <f ca="1">J1101*Intv_BA!$M$2519/TS_Denom_Conv_Fact</f>
        <v>0</v>
      </c>
      <c r="K1155" s="8">
        <f ca="1">K1101*Intv_BA!$M$2519/TS_Denom_Conv_Fact</f>
        <v>0</v>
      </c>
      <c r="L1155" s="8">
        <f ca="1">L1101*Intv_BA!$M$2519/TS_Denom_Conv_Fact</f>
        <v>0</v>
      </c>
      <c r="M1155" s="8">
        <f ca="1">M1101*Intv_BA!$M$2519/TS_Denom_Conv_Fact</f>
        <v>0</v>
      </c>
      <c r="N1155" s="8">
        <f ca="1">N1101*Intv_BA!$M$2519/TS_Denom_Conv_Fact</f>
        <v>0</v>
      </c>
      <c r="O1155" s="8">
        <f ca="1">O1101*Intv_BA!$M$2519/TS_Denom_Conv_Fact</f>
        <v>0</v>
      </c>
    </row>
    <row r="1156" spans="4:15" s="327" customFormat="1" outlineLevel="2" x14ac:dyDescent="0.2">
      <c r="D1156" s="521" t="str">
        <f>Intv_BA!D2530</f>
        <v>Copperbelt</v>
      </c>
      <c r="J1156" s="8">
        <f ca="1">J1102*Intv_BA!$M$2519/TS_Denom_Conv_Fact</f>
        <v>0</v>
      </c>
      <c r="K1156" s="8">
        <f ca="1">K1102*Intv_BA!$M$2519/TS_Denom_Conv_Fact</f>
        <v>0</v>
      </c>
      <c r="L1156" s="8">
        <f ca="1">L1102*Intv_BA!$M$2519/TS_Denom_Conv_Fact</f>
        <v>0</v>
      </c>
      <c r="M1156" s="8">
        <f ca="1">M1102*Intv_BA!$M$2519/TS_Denom_Conv_Fact</f>
        <v>0</v>
      </c>
      <c r="N1156" s="8">
        <f ca="1">N1102*Intv_BA!$M$2519/TS_Denom_Conv_Fact</f>
        <v>0</v>
      </c>
      <c r="O1156" s="8">
        <f ca="1">O1102*Intv_BA!$M$2519/TS_Denom_Conv_Fact</f>
        <v>0</v>
      </c>
    </row>
    <row r="1157" spans="4:15" s="327" customFormat="1" outlineLevel="2" x14ac:dyDescent="0.2">
      <c r="D1157" s="521" t="str">
        <f>Intv_BA!D2531</f>
        <v>Eastern</v>
      </c>
      <c r="J1157" s="8">
        <f ca="1">J1103*Intv_BA!$M$2519/TS_Denom_Conv_Fact</f>
        <v>0</v>
      </c>
      <c r="K1157" s="8">
        <f ca="1">K1103*Intv_BA!$M$2519/TS_Denom_Conv_Fact</f>
        <v>0</v>
      </c>
      <c r="L1157" s="8">
        <f ca="1">L1103*Intv_BA!$M$2519/TS_Denom_Conv_Fact</f>
        <v>0</v>
      </c>
      <c r="M1157" s="8">
        <f ca="1">M1103*Intv_BA!$M$2519/TS_Denom_Conv_Fact</f>
        <v>0</v>
      </c>
      <c r="N1157" s="8">
        <f ca="1">N1103*Intv_BA!$M$2519/TS_Denom_Conv_Fact</f>
        <v>0</v>
      </c>
      <c r="O1157" s="8">
        <f ca="1">O1103*Intv_BA!$M$2519/TS_Denom_Conv_Fact</f>
        <v>0</v>
      </c>
    </row>
    <row r="1158" spans="4:15" s="327" customFormat="1" outlineLevel="2" x14ac:dyDescent="0.2">
      <c r="D1158" s="521" t="str">
        <f>Intv_BA!D2532</f>
        <v>Luapula</v>
      </c>
      <c r="J1158" s="8">
        <f ca="1">J1104*Intv_BA!$M$2519/TS_Denom_Conv_Fact</f>
        <v>0</v>
      </c>
      <c r="K1158" s="8">
        <f ca="1">K1104*Intv_BA!$M$2519/TS_Denom_Conv_Fact</f>
        <v>0</v>
      </c>
      <c r="L1158" s="8">
        <f ca="1">L1104*Intv_BA!$M$2519/TS_Denom_Conv_Fact</f>
        <v>0</v>
      </c>
      <c r="M1158" s="8">
        <f ca="1">M1104*Intv_BA!$M$2519/TS_Denom_Conv_Fact</f>
        <v>0</v>
      </c>
      <c r="N1158" s="8">
        <f ca="1">N1104*Intv_BA!$M$2519/TS_Denom_Conv_Fact</f>
        <v>0</v>
      </c>
      <c r="O1158" s="8">
        <f ca="1">O1104*Intv_BA!$M$2519/TS_Denom_Conv_Fact</f>
        <v>0</v>
      </c>
    </row>
    <row r="1159" spans="4:15" s="327" customFormat="1" outlineLevel="2" x14ac:dyDescent="0.2">
      <c r="D1159" s="521" t="str">
        <f>Intv_BA!D2533</f>
        <v>Lusaka</v>
      </c>
      <c r="J1159" s="8">
        <f ca="1">J1105*Intv_BA!$M$2519/TS_Denom_Conv_Fact</f>
        <v>0</v>
      </c>
      <c r="K1159" s="8">
        <f ca="1">K1105*Intv_BA!$M$2519/TS_Denom_Conv_Fact</f>
        <v>0</v>
      </c>
      <c r="L1159" s="8">
        <f ca="1">L1105*Intv_BA!$M$2519/TS_Denom_Conv_Fact</f>
        <v>0</v>
      </c>
      <c r="M1159" s="8">
        <f ca="1">M1105*Intv_BA!$M$2519/TS_Denom_Conv_Fact</f>
        <v>0</v>
      </c>
      <c r="N1159" s="8">
        <f ca="1">N1105*Intv_BA!$M$2519/TS_Denom_Conv_Fact</f>
        <v>0</v>
      </c>
      <c r="O1159" s="8">
        <f ca="1">O1105*Intv_BA!$M$2519/TS_Denom_Conv_Fact</f>
        <v>0</v>
      </c>
    </row>
    <row r="1160" spans="4:15" s="327" customFormat="1" outlineLevel="2" x14ac:dyDescent="0.2">
      <c r="D1160" s="521" t="str">
        <f>Intv_BA!D2534</f>
        <v>Muchinga</v>
      </c>
      <c r="J1160" s="8">
        <f ca="1">J1106*Intv_BA!$M$2519/TS_Denom_Conv_Fact</f>
        <v>0</v>
      </c>
      <c r="K1160" s="8">
        <f ca="1">K1106*Intv_BA!$M$2519/TS_Denom_Conv_Fact</f>
        <v>0</v>
      </c>
      <c r="L1160" s="8">
        <f ca="1">L1106*Intv_BA!$M$2519/TS_Denom_Conv_Fact</f>
        <v>0</v>
      </c>
      <c r="M1160" s="8">
        <f ca="1">M1106*Intv_BA!$M$2519/TS_Denom_Conv_Fact</f>
        <v>0</v>
      </c>
      <c r="N1160" s="8">
        <f ca="1">N1106*Intv_BA!$M$2519/TS_Denom_Conv_Fact</f>
        <v>0</v>
      </c>
      <c r="O1160" s="8">
        <f ca="1">O1106*Intv_BA!$M$2519/TS_Denom_Conv_Fact</f>
        <v>0</v>
      </c>
    </row>
    <row r="1161" spans="4:15" s="327" customFormat="1" outlineLevel="2" x14ac:dyDescent="0.2">
      <c r="D1161" s="521" t="str">
        <f>Intv_BA!D2535</f>
        <v>Northern</v>
      </c>
      <c r="J1161" s="8">
        <f ca="1">J1107*Intv_BA!$M$2519/TS_Denom_Conv_Fact</f>
        <v>0</v>
      </c>
      <c r="K1161" s="8">
        <f ca="1">K1107*Intv_BA!$M$2519/TS_Denom_Conv_Fact</f>
        <v>0</v>
      </c>
      <c r="L1161" s="8">
        <f ca="1">L1107*Intv_BA!$M$2519/TS_Denom_Conv_Fact</f>
        <v>0</v>
      </c>
      <c r="M1161" s="8">
        <f ca="1">M1107*Intv_BA!$M$2519/TS_Denom_Conv_Fact</f>
        <v>0</v>
      </c>
      <c r="N1161" s="8">
        <f ca="1">N1107*Intv_BA!$M$2519/TS_Denom_Conv_Fact</f>
        <v>0</v>
      </c>
      <c r="O1161" s="8">
        <f ca="1">O1107*Intv_BA!$M$2519/TS_Denom_Conv_Fact</f>
        <v>0</v>
      </c>
    </row>
    <row r="1162" spans="4:15" s="327" customFormat="1" outlineLevel="2" x14ac:dyDescent="0.2">
      <c r="D1162" s="521" t="str">
        <f>Intv_BA!D2536</f>
        <v>North-Western</v>
      </c>
      <c r="J1162" s="8">
        <f ca="1">J1108*Intv_BA!$M$2519/TS_Denom_Conv_Fact</f>
        <v>0</v>
      </c>
      <c r="K1162" s="8">
        <f ca="1">K1108*Intv_BA!$M$2519/TS_Denom_Conv_Fact</f>
        <v>0</v>
      </c>
      <c r="L1162" s="8">
        <f ca="1">L1108*Intv_BA!$M$2519/TS_Denom_Conv_Fact</f>
        <v>0</v>
      </c>
      <c r="M1162" s="8">
        <f ca="1">M1108*Intv_BA!$M$2519/TS_Denom_Conv_Fact</f>
        <v>0</v>
      </c>
      <c r="N1162" s="8">
        <f ca="1">N1108*Intv_BA!$M$2519/TS_Denom_Conv_Fact</f>
        <v>0</v>
      </c>
      <c r="O1162" s="8">
        <f ca="1">O1108*Intv_BA!$M$2519/TS_Denom_Conv_Fact</f>
        <v>0</v>
      </c>
    </row>
    <row r="1163" spans="4:15" s="327" customFormat="1" outlineLevel="2" x14ac:dyDescent="0.2">
      <c r="D1163" s="521" t="str">
        <f>Intv_BA!D2537</f>
        <v>Southern</v>
      </c>
      <c r="J1163" s="8">
        <f ca="1">J1109*Intv_BA!$M$2519/TS_Denom_Conv_Fact</f>
        <v>0</v>
      </c>
      <c r="K1163" s="8">
        <f ca="1">K1109*Intv_BA!$M$2519/TS_Denom_Conv_Fact</f>
        <v>0</v>
      </c>
      <c r="L1163" s="8">
        <f ca="1">L1109*Intv_BA!$M$2519/TS_Denom_Conv_Fact</f>
        <v>0</v>
      </c>
      <c r="M1163" s="8">
        <f ca="1">M1109*Intv_BA!$M$2519/TS_Denom_Conv_Fact</f>
        <v>0</v>
      </c>
      <c r="N1163" s="8">
        <f ca="1">N1109*Intv_BA!$M$2519/TS_Denom_Conv_Fact</f>
        <v>0</v>
      </c>
      <c r="O1163" s="8">
        <f ca="1">O1109*Intv_BA!$M$2519/TS_Denom_Conv_Fact</f>
        <v>0</v>
      </c>
    </row>
    <row r="1164" spans="4:15" s="327" customFormat="1" outlineLevel="2" x14ac:dyDescent="0.2">
      <c r="D1164" s="521" t="str">
        <f>Intv_BA!D2538</f>
        <v>Western</v>
      </c>
      <c r="J1164" s="9">
        <f ca="1">J1110*Intv_BA!$M$2519/TS_Denom_Conv_Fact</f>
        <v>0</v>
      </c>
      <c r="K1164" s="9">
        <f ca="1">K1110*Intv_BA!$M$2519/TS_Denom_Conv_Fact</f>
        <v>0</v>
      </c>
      <c r="L1164" s="9">
        <f ca="1">L1110*Intv_BA!$M$2519/TS_Denom_Conv_Fact</f>
        <v>0</v>
      </c>
      <c r="M1164" s="9">
        <f ca="1">M1110*Intv_BA!$M$2519/TS_Denom_Conv_Fact</f>
        <v>0</v>
      </c>
      <c r="N1164" s="9">
        <f ca="1">N1110*Intv_BA!$M$2519/TS_Denom_Conv_Fact</f>
        <v>0</v>
      </c>
      <c r="O1164" s="9">
        <f ca="1">O1110*Intv_BA!$M$2519/TS_Denom_Conv_Fact</f>
        <v>0</v>
      </c>
    </row>
    <row r="1165" spans="4:15" s="327" customFormat="1" x14ac:dyDescent="0.2">
      <c r="D1165" s="520" t="str">
        <f>"Total "&amp;D1154&amp;" ("&amp;INDEX(LU_Intv_5_Denom,DD_TS_Denom)&amp;")"</f>
        <v>Total Other Direct Costs (Lab Tests) (USD)</v>
      </c>
      <c r="J1165" s="5">
        <f t="shared" ref="J1165:O1165" ca="1" si="110">SUM(J1155:J1164)</f>
        <v>0</v>
      </c>
      <c r="K1165" s="5">
        <f t="shared" ca="1" si="110"/>
        <v>0</v>
      </c>
      <c r="L1165" s="5">
        <f t="shared" ca="1" si="110"/>
        <v>0</v>
      </c>
      <c r="M1165" s="5">
        <f t="shared" ca="1" si="110"/>
        <v>0</v>
      </c>
      <c r="N1165" s="5">
        <f t="shared" ca="1" si="110"/>
        <v>0</v>
      </c>
      <c r="O1165" s="5">
        <f t="shared" ca="1" si="110"/>
        <v>0</v>
      </c>
    </row>
    <row r="1166" spans="4:15" s="327" customFormat="1" x14ac:dyDescent="0.2"/>
    <row r="1167" spans="4:15" s="327" customFormat="1" x14ac:dyDescent="0.2">
      <c r="D1167" s="520" t="str">
        <f>"Financial Costs [excl. Capex] ("&amp;INDEX(LU_Intv_5_Denom,DD_TS_Denom)&amp;")"</f>
        <v>Financial Costs [excl. Capex] (USD)</v>
      </c>
      <c r="H1167" s="521" t="str">
        <f>Intv_BA!G2360</f>
        <v>SURG</v>
      </c>
      <c r="J1167" s="5">
        <f t="shared" ref="J1167:O1167" ca="1" si="111">J1126+J1165</f>
        <v>0</v>
      </c>
      <c r="K1167" s="5">
        <f t="shared" ca="1" si="111"/>
        <v>0</v>
      </c>
      <c r="L1167" s="5">
        <f t="shared" ca="1" si="111"/>
        <v>0</v>
      </c>
      <c r="M1167" s="5">
        <f t="shared" ca="1" si="111"/>
        <v>0</v>
      </c>
      <c r="N1167" s="5">
        <f t="shared" ca="1" si="111"/>
        <v>0</v>
      </c>
      <c r="O1167" s="5">
        <f t="shared" ca="1" si="111"/>
        <v>0</v>
      </c>
    </row>
    <row r="1168" spans="4:15" s="327" customFormat="1" x14ac:dyDescent="0.2">
      <c r="D1168" s="520" t="str">
        <f>"Economic Costs [excl. Capex] ("&amp;INDEX(LU_Intv_5_Denom,DD_TS_Denom)&amp;")"</f>
        <v>Economic Costs [excl. Capex] (USD)</v>
      </c>
      <c r="H1168" s="521" t="str">
        <f>Intv_BA!G2360</f>
        <v>SURG</v>
      </c>
      <c r="J1168" s="5">
        <f t="shared" ref="J1168:O1168" ca="1" si="112">J1126+J1139+J1152+J1165</f>
        <v>0</v>
      </c>
      <c r="K1168" s="5">
        <f t="shared" ca="1" si="112"/>
        <v>0</v>
      </c>
      <c r="L1168" s="5">
        <f t="shared" ca="1" si="112"/>
        <v>0</v>
      </c>
      <c r="M1168" s="5">
        <f t="shared" ca="1" si="112"/>
        <v>0</v>
      </c>
      <c r="N1168" s="5">
        <f t="shared" ca="1" si="112"/>
        <v>0</v>
      </c>
      <c r="O1168" s="5">
        <f t="shared" ca="1" si="112"/>
        <v>0</v>
      </c>
    </row>
    <row r="1169" spans="4:15" s="327" customFormat="1" x14ac:dyDescent="0.2"/>
    <row r="1170" spans="4:15" s="327" customFormat="1" ht="15" outlineLevel="1" x14ac:dyDescent="0.2">
      <c r="D1170" s="519" t="s">
        <v>1690</v>
      </c>
    </row>
    <row r="1171" spans="4:15" s="327" customFormat="1" outlineLevel="1" x14ac:dyDescent="0.2">
      <c r="D1171" s="521" t="str">
        <f>Intv_BA!D2529</f>
        <v>Central</v>
      </c>
      <c r="H1171" s="546" t="str">
        <f>Intv_BA!G$2360</f>
        <v>SURG</v>
      </c>
      <c r="J1171" s="5">
        <f>(J1006-I1006)*Intv_BA!$L$2501/TS_Denom_Conv_Fact</f>
        <v>0</v>
      </c>
      <c r="K1171" s="5">
        <f>(K1006-J1006)*Intv_BA!$L$2501/TS_Denom_Conv_Fact</f>
        <v>0</v>
      </c>
      <c r="L1171" s="5">
        <f>(L1006-K1006)*Intv_BA!$L$2501/TS_Denom_Conv_Fact</f>
        <v>0</v>
      </c>
      <c r="M1171" s="5">
        <f>(M1006-L1006)*Intv_BA!$L$2501/TS_Denom_Conv_Fact</f>
        <v>0</v>
      </c>
      <c r="N1171" s="5">
        <f>(N1006-M1006)*Intv_BA!$L$2501/TS_Denom_Conv_Fact</f>
        <v>0</v>
      </c>
      <c r="O1171" s="5">
        <f>(O1006-N1006)*Intv_BA!$L$2501/TS_Denom_Conv_Fact</f>
        <v>0</v>
      </c>
    </row>
    <row r="1172" spans="4:15" s="327" customFormat="1" outlineLevel="1" x14ac:dyDescent="0.2">
      <c r="D1172" s="521" t="str">
        <f>Intv_BA!D2530</f>
        <v>Copperbelt</v>
      </c>
      <c r="H1172" s="546" t="str">
        <f>Intv_BA!G$2360</f>
        <v>SURG</v>
      </c>
      <c r="J1172" s="5">
        <f>(J1007-I1007)*Intv_BA!$L$2501/TS_Denom_Conv_Fact</f>
        <v>0</v>
      </c>
      <c r="K1172" s="5">
        <f>(K1007-J1007)*Intv_BA!$L$2501/TS_Denom_Conv_Fact</f>
        <v>0</v>
      </c>
      <c r="L1172" s="5">
        <f>(L1007-K1007)*Intv_BA!$L$2501/TS_Denom_Conv_Fact</f>
        <v>0</v>
      </c>
      <c r="M1172" s="5">
        <f>(M1007-L1007)*Intv_BA!$L$2501/TS_Denom_Conv_Fact</f>
        <v>0</v>
      </c>
      <c r="N1172" s="5">
        <f>(N1007-M1007)*Intv_BA!$L$2501/TS_Denom_Conv_Fact</f>
        <v>0</v>
      </c>
      <c r="O1172" s="5">
        <f>(O1007-N1007)*Intv_BA!$L$2501/TS_Denom_Conv_Fact</f>
        <v>0</v>
      </c>
    </row>
    <row r="1173" spans="4:15" s="327" customFormat="1" outlineLevel="1" x14ac:dyDescent="0.2">
      <c r="D1173" s="521" t="str">
        <f>Intv_BA!D2531</f>
        <v>Eastern</v>
      </c>
      <c r="H1173" s="546" t="str">
        <f>Intv_BA!G$2360</f>
        <v>SURG</v>
      </c>
      <c r="J1173" s="5">
        <f>(J1008-I1008)*Intv_BA!$L$2501/TS_Denom_Conv_Fact</f>
        <v>0</v>
      </c>
      <c r="K1173" s="5">
        <f>(K1008-J1008)*Intv_BA!$L$2501/TS_Denom_Conv_Fact</f>
        <v>0</v>
      </c>
      <c r="L1173" s="5">
        <f>(L1008-K1008)*Intv_BA!$L$2501/TS_Denom_Conv_Fact</f>
        <v>0</v>
      </c>
      <c r="M1173" s="5">
        <f>(M1008-L1008)*Intv_BA!$L$2501/TS_Denom_Conv_Fact</f>
        <v>0</v>
      </c>
      <c r="N1173" s="5">
        <f>(N1008-M1008)*Intv_BA!$L$2501/TS_Denom_Conv_Fact</f>
        <v>0</v>
      </c>
      <c r="O1173" s="5">
        <f>(O1008-N1008)*Intv_BA!$L$2501/TS_Denom_Conv_Fact</f>
        <v>0</v>
      </c>
    </row>
    <row r="1174" spans="4:15" s="327" customFormat="1" outlineLevel="1" x14ac:dyDescent="0.2">
      <c r="D1174" s="521" t="str">
        <f>Intv_BA!D2532</f>
        <v>Luapula</v>
      </c>
      <c r="H1174" s="546" t="str">
        <f>Intv_BA!G$2360</f>
        <v>SURG</v>
      </c>
      <c r="J1174" s="5">
        <f>(J1009-I1009)*Intv_BA!$L$2501/TS_Denom_Conv_Fact</f>
        <v>0</v>
      </c>
      <c r="K1174" s="5">
        <f>(K1009-J1009)*Intv_BA!$L$2501/TS_Denom_Conv_Fact</f>
        <v>0</v>
      </c>
      <c r="L1174" s="5">
        <f>(L1009-K1009)*Intv_BA!$L$2501/TS_Denom_Conv_Fact</f>
        <v>0</v>
      </c>
      <c r="M1174" s="5">
        <f>(M1009-L1009)*Intv_BA!$L$2501/TS_Denom_Conv_Fact</f>
        <v>0</v>
      </c>
      <c r="N1174" s="5">
        <f>(N1009-M1009)*Intv_BA!$L$2501/TS_Denom_Conv_Fact</f>
        <v>0</v>
      </c>
      <c r="O1174" s="5">
        <f>(O1009-N1009)*Intv_BA!$L$2501/TS_Denom_Conv_Fact</f>
        <v>0</v>
      </c>
    </row>
    <row r="1175" spans="4:15" s="327" customFormat="1" outlineLevel="1" x14ac:dyDescent="0.2">
      <c r="D1175" s="521" t="str">
        <f>Intv_BA!D2533</f>
        <v>Lusaka</v>
      </c>
      <c r="H1175" s="546" t="str">
        <f>Intv_BA!G$2360</f>
        <v>SURG</v>
      </c>
      <c r="J1175" s="5">
        <f>(J1010-I1010)*Intv_BA!$L$2501/TS_Denom_Conv_Fact</f>
        <v>0</v>
      </c>
      <c r="K1175" s="5">
        <f>(K1010-J1010)*Intv_BA!$L$2501/TS_Denom_Conv_Fact</f>
        <v>0</v>
      </c>
      <c r="L1175" s="5">
        <f>(L1010-K1010)*Intv_BA!$L$2501/TS_Denom_Conv_Fact</f>
        <v>0</v>
      </c>
      <c r="M1175" s="5">
        <f>(M1010-L1010)*Intv_BA!$L$2501/TS_Denom_Conv_Fact</f>
        <v>0</v>
      </c>
      <c r="N1175" s="5">
        <f>(N1010-M1010)*Intv_BA!$L$2501/TS_Denom_Conv_Fact</f>
        <v>0</v>
      </c>
      <c r="O1175" s="5">
        <f>(O1010-N1010)*Intv_BA!$L$2501/TS_Denom_Conv_Fact</f>
        <v>0</v>
      </c>
    </row>
    <row r="1176" spans="4:15" s="327" customFormat="1" outlineLevel="1" x14ac:dyDescent="0.2">
      <c r="D1176" s="521" t="str">
        <f>Intv_BA!D2534</f>
        <v>Muchinga</v>
      </c>
      <c r="H1176" s="546" t="str">
        <f>Intv_BA!G$2360</f>
        <v>SURG</v>
      </c>
      <c r="J1176" s="5">
        <f>(J1011-I1011)*Intv_BA!$L$2501/TS_Denom_Conv_Fact</f>
        <v>0</v>
      </c>
      <c r="K1176" s="5">
        <f>(K1011-J1011)*Intv_BA!$L$2501/TS_Denom_Conv_Fact</f>
        <v>0</v>
      </c>
      <c r="L1176" s="5">
        <f>(L1011-K1011)*Intv_BA!$L$2501/TS_Denom_Conv_Fact</f>
        <v>0</v>
      </c>
      <c r="M1176" s="5">
        <f>(M1011-L1011)*Intv_BA!$L$2501/TS_Denom_Conv_Fact</f>
        <v>0</v>
      </c>
      <c r="N1176" s="5">
        <f>(N1011-M1011)*Intv_BA!$L$2501/TS_Denom_Conv_Fact</f>
        <v>0</v>
      </c>
      <c r="O1176" s="5">
        <f>(O1011-N1011)*Intv_BA!$L$2501/TS_Denom_Conv_Fact</f>
        <v>0</v>
      </c>
    </row>
    <row r="1177" spans="4:15" s="327" customFormat="1" outlineLevel="1" x14ac:dyDescent="0.2">
      <c r="D1177" s="521" t="str">
        <f>Intv_BA!D2535</f>
        <v>Northern</v>
      </c>
      <c r="H1177" s="546" t="str">
        <f>Intv_BA!G$2360</f>
        <v>SURG</v>
      </c>
      <c r="J1177" s="5">
        <f>(J1012-I1012)*Intv_BA!$L$2501/TS_Denom_Conv_Fact</f>
        <v>0</v>
      </c>
      <c r="K1177" s="5">
        <f>(K1012-J1012)*Intv_BA!$L$2501/TS_Denom_Conv_Fact</f>
        <v>0</v>
      </c>
      <c r="L1177" s="5">
        <f>(L1012-K1012)*Intv_BA!$L$2501/TS_Denom_Conv_Fact</f>
        <v>0</v>
      </c>
      <c r="M1177" s="5">
        <f>(M1012-L1012)*Intv_BA!$L$2501/TS_Denom_Conv_Fact</f>
        <v>0</v>
      </c>
      <c r="N1177" s="5">
        <f>(N1012-M1012)*Intv_BA!$L$2501/TS_Denom_Conv_Fact</f>
        <v>0</v>
      </c>
      <c r="O1177" s="5">
        <f>(O1012-N1012)*Intv_BA!$L$2501/TS_Denom_Conv_Fact</f>
        <v>0</v>
      </c>
    </row>
    <row r="1178" spans="4:15" s="327" customFormat="1" outlineLevel="1" x14ac:dyDescent="0.2">
      <c r="D1178" s="521" t="str">
        <f>Intv_BA!D2536</f>
        <v>North-Western</v>
      </c>
      <c r="H1178" s="546" t="str">
        <f>Intv_BA!G$2360</f>
        <v>SURG</v>
      </c>
      <c r="J1178" s="5">
        <f>(J1013-I1013)*Intv_BA!$L$2501/TS_Denom_Conv_Fact</f>
        <v>0</v>
      </c>
      <c r="K1178" s="5">
        <f>(K1013-J1013)*Intv_BA!$L$2501/TS_Denom_Conv_Fact</f>
        <v>0</v>
      </c>
      <c r="L1178" s="5">
        <f>(L1013-K1013)*Intv_BA!$L$2501/TS_Denom_Conv_Fact</f>
        <v>0</v>
      </c>
      <c r="M1178" s="5">
        <f>(M1013-L1013)*Intv_BA!$L$2501/TS_Denom_Conv_Fact</f>
        <v>0</v>
      </c>
      <c r="N1178" s="5">
        <f>(N1013-M1013)*Intv_BA!$L$2501/TS_Denom_Conv_Fact</f>
        <v>0</v>
      </c>
      <c r="O1178" s="5">
        <f>(O1013-N1013)*Intv_BA!$L$2501/TS_Denom_Conv_Fact</f>
        <v>0</v>
      </c>
    </row>
    <row r="1179" spans="4:15" s="327" customFormat="1" outlineLevel="1" x14ac:dyDescent="0.2">
      <c r="D1179" s="521" t="str">
        <f>Intv_BA!D2537</f>
        <v>Southern</v>
      </c>
      <c r="H1179" s="546" t="str">
        <f>Intv_BA!G$2360</f>
        <v>SURG</v>
      </c>
      <c r="J1179" s="5">
        <f>(J1014-I1014)*Intv_BA!$L$2501/TS_Denom_Conv_Fact</f>
        <v>0</v>
      </c>
      <c r="K1179" s="5">
        <f>(K1014-J1014)*Intv_BA!$L$2501/TS_Denom_Conv_Fact</f>
        <v>0</v>
      </c>
      <c r="L1179" s="5">
        <f>(L1014-K1014)*Intv_BA!$L$2501/TS_Denom_Conv_Fact</f>
        <v>0</v>
      </c>
      <c r="M1179" s="5">
        <f>(M1014-L1014)*Intv_BA!$L$2501/TS_Denom_Conv_Fact</f>
        <v>0</v>
      </c>
      <c r="N1179" s="5">
        <f>(N1014-M1014)*Intv_BA!$L$2501/TS_Denom_Conv_Fact</f>
        <v>0</v>
      </c>
      <c r="O1179" s="5">
        <f>(O1014-N1014)*Intv_BA!$L$2501/TS_Denom_Conv_Fact</f>
        <v>0</v>
      </c>
    </row>
    <row r="1180" spans="4:15" s="327" customFormat="1" outlineLevel="1" x14ac:dyDescent="0.2">
      <c r="D1180" s="521" t="str">
        <f>Intv_BA!D2538</f>
        <v>Western</v>
      </c>
      <c r="H1180" s="546" t="str">
        <f>Intv_BA!G$2360</f>
        <v>SURG</v>
      </c>
      <c r="J1180" s="5">
        <f>(J1015-I1015)*Intv_BA!$L$2501/TS_Denom_Conv_Fact</f>
        <v>0</v>
      </c>
      <c r="K1180" s="5">
        <f>(K1015-J1015)*Intv_BA!$L$2501/TS_Denom_Conv_Fact</f>
        <v>0</v>
      </c>
      <c r="L1180" s="5">
        <f>(L1015-K1015)*Intv_BA!$L$2501/TS_Denom_Conv_Fact</f>
        <v>0</v>
      </c>
      <c r="M1180" s="5">
        <f>(M1015-L1015)*Intv_BA!$L$2501/TS_Denom_Conv_Fact</f>
        <v>0</v>
      </c>
      <c r="N1180" s="5">
        <f>(N1015-M1015)*Intv_BA!$L$2501/TS_Denom_Conv_Fact</f>
        <v>0</v>
      </c>
      <c r="O1180" s="5">
        <f>(O1015-N1015)*Intv_BA!$L$2501/TS_Denom_Conv_Fact</f>
        <v>0</v>
      </c>
    </row>
    <row r="1181" spans="4:15" s="327" customFormat="1" ht="15" x14ac:dyDescent="0.2">
      <c r="D1181" s="520" t="str">
        <f>D1170&amp;" ("&amp;INDEX(LU_Intv_5_Denom,DD_TS_Denom)&amp;")"</f>
        <v>Financial Capital Expenditures (Capex) (NonAnnualized) (USD)</v>
      </c>
      <c r="H1181" s="24" t="str">
        <f>Intv_BA!$G$2360</f>
        <v>SURG</v>
      </c>
      <c r="J1181" s="5">
        <f t="shared" ref="J1181:O1181" si="113">SUM(J1171:J1180)</f>
        <v>0</v>
      </c>
      <c r="K1181" s="5">
        <f t="shared" si="113"/>
        <v>0</v>
      </c>
      <c r="L1181" s="5">
        <f t="shared" si="113"/>
        <v>0</v>
      </c>
      <c r="M1181" s="5">
        <f t="shared" si="113"/>
        <v>0</v>
      </c>
      <c r="N1181" s="5">
        <f t="shared" si="113"/>
        <v>0</v>
      </c>
      <c r="O1181" s="5">
        <f t="shared" si="113"/>
        <v>0</v>
      </c>
    </row>
    <row r="1182" spans="4:15" s="327" customFormat="1" ht="15" outlineLevel="2" x14ac:dyDescent="0.2">
      <c r="D1182" s="519" t="s">
        <v>1691</v>
      </c>
    </row>
    <row r="1183" spans="4:15" s="327" customFormat="1" outlineLevel="2" x14ac:dyDescent="0.2">
      <c r="D1183" s="521" t="str">
        <f>Intv_BA!D2529</f>
        <v>Central</v>
      </c>
      <c r="H1183" s="546" t="str">
        <f>Intv_BA!G$2360</f>
        <v>SURG</v>
      </c>
      <c r="J1183" s="8">
        <f>J1006*Intv_BA!$M$2503/TS_Denom_Conv_Fact</f>
        <v>0</v>
      </c>
      <c r="K1183" s="8">
        <f>K1006*Intv_BA!$M$2503/TS_Denom_Conv_Fact</f>
        <v>0</v>
      </c>
      <c r="L1183" s="8">
        <f>L1006*Intv_BA!$M$2503/TS_Denom_Conv_Fact</f>
        <v>0</v>
      </c>
      <c r="M1183" s="8">
        <f>M1006*Intv_BA!$M$2503/TS_Denom_Conv_Fact</f>
        <v>0</v>
      </c>
      <c r="N1183" s="8">
        <f>N1006*Intv_BA!$M$2503/TS_Denom_Conv_Fact</f>
        <v>0</v>
      </c>
      <c r="O1183" s="8">
        <f>O1006*Intv_BA!$M$2503/TS_Denom_Conv_Fact</f>
        <v>0</v>
      </c>
    </row>
    <row r="1184" spans="4:15" s="327" customFormat="1" outlineLevel="2" x14ac:dyDescent="0.2">
      <c r="D1184" s="521" t="str">
        <f>Intv_BA!D2530</f>
        <v>Copperbelt</v>
      </c>
      <c r="H1184" s="546" t="str">
        <f>Intv_BA!G$2360</f>
        <v>SURG</v>
      </c>
      <c r="J1184" s="8">
        <f>J1007*Intv_BA!$M$2503/TS_Denom_Conv_Fact</f>
        <v>0</v>
      </c>
      <c r="K1184" s="8">
        <f>K1007*Intv_BA!$M$2503/TS_Denom_Conv_Fact</f>
        <v>0</v>
      </c>
      <c r="L1184" s="8">
        <f>L1007*Intv_BA!$M$2503/TS_Denom_Conv_Fact</f>
        <v>0</v>
      </c>
      <c r="M1184" s="8">
        <f>M1007*Intv_BA!$M$2503/TS_Denom_Conv_Fact</f>
        <v>0</v>
      </c>
      <c r="N1184" s="8">
        <f>N1007*Intv_BA!$M$2503/TS_Denom_Conv_Fact</f>
        <v>0</v>
      </c>
      <c r="O1184" s="8">
        <f>O1007*Intv_BA!$M$2503/TS_Denom_Conv_Fact</f>
        <v>0</v>
      </c>
    </row>
    <row r="1185" spans="4:15" s="327" customFormat="1" outlineLevel="2" x14ac:dyDescent="0.2">
      <c r="D1185" s="521" t="str">
        <f>Intv_BA!D2531</f>
        <v>Eastern</v>
      </c>
      <c r="H1185" s="546" t="str">
        <f>Intv_BA!G$2360</f>
        <v>SURG</v>
      </c>
      <c r="J1185" s="8">
        <f>J1008*Intv_BA!$M$2503/TS_Denom_Conv_Fact</f>
        <v>0</v>
      </c>
      <c r="K1185" s="8">
        <f>K1008*Intv_BA!$M$2503/TS_Denom_Conv_Fact</f>
        <v>0</v>
      </c>
      <c r="L1185" s="8">
        <f>L1008*Intv_BA!$M$2503/TS_Denom_Conv_Fact</f>
        <v>0</v>
      </c>
      <c r="M1185" s="8">
        <f>M1008*Intv_BA!$M$2503/TS_Denom_Conv_Fact</f>
        <v>0</v>
      </c>
      <c r="N1185" s="8">
        <f>N1008*Intv_BA!$M$2503/TS_Denom_Conv_Fact</f>
        <v>0</v>
      </c>
      <c r="O1185" s="8">
        <f>O1008*Intv_BA!$M$2503/TS_Denom_Conv_Fact</f>
        <v>0</v>
      </c>
    </row>
    <row r="1186" spans="4:15" s="327" customFormat="1" outlineLevel="2" x14ac:dyDescent="0.2">
      <c r="D1186" s="521" t="str">
        <f>Intv_BA!D2532</f>
        <v>Luapula</v>
      </c>
      <c r="H1186" s="546" t="str">
        <f>Intv_BA!G$2360</f>
        <v>SURG</v>
      </c>
      <c r="J1186" s="8">
        <f>J1009*Intv_BA!$M$2503/TS_Denom_Conv_Fact</f>
        <v>0</v>
      </c>
      <c r="K1186" s="8">
        <f>K1009*Intv_BA!$M$2503/TS_Denom_Conv_Fact</f>
        <v>0</v>
      </c>
      <c r="L1186" s="8">
        <f>L1009*Intv_BA!$M$2503/TS_Denom_Conv_Fact</f>
        <v>0</v>
      </c>
      <c r="M1186" s="8">
        <f>M1009*Intv_BA!$M$2503/TS_Denom_Conv_Fact</f>
        <v>0</v>
      </c>
      <c r="N1186" s="8">
        <f>N1009*Intv_BA!$M$2503/TS_Denom_Conv_Fact</f>
        <v>0</v>
      </c>
      <c r="O1186" s="8">
        <f>O1009*Intv_BA!$M$2503/TS_Denom_Conv_Fact</f>
        <v>0</v>
      </c>
    </row>
    <row r="1187" spans="4:15" s="327" customFormat="1" outlineLevel="2" x14ac:dyDescent="0.2">
      <c r="D1187" s="521" t="str">
        <f>Intv_BA!D2533</f>
        <v>Lusaka</v>
      </c>
      <c r="H1187" s="546" t="str">
        <f>Intv_BA!G$2360</f>
        <v>SURG</v>
      </c>
      <c r="J1187" s="8">
        <f>J1010*Intv_BA!$M$2503/TS_Denom_Conv_Fact</f>
        <v>0</v>
      </c>
      <c r="K1187" s="8">
        <f>K1010*Intv_BA!$M$2503/TS_Denom_Conv_Fact</f>
        <v>0</v>
      </c>
      <c r="L1187" s="8">
        <f>L1010*Intv_BA!$M$2503/TS_Denom_Conv_Fact</f>
        <v>0</v>
      </c>
      <c r="M1187" s="8">
        <f>M1010*Intv_BA!$M$2503/TS_Denom_Conv_Fact</f>
        <v>0</v>
      </c>
      <c r="N1187" s="8">
        <f>N1010*Intv_BA!$M$2503/TS_Denom_Conv_Fact</f>
        <v>0</v>
      </c>
      <c r="O1187" s="8">
        <f>O1010*Intv_BA!$M$2503/TS_Denom_Conv_Fact</f>
        <v>0</v>
      </c>
    </row>
    <row r="1188" spans="4:15" s="327" customFormat="1" outlineLevel="2" x14ac:dyDescent="0.2">
      <c r="D1188" s="521" t="str">
        <f>Intv_BA!D2534</f>
        <v>Muchinga</v>
      </c>
      <c r="H1188" s="546" t="str">
        <f>Intv_BA!G$2360</f>
        <v>SURG</v>
      </c>
      <c r="J1188" s="8">
        <f>J1011*Intv_BA!$M$2503/TS_Denom_Conv_Fact</f>
        <v>0</v>
      </c>
      <c r="K1188" s="8">
        <f>K1011*Intv_BA!$M$2503/TS_Denom_Conv_Fact</f>
        <v>0</v>
      </c>
      <c r="L1188" s="8">
        <f>L1011*Intv_BA!$M$2503/TS_Denom_Conv_Fact</f>
        <v>0</v>
      </c>
      <c r="M1188" s="8">
        <f>M1011*Intv_BA!$M$2503/TS_Denom_Conv_Fact</f>
        <v>0</v>
      </c>
      <c r="N1188" s="8">
        <f>N1011*Intv_BA!$M$2503/TS_Denom_Conv_Fact</f>
        <v>0</v>
      </c>
      <c r="O1188" s="8">
        <f>O1011*Intv_BA!$M$2503/TS_Denom_Conv_Fact</f>
        <v>0</v>
      </c>
    </row>
    <row r="1189" spans="4:15" s="327" customFormat="1" outlineLevel="2" x14ac:dyDescent="0.2">
      <c r="D1189" s="521" t="str">
        <f>Intv_BA!D2535</f>
        <v>Northern</v>
      </c>
      <c r="H1189" s="546" t="str">
        <f>Intv_BA!G$2360</f>
        <v>SURG</v>
      </c>
      <c r="J1189" s="8">
        <f>J1012*Intv_BA!$M$2503/TS_Denom_Conv_Fact</f>
        <v>0</v>
      </c>
      <c r="K1189" s="8">
        <f>K1012*Intv_BA!$M$2503/TS_Denom_Conv_Fact</f>
        <v>0</v>
      </c>
      <c r="L1189" s="8">
        <f>L1012*Intv_BA!$M$2503/TS_Denom_Conv_Fact</f>
        <v>0</v>
      </c>
      <c r="M1189" s="8">
        <f>M1012*Intv_BA!$M$2503/TS_Denom_Conv_Fact</f>
        <v>0</v>
      </c>
      <c r="N1189" s="8">
        <f>N1012*Intv_BA!$M$2503/TS_Denom_Conv_Fact</f>
        <v>0</v>
      </c>
      <c r="O1189" s="8">
        <f>O1012*Intv_BA!$M$2503/TS_Denom_Conv_Fact</f>
        <v>0</v>
      </c>
    </row>
    <row r="1190" spans="4:15" s="327" customFormat="1" outlineLevel="2" x14ac:dyDescent="0.2">
      <c r="D1190" s="521" t="str">
        <f>Intv_BA!D2536</f>
        <v>North-Western</v>
      </c>
      <c r="H1190" s="546" t="str">
        <f>Intv_BA!G$2360</f>
        <v>SURG</v>
      </c>
      <c r="J1190" s="8">
        <f>J1013*Intv_BA!$M$2503/TS_Denom_Conv_Fact</f>
        <v>0</v>
      </c>
      <c r="K1190" s="8">
        <f>K1013*Intv_BA!$M$2503/TS_Denom_Conv_Fact</f>
        <v>0</v>
      </c>
      <c r="L1190" s="8">
        <f>L1013*Intv_BA!$M$2503/TS_Denom_Conv_Fact</f>
        <v>0</v>
      </c>
      <c r="M1190" s="8">
        <f>M1013*Intv_BA!$M$2503/TS_Denom_Conv_Fact</f>
        <v>0</v>
      </c>
      <c r="N1190" s="8">
        <f>N1013*Intv_BA!$M$2503/TS_Denom_Conv_Fact</f>
        <v>0</v>
      </c>
      <c r="O1190" s="8">
        <f>O1013*Intv_BA!$M$2503/TS_Denom_Conv_Fact</f>
        <v>0</v>
      </c>
    </row>
    <row r="1191" spans="4:15" s="327" customFormat="1" outlineLevel="2" x14ac:dyDescent="0.2">
      <c r="D1191" s="521" t="str">
        <f>Intv_BA!D2537</f>
        <v>Southern</v>
      </c>
      <c r="H1191" s="546" t="str">
        <f>Intv_BA!G$2360</f>
        <v>SURG</v>
      </c>
      <c r="J1191" s="8">
        <f>J1014*Intv_BA!$M$2503/TS_Denom_Conv_Fact</f>
        <v>0</v>
      </c>
      <c r="K1191" s="8">
        <f>K1014*Intv_BA!$M$2503/TS_Denom_Conv_Fact</f>
        <v>0</v>
      </c>
      <c r="L1191" s="8">
        <f>L1014*Intv_BA!$M$2503/TS_Denom_Conv_Fact</f>
        <v>0</v>
      </c>
      <c r="M1191" s="8">
        <f>M1014*Intv_BA!$M$2503/TS_Denom_Conv_Fact</f>
        <v>0</v>
      </c>
      <c r="N1191" s="8">
        <f>N1014*Intv_BA!$M$2503/TS_Denom_Conv_Fact</f>
        <v>0</v>
      </c>
      <c r="O1191" s="8">
        <f>O1014*Intv_BA!$M$2503/TS_Denom_Conv_Fact</f>
        <v>0</v>
      </c>
    </row>
    <row r="1192" spans="4:15" s="327" customFormat="1" outlineLevel="2" x14ac:dyDescent="0.2">
      <c r="D1192" s="521" t="str">
        <f>Intv_BA!D2538</f>
        <v>Western</v>
      </c>
      <c r="H1192" s="546" t="str">
        <f>Intv_BA!G$2360</f>
        <v>SURG</v>
      </c>
      <c r="J1192" s="9">
        <f>J1015*Intv_BA!$M$2503/TS_Denom_Conv_Fact</f>
        <v>0</v>
      </c>
      <c r="K1192" s="9">
        <f>K1015*Intv_BA!$M$2503/TS_Denom_Conv_Fact</f>
        <v>0</v>
      </c>
      <c r="L1192" s="9">
        <f>L1015*Intv_BA!$M$2503/TS_Denom_Conv_Fact</f>
        <v>0</v>
      </c>
      <c r="M1192" s="9">
        <f>M1015*Intv_BA!$M$2503/TS_Denom_Conv_Fact</f>
        <v>0</v>
      </c>
      <c r="N1192" s="9">
        <f>N1015*Intv_BA!$M$2503/TS_Denom_Conv_Fact</f>
        <v>0</v>
      </c>
      <c r="O1192" s="9">
        <f>O1015*Intv_BA!$M$2503/TS_Denom_Conv_Fact</f>
        <v>0</v>
      </c>
    </row>
    <row r="1193" spans="4:15" s="327" customFormat="1" ht="15" x14ac:dyDescent="0.2">
      <c r="D1193" s="520" t="str">
        <f>D1182&amp;" ("&amp;INDEX(LU_Intv_5_Denom,DD_TS_Denom)&amp;")"</f>
        <v>Financial Capital Expenditures (Capex) (Annualized) (USD)</v>
      </c>
      <c r="H1193" s="24" t="str">
        <f>Intv_BA!$G$2360</f>
        <v>SURG</v>
      </c>
      <c r="J1193" s="5">
        <f t="shared" ref="J1193:O1193" si="114">SUM(J1183:J1192)</f>
        <v>0</v>
      </c>
      <c r="K1193" s="5">
        <f t="shared" si="114"/>
        <v>0</v>
      </c>
      <c r="L1193" s="5">
        <f t="shared" si="114"/>
        <v>0</v>
      </c>
      <c r="M1193" s="5">
        <f t="shared" si="114"/>
        <v>0</v>
      </c>
      <c r="N1193" s="5">
        <f t="shared" si="114"/>
        <v>0</v>
      </c>
      <c r="O1193" s="5">
        <f t="shared" si="114"/>
        <v>0</v>
      </c>
    </row>
    <row r="1194" spans="4:15" s="327" customFormat="1" x14ac:dyDescent="0.2"/>
    <row r="1195" spans="4:15" s="327" customFormat="1" ht="15" outlineLevel="1" x14ac:dyDescent="0.2">
      <c r="D1195" s="519" t="s">
        <v>731</v>
      </c>
    </row>
    <row r="1196" spans="4:15" s="327" customFormat="1" outlineLevel="1" x14ac:dyDescent="0.2">
      <c r="D1196" s="521" t="str">
        <f>Intv_BA!D2529</f>
        <v>Central</v>
      </c>
      <c r="H1196" s="546" t="str">
        <f>Intv_BA!G$2360</f>
        <v>SURG</v>
      </c>
      <c r="J1196" s="14">
        <f>(J1006-I1006)*Intv_BA!$L$2501/TS_Denom_Conv_Fact</f>
        <v>0</v>
      </c>
      <c r="K1196" s="14">
        <f>(K1006-J1006)*Intv_BA!$L$2501/TS_Denom_Conv_Fact</f>
        <v>0</v>
      </c>
      <c r="L1196" s="14">
        <f>(L1006-K1006)*Intv_BA!$L$2501/TS_Denom_Conv_Fact</f>
        <v>0</v>
      </c>
      <c r="M1196" s="14">
        <f>(M1006-L1006)*Intv_BA!$L$2501/TS_Denom_Conv_Fact</f>
        <v>0</v>
      </c>
      <c r="N1196" s="14">
        <f>(N1006-M1006)*Intv_BA!$L$2501/TS_Denom_Conv_Fact</f>
        <v>0</v>
      </c>
      <c r="O1196" s="14">
        <f>(O1006-N1006)*Intv_BA!$L$2501/TS_Denom_Conv_Fact</f>
        <v>0</v>
      </c>
    </row>
    <row r="1197" spans="4:15" s="327" customFormat="1" outlineLevel="1" x14ac:dyDescent="0.2">
      <c r="D1197" s="521" t="str">
        <f>Intv_BA!D2530</f>
        <v>Copperbelt</v>
      </c>
      <c r="H1197" s="546" t="str">
        <f>Intv_BA!G$2360</f>
        <v>SURG</v>
      </c>
      <c r="J1197" s="14">
        <f>(J1007-I1007)*Intv_BA!$L$2501/TS_Denom_Conv_Fact</f>
        <v>0</v>
      </c>
      <c r="K1197" s="14">
        <f>(K1007-J1007)*Intv_BA!$L$2501/TS_Denom_Conv_Fact</f>
        <v>0</v>
      </c>
      <c r="L1197" s="14">
        <f>(L1007-K1007)*Intv_BA!$L$2501/TS_Denom_Conv_Fact</f>
        <v>0</v>
      </c>
      <c r="M1197" s="14">
        <f>(M1007-L1007)*Intv_BA!$L$2501/TS_Denom_Conv_Fact</f>
        <v>0</v>
      </c>
      <c r="N1197" s="14">
        <f>(N1007-M1007)*Intv_BA!$L$2501/TS_Denom_Conv_Fact</f>
        <v>0</v>
      </c>
      <c r="O1197" s="14">
        <f>(O1007-N1007)*Intv_BA!$L$2501/TS_Denom_Conv_Fact</f>
        <v>0</v>
      </c>
    </row>
    <row r="1198" spans="4:15" s="327" customFormat="1" outlineLevel="1" x14ac:dyDescent="0.2">
      <c r="D1198" s="521" t="str">
        <f>Intv_BA!D2531</f>
        <v>Eastern</v>
      </c>
      <c r="H1198" s="546" t="str">
        <f>Intv_BA!G$2360</f>
        <v>SURG</v>
      </c>
      <c r="J1198" s="14">
        <f>(J1008-I1008)*Intv_BA!$L$2501/TS_Denom_Conv_Fact</f>
        <v>0</v>
      </c>
      <c r="K1198" s="14">
        <f>(K1008-J1008)*Intv_BA!$L$2501/TS_Denom_Conv_Fact</f>
        <v>0</v>
      </c>
      <c r="L1198" s="14">
        <f>(L1008-K1008)*Intv_BA!$L$2501/TS_Denom_Conv_Fact</f>
        <v>0</v>
      </c>
      <c r="M1198" s="14">
        <f>(M1008-L1008)*Intv_BA!$L$2501/TS_Denom_Conv_Fact</f>
        <v>0</v>
      </c>
      <c r="N1198" s="14">
        <f>(N1008-M1008)*Intv_BA!$L$2501/TS_Denom_Conv_Fact</f>
        <v>0</v>
      </c>
      <c r="O1198" s="14">
        <f>(O1008-N1008)*Intv_BA!$L$2501/TS_Denom_Conv_Fact</f>
        <v>0</v>
      </c>
    </row>
    <row r="1199" spans="4:15" s="327" customFormat="1" outlineLevel="1" x14ac:dyDescent="0.2">
      <c r="D1199" s="521" t="str">
        <f>Intv_BA!D2532</f>
        <v>Luapula</v>
      </c>
      <c r="H1199" s="546" t="str">
        <f>Intv_BA!G$2360</f>
        <v>SURG</v>
      </c>
      <c r="J1199" s="14">
        <f>(J1009-I1009)*Intv_BA!$L$2501/TS_Denom_Conv_Fact</f>
        <v>0</v>
      </c>
      <c r="K1199" s="14">
        <f>(K1009-J1009)*Intv_BA!$L$2501/TS_Denom_Conv_Fact</f>
        <v>0</v>
      </c>
      <c r="L1199" s="14">
        <f>(L1009-K1009)*Intv_BA!$L$2501/TS_Denom_Conv_Fact</f>
        <v>0</v>
      </c>
      <c r="M1199" s="14">
        <f>(M1009-L1009)*Intv_BA!$L$2501/TS_Denom_Conv_Fact</f>
        <v>0</v>
      </c>
      <c r="N1199" s="14">
        <f>(N1009-M1009)*Intv_BA!$L$2501/TS_Denom_Conv_Fact</f>
        <v>0</v>
      </c>
      <c r="O1199" s="14">
        <f>(O1009-N1009)*Intv_BA!$L$2501/TS_Denom_Conv_Fact</f>
        <v>0</v>
      </c>
    </row>
    <row r="1200" spans="4:15" s="327" customFormat="1" outlineLevel="1" x14ac:dyDescent="0.2">
      <c r="D1200" s="521" t="str">
        <f>Intv_BA!D2533</f>
        <v>Lusaka</v>
      </c>
      <c r="H1200" s="546" t="str">
        <f>Intv_BA!G$2360</f>
        <v>SURG</v>
      </c>
      <c r="J1200" s="14">
        <f>(J1010-I1010)*Intv_BA!$L$2501/TS_Denom_Conv_Fact</f>
        <v>0</v>
      </c>
      <c r="K1200" s="14">
        <f>(K1010-J1010)*Intv_BA!$L$2501/TS_Denom_Conv_Fact</f>
        <v>0</v>
      </c>
      <c r="L1200" s="14">
        <f>(L1010-K1010)*Intv_BA!$L$2501/TS_Denom_Conv_Fact</f>
        <v>0</v>
      </c>
      <c r="M1200" s="14">
        <f>(M1010-L1010)*Intv_BA!$L$2501/TS_Denom_Conv_Fact</f>
        <v>0</v>
      </c>
      <c r="N1200" s="14">
        <f>(N1010-M1010)*Intv_BA!$L$2501/TS_Denom_Conv_Fact</f>
        <v>0</v>
      </c>
      <c r="O1200" s="14">
        <f>(O1010-N1010)*Intv_BA!$L$2501/TS_Denom_Conv_Fact</f>
        <v>0</v>
      </c>
    </row>
    <row r="1201" spans="4:15" s="327" customFormat="1" outlineLevel="1" x14ac:dyDescent="0.2">
      <c r="D1201" s="521" t="str">
        <f>Intv_BA!D2534</f>
        <v>Muchinga</v>
      </c>
      <c r="H1201" s="546" t="str">
        <f>Intv_BA!G$2360</f>
        <v>SURG</v>
      </c>
      <c r="J1201" s="14">
        <f>(J1011-I1011)*Intv_BA!$L$2501/TS_Denom_Conv_Fact</f>
        <v>0</v>
      </c>
      <c r="K1201" s="14">
        <f>(K1011-J1011)*Intv_BA!$L$2501/TS_Denom_Conv_Fact</f>
        <v>0</v>
      </c>
      <c r="L1201" s="14">
        <f>(L1011-K1011)*Intv_BA!$L$2501/TS_Denom_Conv_Fact</f>
        <v>0</v>
      </c>
      <c r="M1201" s="14">
        <f>(M1011-L1011)*Intv_BA!$L$2501/TS_Denom_Conv_Fact</f>
        <v>0</v>
      </c>
      <c r="N1201" s="14">
        <f>(N1011-M1011)*Intv_BA!$L$2501/TS_Denom_Conv_Fact</f>
        <v>0</v>
      </c>
      <c r="O1201" s="14">
        <f>(O1011-N1011)*Intv_BA!$L$2501/TS_Denom_Conv_Fact</f>
        <v>0</v>
      </c>
    </row>
    <row r="1202" spans="4:15" s="327" customFormat="1" outlineLevel="1" x14ac:dyDescent="0.2">
      <c r="D1202" s="521" t="str">
        <f>Intv_BA!D2535</f>
        <v>Northern</v>
      </c>
      <c r="H1202" s="546" t="str">
        <f>Intv_BA!G$2360</f>
        <v>SURG</v>
      </c>
      <c r="J1202" s="14">
        <f>(J1012-I1012)*Intv_BA!$L$2501/TS_Denom_Conv_Fact</f>
        <v>0</v>
      </c>
      <c r="K1202" s="14">
        <f>(K1012-J1012)*Intv_BA!$L$2501/TS_Denom_Conv_Fact</f>
        <v>0</v>
      </c>
      <c r="L1202" s="14">
        <f>(L1012-K1012)*Intv_BA!$L$2501/TS_Denom_Conv_Fact</f>
        <v>0</v>
      </c>
      <c r="M1202" s="14">
        <f>(M1012-L1012)*Intv_BA!$L$2501/TS_Denom_Conv_Fact</f>
        <v>0</v>
      </c>
      <c r="N1202" s="14">
        <f>(N1012-M1012)*Intv_BA!$L$2501/TS_Denom_Conv_Fact</f>
        <v>0</v>
      </c>
      <c r="O1202" s="14">
        <f>(O1012-N1012)*Intv_BA!$L$2501/TS_Denom_Conv_Fact</f>
        <v>0</v>
      </c>
    </row>
    <row r="1203" spans="4:15" s="327" customFormat="1" outlineLevel="1" x14ac:dyDescent="0.2">
      <c r="D1203" s="521" t="str">
        <f>Intv_BA!D2536</f>
        <v>North-Western</v>
      </c>
      <c r="H1203" s="546" t="str">
        <f>Intv_BA!G$2360</f>
        <v>SURG</v>
      </c>
      <c r="J1203" s="14">
        <f>(J1013-I1013)*Intv_BA!$L$2501/TS_Denom_Conv_Fact</f>
        <v>0</v>
      </c>
      <c r="K1203" s="14">
        <f>(K1013-J1013)*Intv_BA!$L$2501/TS_Denom_Conv_Fact</f>
        <v>0</v>
      </c>
      <c r="L1203" s="14">
        <f>(L1013-K1013)*Intv_BA!$L$2501/TS_Denom_Conv_Fact</f>
        <v>0</v>
      </c>
      <c r="M1203" s="14">
        <f>(M1013-L1013)*Intv_BA!$L$2501/TS_Denom_Conv_Fact</f>
        <v>0</v>
      </c>
      <c r="N1203" s="14">
        <f>(N1013-M1013)*Intv_BA!$L$2501/TS_Denom_Conv_Fact</f>
        <v>0</v>
      </c>
      <c r="O1203" s="14">
        <f>(O1013-N1013)*Intv_BA!$L$2501/TS_Denom_Conv_Fact</f>
        <v>0</v>
      </c>
    </row>
    <row r="1204" spans="4:15" s="327" customFormat="1" outlineLevel="1" x14ac:dyDescent="0.2">
      <c r="D1204" s="521" t="str">
        <f>Intv_BA!D2537</f>
        <v>Southern</v>
      </c>
      <c r="H1204" s="546" t="str">
        <f>Intv_BA!G$2360</f>
        <v>SURG</v>
      </c>
      <c r="J1204" s="14">
        <f>(J1014-I1014)*Intv_BA!$L$2501/TS_Denom_Conv_Fact</f>
        <v>0</v>
      </c>
      <c r="K1204" s="14">
        <f>(K1014-J1014)*Intv_BA!$L$2501/TS_Denom_Conv_Fact</f>
        <v>0</v>
      </c>
      <c r="L1204" s="14">
        <f>(L1014-K1014)*Intv_BA!$L$2501/TS_Denom_Conv_Fact</f>
        <v>0</v>
      </c>
      <c r="M1204" s="14">
        <f>(M1014-L1014)*Intv_BA!$L$2501/TS_Denom_Conv_Fact</f>
        <v>0</v>
      </c>
      <c r="N1204" s="14">
        <f>(N1014-M1014)*Intv_BA!$L$2501/TS_Denom_Conv_Fact</f>
        <v>0</v>
      </c>
      <c r="O1204" s="14">
        <f>(O1014-N1014)*Intv_BA!$L$2501/TS_Denom_Conv_Fact</f>
        <v>0</v>
      </c>
    </row>
    <row r="1205" spans="4:15" s="327" customFormat="1" outlineLevel="1" x14ac:dyDescent="0.2">
      <c r="D1205" s="521" t="str">
        <f>Intv_BA!D2538</f>
        <v>Western</v>
      </c>
      <c r="H1205" s="546" t="str">
        <f>Intv_BA!G$2360</f>
        <v>SURG</v>
      </c>
      <c r="J1205" s="14">
        <f>(J1015-I1015)*Intv_BA!$L$2501/TS_Denom_Conv_Fact</f>
        <v>0</v>
      </c>
      <c r="K1205" s="14">
        <f>(K1015-J1015)*Intv_BA!$L$2501/TS_Denom_Conv_Fact</f>
        <v>0</v>
      </c>
      <c r="L1205" s="14">
        <f>(L1015-K1015)*Intv_BA!$L$2501/TS_Denom_Conv_Fact</f>
        <v>0</v>
      </c>
      <c r="M1205" s="14">
        <f>(M1015-L1015)*Intv_BA!$L$2501/TS_Denom_Conv_Fact</f>
        <v>0</v>
      </c>
      <c r="N1205" s="14">
        <f>(N1015-M1015)*Intv_BA!$L$2501/TS_Denom_Conv_Fact</f>
        <v>0</v>
      </c>
      <c r="O1205" s="14">
        <f>(O1015-N1015)*Intv_BA!$L$2501/TS_Denom_Conv_Fact</f>
        <v>0</v>
      </c>
    </row>
    <row r="1206" spans="4:15" s="327" customFormat="1" ht="15" x14ac:dyDescent="0.2">
      <c r="D1206" s="520" t="str">
        <f>D1195&amp;" ("&amp;INDEX(LU_Intv_5_Denom,DD_TS_Denom)&amp;")"</f>
        <v>Economic Capex (NonAnnualized) (USD)</v>
      </c>
      <c r="H1206" s="24" t="str">
        <f>Intv_BA!$G$2360</f>
        <v>SURG</v>
      </c>
      <c r="J1206" s="5">
        <f t="shared" ref="J1206:O1206" si="115">SUM(J1196:J1205)</f>
        <v>0</v>
      </c>
      <c r="K1206" s="5">
        <f t="shared" si="115"/>
        <v>0</v>
      </c>
      <c r="L1206" s="5">
        <f t="shared" si="115"/>
        <v>0</v>
      </c>
      <c r="M1206" s="5">
        <f t="shared" si="115"/>
        <v>0</v>
      </c>
      <c r="N1206" s="5">
        <f t="shared" si="115"/>
        <v>0</v>
      </c>
      <c r="O1206" s="5">
        <f t="shared" si="115"/>
        <v>0</v>
      </c>
    </row>
    <row r="1207" spans="4:15" s="327" customFormat="1" ht="15" outlineLevel="2" x14ac:dyDescent="0.2">
      <c r="D1207" s="519" t="s">
        <v>1692</v>
      </c>
    </row>
    <row r="1208" spans="4:15" s="327" customFormat="1" outlineLevel="2" x14ac:dyDescent="0.2">
      <c r="D1208" s="521" t="str">
        <f>Intv_BA!D2529</f>
        <v>Central</v>
      </c>
      <c r="H1208" s="546" t="str">
        <f>Intv_BA!G$2360</f>
        <v>SURG</v>
      </c>
      <c r="J1208" s="8">
        <f>J1006*Intv_BA!$N$2503/TS_Denom_Conv_Fact</f>
        <v>0</v>
      </c>
      <c r="K1208" s="8">
        <f>K1006*Intv_BA!$N$2503/TS_Denom_Conv_Fact</f>
        <v>0</v>
      </c>
      <c r="L1208" s="8">
        <f>L1006*Intv_BA!$N$2503/TS_Denom_Conv_Fact</f>
        <v>0</v>
      </c>
      <c r="M1208" s="8">
        <f>M1006*Intv_BA!$N$2503/TS_Denom_Conv_Fact</f>
        <v>0</v>
      </c>
      <c r="N1208" s="8">
        <f>N1006*Intv_BA!$N$2503/TS_Denom_Conv_Fact</f>
        <v>0</v>
      </c>
      <c r="O1208" s="8">
        <f>O1006*Intv_BA!$N$2503/TS_Denom_Conv_Fact</f>
        <v>0</v>
      </c>
    </row>
    <row r="1209" spans="4:15" s="327" customFormat="1" outlineLevel="2" x14ac:dyDescent="0.2">
      <c r="D1209" s="521" t="str">
        <f>Intv_BA!D2530</f>
        <v>Copperbelt</v>
      </c>
      <c r="H1209" s="546" t="str">
        <f>Intv_BA!G$2360</f>
        <v>SURG</v>
      </c>
      <c r="J1209" s="8">
        <f>J1007*Intv_BA!$N$2503/TS_Denom_Conv_Fact</f>
        <v>0</v>
      </c>
      <c r="K1209" s="8">
        <f>K1007*Intv_BA!$N$2503/TS_Denom_Conv_Fact</f>
        <v>0</v>
      </c>
      <c r="L1209" s="8">
        <f>L1007*Intv_BA!$N$2503/TS_Denom_Conv_Fact</f>
        <v>0</v>
      </c>
      <c r="M1209" s="8">
        <f>M1007*Intv_BA!$N$2503/TS_Denom_Conv_Fact</f>
        <v>0</v>
      </c>
      <c r="N1209" s="8">
        <f>N1007*Intv_BA!$N$2503/TS_Denom_Conv_Fact</f>
        <v>0</v>
      </c>
      <c r="O1209" s="8">
        <f>O1007*Intv_BA!$N$2503/TS_Denom_Conv_Fact</f>
        <v>0</v>
      </c>
    </row>
    <row r="1210" spans="4:15" s="327" customFormat="1" outlineLevel="2" x14ac:dyDescent="0.2">
      <c r="D1210" s="521" t="str">
        <f>Intv_BA!D2531</f>
        <v>Eastern</v>
      </c>
      <c r="H1210" s="546" t="str">
        <f>Intv_BA!G$2360</f>
        <v>SURG</v>
      </c>
      <c r="J1210" s="8">
        <f>J1008*Intv_BA!$N$2503/TS_Denom_Conv_Fact</f>
        <v>0</v>
      </c>
      <c r="K1210" s="8">
        <f>K1008*Intv_BA!$N$2503/TS_Denom_Conv_Fact</f>
        <v>0</v>
      </c>
      <c r="L1210" s="8">
        <f>L1008*Intv_BA!$N$2503/TS_Denom_Conv_Fact</f>
        <v>0</v>
      </c>
      <c r="M1210" s="8">
        <f>M1008*Intv_BA!$N$2503/TS_Denom_Conv_Fact</f>
        <v>0</v>
      </c>
      <c r="N1210" s="8">
        <f>N1008*Intv_BA!$N$2503/TS_Denom_Conv_Fact</f>
        <v>0</v>
      </c>
      <c r="O1210" s="8">
        <f>O1008*Intv_BA!$N$2503/TS_Denom_Conv_Fact</f>
        <v>0</v>
      </c>
    </row>
    <row r="1211" spans="4:15" s="327" customFormat="1" outlineLevel="2" x14ac:dyDescent="0.2">
      <c r="D1211" s="521" t="str">
        <f>Intv_BA!D2532</f>
        <v>Luapula</v>
      </c>
      <c r="H1211" s="546" t="str">
        <f>Intv_BA!G$2360</f>
        <v>SURG</v>
      </c>
      <c r="J1211" s="8">
        <f>J1009*Intv_BA!$N$2503/TS_Denom_Conv_Fact</f>
        <v>0</v>
      </c>
      <c r="K1211" s="8">
        <f>K1009*Intv_BA!$N$2503/TS_Denom_Conv_Fact</f>
        <v>0</v>
      </c>
      <c r="L1211" s="8">
        <f>L1009*Intv_BA!$N$2503/TS_Denom_Conv_Fact</f>
        <v>0</v>
      </c>
      <c r="M1211" s="8">
        <f>M1009*Intv_BA!$N$2503/TS_Denom_Conv_Fact</f>
        <v>0</v>
      </c>
      <c r="N1211" s="8">
        <f>N1009*Intv_BA!$N$2503/TS_Denom_Conv_Fact</f>
        <v>0</v>
      </c>
      <c r="O1211" s="8">
        <f>O1009*Intv_BA!$N$2503/TS_Denom_Conv_Fact</f>
        <v>0</v>
      </c>
    </row>
    <row r="1212" spans="4:15" s="327" customFormat="1" outlineLevel="2" x14ac:dyDescent="0.2">
      <c r="D1212" s="521" t="str">
        <f>Intv_BA!D2533</f>
        <v>Lusaka</v>
      </c>
      <c r="H1212" s="546" t="str">
        <f>Intv_BA!G$2360</f>
        <v>SURG</v>
      </c>
      <c r="J1212" s="8">
        <f>J1010*Intv_BA!$N$2503/TS_Denom_Conv_Fact</f>
        <v>0</v>
      </c>
      <c r="K1212" s="8">
        <f>K1010*Intv_BA!$N$2503/TS_Denom_Conv_Fact</f>
        <v>0</v>
      </c>
      <c r="L1212" s="8">
        <f>L1010*Intv_BA!$N$2503/TS_Denom_Conv_Fact</f>
        <v>0</v>
      </c>
      <c r="M1212" s="8">
        <f>M1010*Intv_BA!$N$2503/TS_Denom_Conv_Fact</f>
        <v>0</v>
      </c>
      <c r="N1212" s="8">
        <f>N1010*Intv_BA!$N$2503/TS_Denom_Conv_Fact</f>
        <v>0</v>
      </c>
      <c r="O1212" s="8">
        <f>O1010*Intv_BA!$N$2503/TS_Denom_Conv_Fact</f>
        <v>0</v>
      </c>
    </row>
    <row r="1213" spans="4:15" s="327" customFormat="1" outlineLevel="2" x14ac:dyDescent="0.2">
      <c r="D1213" s="521" t="str">
        <f>Intv_BA!D2534</f>
        <v>Muchinga</v>
      </c>
      <c r="H1213" s="546" t="str">
        <f>Intv_BA!G$2360</f>
        <v>SURG</v>
      </c>
      <c r="J1213" s="8">
        <f>J1011*Intv_BA!$N$2503/TS_Denom_Conv_Fact</f>
        <v>0</v>
      </c>
      <c r="K1213" s="8">
        <f>K1011*Intv_BA!$N$2503/TS_Denom_Conv_Fact</f>
        <v>0</v>
      </c>
      <c r="L1213" s="8">
        <f>L1011*Intv_BA!$N$2503/TS_Denom_Conv_Fact</f>
        <v>0</v>
      </c>
      <c r="M1213" s="8">
        <f>M1011*Intv_BA!$N$2503/TS_Denom_Conv_Fact</f>
        <v>0</v>
      </c>
      <c r="N1213" s="8">
        <f>N1011*Intv_BA!$N$2503/TS_Denom_Conv_Fact</f>
        <v>0</v>
      </c>
      <c r="O1213" s="8">
        <f>O1011*Intv_BA!$N$2503/TS_Denom_Conv_Fact</f>
        <v>0</v>
      </c>
    </row>
    <row r="1214" spans="4:15" s="327" customFormat="1" outlineLevel="2" x14ac:dyDescent="0.2">
      <c r="D1214" s="521" t="str">
        <f>Intv_BA!D2535</f>
        <v>Northern</v>
      </c>
      <c r="H1214" s="546" t="str">
        <f>Intv_BA!G$2360</f>
        <v>SURG</v>
      </c>
      <c r="J1214" s="8">
        <f>J1012*Intv_BA!$N$2503/TS_Denom_Conv_Fact</f>
        <v>0</v>
      </c>
      <c r="K1214" s="8">
        <f>K1012*Intv_BA!$N$2503/TS_Denom_Conv_Fact</f>
        <v>0</v>
      </c>
      <c r="L1214" s="8">
        <f>L1012*Intv_BA!$N$2503/TS_Denom_Conv_Fact</f>
        <v>0</v>
      </c>
      <c r="M1214" s="8">
        <f>M1012*Intv_BA!$N$2503/TS_Denom_Conv_Fact</f>
        <v>0</v>
      </c>
      <c r="N1214" s="8">
        <f>N1012*Intv_BA!$N$2503/TS_Denom_Conv_Fact</f>
        <v>0</v>
      </c>
      <c r="O1214" s="8">
        <f>O1012*Intv_BA!$N$2503/TS_Denom_Conv_Fact</f>
        <v>0</v>
      </c>
    </row>
    <row r="1215" spans="4:15" s="327" customFormat="1" outlineLevel="2" x14ac:dyDescent="0.2">
      <c r="D1215" s="521" t="str">
        <f>Intv_BA!D2536</f>
        <v>North-Western</v>
      </c>
      <c r="H1215" s="546" t="str">
        <f>Intv_BA!G$2360</f>
        <v>SURG</v>
      </c>
      <c r="J1215" s="8">
        <f>J1013*Intv_BA!$N$2503/TS_Denom_Conv_Fact</f>
        <v>0</v>
      </c>
      <c r="K1215" s="8">
        <f>K1013*Intv_BA!$N$2503/TS_Denom_Conv_Fact</f>
        <v>0</v>
      </c>
      <c r="L1215" s="8">
        <f>L1013*Intv_BA!$N$2503/TS_Denom_Conv_Fact</f>
        <v>0</v>
      </c>
      <c r="M1215" s="8">
        <f>M1013*Intv_BA!$N$2503/TS_Denom_Conv_Fact</f>
        <v>0</v>
      </c>
      <c r="N1215" s="8">
        <f>N1013*Intv_BA!$N$2503/TS_Denom_Conv_Fact</f>
        <v>0</v>
      </c>
      <c r="O1215" s="8">
        <f>O1013*Intv_BA!$N$2503/TS_Denom_Conv_Fact</f>
        <v>0</v>
      </c>
    </row>
    <row r="1216" spans="4:15" s="327" customFormat="1" outlineLevel="2" x14ac:dyDescent="0.2">
      <c r="D1216" s="521" t="str">
        <f>Intv_BA!D2537</f>
        <v>Southern</v>
      </c>
      <c r="H1216" s="546" t="str">
        <f>Intv_BA!G$2360</f>
        <v>SURG</v>
      </c>
      <c r="J1216" s="8">
        <f>J1014*Intv_BA!$N$2503/TS_Denom_Conv_Fact</f>
        <v>0</v>
      </c>
      <c r="K1216" s="8">
        <f>K1014*Intv_BA!$N$2503/TS_Denom_Conv_Fact</f>
        <v>0</v>
      </c>
      <c r="L1216" s="8">
        <f>L1014*Intv_BA!$N$2503/TS_Denom_Conv_Fact</f>
        <v>0</v>
      </c>
      <c r="M1216" s="8">
        <f>M1014*Intv_BA!$N$2503/TS_Denom_Conv_Fact</f>
        <v>0</v>
      </c>
      <c r="N1216" s="8">
        <f>N1014*Intv_BA!$N$2503/TS_Denom_Conv_Fact</f>
        <v>0</v>
      </c>
      <c r="O1216" s="8">
        <f>O1014*Intv_BA!$N$2503/TS_Denom_Conv_Fact</f>
        <v>0</v>
      </c>
    </row>
    <row r="1217" spans="3:15" s="327" customFormat="1" outlineLevel="2" x14ac:dyDescent="0.2">
      <c r="D1217" s="521" t="str">
        <f>Intv_BA!D2538</f>
        <v>Western</v>
      </c>
      <c r="H1217" s="546" t="str">
        <f>Intv_BA!G$2360</f>
        <v>SURG</v>
      </c>
      <c r="J1217" s="9">
        <f>J1015*Intv_BA!$N$2503/TS_Denom_Conv_Fact</f>
        <v>0</v>
      </c>
      <c r="K1217" s="9">
        <f>K1015*Intv_BA!$N$2503/TS_Denom_Conv_Fact</f>
        <v>0</v>
      </c>
      <c r="L1217" s="9">
        <f>L1015*Intv_BA!$N$2503/TS_Denom_Conv_Fact</f>
        <v>0</v>
      </c>
      <c r="M1217" s="9">
        <f>M1015*Intv_BA!$N$2503/TS_Denom_Conv_Fact</f>
        <v>0</v>
      </c>
      <c r="N1217" s="9">
        <f>N1015*Intv_BA!$N$2503/TS_Denom_Conv_Fact</f>
        <v>0</v>
      </c>
      <c r="O1217" s="9">
        <f>O1015*Intv_BA!$N$2503/TS_Denom_Conv_Fact</f>
        <v>0</v>
      </c>
    </row>
    <row r="1218" spans="3:15" s="327" customFormat="1" ht="15" x14ac:dyDescent="0.2">
      <c r="D1218" s="520" t="str">
        <f>D1207&amp;" ("&amp;INDEX(LU_Intv_5_Denom,DD_TS_Denom)&amp;")"</f>
        <v>Economic Capital Expenditures (Capex) (Annualized) (USD)</v>
      </c>
      <c r="H1218" s="24" t="str">
        <f>Intv_BA!$G$2360</f>
        <v>SURG</v>
      </c>
      <c r="J1218" s="5">
        <f t="shared" ref="J1218:O1218" si="116">SUM(J1208:J1217)</f>
        <v>0</v>
      </c>
      <c r="K1218" s="5">
        <f t="shared" si="116"/>
        <v>0</v>
      </c>
      <c r="L1218" s="5">
        <f t="shared" si="116"/>
        <v>0</v>
      </c>
      <c r="M1218" s="5">
        <f t="shared" si="116"/>
        <v>0</v>
      </c>
      <c r="N1218" s="5">
        <f t="shared" si="116"/>
        <v>0</v>
      </c>
      <c r="O1218" s="5">
        <f t="shared" si="116"/>
        <v>0</v>
      </c>
    </row>
    <row r="1219" spans="3:15" s="327" customFormat="1" x14ac:dyDescent="0.2"/>
    <row r="1220" spans="3:15" s="327" customFormat="1" ht="15.75" x14ac:dyDescent="0.2">
      <c r="D1220" s="330" t="s">
        <v>732</v>
      </c>
    </row>
    <row r="1221" spans="3:15" s="327" customFormat="1" ht="27" customHeight="1" x14ac:dyDescent="0.2">
      <c r="D1221" s="930" t="str">
        <f>"Total Fin Costs [incl. Capex] (NonAnnualized) ("&amp;INDEX(LU_Intv_5_Denom,DD_TS_Denom)&amp;")"</f>
        <v>Total Fin Costs [incl. Capex] (NonAnnualized) (USD)</v>
      </c>
      <c r="E1221" s="930"/>
      <c r="F1221" s="930"/>
      <c r="G1221" s="930"/>
      <c r="H1221" s="521" t="str">
        <f>Intv_BA!$G$2360</f>
        <v>SURG</v>
      </c>
      <c r="J1221" s="5">
        <f t="shared" ref="J1221:O1221" ca="1" si="117">J1167+J1181</f>
        <v>0</v>
      </c>
      <c r="K1221" s="5">
        <f t="shared" ca="1" si="117"/>
        <v>0</v>
      </c>
      <c r="L1221" s="5">
        <f t="shared" ca="1" si="117"/>
        <v>0</v>
      </c>
      <c r="M1221" s="5">
        <f t="shared" ca="1" si="117"/>
        <v>0</v>
      </c>
      <c r="N1221" s="5">
        <f t="shared" ca="1" si="117"/>
        <v>0</v>
      </c>
      <c r="O1221" s="5">
        <f t="shared" ca="1" si="117"/>
        <v>0</v>
      </c>
    </row>
    <row r="1222" spans="3:15" s="327" customFormat="1" ht="27.95" customHeight="1" x14ac:dyDescent="0.2">
      <c r="D1222" s="930" t="str">
        <f>"Total Fin Costs [incl. Capex] (Annualized) ("&amp;INDEX(LU_Intv_5_Denom,DD_TS_Denom)&amp;")"</f>
        <v>Total Fin Costs [incl. Capex] (Annualized) (USD)</v>
      </c>
      <c r="E1222" s="930"/>
      <c r="F1222" s="930"/>
      <c r="G1222" s="930"/>
      <c r="H1222" s="521" t="str">
        <f>Intv_BA!$G$2360</f>
        <v>SURG</v>
      </c>
      <c r="J1222" s="5">
        <f t="shared" ref="J1222:O1222" ca="1" si="118">J1167+J1193</f>
        <v>0</v>
      </c>
      <c r="K1222" s="5">
        <f t="shared" ca="1" si="118"/>
        <v>0</v>
      </c>
      <c r="L1222" s="5">
        <f t="shared" ca="1" si="118"/>
        <v>0</v>
      </c>
      <c r="M1222" s="5">
        <f t="shared" ca="1" si="118"/>
        <v>0</v>
      </c>
      <c r="N1222" s="5">
        <f t="shared" ca="1" si="118"/>
        <v>0</v>
      </c>
      <c r="O1222" s="5">
        <f t="shared" ca="1" si="118"/>
        <v>0</v>
      </c>
    </row>
    <row r="1223" spans="3:15" s="327" customFormat="1" x14ac:dyDescent="0.2"/>
    <row r="1224" spans="3:15" s="327" customFormat="1" ht="15.75" x14ac:dyDescent="0.2">
      <c r="D1224" s="330" t="s">
        <v>733</v>
      </c>
    </row>
    <row r="1225" spans="3:15" s="327" customFormat="1" ht="26.1" customHeight="1" x14ac:dyDescent="0.2">
      <c r="D1225" s="930" t="str">
        <f>"Total Econ Costs [incl. Capex] (NonAnnualized) ("&amp;INDEX(LU_Intv_5_Denom,DD_TS_Denom)&amp;")"</f>
        <v>Total Econ Costs [incl. Capex] (NonAnnualized) (USD)</v>
      </c>
      <c r="E1225" s="930"/>
      <c r="F1225" s="930"/>
      <c r="G1225" s="930"/>
      <c r="H1225" s="521" t="str">
        <f>Intv_BA!$G$2360</f>
        <v>SURG</v>
      </c>
      <c r="J1225" s="5">
        <f t="shared" ref="J1225:O1225" ca="1" si="119">J1168+J1206</f>
        <v>0</v>
      </c>
      <c r="K1225" s="5">
        <f t="shared" ca="1" si="119"/>
        <v>0</v>
      </c>
      <c r="L1225" s="5">
        <f t="shared" ca="1" si="119"/>
        <v>0</v>
      </c>
      <c r="M1225" s="5">
        <f t="shared" ca="1" si="119"/>
        <v>0</v>
      </c>
      <c r="N1225" s="5">
        <f t="shared" ca="1" si="119"/>
        <v>0</v>
      </c>
      <c r="O1225" s="5">
        <f t="shared" ca="1" si="119"/>
        <v>0</v>
      </c>
    </row>
    <row r="1226" spans="3:15" s="327" customFormat="1" ht="24.6" customHeight="1" x14ac:dyDescent="0.2">
      <c r="D1226" s="931" t="str">
        <f>"Econ Costs [incl. Capex] (Annualized) ("&amp;INDEX(LU_Intv_5_Denom,DD_TS_Denom)&amp;")"</f>
        <v>Econ Costs [incl. Capex] (Annualized) (USD)</v>
      </c>
      <c r="E1226" s="931"/>
      <c r="F1226" s="931"/>
      <c r="G1226" s="931"/>
      <c r="H1226" s="521" t="str">
        <f>Intv_BA!$G$2360</f>
        <v>SURG</v>
      </c>
      <c r="J1226" s="5">
        <f t="shared" ref="J1226:O1226" ca="1" si="120">J1168+J1218</f>
        <v>0</v>
      </c>
      <c r="K1226" s="5">
        <f t="shared" ca="1" si="120"/>
        <v>0</v>
      </c>
      <c r="L1226" s="5">
        <f t="shared" ca="1" si="120"/>
        <v>0</v>
      </c>
      <c r="M1226" s="5">
        <f t="shared" ca="1" si="120"/>
        <v>0</v>
      </c>
      <c r="N1226" s="5">
        <f t="shared" ca="1" si="120"/>
        <v>0</v>
      </c>
      <c r="O1226" s="5">
        <f t="shared" ca="1" si="120"/>
        <v>0</v>
      </c>
    </row>
    <row r="1227" spans="3:15" s="327" customFormat="1" x14ac:dyDescent="0.2"/>
    <row r="1228" spans="3:15" s="327" customFormat="1" x14ac:dyDescent="0.2"/>
    <row r="1229" spans="3:15" s="327" customFormat="1" x14ac:dyDescent="0.2">
      <c r="C1229" s="716" t="str">
        <f>"Go to "&amp;HL_Intv_5_Ass</f>
        <v>Go to Surgery (Radical Hysterectomy plus Stump Removal)</v>
      </c>
      <c r="D1229" s="716"/>
      <c r="E1229" s="716"/>
      <c r="F1229" s="716"/>
      <c r="G1229" s="716"/>
      <c r="H1229" s="716"/>
      <c r="I1229" s="716"/>
    </row>
    <row r="1230" spans="3:15" s="327" customFormat="1" x14ac:dyDescent="0.2">
      <c r="C1230" s="716" t="str">
        <f>"Go to "&amp;HL_Intv_5_Ann_Ass</f>
        <v>Go to Intervention Services - Annual Assumptions</v>
      </c>
      <c r="D1230" s="716"/>
      <c r="E1230" s="716"/>
      <c r="F1230" s="716"/>
      <c r="G1230" s="716"/>
      <c r="H1230" s="716"/>
      <c r="I1230" s="716"/>
    </row>
    <row r="1231" spans="3:15" s="327" customFormat="1" x14ac:dyDescent="0.2"/>
    <row r="1232" spans="3:15" s="327" customFormat="1" x14ac:dyDescent="0.2"/>
    <row r="1233" spans="2:15" s="327" customFormat="1" ht="18.75" x14ac:dyDescent="0.2">
      <c r="B1233" s="452" t="str">
        <f>Intv_3_Name</f>
        <v>Chemotherapy</v>
      </c>
    </row>
    <row r="1234" spans="2:15" s="327" customFormat="1" x14ac:dyDescent="0.2"/>
    <row r="1235" spans="2:15" s="327" customFormat="1" ht="15.75" outlineLevel="2" x14ac:dyDescent="0.2">
      <c r="C1235" s="26" t="str">
        <f>"Active "&amp;Intv_BA!D1209&amp;"s"</f>
        <v>Active Central Referral Hospitals</v>
      </c>
    </row>
    <row r="1236" spans="2:15" s="327" customFormat="1" outlineLevel="2" x14ac:dyDescent="0.2"/>
    <row r="1237" spans="2:15" s="327" customFormat="1" outlineLevel="2" x14ac:dyDescent="0.2">
      <c r="D1237" s="518" t="s">
        <v>82</v>
      </c>
      <c r="H1237" s="27">
        <v>1</v>
      </c>
    </row>
    <row r="1238" spans="2:15" s="327" customFormat="1" outlineLevel="2" x14ac:dyDescent="0.2"/>
    <row r="1239" spans="2:15" s="327" customFormat="1" ht="15" outlineLevel="2" x14ac:dyDescent="0.2">
      <c r="D1239" s="24" t="str">
        <f>Labels_BA!G10</f>
        <v>Province</v>
      </c>
    </row>
    <row r="1240" spans="2:15" s="327" customFormat="1" outlineLevel="2" x14ac:dyDescent="0.2">
      <c r="D1240" s="521" t="str">
        <f>Intv_BA!D1345</f>
        <v>Central</v>
      </c>
      <c r="J1240" s="8">
        <f>Intv_Ann_TA!J606</f>
        <v>0</v>
      </c>
      <c r="K1240" s="8">
        <f>Intv_Ann_TA!K606</f>
        <v>0</v>
      </c>
      <c r="L1240" s="8">
        <f>Intv_Ann_TA!L606</f>
        <v>0</v>
      </c>
      <c r="M1240" s="8">
        <f>Intv_Ann_TA!M606</f>
        <v>0</v>
      </c>
      <c r="N1240" s="8">
        <f>Intv_Ann_TA!N606</f>
        <v>0</v>
      </c>
      <c r="O1240" s="8">
        <f>Intv_Ann_TA!O606</f>
        <v>0</v>
      </c>
    </row>
    <row r="1241" spans="2:15" s="327" customFormat="1" outlineLevel="2" x14ac:dyDescent="0.2">
      <c r="D1241" s="521" t="str">
        <f>Intv_BA!D1346</f>
        <v>Copperbelt</v>
      </c>
      <c r="J1241" s="8">
        <f>Intv_Ann_TA!J607</f>
        <v>0</v>
      </c>
      <c r="K1241" s="8">
        <f>Intv_Ann_TA!K607</f>
        <v>0</v>
      </c>
      <c r="L1241" s="8">
        <f>Intv_Ann_TA!L607</f>
        <v>0</v>
      </c>
      <c r="M1241" s="8">
        <f>Intv_Ann_TA!M607</f>
        <v>0</v>
      </c>
      <c r="N1241" s="8">
        <f>Intv_Ann_TA!N607</f>
        <v>1</v>
      </c>
      <c r="O1241" s="8">
        <f>Intv_Ann_TA!O607</f>
        <v>1</v>
      </c>
    </row>
    <row r="1242" spans="2:15" s="327" customFormat="1" outlineLevel="2" x14ac:dyDescent="0.2">
      <c r="D1242" s="521" t="str">
        <f>Intv_BA!D1347</f>
        <v>Eastern</v>
      </c>
      <c r="J1242" s="8">
        <f>Intv_Ann_TA!J608</f>
        <v>0</v>
      </c>
      <c r="K1242" s="8">
        <f>Intv_Ann_TA!K608</f>
        <v>0</v>
      </c>
      <c r="L1242" s="8">
        <f>Intv_Ann_TA!L608</f>
        <v>0</v>
      </c>
      <c r="M1242" s="8">
        <f>Intv_Ann_TA!M608</f>
        <v>0</v>
      </c>
      <c r="N1242" s="8">
        <f>Intv_Ann_TA!N608</f>
        <v>0</v>
      </c>
      <c r="O1242" s="8">
        <f>Intv_Ann_TA!O608</f>
        <v>0</v>
      </c>
    </row>
    <row r="1243" spans="2:15" s="327" customFormat="1" outlineLevel="2" x14ac:dyDescent="0.2">
      <c r="D1243" s="521" t="str">
        <f>Intv_BA!D1348</f>
        <v>Luapula</v>
      </c>
      <c r="J1243" s="8">
        <f>Intv_Ann_TA!J609</f>
        <v>0</v>
      </c>
      <c r="K1243" s="8">
        <f>Intv_Ann_TA!K609</f>
        <v>0</v>
      </c>
      <c r="L1243" s="8">
        <f>Intv_Ann_TA!L609</f>
        <v>0</v>
      </c>
      <c r="M1243" s="8">
        <f>Intv_Ann_TA!M609</f>
        <v>0</v>
      </c>
      <c r="N1243" s="8">
        <f>Intv_Ann_TA!N609</f>
        <v>0</v>
      </c>
      <c r="O1243" s="8">
        <f>Intv_Ann_TA!O609</f>
        <v>0</v>
      </c>
    </row>
    <row r="1244" spans="2:15" s="327" customFormat="1" outlineLevel="2" x14ac:dyDescent="0.2">
      <c r="D1244" s="521" t="str">
        <f>Intv_BA!D1349</f>
        <v>Lusaka</v>
      </c>
      <c r="J1244" s="8">
        <f>Intv_Ann_TA!J610</f>
        <v>1</v>
      </c>
      <c r="K1244" s="8">
        <f>Intv_Ann_TA!K610</f>
        <v>1</v>
      </c>
      <c r="L1244" s="8">
        <f>Intv_Ann_TA!L610</f>
        <v>1</v>
      </c>
      <c r="M1244" s="8">
        <f>Intv_Ann_TA!M610</f>
        <v>1</v>
      </c>
      <c r="N1244" s="8">
        <f>Intv_Ann_TA!N610</f>
        <v>1</v>
      </c>
      <c r="O1244" s="8">
        <f>Intv_Ann_TA!O610</f>
        <v>1</v>
      </c>
    </row>
    <row r="1245" spans="2:15" s="327" customFormat="1" outlineLevel="2" x14ac:dyDescent="0.2">
      <c r="D1245" s="521" t="str">
        <f>Intv_BA!D1350</f>
        <v>Muchinga</v>
      </c>
      <c r="J1245" s="8">
        <f>Intv_Ann_TA!J611</f>
        <v>0</v>
      </c>
      <c r="K1245" s="8">
        <f>Intv_Ann_TA!K611</f>
        <v>0</v>
      </c>
      <c r="L1245" s="8">
        <f>Intv_Ann_TA!L611</f>
        <v>0</v>
      </c>
      <c r="M1245" s="8">
        <f>Intv_Ann_TA!M611</f>
        <v>0</v>
      </c>
      <c r="N1245" s="8">
        <f>Intv_Ann_TA!N611</f>
        <v>0</v>
      </c>
      <c r="O1245" s="8">
        <f>Intv_Ann_TA!O611</f>
        <v>0</v>
      </c>
    </row>
    <row r="1246" spans="2:15" s="327" customFormat="1" outlineLevel="2" x14ac:dyDescent="0.2">
      <c r="D1246" s="521" t="str">
        <f>Intv_BA!D1351</f>
        <v>Northern</v>
      </c>
      <c r="J1246" s="8">
        <f>Intv_Ann_TA!J612</f>
        <v>0</v>
      </c>
      <c r="K1246" s="8">
        <f>Intv_Ann_TA!K612</f>
        <v>0</v>
      </c>
      <c r="L1246" s="8">
        <f>Intv_Ann_TA!L612</f>
        <v>0</v>
      </c>
      <c r="M1246" s="8">
        <f>Intv_Ann_TA!M612</f>
        <v>0</v>
      </c>
      <c r="N1246" s="8">
        <f>Intv_Ann_TA!N612</f>
        <v>0</v>
      </c>
      <c r="O1246" s="8">
        <f>Intv_Ann_TA!O612</f>
        <v>0</v>
      </c>
    </row>
    <row r="1247" spans="2:15" s="327" customFormat="1" outlineLevel="2" x14ac:dyDescent="0.2">
      <c r="D1247" s="521" t="str">
        <f>Intv_BA!D1352</f>
        <v>North-Western</v>
      </c>
      <c r="J1247" s="8">
        <f>Intv_Ann_TA!J613</f>
        <v>0</v>
      </c>
      <c r="K1247" s="8">
        <f>Intv_Ann_TA!K613</f>
        <v>0</v>
      </c>
      <c r="L1247" s="8">
        <f>Intv_Ann_TA!L613</f>
        <v>0</v>
      </c>
      <c r="M1247" s="8">
        <f>Intv_Ann_TA!M613</f>
        <v>0</v>
      </c>
      <c r="N1247" s="8">
        <f>Intv_Ann_TA!N613</f>
        <v>0</v>
      </c>
      <c r="O1247" s="8">
        <f>Intv_Ann_TA!O613</f>
        <v>0</v>
      </c>
    </row>
    <row r="1248" spans="2:15" s="327" customFormat="1" outlineLevel="2" x14ac:dyDescent="0.2">
      <c r="D1248" s="521" t="str">
        <f>Intv_BA!D1353</f>
        <v>Southern</v>
      </c>
      <c r="J1248" s="8">
        <f>Intv_Ann_TA!J614</f>
        <v>0</v>
      </c>
      <c r="K1248" s="8">
        <f>Intv_Ann_TA!K614</f>
        <v>0</v>
      </c>
      <c r="L1248" s="8">
        <f>Intv_Ann_TA!L614</f>
        <v>0</v>
      </c>
      <c r="M1248" s="8">
        <f>Intv_Ann_TA!M614</f>
        <v>0</v>
      </c>
      <c r="N1248" s="8">
        <f>Intv_Ann_TA!N614</f>
        <v>0</v>
      </c>
      <c r="O1248" s="8">
        <f>Intv_Ann_TA!O614</f>
        <v>0</v>
      </c>
    </row>
    <row r="1249" spans="3:15" s="327" customFormat="1" outlineLevel="2" x14ac:dyDescent="0.2">
      <c r="D1249" s="521" t="str">
        <f>Intv_BA!D1354</f>
        <v>Western</v>
      </c>
      <c r="J1249" s="9">
        <f>Intv_Ann_TA!J615</f>
        <v>0</v>
      </c>
      <c r="K1249" s="9">
        <f>Intv_Ann_TA!K615</f>
        <v>0</v>
      </c>
      <c r="L1249" s="9">
        <f>Intv_Ann_TA!L615</f>
        <v>0</v>
      </c>
      <c r="M1249" s="9">
        <f>Intv_Ann_TA!M615</f>
        <v>0</v>
      </c>
      <c r="N1249" s="9">
        <f>Intv_Ann_TA!N615</f>
        <v>1</v>
      </c>
      <c r="O1249" s="9">
        <f>Intv_Ann_TA!O615</f>
        <v>1</v>
      </c>
    </row>
    <row r="1250" spans="3:15" s="327" customFormat="1" x14ac:dyDescent="0.2">
      <c r="D1250" s="520" t="str">
        <f>"Total "&amp;C1235</f>
        <v>Total Active Central Referral Hospitals</v>
      </c>
      <c r="J1250" s="5">
        <f t="shared" ref="J1250:O1250" si="121">SUM(J1240:J1249)</f>
        <v>1</v>
      </c>
      <c r="K1250" s="5">
        <f t="shared" si="121"/>
        <v>1</v>
      </c>
      <c r="L1250" s="5">
        <f t="shared" si="121"/>
        <v>1</v>
      </c>
      <c r="M1250" s="5">
        <f t="shared" si="121"/>
        <v>1</v>
      </c>
      <c r="N1250" s="5">
        <f t="shared" si="121"/>
        <v>3</v>
      </c>
      <c r="O1250" s="5">
        <f t="shared" si="121"/>
        <v>3</v>
      </c>
    </row>
    <row r="1251" spans="3:15" s="327" customFormat="1" outlineLevel="2" x14ac:dyDescent="0.2"/>
    <row r="1252" spans="3:15" s="327" customFormat="1" ht="15.75" outlineLevel="2" x14ac:dyDescent="0.2">
      <c r="C1252" s="26" t="str">
        <f>"Active "&amp;Intv_BA!D1210&amp;"s"</f>
        <v>Active Provincial Hospitals</v>
      </c>
    </row>
    <row r="1253" spans="3:15" s="327" customFormat="1" outlineLevel="2" x14ac:dyDescent="0.2"/>
    <row r="1254" spans="3:15" s="327" customFormat="1" outlineLevel="2" x14ac:dyDescent="0.2">
      <c r="D1254" s="518" t="s">
        <v>82</v>
      </c>
      <c r="H1254" s="27">
        <v>2</v>
      </c>
    </row>
    <row r="1255" spans="3:15" s="327" customFormat="1" outlineLevel="2" x14ac:dyDescent="0.2"/>
    <row r="1256" spans="3:15" s="327" customFormat="1" ht="15" outlineLevel="2" x14ac:dyDescent="0.2">
      <c r="D1256" s="24" t="str">
        <f>Labels_BA!G10</f>
        <v>Province</v>
      </c>
    </row>
    <row r="1257" spans="3:15" s="327" customFormat="1" outlineLevel="2" x14ac:dyDescent="0.2">
      <c r="D1257" s="521" t="str">
        <f>Intv_BA!D1345</f>
        <v>Central</v>
      </c>
      <c r="J1257" s="8">
        <f>Intv_Ann_TA!J622</f>
        <v>0</v>
      </c>
      <c r="K1257" s="8">
        <f>Intv_Ann_TA!K622</f>
        <v>0</v>
      </c>
      <c r="L1257" s="8">
        <f>Intv_Ann_TA!L622</f>
        <v>0</v>
      </c>
      <c r="M1257" s="8">
        <f>Intv_Ann_TA!M622</f>
        <v>0</v>
      </c>
      <c r="N1257" s="8">
        <f>Intv_Ann_TA!N622</f>
        <v>0</v>
      </c>
      <c r="O1257" s="8">
        <f>Intv_Ann_TA!O622</f>
        <v>0</v>
      </c>
    </row>
    <row r="1258" spans="3:15" s="327" customFormat="1" outlineLevel="2" x14ac:dyDescent="0.2">
      <c r="D1258" s="521" t="str">
        <f>Intv_BA!D1346</f>
        <v>Copperbelt</v>
      </c>
      <c r="J1258" s="8">
        <f>Intv_Ann_TA!J623</f>
        <v>0</v>
      </c>
      <c r="K1258" s="8">
        <f>Intv_Ann_TA!K623</f>
        <v>0</v>
      </c>
      <c r="L1258" s="8">
        <f>Intv_Ann_TA!L623</f>
        <v>0</v>
      </c>
      <c r="M1258" s="8">
        <f>Intv_Ann_TA!M623</f>
        <v>0</v>
      </c>
      <c r="N1258" s="8">
        <f>Intv_Ann_TA!N623</f>
        <v>0</v>
      </c>
      <c r="O1258" s="8">
        <f>Intv_Ann_TA!O623</f>
        <v>0</v>
      </c>
    </row>
    <row r="1259" spans="3:15" s="327" customFormat="1" outlineLevel="2" x14ac:dyDescent="0.2">
      <c r="D1259" s="521" t="str">
        <f>Intv_BA!D1347</f>
        <v>Eastern</v>
      </c>
      <c r="J1259" s="8">
        <f>Intv_Ann_TA!J624</f>
        <v>0</v>
      </c>
      <c r="K1259" s="8">
        <f>Intv_Ann_TA!K624</f>
        <v>0</v>
      </c>
      <c r="L1259" s="8">
        <f>Intv_Ann_TA!L624</f>
        <v>0</v>
      </c>
      <c r="M1259" s="8">
        <f>Intv_Ann_TA!M624</f>
        <v>0</v>
      </c>
      <c r="N1259" s="8">
        <f>Intv_Ann_TA!N624</f>
        <v>0</v>
      </c>
      <c r="O1259" s="8">
        <f>Intv_Ann_TA!O624</f>
        <v>0</v>
      </c>
    </row>
    <row r="1260" spans="3:15" s="327" customFormat="1" outlineLevel="2" x14ac:dyDescent="0.2">
      <c r="D1260" s="521" t="str">
        <f>Intv_BA!D1348</f>
        <v>Luapula</v>
      </c>
      <c r="J1260" s="8">
        <f>Intv_Ann_TA!J625</f>
        <v>0</v>
      </c>
      <c r="K1260" s="8">
        <f>Intv_Ann_TA!K625</f>
        <v>0</v>
      </c>
      <c r="L1260" s="8">
        <f>Intv_Ann_TA!L625</f>
        <v>0</v>
      </c>
      <c r="M1260" s="8">
        <f>Intv_Ann_TA!M625</f>
        <v>0</v>
      </c>
      <c r="N1260" s="8">
        <f>Intv_Ann_TA!N625</f>
        <v>0</v>
      </c>
      <c r="O1260" s="8">
        <f>Intv_Ann_TA!O625</f>
        <v>0</v>
      </c>
    </row>
    <row r="1261" spans="3:15" s="327" customFormat="1" outlineLevel="2" x14ac:dyDescent="0.2">
      <c r="D1261" s="521" t="str">
        <f>Intv_BA!D1349</f>
        <v>Lusaka</v>
      </c>
      <c r="J1261" s="8">
        <f>Intv_Ann_TA!J626</f>
        <v>0</v>
      </c>
      <c r="K1261" s="8">
        <f>Intv_Ann_TA!K626</f>
        <v>0</v>
      </c>
      <c r="L1261" s="8">
        <f>Intv_Ann_TA!L626</f>
        <v>0</v>
      </c>
      <c r="M1261" s="8">
        <f>Intv_Ann_TA!M626</f>
        <v>0</v>
      </c>
      <c r="N1261" s="8">
        <f>Intv_Ann_TA!N626</f>
        <v>0</v>
      </c>
      <c r="O1261" s="8">
        <f>Intv_Ann_TA!O626</f>
        <v>0</v>
      </c>
    </row>
    <row r="1262" spans="3:15" s="327" customFormat="1" outlineLevel="2" x14ac:dyDescent="0.2">
      <c r="D1262" s="521" t="str">
        <f>Intv_BA!D1350</f>
        <v>Muchinga</v>
      </c>
      <c r="J1262" s="8">
        <f>Intv_Ann_TA!J627</f>
        <v>0</v>
      </c>
      <c r="K1262" s="8">
        <f>Intv_Ann_TA!K627</f>
        <v>0</v>
      </c>
      <c r="L1262" s="8">
        <f>Intv_Ann_TA!L627</f>
        <v>0</v>
      </c>
      <c r="M1262" s="8">
        <f>Intv_Ann_TA!M627</f>
        <v>0</v>
      </c>
      <c r="N1262" s="8">
        <f>Intv_Ann_TA!N627</f>
        <v>0</v>
      </c>
      <c r="O1262" s="8">
        <f>Intv_Ann_TA!O627</f>
        <v>0</v>
      </c>
    </row>
    <row r="1263" spans="3:15" s="327" customFormat="1" outlineLevel="2" x14ac:dyDescent="0.2">
      <c r="D1263" s="521" t="str">
        <f>Intv_BA!D1351</f>
        <v>Northern</v>
      </c>
      <c r="J1263" s="8">
        <f>Intv_Ann_TA!J628</f>
        <v>0</v>
      </c>
      <c r="K1263" s="8">
        <f>Intv_Ann_TA!K628</f>
        <v>0</v>
      </c>
      <c r="L1263" s="8">
        <f>Intv_Ann_TA!L628</f>
        <v>0</v>
      </c>
      <c r="M1263" s="8">
        <f>Intv_Ann_TA!M628</f>
        <v>0</v>
      </c>
      <c r="N1263" s="8">
        <f>Intv_Ann_TA!N628</f>
        <v>0</v>
      </c>
      <c r="O1263" s="8">
        <f>Intv_Ann_TA!O628</f>
        <v>0</v>
      </c>
    </row>
    <row r="1264" spans="3:15" s="327" customFormat="1" outlineLevel="2" x14ac:dyDescent="0.2">
      <c r="D1264" s="521" t="str">
        <f>Intv_BA!D1352</f>
        <v>North-Western</v>
      </c>
      <c r="J1264" s="8">
        <f>Intv_Ann_TA!J629</f>
        <v>0</v>
      </c>
      <c r="K1264" s="8">
        <f>Intv_Ann_TA!K629</f>
        <v>0</v>
      </c>
      <c r="L1264" s="8">
        <f>Intv_Ann_TA!L629</f>
        <v>0</v>
      </c>
      <c r="M1264" s="8">
        <f>Intv_Ann_TA!M629</f>
        <v>0</v>
      </c>
      <c r="N1264" s="8">
        <f>Intv_Ann_TA!N629</f>
        <v>0</v>
      </c>
      <c r="O1264" s="8">
        <f>Intv_Ann_TA!O629</f>
        <v>0</v>
      </c>
    </row>
    <row r="1265" spans="3:15" s="327" customFormat="1" outlineLevel="2" x14ac:dyDescent="0.2">
      <c r="D1265" s="521" t="str">
        <f>Intv_BA!D1353</f>
        <v>Southern</v>
      </c>
      <c r="J1265" s="8">
        <f>Intv_Ann_TA!J630</f>
        <v>0</v>
      </c>
      <c r="K1265" s="8">
        <f>Intv_Ann_TA!K630</f>
        <v>0</v>
      </c>
      <c r="L1265" s="8">
        <f>Intv_Ann_TA!L630</f>
        <v>0</v>
      </c>
      <c r="M1265" s="8">
        <f>Intv_Ann_TA!M630</f>
        <v>0</v>
      </c>
      <c r="N1265" s="8">
        <f>Intv_Ann_TA!N630</f>
        <v>0</v>
      </c>
      <c r="O1265" s="8">
        <f>Intv_Ann_TA!O630</f>
        <v>0</v>
      </c>
    </row>
    <row r="1266" spans="3:15" s="327" customFormat="1" outlineLevel="2" x14ac:dyDescent="0.2">
      <c r="D1266" s="521" t="str">
        <f>Intv_BA!D1354</f>
        <v>Western</v>
      </c>
      <c r="J1266" s="9">
        <f>Intv_Ann_TA!J631</f>
        <v>0</v>
      </c>
      <c r="K1266" s="9">
        <f>Intv_Ann_TA!K631</f>
        <v>0</v>
      </c>
      <c r="L1266" s="9">
        <f>Intv_Ann_TA!L631</f>
        <v>0</v>
      </c>
      <c r="M1266" s="9">
        <f>Intv_Ann_TA!M631</f>
        <v>0</v>
      </c>
      <c r="N1266" s="9">
        <f>Intv_Ann_TA!N631</f>
        <v>0</v>
      </c>
      <c r="O1266" s="9">
        <f>Intv_Ann_TA!O631</f>
        <v>0</v>
      </c>
    </row>
    <row r="1267" spans="3:15" s="327" customFormat="1" x14ac:dyDescent="0.2">
      <c r="D1267" s="520" t="str">
        <f>"Total "&amp;C1252</f>
        <v>Total Active Provincial Hospitals</v>
      </c>
      <c r="J1267" s="5">
        <f t="shared" ref="J1267:O1267" si="122">SUM(J1257:J1266)</f>
        <v>0</v>
      </c>
      <c r="K1267" s="5">
        <f t="shared" si="122"/>
        <v>0</v>
      </c>
      <c r="L1267" s="5">
        <f t="shared" si="122"/>
        <v>0</v>
      </c>
      <c r="M1267" s="5">
        <f t="shared" si="122"/>
        <v>0</v>
      </c>
      <c r="N1267" s="5">
        <f t="shared" si="122"/>
        <v>0</v>
      </c>
      <c r="O1267" s="5">
        <f t="shared" si="122"/>
        <v>0</v>
      </c>
    </row>
    <row r="1268" spans="3:15" s="327" customFormat="1" outlineLevel="2" x14ac:dyDescent="0.2"/>
    <row r="1269" spans="3:15" s="327" customFormat="1" ht="15.75" outlineLevel="2" x14ac:dyDescent="0.2">
      <c r="C1269" s="26" t="str">
        <f>"Active "&amp;Intv_BA!D1211&amp;"s"</f>
        <v>Active District Hospitals</v>
      </c>
    </row>
    <row r="1270" spans="3:15" s="327" customFormat="1" outlineLevel="2" x14ac:dyDescent="0.2"/>
    <row r="1271" spans="3:15" s="327" customFormat="1" outlineLevel="2" x14ac:dyDescent="0.2">
      <c r="D1271" s="518" t="s">
        <v>82</v>
      </c>
      <c r="H1271" s="27">
        <v>3</v>
      </c>
    </row>
    <row r="1272" spans="3:15" s="327" customFormat="1" outlineLevel="2" x14ac:dyDescent="0.2"/>
    <row r="1273" spans="3:15" s="327" customFormat="1" ht="15" outlineLevel="2" x14ac:dyDescent="0.2">
      <c r="D1273" s="24" t="str">
        <f>Labels_BA!G10</f>
        <v>Province</v>
      </c>
    </row>
    <row r="1274" spans="3:15" s="327" customFormat="1" outlineLevel="2" x14ac:dyDescent="0.2">
      <c r="D1274" s="521" t="str">
        <f>Intv_BA!D1345</f>
        <v>Central</v>
      </c>
      <c r="J1274" s="8">
        <f>Intv_Ann_TA!J638</f>
        <v>0</v>
      </c>
      <c r="K1274" s="8">
        <f>Intv_Ann_TA!K638</f>
        <v>0</v>
      </c>
      <c r="L1274" s="8">
        <f>Intv_Ann_TA!L638</f>
        <v>0</v>
      </c>
      <c r="M1274" s="8">
        <f>Intv_Ann_TA!M638</f>
        <v>0</v>
      </c>
      <c r="N1274" s="8">
        <f>Intv_Ann_TA!N638</f>
        <v>0</v>
      </c>
      <c r="O1274" s="8">
        <f>Intv_Ann_TA!O638</f>
        <v>0</v>
      </c>
    </row>
    <row r="1275" spans="3:15" s="327" customFormat="1" outlineLevel="2" x14ac:dyDescent="0.2">
      <c r="D1275" s="521" t="str">
        <f>Intv_BA!D1346</f>
        <v>Copperbelt</v>
      </c>
      <c r="J1275" s="8">
        <f>Intv_Ann_TA!J639</f>
        <v>0</v>
      </c>
      <c r="K1275" s="8">
        <f>Intv_Ann_TA!K639</f>
        <v>0</v>
      </c>
      <c r="L1275" s="8">
        <f>Intv_Ann_TA!L639</f>
        <v>0</v>
      </c>
      <c r="M1275" s="8">
        <f>Intv_Ann_TA!M639</f>
        <v>0</v>
      </c>
      <c r="N1275" s="8">
        <f>Intv_Ann_TA!N639</f>
        <v>0</v>
      </c>
      <c r="O1275" s="8">
        <f>Intv_Ann_TA!O639</f>
        <v>0</v>
      </c>
    </row>
    <row r="1276" spans="3:15" s="327" customFormat="1" outlineLevel="2" x14ac:dyDescent="0.2">
      <c r="D1276" s="521" t="str">
        <f>Intv_BA!D1347</f>
        <v>Eastern</v>
      </c>
      <c r="J1276" s="8">
        <f>Intv_Ann_TA!J640</f>
        <v>0</v>
      </c>
      <c r="K1276" s="8">
        <f>Intv_Ann_TA!K640</f>
        <v>0</v>
      </c>
      <c r="L1276" s="8">
        <f>Intv_Ann_TA!L640</f>
        <v>0</v>
      </c>
      <c r="M1276" s="8">
        <f>Intv_Ann_TA!M640</f>
        <v>0</v>
      </c>
      <c r="N1276" s="8">
        <f>Intv_Ann_TA!N640</f>
        <v>0</v>
      </c>
      <c r="O1276" s="8">
        <f>Intv_Ann_TA!O640</f>
        <v>0</v>
      </c>
    </row>
    <row r="1277" spans="3:15" s="327" customFormat="1" outlineLevel="2" x14ac:dyDescent="0.2">
      <c r="D1277" s="521" t="str">
        <f>Intv_BA!D1348</f>
        <v>Luapula</v>
      </c>
      <c r="J1277" s="8">
        <f>Intv_Ann_TA!J641</f>
        <v>0</v>
      </c>
      <c r="K1277" s="8">
        <f>Intv_Ann_TA!K641</f>
        <v>0</v>
      </c>
      <c r="L1277" s="8">
        <f>Intv_Ann_TA!L641</f>
        <v>0</v>
      </c>
      <c r="M1277" s="8">
        <f>Intv_Ann_TA!M641</f>
        <v>0</v>
      </c>
      <c r="N1277" s="8">
        <f>Intv_Ann_TA!N641</f>
        <v>0</v>
      </c>
      <c r="O1277" s="8">
        <f>Intv_Ann_TA!O641</f>
        <v>0</v>
      </c>
    </row>
    <row r="1278" spans="3:15" s="327" customFormat="1" outlineLevel="2" x14ac:dyDescent="0.2">
      <c r="D1278" s="521" t="str">
        <f>Intv_BA!D1349</f>
        <v>Lusaka</v>
      </c>
      <c r="J1278" s="8">
        <f>Intv_Ann_TA!J642</f>
        <v>0</v>
      </c>
      <c r="K1278" s="8">
        <f>Intv_Ann_TA!K642</f>
        <v>0</v>
      </c>
      <c r="L1278" s="8">
        <f>Intv_Ann_TA!L642</f>
        <v>0</v>
      </c>
      <c r="M1278" s="8">
        <f>Intv_Ann_TA!M642</f>
        <v>0</v>
      </c>
      <c r="N1278" s="8">
        <f>Intv_Ann_TA!N642</f>
        <v>0</v>
      </c>
      <c r="O1278" s="8">
        <f>Intv_Ann_TA!O642</f>
        <v>0</v>
      </c>
    </row>
    <row r="1279" spans="3:15" s="327" customFormat="1" outlineLevel="2" x14ac:dyDescent="0.2">
      <c r="D1279" s="521" t="str">
        <f>Intv_BA!D1350</f>
        <v>Muchinga</v>
      </c>
      <c r="J1279" s="8">
        <f>Intv_Ann_TA!J643</f>
        <v>0</v>
      </c>
      <c r="K1279" s="8">
        <f>Intv_Ann_TA!K643</f>
        <v>0</v>
      </c>
      <c r="L1279" s="8">
        <f>Intv_Ann_TA!L643</f>
        <v>0</v>
      </c>
      <c r="M1279" s="8">
        <f>Intv_Ann_TA!M643</f>
        <v>0</v>
      </c>
      <c r="N1279" s="8">
        <f>Intv_Ann_TA!N643</f>
        <v>0</v>
      </c>
      <c r="O1279" s="8">
        <f>Intv_Ann_TA!O643</f>
        <v>0</v>
      </c>
    </row>
    <row r="1280" spans="3:15" s="327" customFormat="1" outlineLevel="2" x14ac:dyDescent="0.2">
      <c r="D1280" s="521" t="str">
        <f>Intv_BA!D1351</f>
        <v>Northern</v>
      </c>
      <c r="J1280" s="8">
        <f>Intv_Ann_TA!J644</f>
        <v>0</v>
      </c>
      <c r="K1280" s="8">
        <f>Intv_Ann_TA!K644</f>
        <v>0</v>
      </c>
      <c r="L1280" s="8">
        <f>Intv_Ann_TA!L644</f>
        <v>0</v>
      </c>
      <c r="M1280" s="8">
        <f>Intv_Ann_TA!M644</f>
        <v>0</v>
      </c>
      <c r="N1280" s="8">
        <f>Intv_Ann_TA!N644</f>
        <v>0</v>
      </c>
      <c r="O1280" s="8">
        <f>Intv_Ann_TA!O644</f>
        <v>0</v>
      </c>
    </row>
    <row r="1281" spans="3:15" s="327" customFormat="1" outlineLevel="2" x14ac:dyDescent="0.2">
      <c r="D1281" s="521" t="str">
        <f>Intv_BA!D1352</f>
        <v>North-Western</v>
      </c>
      <c r="J1281" s="8">
        <f>Intv_Ann_TA!J645</f>
        <v>0</v>
      </c>
      <c r="K1281" s="8">
        <f>Intv_Ann_TA!K645</f>
        <v>0</v>
      </c>
      <c r="L1281" s="8">
        <f>Intv_Ann_TA!L645</f>
        <v>0</v>
      </c>
      <c r="M1281" s="8">
        <f>Intv_Ann_TA!M645</f>
        <v>0</v>
      </c>
      <c r="N1281" s="8">
        <f>Intv_Ann_TA!N645</f>
        <v>0</v>
      </c>
      <c r="O1281" s="8">
        <f>Intv_Ann_TA!O645</f>
        <v>0</v>
      </c>
    </row>
    <row r="1282" spans="3:15" s="327" customFormat="1" outlineLevel="2" x14ac:dyDescent="0.2">
      <c r="D1282" s="521" t="str">
        <f>Intv_BA!D1353</f>
        <v>Southern</v>
      </c>
      <c r="J1282" s="8">
        <f>Intv_Ann_TA!J646</f>
        <v>0</v>
      </c>
      <c r="K1282" s="8">
        <f>Intv_Ann_TA!K646</f>
        <v>0</v>
      </c>
      <c r="L1282" s="8">
        <f>Intv_Ann_TA!L646</f>
        <v>0</v>
      </c>
      <c r="M1282" s="8">
        <f>Intv_Ann_TA!M646</f>
        <v>0</v>
      </c>
      <c r="N1282" s="8">
        <f>Intv_Ann_TA!N646</f>
        <v>0</v>
      </c>
      <c r="O1282" s="8">
        <f>Intv_Ann_TA!O646</f>
        <v>0</v>
      </c>
    </row>
    <row r="1283" spans="3:15" s="327" customFormat="1" outlineLevel="2" x14ac:dyDescent="0.2">
      <c r="D1283" s="521" t="str">
        <f>Intv_BA!D1354</f>
        <v>Western</v>
      </c>
      <c r="J1283" s="9">
        <f>Intv_Ann_TA!J647</f>
        <v>0</v>
      </c>
      <c r="K1283" s="9">
        <f>Intv_Ann_TA!K647</f>
        <v>0</v>
      </c>
      <c r="L1283" s="9">
        <f>Intv_Ann_TA!L647</f>
        <v>0</v>
      </c>
      <c r="M1283" s="9">
        <f>Intv_Ann_TA!M647</f>
        <v>0</v>
      </c>
      <c r="N1283" s="9">
        <f>Intv_Ann_TA!N647</f>
        <v>0</v>
      </c>
      <c r="O1283" s="9">
        <f>Intv_Ann_TA!O647</f>
        <v>0</v>
      </c>
    </row>
    <row r="1284" spans="3:15" s="327" customFormat="1" x14ac:dyDescent="0.2">
      <c r="D1284" s="520" t="str">
        <f>"Total "&amp;C1269</f>
        <v>Total Active District Hospitals</v>
      </c>
      <c r="J1284" s="5">
        <f t="shared" ref="J1284:O1284" si="123">SUM(J1274:J1283)</f>
        <v>0</v>
      </c>
      <c r="K1284" s="5">
        <f t="shared" si="123"/>
        <v>0</v>
      </c>
      <c r="L1284" s="5">
        <f t="shared" si="123"/>
        <v>0</v>
      </c>
      <c r="M1284" s="5">
        <f t="shared" si="123"/>
        <v>0</v>
      </c>
      <c r="N1284" s="5">
        <f t="shared" si="123"/>
        <v>0</v>
      </c>
      <c r="O1284" s="5">
        <f t="shared" si="123"/>
        <v>0</v>
      </c>
    </row>
    <row r="1285" spans="3:15" s="327" customFormat="1" outlineLevel="2" x14ac:dyDescent="0.2"/>
    <row r="1286" spans="3:15" s="327" customFormat="1" ht="15.75" outlineLevel="2" x14ac:dyDescent="0.2">
      <c r="C1286" s="26" t="str">
        <f>"Active "&amp;Intv_BA!D1214&amp;"s"</f>
        <v>Active Fixed Health Clinics</v>
      </c>
    </row>
    <row r="1287" spans="3:15" s="327" customFormat="1" outlineLevel="2" x14ac:dyDescent="0.2"/>
    <row r="1288" spans="3:15" s="327" customFormat="1" outlineLevel="2" x14ac:dyDescent="0.2">
      <c r="D1288" s="518" t="s">
        <v>82</v>
      </c>
      <c r="H1288" s="27">
        <v>4</v>
      </c>
    </row>
    <row r="1289" spans="3:15" s="327" customFormat="1" outlineLevel="2" x14ac:dyDescent="0.2"/>
    <row r="1290" spans="3:15" s="327" customFormat="1" ht="15" outlineLevel="2" x14ac:dyDescent="0.2">
      <c r="D1290" s="24" t="str">
        <f>Labels_BA!G10</f>
        <v>Province</v>
      </c>
    </row>
    <row r="1291" spans="3:15" s="327" customFormat="1" outlineLevel="2" x14ac:dyDescent="0.2">
      <c r="D1291" s="521" t="str">
        <f>Intv_BA!D1345</f>
        <v>Central</v>
      </c>
      <c r="J1291" s="8">
        <f>Intv_Ann_TA!J654</f>
        <v>0</v>
      </c>
      <c r="K1291" s="8">
        <f>Intv_Ann_TA!K654</f>
        <v>0</v>
      </c>
      <c r="L1291" s="8">
        <f>Intv_Ann_TA!L654</f>
        <v>0</v>
      </c>
      <c r="M1291" s="8">
        <f>Intv_Ann_TA!M654</f>
        <v>0</v>
      </c>
      <c r="N1291" s="8">
        <f>Intv_Ann_TA!N654</f>
        <v>0</v>
      </c>
      <c r="O1291" s="8">
        <f>Intv_Ann_TA!O654</f>
        <v>0</v>
      </c>
    </row>
    <row r="1292" spans="3:15" s="327" customFormat="1" outlineLevel="2" x14ac:dyDescent="0.2">
      <c r="D1292" s="521" t="str">
        <f>Intv_BA!D1346</f>
        <v>Copperbelt</v>
      </c>
      <c r="J1292" s="8">
        <f>Intv_Ann_TA!J655</f>
        <v>0</v>
      </c>
      <c r="K1292" s="8">
        <f>Intv_Ann_TA!K655</f>
        <v>0</v>
      </c>
      <c r="L1292" s="8">
        <f>Intv_Ann_TA!L655</f>
        <v>0</v>
      </c>
      <c r="M1292" s="8">
        <f>Intv_Ann_TA!M655</f>
        <v>0</v>
      </c>
      <c r="N1292" s="8">
        <f>Intv_Ann_TA!N655</f>
        <v>0</v>
      </c>
      <c r="O1292" s="8">
        <f>Intv_Ann_TA!O655</f>
        <v>0</v>
      </c>
    </row>
    <row r="1293" spans="3:15" s="327" customFormat="1" outlineLevel="2" x14ac:dyDescent="0.2">
      <c r="D1293" s="521" t="str">
        <f>Intv_BA!D1347</f>
        <v>Eastern</v>
      </c>
      <c r="J1293" s="8">
        <f>Intv_Ann_TA!J656</f>
        <v>0</v>
      </c>
      <c r="K1293" s="8">
        <f>Intv_Ann_TA!K656</f>
        <v>0</v>
      </c>
      <c r="L1293" s="8">
        <f>Intv_Ann_TA!L656</f>
        <v>0</v>
      </c>
      <c r="M1293" s="8">
        <f>Intv_Ann_TA!M656</f>
        <v>0</v>
      </c>
      <c r="N1293" s="8">
        <f>Intv_Ann_TA!N656</f>
        <v>0</v>
      </c>
      <c r="O1293" s="8">
        <f>Intv_Ann_TA!O656</f>
        <v>0</v>
      </c>
    </row>
    <row r="1294" spans="3:15" s="327" customFormat="1" outlineLevel="2" x14ac:dyDescent="0.2">
      <c r="D1294" s="521" t="str">
        <f>Intv_BA!D1348</f>
        <v>Luapula</v>
      </c>
      <c r="J1294" s="8">
        <f>Intv_Ann_TA!J657</f>
        <v>0</v>
      </c>
      <c r="K1294" s="8">
        <f>Intv_Ann_TA!K657</f>
        <v>0</v>
      </c>
      <c r="L1294" s="8">
        <f>Intv_Ann_TA!L657</f>
        <v>0</v>
      </c>
      <c r="M1294" s="8">
        <f>Intv_Ann_TA!M657</f>
        <v>0</v>
      </c>
      <c r="N1294" s="8">
        <f>Intv_Ann_TA!N657</f>
        <v>0</v>
      </c>
      <c r="O1294" s="8">
        <f>Intv_Ann_TA!O657</f>
        <v>0</v>
      </c>
    </row>
    <row r="1295" spans="3:15" s="327" customFormat="1" outlineLevel="2" x14ac:dyDescent="0.2">
      <c r="D1295" s="521" t="str">
        <f>Intv_BA!D1349</f>
        <v>Lusaka</v>
      </c>
      <c r="J1295" s="8">
        <f>Intv_Ann_TA!J658</f>
        <v>0</v>
      </c>
      <c r="K1295" s="8">
        <f>Intv_Ann_TA!K658</f>
        <v>0</v>
      </c>
      <c r="L1295" s="8">
        <f>Intv_Ann_TA!L658</f>
        <v>0</v>
      </c>
      <c r="M1295" s="8">
        <f>Intv_Ann_TA!M658</f>
        <v>0</v>
      </c>
      <c r="N1295" s="8">
        <f>Intv_Ann_TA!N658</f>
        <v>0</v>
      </c>
      <c r="O1295" s="8">
        <f>Intv_Ann_TA!O658</f>
        <v>0</v>
      </c>
    </row>
    <row r="1296" spans="3:15" s="327" customFormat="1" outlineLevel="2" x14ac:dyDescent="0.2">
      <c r="D1296" s="521" t="str">
        <f>Intv_BA!D1350</f>
        <v>Muchinga</v>
      </c>
      <c r="J1296" s="8">
        <f>Intv_Ann_TA!J659</f>
        <v>0</v>
      </c>
      <c r="K1296" s="8">
        <f>Intv_Ann_TA!K659</f>
        <v>0</v>
      </c>
      <c r="L1296" s="8">
        <f>Intv_Ann_TA!L659</f>
        <v>0</v>
      </c>
      <c r="M1296" s="8">
        <f>Intv_Ann_TA!M659</f>
        <v>0</v>
      </c>
      <c r="N1296" s="8">
        <f>Intv_Ann_TA!N659</f>
        <v>0</v>
      </c>
      <c r="O1296" s="8">
        <f>Intv_Ann_TA!O659</f>
        <v>0</v>
      </c>
    </row>
    <row r="1297" spans="3:15" s="327" customFormat="1" outlineLevel="2" x14ac:dyDescent="0.2">
      <c r="D1297" s="521" t="str">
        <f>Intv_BA!D1351</f>
        <v>Northern</v>
      </c>
      <c r="J1297" s="8">
        <f>Intv_Ann_TA!J660</f>
        <v>0</v>
      </c>
      <c r="K1297" s="8">
        <f>Intv_Ann_TA!K660</f>
        <v>0</v>
      </c>
      <c r="L1297" s="8">
        <f>Intv_Ann_TA!L660</f>
        <v>0</v>
      </c>
      <c r="M1297" s="8">
        <f>Intv_Ann_TA!M660</f>
        <v>0</v>
      </c>
      <c r="N1297" s="8">
        <f>Intv_Ann_TA!N660</f>
        <v>0</v>
      </c>
      <c r="O1297" s="8">
        <f>Intv_Ann_TA!O660</f>
        <v>0</v>
      </c>
    </row>
    <row r="1298" spans="3:15" s="327" customFormat="1" outlineLevel="2" x14ac:dyDescent="0.2">
      <c r="D1298" s="521" t="str">
        <f>Intv_BA!D1352</f>
        <v>North-Western</v>
      </c>
      <c r="J1298" s="8">
        <f>Intv_Ann_TA!J661</f>
        <v>0</v>
      </c>
      <c r="K1298" s="8">
        <f>Intv_Ann_TA!K661</f>
        <v>0</v>
      </c>
      <c r="L1298" s="8">
        <f>Intv_Ann_TA!L661</f>
        <v>0</v>
      </c>
      <c r="M1298" s="8">
        <f>Intv_Ann_TA!M661</f>
        <v>0</v>
      </c>
      <c r="N1298" s="8">
        <f>Intv_Ann_TA!N661</f>
        <v>0</v>
      </c>
      <c r="O1298" s="8">
        <f>Intv_Ann_TA!O661</f>
        <v>0</v>
      </c>
    </row>
    <row r="1299" spans="3:15" s="327" customFormat="1" outlineLevel="2" x14ac:dyDescent="0.2">
      <c r="D1299" s="521" t="str">
        <f>Intv_BA!D1353</f>
        <v>Southern</v>
      </c>
      <c r="J1299" s="8">
        <f>Intv_Ann_TA!J662</f>
        <v>0</v>
      </c>
      <c r="K1299" s="8">
        <f>Intv_Ann_TA!K662</f>
        <v>0</v>
      </c>
      <c r="L1299" s="8">
        <f>Intv_Ann_TA!L662</f>
        <v>0</v>
      </c>
      <c r="M1299" s="8">
        <f>Intv_Ann_TA!M662</f>
        <v>0</v>
      </c>
      <c r="N1299" s="8">
        <f>Intv_Ann_TA!N662</f>
        <v>0</v>
      </c>
      <c r="O1299" s="8">
        <f>Intv_Ann_TA!O662</f>
        <v>0</v>
      </c>
    </row>
    <row r="1300" spans="3:15" s="327" customFormat="1" outlineLevel="2" x14ac:dyDescent="0.2">
      <c r="D1300" s="521" t="str">
        <f>Intv_BA!D1354</f>
        <v>Western</v>
      </c>
      <c r="J1300" s="9">
        <f>Intv_Ann_TA!J663</f>
        <v>0</v>
      </c>
      <c r="K1300" s="9">
        <f>Intv_Ann_TA!K663</f>
        <v>0</v>
      </c>
      <c r="L1300" s="9">
        <f>Intv_Ann_TA!L663</f>
        <v>0</v>
      </c>
      <c r="M1300" s="9">
        <f>Intv_Ann_TA!M663</f>
        <v>0</v>
      </c>
      <c r="N1300" s="9">
        <f>Intv_Ann_TA!N663</f>
        <v>0</v>
      </c>
      <c r="O1300" s="9">
        <f>Intv_Ann_TA!O663</f>
        <v>0</v>
      </c>
    </row>
    <row r="1301" spans="3:15" s="327" customFormat="1" x14ac:dyDescent="0.2">
      <c r="D1301" s="520" t="str">
        <f>"Total "&amp;C1286</f>
        <v>Total Active Fixed Health Clinics</v>
      </c>
      <c r="J1301" s="5">
        <f t="shared" ref="J1301:O1301" si="124">SUM(J1291:J1300)</f>
        <v>0</v>
      </c>
      <c r="K1301" s="5">
        <f t="shared" si="124"/>
        <v>0</v>
      </c>
      <c r="L1301" s="5">
        <f t="shared" si="124"/>
        <v>0</v>
      </c>
      <c r="M1301" s="5">
        <f t="shared" si="124"/>
        <v>0</v>
      </c>
      <c r="N1301" s="5">
        <f t="shared" si="124"/>
        <v>0</v>
      </c>
      <c r="O1301" s="5">
        <f t="shared" si="124"/>
        <v>0</v>
      </c>
    </row>
    <row r="1302" spans="3:15" s="327" customFormat="1" outlineLevel="2" x14ac:dyDescent="0.2"/>
    <row r="1303" spans="3:15" s="327" customFormat="1" ht="15.75" outlineLevel="2" x14ac:dyDescent="0.2">
      <c r="C1303" s="26" t="str">
        <f>"Active "&amp;Intv_BA!D1215&amp;"s"</f>
        <v>Active PCI Mobile Health Teams</v>
      </c>
    </row>
    <row r="1304" spans="3:15" s="327" customFormat="1" outlineLevel="2" x14ac:dyDescent="0.2"/>
    <row r="1305" spans="3:15" s="327" customFormat="1" outlineLevel="2" x14ac:dyDescent="0.2">
      <c r="D1305" s="518" t="s">
        <v>82</v>
      </c>
      <c r="H1305" s="27">
        <v>5</v>
      </c>
    </row>
    <row r="1306" spans="3:15" s="327" customFormat="1" outlineLevel="2" x14ac:dyDescent="0.2"/>
    <row r="1307" spans="3:15" s="327" customFormat="1" ht="15" outlineLevel="2" x14ac:dyDescent="0.2">
      <c r="D1307" s="24" t="str">
        <f>Labels_BA!G10</f>
        <v>Province</v>
      </c>
    </row>
    <row r="1308" spans="3:15" s="327" customFormat="1" outlineLevel="2" x14ac:dyDescent="0.2">
      <c r="D1308" s="521" t="str">
        <f>Intv_BA!D1345</f>
        <v>Central</v>
      </c>
      <c r="J1308" s="8">
        <f>Intv_Ann_TA!J670</f>
        <v>0</v>
      </c>
      <c r="K1308" s="8">
        <f>Intv_Ann_TA!K670</f>
        <v>0</v>
      </c>
      <c r="L1308" s="8">
        <f>Intv_Ann_TA!L670</f>
        <v>0</v>
      </c>
      <c r="M1308" s="8">
        <f>Intv_Ann_TA!M670</f>
        <v>0</v>
      </c>
      <c r="N1308" s="8">
        <f>Intv_Ann_TA!N670</f>
        <v>0</v>
      </c>
      <c r="O1308" s="8">
        <f>Intv_Ann_TA!O670</f>
        <v>0</v>
      </c>
    </row>
    <row r="1309" spans="3:15" s="327" customFormat="1" outlineLevel="2" x14ac:dyDescent="0.2">
      <c r="D1309" s="521" t="str">
        <f>Intv_BA!D1346</f>
        <v>Copperbelt</v>
      </c>
      <c r="J1309" s="8">
        <f>Intv_Ann_TA!J671</f>
        <v>0</v>
      </c>
      <c r="K1309" s="8">
        <f>Intv_Ann_TA!K671</f>
        <v>0</v>
      </c>
      <c r="L1309" s="8">
        <f>Intv_Ann_TA!L671</f>
        <v>0</v>
      </c>
      <c r="M1309" s="8">
        <f>Intv_Ann_TA!M671</f>
        <v>0</v>
      </c>
      <c r="N1309" s="8">
        <f>Intv_Ann_TA!N671</f>
        <v>0</v>
      </c>
      <c r="O1309" s="8">
        <f>Intv_Ann_TA!O671</f>
        <v>0</v>
      </c>
    </row>
    <row r="1310" spans="3:15" s="327" customFormat="1" outlineLevel="2" x14ac:dyDescent="0.2">
      <c r="D1310" s="521" t="str">
        <f>Intv_BA!D1347</f>
        <v>Eastern</v>
      </c>
      <c r="J1310" s="8">
        <f>Intv_Ann_TA!J672</f>
        <v>0</v>
      </c>
      <c r="K1310" s="8">
        <f>Intv_Ann_TA!K672</f>
        <v>0</v>
      </c>
      <c r="L1310" s="8">
        <f>Intv_Ann_TA!L672</f>
        <v>0</v>
      </c>
      <c r="M1310" s="8">
        <f>Intv_Ann_TA!M672</f>
        <v>0</v>
      </c>
      <c r="N1310" s="8">
        <f>Intv_Ann_TA!N672</f>
        <v>0</v>
      </c>
      <c r="O1310" s="8">
        <f>Intv_Ann_TA!O672</f>
        <v>0</v>
      </c>
    </row>
    <row r="1311" spans="3:15" s="327" customFormat="1" outlineLevel="2" x14ac:dyDescent="0.2">
      <c r="D1311" s="521" t="str">
        <f>Intv_BA!D1348</f>
        <v>Luapula</v>
      </c>
      <c r="J1311" s="8">
        <f>Intv_Ann_TA!J673</f>
        <v>0</v>
      </c>
      <c r="K1311" s="8">
        <f>Intv_Ann_TA!K673</f>
        <v>0</v>
      </c>
      <c r="L1311" s="8">
        <f>Intv_Ann_TA!L673</f>
        <v>0</v>
      </c>
      <c r="M1311" s="8">
        <f>Intv_Ann_TA!M673</f>
        <v>0</v>
      </c>
      <c r="N1311" s="8">
        <f>Intv_Ann_TA!N673</f>
        <v>0</v>
      </c>
      <c r="O1311" s="8">
        <f>Intv_Ann_TA!O673</f>
        <v>0</v>
      </c>
    </row>
    <row r="1312" spans="3:15" s="327" customFormat="1" outlineLevel="2" x14ac:dyDescent="0.2">
      <c r="D1312" s="521" t="str">
        <f>Intv_BA!D1349</f>
        <v>Lusaka</v>
      </c>
      <c r="J1312" s="8">
        <f>Intv_Ann_TA!J674</f>
        <v>0</v>
      </c>
      <c r="K1312" s="8">
        <f>Intv_Ann_TA!K674</f>
        <v>0</v>
      </c>
      <c r="L1312" s="8">
        <f>Intv_Ann_TA!L674</f>
        <v>0</v>
      </c>
      <c r="M1312" s="8">
        <f>Intv_Ann_TA!M674</f>
        <v>0</v>
      </c>
      <c r="N1312" s="8">
        <f>Intv_Ann_TA!N674</f>
        <v>0</v>
      </c>
      <c r="O1312" s="8">
        <f>Intv_Ann_TA!O674</f>
        <v>0</v>
      </c>
    </row>
    <row r="1313" spans="3:15" s="327" customFormat="1" outlineLevel="2" x14ac:dyDescent="0.2">
      <c r="D1313" s="521" t="str">
        <f>Intv_BA!D1350</f>
        <v>Muchinga</v>
      </c>
      <c r="J1313" s="8">
        <f>Intv_Ann_TA!J675</f>
        <v>0</v>
      </c>
      <c r="K1313" s="8">
        <f>Intv_Ann_TA!K675</f>
        <v>0</v>
      </c>
      <c r="L1313" s="8">
        <f>Intv_Ann_TA!L675</f>
        <v>0</v>
      </c>
      <c r="M1313" s="8">
        <f>Intv_Ann_TA!M675</f>
        <v>0</v>
      </c>
      <c r="N1313" s="8">
        <f>Intv_Ann_TA!N675</f>
        <v>0</v>
      </c>
      <c r="O1313" s="8">
        <f>Intv_Ann_TA!O675</f>
        <v>0</v>
      </c>
    </row>
    <row r="1314" spans="3:15" s="327" customFormat="1" outlineLevel="2" x14ac:dyDescent="0.2">
      <c r="D1314" s="521" t="str">
        <f>Intv_BA!D1351</f>
        <v>Northern</v>
      </c>
      <c r="J1314" s="8">
        <f>Intv_Ann_TA!J676</f>
        <v>0</v>
      </c>
      <c r="K1314" s="8">
        <f>Intv_Ann_TA!K676</f>
        <v>0</v>
      </c>
      <c r="L1314" s="8">
        <f>Intv_Ann_TA!L676</f>
        <v>0</v>
      </c>
      <c r="M1314" s="8">
        <f>Intv_Ann_TA!M676</f>
        <v>0</v>
      </c>
      <c r="N1314" s="8">
        <f>Intv_Ann_TA!N676</f>
        <v>0</v>
      </c>
      <c r="O1314" s="8">
        <f>Intv_Ann_TA!O676</f>
        <v>0</v>
      </c>
    </row>
    <row r="1315" spans="3:15" s="327" customFormat="1" outlineLevel="2" x14ac:dyDescent="0.2">
      <c r="D1315" s="521" t="str">
        <f>Intv_BA!D1352</f>
        <v>North-Western</v>
      </c>
      <c r="J1315" s="8">
        <f>Intv_Ann_TA!J677</f>
        <v>0</v>
      </c>
      <c r="K1315" s="8">
        <f>Intv_Ann_TA!K677</f>
        <v>0</v>
      </c>
      <c r="L1315" s="8">
        <f>Intv_Ann_TA!L677</f>
        <v>0</v>
      </c>
      <c r="M1315" s="8">
        <f>Intv_Ann_TA!M677</f>
        <v>0</v>
      </c>
      <c r="N1315" s="8">
        <f>Intv_Ann_TA!N677</f>
        <v>0</v>
      </c>
      <c r="O1315" s="8">
        <f>Intv_Ann_TA!O677</f>
        <v>0</v>
      </c>
    </row>
    <row r="1316" spans="3:15" s="327" customFormat="1" outlineLevel="2" x14ac:dyDescent="0.2">
      <c r="D1316" s="521" t="str">
        <f>Intv_BA!D1353</f>
        <v>Southern</v>
      </c>
      <c r="J1316" s="8">
        <f>Intv_Ann_TA!J678</f>
        <v>0</v>
      </c>
      <c r="K1316" s="8">
        <f>Intv_Ann_TA!K678</f>
        <v>0</v>
      </c>
      <c r="L1316" s="8">
        <f>Intv_Ann_TA!L678</f>
        <v>0</v>
      </c>
      <c r="M1316" s="8">
        <f>Intv_Ann_TA!M678</f>
        <v>0</v>
      </c>
      <c r="N1316" s="8">
        <f>Intv_Ann_TA!N678</f>
        <v>0</v>
      </c>
      <c r="O1316" s="8">
        <f>Intv_Ann_TA!O678</f>
        <v>0</v>
      </c>
    </row>
    <row r="1317" spans="3:15" s="327" customFormat="1" outlineLevel="2" x14ac:dyDescent="0.2">
      <c r="D1317" s="521" t="str">
        <f>Intv_BA!D1354</f>
        <v>Western</v>
      </c>
      <c r="J1317" s="9">
        <f>Intv_Ann_TA!J679</f>
        <v>0</v>
      </c>
      <c r="K1317" s="9">
        <f>Intv_Ann_TA!K679</f>
        <v>0</v>
      </c>
      <c r="L1317" s="9">
        <f>Intv_Ann_TA!L679</f>
        <v>0</v>
      </c>
      <c r="M1317" s="9">
        <f>Intv_Ann_TA!M679</f>
        <v>0</v>
      </c>
      <c r="N1317" s="9">
        <f>Intv_Ann_TA!N679</f>
        <v>0</v>
      </c>
      <c r="O1317" s="9">
        <f>Intv_Ann_TA!O679</f>
        <v>0</v>
      </c>
    </row>
    <row r="1318" spans="3:15" s="327" customFormat="1" x14ac:dyDescent="0.2">
      <c r="D1318" s="520" t="str">
        <f>"Total "&amp;C1303</f>
        <v>Total Active PCI Mobile Health Teams</v>
      </c>
      <c r="J1318" s="5">
        <f t="shared" ref="J1318:O1318" si="125">SUM(J1308:J1317)</f>
        <v>0</v>
      </c>
      <c r="K1318" s="5">
        <f t="shared" si="125"/>
        <v>0</v>
      </c>
      <c r="L1318" s="5">
        <f t="shared" si="125"/>
        <v>0</v>
      </c>
      <c r="M1318" s="5">
        <f t="shared" si="125"/>
        <v>0</v>
      </c>
      <c r="N1318" s="5">
        <f t="shared" si="125"/>
        <v>0</v>
      </c>
      <c r="O1318" s="5">
        <f t="shared" si="125"/>
        <v>0</v>
      </c>
    </row>
    <row r="1319" spans="3:15" s="327" customFormat="1" outlineLevel="2" x14ac:dyDescent="0.2"/>
    <row r="1320" spans="3:15" s="327" customFormat="1" ht="15.75" outlineLevel="2" x14ac:dyDescent="0.2">
      <c r="C1320" s="26" t="str">
        <f>"Active "&amp;Intv_BA!D1216&amp;"s"</f>
        <v>Active Gov't Mobile Health Team (Hospital)s</v>
      </c>
    </row>
    <row r="1321" spans="3:15" s="327" customFormat="1" outlineLevel="2" x14ac:dyDescent="0.2"/>
    <row r="1322" spans="3:15" s="327" customFormat="1" outlineLevel="2" x14ac:dyDescent="0.2">
      <c r="D1322" s="518" t="s">
        <v>82</v>
      </c>
      <c r="H1322" s="27">
        <v>6</v>
      </c>
    </row>
    <row r="1323" spans="3:15" s="327" customFormat="1" outlineLevel="2" x14ac:dyDescent="0.2"/>
    <row r="1324" spans="3:15" s="327" customFormat="1" ht="15" outlineLevel="2" x14ac:dyDescent="0.2">
      <c r="D1324" s="24" t="str">
        <f>Labels_BA!G10</f>
        <v>Province</v>
      </c>
    </row>
    <row r="1325" spans="3:15" s="327" customFormat="1" outlineLevel="2" x14ac:dyDescent="0.2">
      <c r="D1325" s="521" t="str">
        <f>Intv_BA!D1345</f>
        <v>Central</v>
      </c>
      <c r="J1325" s="8">
        <f>Intv_Ann_TA!J686</f>
        <v>0</v>
      </c>
      <c r="K1325" s="8">
        <f>Intv_Ann_TA!K686</f>
        <v>0</v>
      </c>
      <c r="L1325" s="8">
        <f>Intv_Ann_TA!L686</f>
        <v>0</v>
      </c>
      <c r="M1325" s="8">
        <f>Intv_Ann_TA!M686</f>
        <v>0</v>
      </c>
      <c r="N1325" s="8">
        <f>Intv_Ann_TA!N686</f>
        <v>0</v>
      </c>
      <c r="O1325" s="8">
        <f>Intv_Ann_TA!O686</f>
        <v>0</v>
      </c>
    </row>
    <row r="1326" spans="3:15" s="327" customFormat="1" outlineLevel="2" x14ac:dyDescent="0.2">
      <c r="D1326" s="521" t="str">
        <f>Intv_BA!D1346</f>
        <v>Copperbelt</v>
      </c>
      <c r="J1326" s="8">
        <f>Intv_Ann_TA!J687</f>
        <v>0</v>
      </c>
      <c r="K1326" s="8">
        <f>Intv_Ann_TA!K687</f>
        <v>0</v>
      </c>
      <c r="L1326" s="8">
        <f>Intv_Ann_TA!L687</f>
        <v>0</v>
      </c>
      <c r="M1326" s="8">
        <f>Intv_Ann_TA!M687</f>
        <v>0</v>
      </c>
      <c r="N1326" s="8">
        <f>Intv_Ann_TA!N687</f>
        <v>0</v>
      </c>
      <c r="O1326" s="8">
        <f>Intv_Ann_TA!O687</f>
        <v>0</v>
      </c>
    </row>
    <row r="1327" spans="3:15" s="327" customFormat="1" outlineLevel="2" x14ac:dyDescent="0.2">
      <c r="D1327" s="521" t="str">
        <f>Intv_BA!D1347</f>
        <v>Eastern</v>
      </c>
      <c r="J1327" s="8">
        <f>Intv_Ann_TA!J688</f>
        <v>0</v>
      </c>
      <c r="K1327" s="8">
        <f>Intv_Ann_TA!K688</f>
        <v>0</v>
      </c>
      <c r="L1327" s="8">
        <f>Intv_Ann_TA!L688</f>
        <v>0</v>
      </c>
      <c r="M1327" s="8">
        <f>Intv_Ann_TA!M688</f>
        <v>0</v>
      </c>
      <c r="N1327" s="8">
        <f>Intv_Ann_TA!N688</f>
        <v>0</v>
      </c>
      <c r="O1327" s="8">
        <f>Intv_Ann_TA!O688</f>
        <v>0</v>
      </c>
    </row>
    <row r="1328" spans="3:15" s="327" customFormat="1" outlineLevel="2" x14ac:dyDescent="0.2">
      <c r="D1328" s="521" t="str">
        <f>Intv_BA!D1348</f>
        <v>Luapula</v>
      </c>
      <c r="J1328" s="8">
        <f>Intv_Ann_TA!J689</f>
        <v>0</v>
      </c>
      <c r="K1328" s="8">
        <f>Intv_Ann_TA!K689</f>
        <v>0</v>
      </c>
      <c r="L1328" s="8">
        <f>Intv_Ann_TA!L689</f>
        <v>0</v>
      </c>
      <c r="M1328" s="8">
        <f>Intv_Ann_TA!M689</f>
        <v>0</v>
      </c>
      <c r="N1328" s="8">
        <f>Intv_Ann_TA!N689</f>
        <v>0</v>
      </c>
      <c r="O1328" s="8">
        <f>Intv_Ann_TA!O689</f>
        <v>0</v>
      </c>
    </row>
    <row r="1329" spans="3:15" s="327" customFormat="1" outlineLevel="2" x14ac:dyDescent="0.2">
      <c r="D1329" s="521" t="str">
        <f>Intv_BA!D1349</f>
        <v>Lusaka</v>
      </c>
      <c r="J1329" s="8">
        <f>Intv_Ann_TA!J690</f>
        <v>0</v>
      </c>
      <c r="K1329" s="8">
        <f>Intv_Ann_TA!K690</f>
        <v>0</v>
      </c>
      <c r="L1329" s="8">
        <f>Intv_Ann_TA!L690</f>
        <v>0</v>
      </c>
      <c r="M1329" s="8">
        <f>Intv_Ann_TA!M690</f>
        <v>0</v>
      </c>
      <c r="N1329" s="8">
        <f>Intv_Ann_TA!N690</f>
        <v>0</v>
      </c>
      <c r="O1329" s="8">
        <f>Intv_Ann_TA!O690</f>
        <v>0</v>
      </c>
    </row>
    <row r="1330" spans="3:15" s="327" customFormat="1" outlineLevel="2" x14ac:dyDescent="0.2">
      <c r="D1330" s="521" t="str">
        <f>Intv_BA!D1350</f>
        <v>Muchinga</v>
      </c>
      <c r="J1330" s="8">
        <f>Intv_Ann_TA!J691</f>
        <v>0</v>
      </c>
      <c r="K1330" s="8">
        <f>Intv_Ann_TA!K691</f>
        <v>0</v>
      </c>
      <c r="L1330" s="8">
        <f>Intv_Ann_TA!L691</f>
        <v>0</v>
      </c>
      <c r="M1330" s="8">
        <f>Intv_Ann_TA!M691</f>
        <v>0</v>
      </c>
      <c r="N1330" s="8">
        <f>Intv_Ann_TA!N691</f>
        <v>0</v>
      </c>
      <c r="O1330" s="8">
        <f>Intv_Ann_TA!O691</f>
        <v>0</v>
      </c>
    </row>
    <row r="1331" spans="3:15" s="327" customFormat="1" outlineLevel="2" x14ac:dyDescent="0.2">
      <c r="D1331" s="521" t="str">
        <f>Intv_BA!D1351</f>
        <v>Northern</v>
      </c>
      <c r="J1331" s="8">
        <f>Intv_Ann_TA!J692</f>
        <v>0</v>
      </c>
      <c r="K1331" s="8">
        <f>Intv_Ann_TA!K692</f>
        <v>0</v>
      </c>
      <c r="L1331" s="8">
        <f>Intv_Ann_TA!L692</f>
        <v>0</v>
      </c>
      <c r="M1331" s="8">
        <f>Intv_Ann_TA!M692</f>
        <v>0</v>
      </c>
      <c r="N1331" s="8">
        <f>Intv_Ann_TA!N692</f>
        <v>0</v>
      </c>
      <c r="O1331" s="8">
        <f>Intv_Ann_TA!O692</f>
        <v>0</v>
      </c>
    </row>
    <row r="1332" spans="3:15" s="327" customFormat="1" outlineLevel="2" x14ac:dyDescent="0.2">
      <c r="D1332" s="521" t="str">
        <f>Intv_BA!D1352</f>
        <v>North-Western</v>
      </c>
      <c r="J1332" s="8">
        <f>Intv_Ann_TA!J693</f>
        <v>0</v>
      </c>
      <c r="K1332" s="8">
        <f>Intv_Ann_TA!K693</f>
        <v>0</v>
      </c>
      <c r="L1332" s="8">
        <f>Intv_Ann_TA!L693</f>
        <v>0</v>
      </c>
      <c r="M1332" s="8">
        <f>Intv_Ann_TA!M693</f>
        <v>0</v>
      </c>
      <c r="N1332" s="8">
        <f>Intv_Ann_TA!N693</f>
        <v>0</v>
      </c>
      <c r="O1332" s="8">
        <f>Intv_Ann_TA!O693</f>
        <v>0</v>
      </c>
    </row>
    <row r="1333" spans="3:15" s="327" customFormat="1" outlineLevel="2" x14ac:dyDescent="0.2">
      <c r="D1333" s="521" t="str">
        <f>Intv_BA!D1353</f>
        <v>Southern</v>
      </c>
      <c r="J1333" s="8">
        <f>Intv_Ann_TA!J694</f>
        <v>0</v>
      </c>
      <c r="K1333" s="8">
        <f>Intv_Ann_TA!K694</f>
        <v>0</v>
      </c>
      <c r="L1333" s="8">
        <f>Intv_Ann_TA!L694</f>
        <v>0</v>
      </c>
      <c r="M1333" s="8">
        <f>Intv_Ann_TA!M694</f>
        <v>0</v>
      </c>
      <c r="N1333" s="8">
        <f>Intv_Ann_TA!N694</f>
        <v>0</v>
      </c>
      <c r="O1333" s="8">
        <f>Intv_Ann_TA!O694</f>
        <v>0</v>
      </c>
    </row>
    <row r="1334" spans="3:15" s="327" customFormat="1" outlineLevel="2" x14ac:dyDescent="0.2">
      <c r="D1334" s="521" t="str">
        <f>Intv_BA!D1354</f>
        <v>Western</v>
      </c>
      <c r="J1334" s="9">
        <f>Intv_Ann_TA!J695</f>
        <v>0</v>
      </c>
      <c r="K1334" s="9">
        <f>Intv_Ann_TA!K695</f>
        <v>0</v>
      </c>
      <c r="L1334" s="9">
        <f>Intv_Ann_TA!L695</f>
        <v>0</v>
      </c>
      <c r="M1334" s="9">
        <f>Intv_Ann_TA!M695</f>
        <v>0</v>
      </c>
      <c r="N1334" s="9">
        <f>Intv_Ann_TA!N695</f>
        <v>0</v>
      </c>
      <c r="O1334" s="9">
        <f>Intv_Ann_TA!O695</f>
        <v>0</v>
      </c>
    </row>
    <row r="1335" spans="3:15" s="327" customFormat="1" x14ac:dyDescent="0.2">
      <c r="D1335" s="520" t="str">
        <f>"Total "&amp;C1320</f>
        <v>Total Active Gov't Mobile Health Team (Hospital)s</v>
      </c>
      <c r="J1335" s="5">
        <f t="shared" ref="J1335:O1335" si="126">SUM(J1325:J1334)</f>
        <v>0</v>
      </c>
      <c r="K1335" s="5">
        <f t="shared" si="126"/>
        <v>0</v>
      </c>
      <c r="L1335" s="5">
        <f t="shared" si="126"/>
        <v>0</v>
      </c>
      <c r="M1335" s="5">
        <f t="shared" si="126"/>
        <v>0</v>
      </c>
      <c r="N1335" s="5">
        <f t="shared" si="126"/>
        <v>0</v>
      </c>
      <c r="O1335" s="5">
        <f t="shared" si="126"/>
        <v>0</v>
      </c>
    </row>
    <row r="1336" spans="3:15" s="327" customFormat="1" outlineLevel="1" x14ac:dyDescent="0.2"/>
    <row r="1337" spans="3:15" s="327" customFormat="1" ht="15.75" outlineLevel="1" x14ac:dyDescent="0.2">
      <c r="C1337" s="26" t="str">
        <f>"Active "&amp;Intv_BA!D1217&amp;"s"</f>
        <v>Active CIDRZ Mobile Health Teams</v>
      </c>
    </row>
    <row r="1338" spans="3:15" s="327" customFormat="1" outlineLevel="1" x14ac:dyDescent="0.2"/>
    <row r="1339" spans="3:15" s="327" customFormat="1" outlineLevel="1" x14ac:dyDescent="0.2">
      <c r="D1339" s="518" t="s">
        <v>82</v>
      </c>
      <c r="H1339" s="27">
        <v>7</v>
      </c>
    </row>
    <row r="1340" spans="3:15" s="327" customFormat="1" outlineLevel="1" x14ac:dyDescent="0.2"/>
    <row r="1341" spans="3:15" s="327" customFormat="1" ht="15" outlineLevel="1" x14ac:dyDescent="0.2">
      <c r="D1341" s="24" t="str">
        <f>Labels_BA!G10</f>
        <v>Province</v>
      </c>
    </row>
    <row r="1342" spans="3:15" s="327" customFormat="1" outlineLevel="1" x14ac:dyDescent="0.2">
      <c r="D1342" s="521" t="str">
        <f>Intv_BA!D1345</f>
        <v>Central</v>
      </c>
      <c r="J1342" s="8">
        <f>Intv_Ann_TA!J702</f>
        <v>0</v>
      </c>
      <c r="K1342" s="8">
        <f>Intv_Ann_TA!K702</f>
        <v>0</v>
      </c>
      <c r="L1342" s="8">
        <f>Intv_Ann_TA!L702</f>
        <v>0</v>
      </c>
      <c r="M1342" s="8">
        <f>Intv_Ann_TA!M702</f>
        <v>0</v>
      </c>
      <c r="N1342" s="8">
        <f>Intv_Ann_TA!N702</f>
        <v>0</v>
      </c>
      <c r="O1342" s="8">
        <f>Intv_Ann_TA!O702</f>
        <v>0</v>
      </c>
    </row>
    <row r="1343" spans="3:15" s="327" customFormat="1" outlineLevel="1" x14ac:dyDescent="0.2">
      <c r="D1343" s="521" t="str">
        <f>Intv_BA!D1346</f>
        <v>Copperbelt</v>
      </c>
      <c r="J1343" s="8">
        <f>Intv_Ann_TA!J703</f>
        <v>0</v>
      </c>
      <c r="K1343" s="8">
        <f>Intv_Ann_TA!K703</f>
        <v>0</v>
      </c>
      <c r="L1343" s="8">
        <f>Intv_Ann_TA!L703</f>
        <v>0</v>
      </c>
      <c r="M1343" s="8">
        <f>Intv_Ann_TA!M703</f>
        <v>0</v>
      </c>
      <c r="N1343" s="8">
        <f>Intv_Ann_TA!N703</f>
        <v>0</v>
      </c>
      <c r="O1343" s="8">
        <f>Intv_Ann_TA!O703</f>
        <v>0</v>
      </c>
    </row>
    <row r="1344" spans="3:15" s="327" customFormat="1" outlineLevel="1" x14ac:dyDescent="0.2">
      <c r="D1344" s="521" t="str">
        <f>Intv_BA!D1347</f>
        <v>Eastern</v>
      </c>
      <c r="J1344" s="8">
        <f>Intv_Ann_TA!J704</f>
        <v>0</v>
      </c>
      <c r="K1344" s="8">
        <f>Intv_Ann_TA!K704</f>
        <v>0</v>
      </c>
      <c r="L1344" s="8">
        <f>Intv_Ann_TA!L704</f>
        <v>0</v>
      </c>
      <c r="M1344" s="8">
        <f>Intv_Ann_TA!M704</f>
        <v>0</v>
      </c>
      <c r="N1344" s="8">
        <f>Intv_Ann_TA!N704</f>
        <v>0</v>
      </c>
      <c r="O1344" s="8">
        <f>Intv_Ann_TA!O704</f>
        <v>0</v>
      </c>
    </row>
    <row r="1345" spans="3:15" s="327" customFormat="1" outlineLevel="1" x14ac:dyDescent="0.2">
      <c r="D1345" s="521" t="str">
        <f>Intv_BA!D1348</f>
        <v>Luapula</v>
      </c>
      <c r="J1345" s="8">
        <f>Intv_Ann_TA!J705</f>
        <v>0</v>
      </c>
      <c r="K1345" s="8">
        <f>Intv_Ann_TA!K705</f>
        <v>0</v>
      </c>
      <c r="L1345" s="8">
        <f>Intv_Ann_TA!L705</f>
        <v>0</v>
      </c>
      <c r="M1345" s="8">
        <f>Intv_Ann_TA!M705</f>
        <v>0</v>
      </c>
      <c r="N1345" s="8">
        <f>Intv_Ann_TA!N705</f>
        <v>0</v>
      </c>
      <c r="O1345" s="8">
        <f>Intv_Ann_TA!O705</f>
        <v>0</v>
      </c>
    </row>
    <row r="1346" spans="3:15" s="327" customFormat="1" outlineLevel="1" x14ac:dyDescent="0.2">
      <c r="D1346" s="521" t="str">
        <f>Intv_BA!D1349</f>
        <v>Lusaka</v>
      </c>
      <c r="J1346" s="8">
        <f>Intv_Ann_TA!J706</f>
        <v>0</v>
      </c>
      <c r="K1346" s="8">
        <f>Intv_Ann_TA!K706</f>
        <v>0</v>
      </c>
      <c r="L1346" s="8">
        <f>Intv_Ann_TA!L706</f>
        <v>0</v>
      </c>
      <c r="M1346" s="8">
        <f>Intv_Ann_TA!M706</f>
        <v>0</v>
      </c>
      <c r="N1346" s="8">
        <f>Intv_Ann_TA!N706</f>
        <v>0</v>
      </c>
      <c r="O1346" s="8">
        <f>Intv_Ann_TA!O706</f>
        <v>0</v>
      </c>
    </row>
    <row r="1347" spans="3:15" s="327" customFormat="1" outlineLevel="1" x14ac:dyDescent="0.2">
      <c r="D1347" s="521" t="str">
        <f>Intv_BA!D1350</f>
        <v>Muchinga</v>
      </c>
      <c r="J1347" s="8">
        <f>Intv_Ann_TA!J707</f>
        <v>0</v>
      </c>
      <c r="K1347" s="8">
        <f>Intv_Ann_TA!K707</f>
        <v>0</v>
      </c>
      <c r="L1347" s="8">
        <f>Intv_Ann_TA!L707</f>
        <v>0</v>
      </c>
      <c r="M1347" s="8">
        <f>Intv_Ann_TA!M707</f>
        <v>0</v>
      </c>
      <c r="N1347" s="8">
        <f>Intv_Ann_TA!N707</f>
        <v>0</v>
      </c>
      <c r="O1347" s="8">
        <f>Intv_Ann_TA!O707</f>
        <v>0</v>
      </c>
    </row>
    <row r="1348" spans="3:15" s="327" customFormat="1" outlineLevel="1" x14ac:dyDescent="0.2">
      <c r="D1348" s="521" t="str">
        <f>Intv_BA!D1351</f>
        <v>Northern</v>
      </c>
      <c r="J1348" s="8">
        <f>Intv_Ann_TA!J708</f>
        <v>0</v>
      </c>
      <c r="K1348" s="8">
        <f>Intv_Ann_TA!K708</f>
        <v>0</v>
      </c>
      <c r="L1348" s="8">
        <f>Intv_Ann_TA!L708</f>
        <v>0</v>
      </c>
      <c r="M1348" s="8">
        <f>Intv_Ann_TA!M708</f>
        <v>0</v>
      </c>
      <c r="N1348" s="8">
        <f>Intv_Ann_TA!N708</f>
        <v>0</v>
      </c>
      <c r="O1348" s="8">
        <f>Intv_Ann_TA!O708</f>
        <v>0</v>
      </c>
    </row>
    <row r="1349" spans="3:15" s="327" customFormat="1" outlineLevel="1" x14ac:dyDescent="0.2">
      <c r="D1349" s="521" t="str">
        <f>Intv_BA!D1352</f>
        <v>North-Western</v>
      </c>
      <c r="J1349" s="8">
        <f>Intv_Ann_TA!J709</f>
        <v>0</v>
      </c>
      <c r="K1349" s="8">
        <f>Intv_Ann_TA!K709</f>
        <v>0</v>
      </c>
      <c r="L1349" s="8">
        <f>Intv_Ann_TA!L709</f>
        <v>0</v>
      </c>
      <c r="M1349" s="8">
        <f>Intv_Ann_TA!M709</f>
        <v>0</v>
      </c>
      <c r="N1349" s="8">
        <f>Intv_Ann_TA!N709</f>
        <v>0</v>
      </c>
      <c r="O1349" s="8">
        <f>Intv_Ann_TA!O709</f>
        <v>0</v>
      </c>
    </row>
    <row r="1350" spans="3:15" s="327" customFormat="1" outlineLevel="1" x14ac:dyDescent="0.2">
      <c r="D1350" s="521" t="str">
        <f>Intv_BA!D1353</f>
        <v>Southern</v>
      </c>
      <c r="J1350" s="8">
        <f>Intv_Ann_TA!J710</f>
        <v>0</v>
      </c>
      <c r="K1350" s="8">
        <f>Intv_Ann_TA!K710</f>
        <v>0</v>
      </c>
      <c r="L1350" s="8">
        <f>Intv_Ann_TA!L710</f>
        <v>0</v>
      </c>
      <c r="M1350" s="8">
        <f>Intv_Ann_TA!M710</f>
        <v>0</v>
      </c>
      <c r="N1350" s="8">
        <f>Intv_Ann_TA!N710</f>
        <v>0</v>
      </c>
      <c r="O1350" s="8">
        <f>Intv_Ann_TA!O710</f>
        <v>0</v>
      </c>
    </row>
    <row r="1351" spans="3:15" s="327" customFormat="1" outlineLevel="1" x14ac:dyDescent="0.2">
      <c r="D1351" s="521" t="str">
        <f>Intv_BA!D1354</f>
        <v>Western</v>
      </c>
      <c r="J1351" s="9">
        <f>Intv_Ann_TA!J711</f>
        <v>0</v>
      </c>
      <c r="K1351" s="9">
        <f>Intv_Ann_TA!K711</f>
        <v>0</v>
      </c>
      <c r="L1351" s="9">
        <f>Intv_Ann_TA!L711</f>
        <v>0</v>
      </c>
      <c r="M1351" s="9">
        <f>Intv_Ann_TA!M711</f>
        <v>0</v>
      </c>
      <c r="N1351" s="9">
        <f>Intv_Ann_TA!N711</f>
        <v>0</v>
      </c>
      <c r="O1351" s="9">
        <f>Intv_Ann_TA!O711</f>
        <v>0</v>
      </c>
    </row>
    <row r="1352" spans="3:15" s="327" customFormat="1" x14ac:dyDescent="0.2">
      <c r="D1352" s="520" t="str">
        <f>"Total "&amp;C1337</f>
        <v>Total Active CIDRZ Mobile Health Teams</v>
      </c>
      <c r="J1352" s="5">
        <f t="shared" ref="J1352:O1352" si="127">SUM(J1342:J1351)</f>
        <v>0</v>
      </c>
      <c r="K1352" s="5">
        <f t="shared" si="127"/>
        <v>0</v>
      </c>
      <c r="L1352" s="5">
        <f t="shared" si="127"/>
        <v>0</v>
      </c>
      <c r="M1352" s="5">
        <f t="shared" si="127"/>
        <v>0</v>
      </c>
      <c r="N1352" s="5">
        <f t="shared" si="127"/>
        <v>0</v>
      </c>
      <c r="O1352" s="5">
        <f t="shared" si="127"/>
        <v>0</v>
      </c>
    </row>
    <row r="1353" spans="3:15" s="327" customFormat="1" outlineLevel="1" x14ac:dyDescent="0.2"/>
    <row r="1354" spans="3:15" s="327" customFormat="1" ht="15.75" outlineLevel="1" x14ac:dyDescent="0.2">
      <c r="C1354" s="26" t="str">
        <f>"Active "&amp;Intv_BA!D1218&amp;"s"</f>
        <v>Active Facility Type 8s</v>
      </c>
    </row>
    <row r="1355" spans="3:15" s="327" customFormat="1" outlineLevel="1" x14ac:dyDescent="0.2"/>
    <row r="1356" spans="3:15" s="327" customFormat="1" outlineLevel="1" x14ac:dyDescent="0.2">
      <c r="D1356" s="518" t="s">
        <v>82</v>
      </c>
      <c r="H1356" s="27">
        <v>8</v>
      </c>
    </row>
    <row r="1357" spans="3:15" s="327" customFormat="1" outlineLevel="1" x14ac:dyDescent="0.2"/>
    <row r="1358" spans="3:15" s="327" customFormat="1" ht="15" outlineLevel="1" x14ac:dyDescent="0.2">
      <c r="D1358" s="24" t="str">
        <f>Labels_BA!G10</f>
        <v>Province</v>
      </c>
    </row>
    <row r="1359" spans="3:15" s="327" customFormat="1" outlineLevel="1" x14ac:dyDescent="0.2">
      <c r="D1359" s="521" t="str">
        <f>Intv_BA!D1345</f>
        <v>Central</v>
      </c>
      <c r="J1359" s="8">
        <f>Intv_Ann_TA!J718</f>
        <v>0</v>
      </c>
      <c r="K1359" s="8">
        <f>Intv_Ann_TA!K718</f>
        <v>0</v>
      </c>
      <c r="L1359" s="8">
        <f>Intv_Ann_TA!L718</f>
        <v>0</v>
      </c>
      <c r="M1359" s="8">
        <f>Intv_Ann_TA!M718</f>
        <v>0</v>
      </c>
      <c r="N1359" s="8">
        <f>Intv_Ann_TA!N718</f>
        <v>0</v>
      </c>
      <c r="O1359" s="8">
        <f>Intv_Ann_TA!O718</f>
        <v>0</v>
      </c>
    </row>
    <row r="1360" spans="3:15" s="327" customFormat="1" outlineLevel="1" x14ac:dyDescent="0.2">
      <c r="D1360" s="521" t="str">
        <f>Intv_BA!D1346</f>
        <v>Copperbelt</v>
      </c>
      <c r="J1360" s="8">
        <f>Intv_Ann_TA!J719</f>
        <v>0</v>
      </c>
      <c r="K1360" s="8">
        <f>Intv_Ann_TA!K719</f>
        <v>0</v>
      </c>
      <c r="L1360" s="8">
        <f>Intv_Ann_TA!L719</f>
        <v>0</v>
      </c>
      <c r="M1360" s="8">
        <f>Intv_Ann_TA!M719</f>
        <v>0</v>
      </c>
      <c r="N1360" s="8">
        <f>Intv_Ann_TA!N719</f>
        <v>0</v>
      </c>
      <c r="O1360" s="8">
        <f>Intv_Ann_TA!O719</f>
        <v>0</v>
      </c>
    </row>
    <row r="1361" spans="3:15" s="327" customFormat="1" outlineLevel="1" x14ac:dyDescent="0.2">
      <c r="D1361" s="521" t="str">
        <f>Intv_BA!D1347</f>
        <v>Eastern</v>
      </c>
      <c r="J1361" s="8">
        <f>Intv_Ann_TA!J720</f>
        <v>0</v>
      </c>
      <c r="K1361" s="8">
        <f>Intv_Ann_TA!K720</f>
        <v>0</v>
      </c>
      <c r="L1361" s="8">
        <f>Intv_Ann_TA!L720</f>
        <v>0</v>
      </c>
      <c r="M1361" s="8">
        <f>Intv_Ann_TA!M720</f>
        <v>0</v>
      </c>
      <c r="N1361" s="8">
        <f>Intv_Ann_TA!N720</f>
        <v>0</v>
      </c>
      <c r="O1361" s="8">
        <f>Intv_Ann_TA!O720</f>
        <v>0</v>
      </c>
    </row>
    <row r="1362" spans="3:15" s="327" customFormat="1" outlineLevel="1" x14ac:dyDescent="0.2">
      <c r="D1362" s="521" t="str">
        <f>Intv_BA!D1348</f>
        <v>Luapula</v>
      </c>
      <c r="J1362" s="8">
        <f>Intv_Ann_TA!J721</f>
        <v>0</v>
      </c>
      <c r="K1362" s="8">
        <f>Intv_Ann_TA!K721</f>
        <v>0</v>
      </c>
      <c r="L1362" s="8">
        <f>Intv_Ann_TA!L721</f>
        <v>0</v>
      </c>
      <c r="M1362" s="8">
        <f>Intv_Ann_TA!M721</f>
        <v>0</v>
      </c>
      <c r="N1362" s="8">
        <f>Intv_Ann_TA!N721</f>
        <v>0</v>
      </c>
      <c r="O1362" s="8">
        <f>Intv_Ann_TA!O721</f>
        <v>0</v>
      </c>
    </row>
    <row r="1363" spans="3:15" s="327" customFormat="1" outlineLevel="1" x14ac:dyDescent="0.2">
      <c r="D1363" s="521" t="str">
        <f>Intv_BA!D1349</f>
        <v>Lusaka</v>
      </c>
      <c r="J1363" s="8">
        <f>Intv_Ann_TA!J722</f>
        <v>0</v>
      </c>
      <c r="K1363" s="8">
        <f>Intv_Ann_TA!K722</f>
        <v>0</v>
      </c>
      <c r="L1363" s="8">
        <f>Intv_Ann_TA!L722</f>
        <v>0</v>
      </c>
      <c r="M1363" s="8">
        <f>Intv_Ann_TA!M722</f>
        <v>0</v>
      </c>
      <c r="N1363" s="8">
        <f>Intv_Ann_TA!N722</f>
        <v>0</v>
      </c>
      <c r="O1363" s="8">
        <f>Intv_Ann_TA!O722</f>
        <v>0</v>
      </c>
    </row>
    <row r="1364" spans="3:15" s="327" customFormat="1" outlineLevel="1" x14ac:dyDescent="0.2">
      <c r="D1364" s="521" t="str">
        <f>Intv_BA!D1350</f>
        <v>Muchinga</v>
      </c>
      <c r="J1364" s="8">
        <f>Intv_Ann_TA!J723</f>
        <v>0</v>
      </c>
      <c r="K1364" s="8">
        <f>Intv_Ann_TA!K723</f>
        <v>0</v>
      </c>
      <c r="L1364" s="8">
        <f>Intv_Ann_TA!L723</f>
        <v>0</v>
      </c>
      <c r="M1364" s="8">
        <f>Intv_Ann_TA!M723</f>
        <v>0</v>
      </c>
      <c r="N1364" s="8">
        <f>Intv_Ann_TA!N723</f>
        <v>0</v>
      </c>
      <c r="O1364" s="8">
        <f>Intv_Ann_TA!O723</f>
        <v>0</v>
      </c>
    </row>
    <row r="1365" spans="3:15" s="327" customFormat="1" outlineLevel="1" x14ac:dyDescent="0.2">
      <c r="D1365" s="521" t="str">
        <f>Intv_BA!D1351</f>
        <v>Northern</v>
      </c>
      <c r="J1365" s="8">
        <f>Intv_Ann_TA!J724</f>
        <v>0</v>
      </c>
      <c r="K1365" s="8">
        <f>Intv_Ann_TA!K724</f>
        <v>0</v>
      </c>
      <c r="L1365" s="8">
        <f>Intv_Ann_TA!L724</f>
        <v>0</v>
      </c>
      <c r="M1365" s="8">
        <f>Intv_Ann_TA!M724</f>
        <v>0</v>
      </c>
      <c r="N1365" s="8">
        <f>Intv_Ann_TA!N724</f>
        <v>0</v>
      </c>
      <c r="O1365" s="8">
        <f>Intv_Ann_TA!O724</f>
        <v>0</v>
      </c>
    </row>
    <row r="1366" spans="3:15" s="327" customFormat="1" outlineLevel="1" x14ac:dyDescent="0.2">
      <c r="D1366" s="521" t="str">
        <f>Intv_BA!D1352</f>
        <v>North-Western</v>
      </c>
      <c r="J1366" s="8">
        <f>Intv_Ann_TA!J725</f>
        <v>0</v>
      </c>
      <c r="K1366" s="8">
        <f>Intv_Ann_TA!K725</f>
        <v>0</v>
      </c>
      <c r="L1366" s="8">
        <f>Intv_Ann_TA!L725</f>
        <v>0</v>
      </c>
      <c r="M1366" s="8">
        <f>Intv_Ann_TA!M725</f>
        <v>0</v>
      </c>
      <c r="N1366" s="8">
        <f>Intv_Ann_TA!N725</f>
        <v>0</v>
      </c>
      <c r="O1366" s="8">
        <f>Intv_Ann_TA!O725</f>
        <v>0</v>
      </c>
    </row>
    <row r="1367" spans="3:15" s="327" customFormat="1" outlineLevel="1" x14ac:dyDescent="0.2">
      <c r="D1367" s="521" t="str">
        <f>Intv_BA!D1353</f>
        <v>Southern</v>
      </c>
      <c r="J1367" s="8">
        <f>Intv_Ann_TA!J726</f>
        <v>0</v>
      </c>
      <c r="K1367" s="8">
        <f>Intv_Ann_TA!K726</f>
        <v>0</v>
      </c>
      <c r="L1367" s="8">
        <f>Intv_Ann_TA!L726</f>
        <v>0</v>
      </c>
      <c r="M1367" s="8">
        <f>Intv_Ann_TA!M726</f>
        <v>0</v>
      </c>
      <c r="N1367" s="8">
        <f>Intv_Ann_TA!N726</f>
        <v>0</v>
      </c>
      <c r="O1367" s="8">
        <f>Intv_Ann_TA!O726</f>
        <v>0</v>
      </c>
    </row>
    <row r="1368" spans="3:15" s="327" customFormat="1" outlineLevel="1" x14ac:dyDescent="0.2">
      <c r="D1368" s="521" t="str">
        <f>Intv_BA!D1354</f>
        <v>Western</v>
      </c>
      <c r="J1368" s="9">
        <f>Intv_Ann_TA!J727</f>
        <v>0</v>
      </c>
      <c r="K1368" s="9">
        <f>Intv_Ann_TA!K727</f>
        <v>0</v>
      </c>
      <c r="L1368" s="9">
        <f>Intv_Ann_TA!L727</f>
        <v>0</v>
      </c>
      <c r="M1368" s="9">
        <f>Intv_Ann_TA!M727</f>
        <v>0</v>
      </c>
      <c r="N1368" s="9">
        <f>Intv_Ann_TA!N727</f>
        <v>0</v>
      </c>
      <c r="O1368" s="9">
        <f>Intv_Ann_TA!O727</f>
        <v>0</v>
      </c>
    </row>
    <row r="1369" spans="3:15" s="327" customFormat="1" x14ac:dyDescent="0.2">
      <c r="D1369" s="520" t="str">
        <f>"Total "&amp;C1354</f>
        <v>Total Active Facility Type 8s</v>
      </c>
      <c r="J1369" s="5">
        <f t="shared" ref="J1369:O1369" si="128">SUM(J1359:J1368)</f>
        <v>0</v>
      </c>
      <c r="K1369" s="5">
        <f t="shared" si="128"/>
        <v>0</v>
      </c>
      <c r="L1369" s="5">
        <f t="shared" si="128"/>
        <v>0</v>
      </c>
      <c r="M1369" s="5">
        <f t="shared" si="128"/>
        <v>0</v>
      </c>
      <c r="N1369" s="5">
        <f t="shared" si="128"/>
        <v>0</v>
      </c>
      <c r="O1369" s="5">
        <f t="shared" si="128"/>
        <v>0</v>
      </c>
    </row>
    <row r="1370" spans="3:15" s="327" customFormat="1" outlineLevel="1" x14ac:dyDescent="0.2"/>
    <row r="1371" spans="3:15" s="327" customFormat="1" ht="15.75" outlineLevel="1" x14ac:dyDescent="0.2">
      <c r="C1371" s="26" t="str">
        <f>"Active "&amp;Intv_BA!D1219&amp;"s"</f>
        <v>Active Facility Type 9s</v>
      </c>
    </row>
    <row r="1372" spans="3:15" s="327" customFormat="1" outlineLevel="1" x14ac:dyDescent="0.2"/>
    <row r="1373" spans="3:15" s="327" customFormat="1" outlineLevel="1" x14ac:dyDescent="0.2">
      <c r="D1373" s="518" t="s">
        <v>82</v>
      </c>
      <c r="H1373" s="27">
        <v>9</v>
      </c>
    </row>
    <row r="1374" spans="3:15" s="327" customFormat="1" outlineLevel="1" x14ac:dyDescent="0.2"/>
    <row r="1375" spans="3:15" s="327" customFormat="1" ht="15" outlineLevel="1" x14ac:dyDescent="0.2">
      <c r="D1375" s="24" t="str">
        <f>Labels_BA!G10</f>
        <v>Province</v>
      </c>
    </row>
    <row r="1376" spans="3:15" s="327" customFormat="1" outlineLevel="1" x14ac:dyDescent="0.2">
      <c r="D1376" s="521" t="str">
        <f>Intv_BA!D1345</f>
        <v>Central</v>
      </c>
      <c r="J1376" s="8">
        <f>Intv_Ann_TA!J734</f>
        <v>0</v>
      </c>
      <c r="K1376" s="8">
        <f>Intv_Ann_TA!K734</f>
        <v>0</v>
      </c>
      <c r="L1376" s="8">
        <f>Intv_Ann_TA!L734</f>
        <v>0</v>
      </c>
      <c r="M1376" s="8">
        <f>Intv_Ann_TA!M734</f>
        <v>0</v>
      </c>
      <c r="N1376" s="8">
        <f>Intv_Ann_TA!N734</f>
        <v>0</v>
      </c>
      <c r="O1376" s="8">
        <f>Intv_Ann_TA!O734</f>
        <v>0</v>
      </c>
    </row>
    <row r="1377" spans="3:15" s="327" customFormat="1" outlineLevel="1" x14ac:dyDescent="0.2">
      <c r="D1377" s="521" t="str">
        <f>Intv_BA!D1346</f>
        <v>Copperbelt</v>
      </c>
      <c r="J1377" s="8">
        <f>Intv_Ann_TA!J735</f>
        <v>0</v>
      </c>
      <c r="K1377" s="8">
        <f>Intv_Ann_TA!K735</f>
        <v>0</v>
      </c>
      <c r="L1377" s="8">
        <f>Intv_Ann_TA!L735</f>
        <v>0</v>
      </c>
      <c r="M1377" s="8">
        <f>Intv_Ann_TA!M735</f>
        <v>0</v>
      </c>
      <c r="N1377" s="8">
        <f>Intv_Ann_TA!N735</f>
        <v>0</v>
      </c>
      <c r="O1377" s="8">
        <f>Intv_Ann_TA!O735</f>
        <v>0</v>
      </c>
    </row>
    <row r="1378" spans="3:15" s="327" customFormat="1" outlineLevel="1" x14ac:dyDescent="0.2">
      <c r="D1378" s="521" t="str">
        <f>Intv_BA!D1347</f>
        <v>Eastern</v>
      </c>
      <c r="J1378" s="8">
        <f>Intv_Ann_TA!J736</f>
        <v>0</v>
      </c>
      <c r="K1378" s="8">
        <f>Intv_Ann_TA!K736</f>
        <v>0</v>
      </c>
      <c r="L1378" s="8">
        <f>Intv_Ann_TA!L736</f>
        <v>0</v>
      </c>
      <c r="M1378" s="8">
        <f>Intv_Ann_TA!M736</f>
        <v>0</v>
      </c>
      <c r="N1378" s="8">
        <f>Intv_Ann_TA!N736</f>
        <v>0</v>
      </c>
      <c r="O1378" s="8">
        <f>Intv_Ann_TA!O736</f>
        <v>0</v>
      </c>
    </row>
    <row r="1379" spans="3:15" s="327" customFormat="1" outlineLevel="1" x14ac:dyDescent="0.2">
      <c r="D1379" s="521" t="str">
        <f>Intv_BA!D1348</f>
        <v>Luapula</v>
      </c>
      <c r="J1379" s="8">
        <f>Intv_Ann_TA!J737</f>
        <v>0</v>
      </c>
      <c r="K1379" s="8">
        <f>Intv_Ann_TA!K737</f>
        <v>0</v>
      </c>
      <c r="L1379" s="8">
        <f>Intv_Ann_TA!L737</f>
        <v>0</v>
      </c>
      <c r="M1379" s="8">
        <f>Intv_Ann_TA!M737</f>
        <v>0</v>
      </c>
      <c r="N1379" s="8">
        <f>Intv_Ann_TA!N737</f>
        <v>0</v>
      </c>
      <c r="O1379" s="8">
        <f>Intv_Ann_TA!O737</f>
        <v>0</v>
      </c>
    </row>
    <row r="1380" spans="3:15" s="327" customFormat="1" outlineLevel="1" x14ac:dyDescent="0.2">
      <c r="D1380" s="521" t="str">
        <f>Intv_BA!D1349</f>
        <v>Lusaka</v>
      </c>
      <c r="J1380" s="8">
        <f>Intv_Ann_TA!J738</f>
        <v>0</v>
      </c>
      <c r="K1380" s="8">
        <f>Intv_Ann_TA!K738</f>
        <v>0</v>
      </c>
      <c r="L1380" s="8">
        <f>Intv_Ann_TA!L738</f>
        <v>0</v>
      </c>
      <c r="M1380" s="8">
        <f>Intv_Ann_TA!M738</f>
        <v>0</v>
      </c>
      <c r="N1380" s="8">
        <f>Intv_Ann_TA!N738</f>
        <v>0</v>
      </c>
      <c r="O1380" s="8">
        <f>Intv_Ann_TA!O738</f>
        <v>0</v>
      </c>
    </row>
    <row r="1381" spans="3:15" s="327" customFormat="1" outlineLevel="1" x14ac:dyDescent="0.2">
      <c r="D1381" s="521" t="str">
        <f>Intv_BA!D1350</f>
        <v>Muchinga</v>
      </c>
      <c r="J1381" s="8">
        <f>Intv_Ann_TA!J739</f>
        <v>0</v>
      </c>
      <c r="K1381" s="8">
        <f>Intv_Ann_TA!K739</f>
        <v>0</v>
      </c>
      <c r="L1381" s="8">
        <f>Intv_Ann_TA!L739</f>
        <v>0</v>
      </c>
      <c r="M1381" s="8">
        <f>Intv_Ann_TA!M739</f>
        <v>0</v>
      </c>
      <c r="N1381" s="8">
        <f>Intv_Ann_TA!N739</f>
        <v>0</v>
      </c>
      <c r="O1381" s="8">
        <f>Intv_Ann_TA!O739</f>
        <v>0</v>
      </c>
    </row>
    <row r="1382" spans="3:15" s="327" customFormat="1" outlineLevel="1" x14ac:dyDescent="0.2">
      <c r="D1382" s="521" t="str">
        <f>Intv_BA!D1351</f>
        <v>Northern</v>
      </c>
      <c r="J1382" s="8">
        <f>Intv_Ann_TA!J740</f>
        <v>0</v>
      </c>
      <c r="K1382" s="8">
        <f>Intv_Ann_TA!K740</f>
        <v>0</v>
      </c>
      <c r="L1382" s="8">
        <f>Intv_Ann_TA!L740</f>
        <v>0</v>
      </c>
      <c r="M1382" s="8">
        <f>Intv_Ann_TA!M740</f>
        <v>0</v>
      </c>
      <c r="N1382" s="8">
        <f>Intv_Ann_TA!N740</f>
        <v>0</v>
      </c>
      <c r="O1382" s="8">
        <f>Intv_Ann_TA!O740</f>
        <v>0</v>
      </c>
    </row>
    <row r="1383" spans="3:15" s="327" customFormat="1" outlineLevel="1" x14ac:dyDescent="0.2">
      <c r="D1383" s="521" t="str">
        <f>Intv_BA!D1352</f>
        <v>North-Western</v>
      </c>
      <c r="J1383" s="8">
        <f>Intv_Ann_TA!J741</f>
        <v>0</v>
      </c>
      <c r="K1383" s="8">
        <f>Intv_Ann_TA!K741</f>
        <v>0</v>
      </c>
      <c r="L1383" s="8">
        <f>Intv_Ann_TA!L741</f>
        <v>0</v>
      </c>
      <c r="M1383" s="8">
        <f>Intv_Ann_TA!M741</f>
        <v>0</v>
      </c>
      <c r="N1383" s="8">
        <f>Intv_Ann_TA!N741</f>
        <v>0</v>
      </c>
      <c r="O1383" s="8">
        <f>Intv_Ann_TA!O741</f>
        <v>0</v>
      </c>
    </row>
    <row r="1384" spans="3:15" s="327" customFormat="1" outlineLevel="1" x14ac:dyDescent="0.2">
      <c r="D1384" s="521" t="str">
        <f>Intv_BA!D1353</f>
        <v>Southern</v>
      </c>
      <c r="J1384" s="8">
        <f>Intv_Ann_TA!J742</f>
        <v>0</v>
      </c>
      <c r="K1384" s="8">
        <f>Intv_Ann_TA!K742</f>
        <v>0</v>
      </c>
      <c r="L1384" s="8">
        <f>Intv_Ann_TA!L742</f>
        <v>0</v>
      </c>
      <c r="M1384" s="8">
        <f>Intv_Ann_TA!M742</f>
        <v>0</v>
      </c>
      <c r="N1384" s="8">
        <f>Intv_Ann_TA!N742</f>
        <v>0</v>
      </c>
      <c r="O1384" s="8">
        <f>Intv_Ann_TA!O742</f>
        <v>0</v>
      </c>
    </row>
    <row r="1385" spans="3:15" s="327" customFormat="1" outlineLevel="1" x14ac:dyDescent="0.2">
      <c r="D1385" s="521" t="str">
        <f>Intv_BA!D1354</f>
        <v>Western</v>
      </c>
      <c r="J1385" s="9">
        <f>Intv_Ann_TA!J743</f>
        <v>0</v>
      </c>
      <c r="K1385" s="9">
        <f>Intv_Ann_TA!K743</f>
        <v>0</v>
      </c>
      <c r="L1385" s="9">
        <f>Intv_Ann_TA!L743</f>
        <v>0</v>
      </c>
      <c r="M1385" s="9">
        <f>Intv_Ann_TA!M743</f>
        <v>0</v>
      </c>
      <c r="N1385" s="9">
        <f>Intv_Ann_TA!N743</f>
        <v>0</v>
      </c>
      <c r="O1385" s="9">
        <f>Intv_Ann_TA!O743</f>
        <v>0</v>
      </c>
    </row>
    <row r="1386" spans="3:15" s="327" customFormat="1" x14ac:dyDescent="0.2">
      <c r="D1386" s="520" t="str">
        <f>"Total "&amp;C1371</f>
        <v>Total Active Facility Type 9s</v>
      </c>
      <c r="J1386" s="5">
        <f t="shared" ref="J1386:O1386" si="129">SUM(J1376:J1385)</f>
        <v>0</v>
      </c>
      <c r="K1386" s="5">
        <f t="shared" si="129"/>
        <v>0</v>
      </c>
      <c r="L1386" s="5">
        <f t="shared" si="129"/>
        <v>0</v>
      </c>
      <c r="M1386" s="5">
        <f t="shared" si="129"/>
        <v>0</v>
      </c>
      <c r="N1386" s="5">
        <f t="shared" si="129"/>
        <v>0</v>
      </c>
      <c r="O1386" s="5">
        <f t="shared" si="129"/>
        <v>0</v>
      </c>
    </row>
    <row r="1387" spans="3:15" s="327" customFormat="1" outlineLevel="1" x14ac:dyDescent="0.2"/>
    <row r="1388" spans="3:15" s="327" customFormat="1" ht="15.75" outlineLevel="2" x14ac:dyDescent="0.2">
      <c r="C1388" s="26" t="str">
        <f>"Active "&amp;Intv_BA!D1220&amp;"s"</f>
        <v>Active Facility Type 10s</v>
      </c>
    </row>
    <row r="1389" spans="3:15" s="327" customFormat="1" outlineLevel="2" x14ac:dyDescent="0.2"/>
    <row r="1390" spans="3:15" s="327" customFormat="1" outlineLevel="2" x14ac:dyDescent="0.2">
      <c r="D1390" s="518" t="s">
        <v>82</v>
      </c>
      <c r="H1390" s="27">
        <v>10</v>
      </c>
    </row>
    <row r="1391" spans="3:15" s="327" customFormat="1" outlineLevel="2" x14ac:dyDescent="0.2"/>
    <row r="1392" spans="3:15" s="327" customFormat="1" ht="15" outlineLevel="2" x14ac:dyDescent="0.2">
      <c r="D1392" s="24" t="str">
        <f>Labels_BA!G10</f>
        <v>Province</v>
      </c>
    </row>
    <row r="1393" spans="4:15" s="327" customFormat="1" outlineLevel="2" x14ac:dyDescent="0.2">
      <c r="D1393" s="521" t="str">
        <f>Intv_BA!D1345</f>
        <v>Central</v>
      </c>
      <c r="J1393" s="8">
        <f>Intv_Ann_TA!J750</f>
        <v>0</v>
      </c>
      <c r="K1393" s="8">
        <f>Intv_Ann_TA!K750</f>
        <v>0</v>
      </c>
      <c r="L1393" s="8">
        <f>Intv_Ann_TA!L750</f>
        <v>0</v>
      </c>
      <c r="M1393" s="8">
        <f>Intv_Ann_TA!M750</f>
        <v>0</v>
      </c>
      <c r="N1393" s="8">
        <f>Intv_Ann_TA!N750</f>
        <v>0</v>
      </c>
      <c r="O1393" s="8">
        <f>Intv_Ann_TA!O750</f>
        <v>0</v>
      </c>
    </row>
    <row r="1394" spans="4:15" s="327" customFormat="1" outlineLevel="2" x14ac:dyDescent="0.2">
      <c r="D1394" s="521" t="str">
        <f>Intv_BA!D1346</f>
        <v>Copperbelt</v>
      </c>
      <c r="J1394" s="8">
        <f>Intv_Ann_TA!J751</f>
        <v>0</v>
      </c>
      <c r="K1394" s="8">
        <f>Intv_Ann_TA!K751</f>
        <v>0</v>
      </c>
      <c r="L1394" s="8">
        <f>Intv_Ann_TA!L751</f>
        <v>0</v>
      </c>
      <c r="M1394" s="8">
        <f>Intv_Ann_TA!M751</f>
        <v>0</v>
      </c>
      <c r="N1394" s="8">
        <f>Intv_Ann_TA!N751</f>
        <v>0</v>
      </c>
      <c r="O1394" s="8">
        <f>Intv_Ann_TA!O751</f>
        <v>0</v>
      </c>
    </row>
    <row r="1395" spans="4:15" s="327" customFormat="1" outlineLevel="2" x14ac:dyDescent="0.2">
      <c r="D1395" s="521" t="str">
        <f>Intv_BA!D1347</f>
        <v>Eastern</v>
      </c>
      <c r="J1395" s="8">
        <f>Intv_Ann_TA!J752</f>
        <v>0</v>
      </c>
      <c r="K1395" s="8">
        <f>Intv_Ann_TA!K752</f>
        <v>0</v>
      </c>
      <c r="L1395" s="8">
        <f>Intv_Ann_TA!L752</f>
        <v>0</v>
      </c>
      <c r="M1395" s="8">
        <f>Intv_Ann_TA!M752</f>
        <v>0</v>
      </c>
      <c r="N1395" s="8">
        <f>Intv_Ann_TA!N752</f>
        <v>0</v>
      </c>
      <c r="O1395" s="8">
        <f>Intv_Ann_TA!O752</f>
        <v>0</v>
      </c>
    </row>
    <row r="1396" spans="4:15" s="327" customFormat="1" outlineLevel="2" x14ac:dyDescent="0.2">
      <c r="D1396" s="521" t="str">
        <f>Intv_BA!D1348</f>
        <v>Luapula</v>
      </c>
      <c r="J1396" s="8">
        <f>Intv_Ann_TA!J753</f>
        <v>0</v>
      </c>
      <c r="K1396" s="8">
        <f>Intv_Ann_TA!K753</f>
        <v>0</v>
      </c>
      <c r="L1396" s="8">
        <f>Intv_Ann_TA!L753</f>
        <v>0</v>
      </c>
      <c r="M1396" s="8">
        <f>Intv_Ann_TA!M753</f>
        <v>0</v>
      </c>
      <c r="N1396" s="8">
        <f>Intv_Ann_TA!N753</f>
        <v>0</v>
      </c>
      <c r="O1396" s="8">
        <f>Intv_Ann_TA!O753</f>
        <v>0</v>
      </c>
    </row>
    <row r="1397" spans="4:15" s="327" customFormat="1" outlineLevel="2" x14ac:dyDescent="0.2">
      <c r="D1397" s="521" t="str">
        <f>Intv_BA!D1349</f>
        <v>Lusaka</v>
      </c>
      <c r="J1397" s="8">
        <f>Intv_Ann_TA!J754</f>
        <v>0</v>
      </c>
      <c r="K1397" s="8">
        <f>Intv_Ann_TA!K754</f>
        <v>0</v>
      </c>
      <c r="L1397" s="8">
        <f>Intv_Ann_TA!L754</f>
        <v>0</v>
      </c>
      <c r="M1397" s="8">
        <f>Intv_Ann_TA!M754</f>
        <v>0</v>
      </c>
      <c r="N1397" s="8">
        <f>Intv_Ann_TA!N754</f>
        <v>0</v>
      </c>
      <c r="O1397" s="8">
        <f>Intv_Ann_TA!O754</f>
        <v>0</v>
      </c>
    </row>
    <row r="1398" spans="4:15" s="327" customFormat="1" outlineLevel="2" x14ac:dyDescent="0.2">
      <c r="D1398" s="521" t="str">
        <f>Intv_BA!D1350</f>
        <v>Muchinga</v>
      </c>
      <c r="J1398" s="8">
        <f>Intv_Ann_TA!J755</f>
        <v>0</v>
      </c>
      <c r="K1398" s="8">
        <f>Intv_Ann_TA!K755</f>
        <v>0</v>
      </c>
      <c r="L1398" s="8">
        <f>Intv_Ann_TA!L755</f>
        <v>0</v>
      </c>
      <c r="M1398" s="8">
        <f>Intv_Ann_TA!M755</f>
        <v>0</v>
      </c>
      <c r="N1398" s="8">
        <f>Intv_Ann_TA!N755</f>
        <v>0</v>
      </c>
      <c r="O1398" s="8">
        <f>Intv_Ann_TA!O755</f>
        <v>0</v>
      </c>
    </row>
    <row r="1399" spans="4:15" s="327" customFormat="1" outlineLevel="2" x14ac:dyDescent="0.2">
      <c r="D1399" s="521" t="str">
        <f>Intv_BA!D1351</f>
        <v>Northern</v>
      </c>
      <c r="J1399" s="8">
        <f>Intv_Ann_TA!J756</f>
        <v>0</v>
      </c>
      <c r="K1399" s="8">
        <f>Intv_Ann_TA!K756</f>
        <v>0</v>
      </c>
      <c r="L1399" s="8">
        <f>Intv_Ann_TA!L756</f>
        <v>0</v>
      </c>
      <c r="M1399" s="8">
        <f>Intv_Ann_TA!M756</f>
        <v>0</v>
      </c>
      <c r="N1399" s="8">
        <f>Intv_Ann_TA!N756</f>
        <v>0</v>
      </c>
      <c r="O1399" s="8">
        <f>Intv_Ann_TA!O756</f>
        <v>0</v>
      </c>
    </row>
    <row r="1400" spans="4:15" s="327" customFormat="1" outlineLevel="2" x14ac:dyDescent="0.2">
      <c r="D1400" s="521" t="str">
        <f>Intv_BA!D1352</f>
        <v>North-Western</v>
      </c>
      <c r="J1400" s="8">
        <f>Intv_Ann_TA!J757</f>
        <v>0</v>
      </c>
      <c r="K1400" s="8">
        <f>Intv_Ann_TA!K757</f>
        <v>0</v>
      </c>
      <c r="L1400" s="8">
        <f>Intv_Ann_TA!L757</f>
        <v>0</v>
      </c>
      <c r="M1400" s="8">
        <f>Intv_Ann_TA!M757</f>
        <v>0</v>
      </c>
      <c r="N1400" s="8">
        <f>Intv_Ann_TA!N757</f>
        <v>0</v>
      </c>
      <c r="O1400" s="8">
        <f>Intv_Ann_TA!O757</f>
        <v>0</v>
      </c>
    </row>
    <row r="1401" spans="4:15" s="327" customFormat="1" outlineLevel="2" x14ac:dyDescent="0.2">
      <c r="D1401" s="521" t="str">
        <f>Intv_BA!D1353</f>
        <v>Southern</v>
      </c>
      <c r="J1401" s="8">
        <f>Intv_Ann_TA!J758</f>
        <v>0</v>
      </c>
      <c r="K1401" s="8">
        <f>Intv_Ann_TA!K758</f>
        <v>0</v>
      </c>
      <c r="L1401" s="8">
        <f>Intv_Ann_TA!L758</f>
        <v>0</v>
      </c>
      <c r="M1401" s="8">
        <f>Intv_Ann_TA!M758</f>
        <v>0</v>
      </c>
      <c r="N1401" s="8">
        <f>Intv_Ann_TA!N758</f>
        <v>0</v>
      </c>
      <c r="O1401" s="8">
        <f>Intv_Ann_TA!O758</f>
        <v>0</v>
      </c>
    </row>
    <row r="1402" spans="4:15" s="327" customFormat="1" outlineLevel="2" x14ac:dyDescent="0.2">
      <c r="D1402" s="521" t="str">
        <f>Intv_BA!D1354</f>
        <v>Western</v>
      </c>
      <c r="J1402" s="9">
        <f>Intv_Ann_TA!J759</f>
        <v>0</v>
      </c>
      <c r="K1402" s="9">
        <f>Intv_Ann_TA!K759</f>
        <v>0</v>
      </c>
      <c r="L1402" s="9">
        <f>Intv_Ann_TA!L759</f>
        <v>0</v>
      </c>
      <c r="M1402" s="9">
        <f>Intv_Ann_TA!M759</f>
        <v>0</v>
      </c>
      <c r="N1402" s="9">
        <f>Intv_Ann_TA!N759</f>
        <v>0</v>
      </c>
      <c r="O1402" s="9">
        <f>Intv_Ann_TA!O759</f>
        <v>0</v>
      </c>
    </row>
    <row r="1403" spans="4:15" s="327" customFormat="1" x14ac:dyDescent="0.2">
      <c r="D1403" s="520" t="str">
        <f>"Total "&amp;C1388</f>
        <v>Total Active Facility Type 10s</v>
      </c>
      <c r="J1403" s="5">
        <f t="shared" ref="J1403:O1403" si="130">SUM(J1393:J1402)</f>
        <v>0</v>
      </c>
      <c r="K1403" s="5">
        <f t="shared" si="130"/>
        <v>0</v>
      </c>
      <c r="L1403" s="5">
        <f t="shared" si="130"/>
        <v>0</v>
      </c>
      <c r="M1403" s="5">
        <f t="shared" si="130"/>
        <v>0</v>
      </c>
      <c r="N1403" s="5">
        <f t="shared" si="130"/>
        <v>0</v>
      </c>
      <c r="O1403" s="5">
        <f t="shared" si="130"/>
        <v>0</v>
      </c>
    </row>
    <row r="1404" spans="4:15" s="327" customFormat="1" x14ac:dyDescent="0.2"/>
    <row r="1405" spans="4:15" s="327" customFormat="1" x14ac:dyDescent="0.2"/>
    <row r="1406" spans="4:15" s="327" customFormat="1" ht="15" x14ac:dyDescent="0.2">
      <c r="D1406" s="522" t="str">
        <f>"Total Active Facilities " &amp;Intv_BA!G1181</f>
        <v>Total Active Facilities Chemo</v>
      </c>
      <c r="I1406" s="437"/>
      <c r="J1406" s="14">
        <f t="shared" ref="J1406:O1406" si="131">SUM(J1250,J1267,J1284,J1301,J1318,J1335,J1352,J1369,J1386,J1403)</f>
        <v>1</v>
      </c>
      <c r="K1406" s="14">
        <f t="shared" si="131"/>
        <v>1</v>
      </c>
      <c r="L1406" s="14">
        <f t="shared" si="131"/>
        <v>1</v>
      </c>
      <c r="M1406" s="14">
        <f t="shared" si="131"/>
        <v>1</v>
      </c>
      <c r="N1406" s="14">
        <f t="shared" si="131"/>
        <v>3</v>
      </c>
      <c r="O1406" s="14">
        <f t="shared" si="131"/>
        <v>3</v>
      </c>
    </row>
    <row r="1407" spans="4:15" s="327" customFormat="1" x14ac:dyDescent="0.2"/>
    <row r="1408" spans="4:15" s="327" customFormat="1" ht="15" x14ac:dyDescent="0.2">
      <c r="D1408" s="522" t="str">
        <f>"Total New Active Facilities " &amp;Intv_BA!$G$1181</f>
        <v>Total New Active Facilities Chemo</v>
      </c>
      <c r="J1408" s="14">
        <f t="shared" ref="J1408:O1408" si="132">J1406-I1406</f>
        <v>1</v>
      </c>
      <c r="K1408" s="14">
        <f t="shared" si="132"/>
        <v>0</v>
      </c>
      <c r="L1408" s="14">
        <f t="shared" si="132"/>
        <v>0</v>
      </c>
      <c r="M1408" s="14">
        <f t="shared" si="132"/>
        <v>0</v>
      </c>
      <c r="N1408" s="14">
        <f t="shared" si="132"/>
        <v>2</v>
      </c>
      <c r="O1408" s="14">
        <f t="shared" si="132"/>
        <v>0</v>
      </c>
    </row>
    <row r="1409" spans="3:15" s="327" customFormat="1" x14ac:dyDescent="0.2"/>
    <row r="1410" spans="3:15" s="327" customFormat="1" ht="15.75" x14ac:dyDescent="0.2">
      <c r="C1410" s="330" t="s">
        <v>123</v>
      </c>
    </row>
    <row r="1411" spans="3:15" s="327" customFormat="1" outlineLevel="1" x14ac:dyDescent="0.2"/>
    <row r="1412" spans="3:15" s="327" customFormat="1" ht="15" outlineLevel="1" x14ac:dyDescent="0.2">
      <c r="D1412" s="522" t="str">
        <f>"Total Active Facilities Offering "&amp;Intv_BA!$G$1181</f>
        <v>Total Active Facilities Offering Chemo</v>
      </c>
    </row>
    <row r="1413" spans="3:15" s="327" customFormat="1" outlineLevel="1" x14ac:dyDescent="0.2">
      <c r="D1413" s="521" t="str">
        <f>Intv_BA!D1345</f>
        <v>Central</v>
      </c>
      <c r="H1413" s="546" t="str">
        <f>Intv_BA!$G$1181</f>
        <v>Chemo</v>
      </c>
      <c r="J1413" s="8">
        <f t="shared" ref="J1413:O1422" si="133">SUM(J1240,J1257,J1274,J1291,J1308,J1325,J1342,J1359,J1376,J1393)</f>
        <v>0</v>
      </c>
      <c r="K1413" s="8">
        <f t="shared" si="133"/>
        <v>0</v>
      </c>
      <c r="L1413" s="8">
        <f t="shared" si="133"/>
        <v>0</v>
      </c>
      <c r="M1413" s="8">
        <f t="shared" si="133"/>
        <v>0</v>
      </c>
      <c r="N1413" s="8">
        <f t="shared" si="133"/>
        <v>0</v>
      </c>
      <c r="O1413" s="8">
        <f t="shared" si="133"/>
        <v>0</v>
      </c>
    </row>
    <row r="1414" spans="3:15" s="327" customFormat="1" outlineLevel="1" x14ac:dyDescent="0.2">
      <c r="D1414" s="521" t="str">
        <f>Intv_BA!D1346</f>
        <v>Copperbelt</v>
      </c>
      <c r="H1414" s="546" t="str">
        <f>Intv_BA!$G$1181</f>
        <v>Chemo</v>
      </c>
      <c r="J1414" s="8">
        <f t="shared" si="133"/>
        <v>0</v>
      </c>
      <c r="K1414" s="8">
        <f t="shared" si="133"/>
        <v>0</v>
      </c>
      <c r="L1414" s="8">
        <f t="shared" si="133"/>
        <v>0</v>
      </c>
      <c r="M1414" s="8">
        <f t="shared" si="133"/>
        <v>0</v>
      </c>
      <c r="N1414" s="8">
        <f t="shared" si="133"/>
        <v>1</v>
      </c>
      <c r="O1414" s="8">
        <f t="shared" si="133"/>
        <v>1</v>
      </c>
    </row>
    <row r="1415" spans="3:15" s="327" customFormat="1" outlineLevel="1" x14ac:dyDescent="0.2">
      <c r="D1415" s="521" t="str">
        <f>Intv_BA!D1347</f>
        <v>Eastern</v>
      </c>
      <c r="H1415" s="546" t="str">
        <f>Intv_BA!$G$1181</f>
        <v>Chemo</v>
      </c>
      <c r="J1415" s="8">
        <f t="shared" si="133"/>
        <v>0</v>
      </c>
      <c r="K1415" s="8">
        <f t="shared" si="133"/>
        <v>0</v>
      </c>
      <c r="L1415" s="8">
        <f t="shared" si="133"/>
        <v>0</v>
      </c>
      <c r="M1415" s="8">
        <f t="shared" si="133"/>
        <v>0</v>
      </c>
      <c r="N1415" s="8">
        <f t="shared" si="133"/>
        <v>0</v>
      </c>
      <c r="O1415" s="8">
        <f t="shared" si="133"/>
        <v>0</v>
      </c>
    </row>
    <row r="1416" spans="3:15" s="327" customFormat="1" outlineLevel="1" x14ac:dyDescent="0.2">
      <c r="D1416" s="521" t="str">
        <f>Intv_BA!D1348</f>
        <v>Luapula</v>
      </c>
      <c r="H1416" s="546" t="str">
        <f>Intv_BA!$G$1181</f>
        <v>Chemo</v>
      </c>
      <c r="J1416" s="8">
        <f t="shared" si="133"/>
        <v>0</v>
      </c>
      <c r="K1416" s="8">
        <f t="shared" si="133"/>
        <v>0</v>
      </c>
      <c r="L1416" s="8">
        <f t="shared" si="133"/>
        <v>0</v>
      </c>
      <c r="M1416" s="8">
        <f t="shared" si="133"/>
        <v>0</v>
      </c>
      <c r="N1416" s="8">
        <f t="shared" si="133"/>
        <v>0</v>
      </c>
      <c r="O1416" s="8">
        <f t="shared" si="133"/>
        <v>0</v>
      </c>
    </row>
    <row r="1417" spans="3:15" s="327" customFormat="1" outlineLevel="1" x14ac:dyDescent="0.2">
      <c r="D1417" s="521" t="str">
        <f>Intv_BA!D1349</f>
        <v>Lusaka</v>
      </c>
      <c r="H1417" s="546" t="str">
        <f>Intv_BA!$G$1181</f>
        <v>Chemo</v>
      </c>
      <c r="J1417" s="8">
        <f t="shared" si="133"/>
        <v>1</v>
      </c>
      <c r="K1417" s="8">
        <f t="shared" si="133"/>
        <v>1</v>
      </c>
      <c r="L1417" s="8">
        <f t="shared" si="133"/>
        <v>1</v>
      </c>
      <c r="M1417" s="8">
        <f t="shared" si="133"/>
        <v>1</v>
      </c>
      <c r="N1417" s="8">
        <f t="shared" si="133"/>
        <v>1</v>
      </c>
      <c r="O1417" s="8">
        <f t="shared" si="133"/>
        <v>1</v>
      </c>
    </row>
    <row r="1418" spans="3:15" s="327" customFormat="1" outlineLevel="1" x14ac:dyDescent="0.2">
      <c r="D1418" s="521" t="str">
        <f>Intv_BA!D1350</f>
        <v>Muchinga</v>
      </c>
      <c r="H1418" s="546" t="str">
        <f>Intv_BA!$G$1181</f>
        <v>Chemo</v>
      </c>
      <c r="J1418" s="8">
        <f t="shared" si="133"/>
        <v>0</v>
      </c>
      <c r="K1418" s="8">
        <f t="shared" si="133"/>
        <v>0</v>
      </c>
      <c r="L1418" s="8">
        <f t="shared" si="133"/>
        <v>0</v>
      </c>
      <c r="M1418" s="8">
        <f t="shared" si="133"/>
        <v>0</v>
      </c>
      <c r="N1418" s="8">
        <f t="shared" si="133"/>
        <v>0</v>
      </c>
      <c r="O1418" s="8">
        <f t="shared" si="133"/>
        <v>0</v>
      </c>
    </row>
    <row r="1419" spans="3:15" s="327" customFormat="1" outlineLevel="1" x14ac:dyDescent="0.2">
      <c r="D1419" s="521" t="str">
        <f>Intv_BA!D1351</f>
        <v>Northern</v>
      </c>
      <c r="H1419" s="546" t="str">
        <f>Intv_BA!$G$1181</f>
        <v>Chemo</v>
      </c>
      <c r="J1419" s="8">
        <f t="shared" si="133"/>
        <v>0</v>
      </c>
      <c r="K1419" s="8">
        <f t="shared" si="133"/>
        <v>0</v>
      </c>
      <c r="L1419" s="8">
        <f t="shared" si="133"/>
        <v>0</v>
      </c>
      <c r="M1419" s="8">
        <f t="shared" si="133"/>
        <v>0</v>
      </c>
      <c r="N1419" s="8">
        <f t="shared" si="133"/>
        <v>0</v>
      </c>
      <c r="O1419" s="8">
        <f t="shared" si="133"/>
        <v>0</v>
      </c>
    </row>
    <row r="1420" spans="3:15" s="327" customFormat="1" outlineLevel="1" x14ac:dyDescent="0.2">
      <c r="D1420" s="521" t="str">
        <f>Intv_BA!D1352</f>
        <v>North-Western</v>
      </c>
      <c r="H1420" s="546" t="str">
        <f>Intv_BA!$G$1181</f>
        <v>Chemo</v>
      </c>
      <c r="J1420" s="8">
        <f t="shared" si="133"/>
        <v>0</v>
      </c>
      <c r="K1420" s="8">
        <f t="shared" si="133"/>
        <v>0</v>
      </c>
      <c r="L1420" s="8">
        <f t="shared" si="133"/>
        <v>0</v>
      </c>
      <c r="M1420" s="8">
        <f t="shared" si="133"/>
        <v>0</v>
      </c>
      <c r="N1420" s="8">
        <f t="shared" si="133"/>
        <v>0</v>
      </c>
      <c r="O1420" s="8">
        <f t="shared" si="133"/>
        <v>0</v>
      </c>
    </row>
    <row r="1421" spans="3:15" s="327" customFormat="1" outlineLevel="1" x14ac:dyDescent="0.2">
      <c r="D1421" s="521" t="str">
        <f>Intv_BA!D1353</f>
        <v>Southern</v>
      </c>
      <c r="H1421" s="546" t="str">
        <f>Intv_BA!$G$1181</f>
        <v>Chemo</v>
      </c>
      <c r="J1421" s="8">
        <f t="shared" si="133"/>
        <v>0</v>
      </c>
      <c r="K1421" s="8">
        <f t="shared" si="133"/>
        <v>0</v>
      </c>
      <c r="L1421" s="8">
        <f t="shared" si="133"/>
        <v>0</v>
      </c>
      <c r="M1421" s="8">
        <f t="shared" si="133"/>
        <v>0</v>
      </c>
      <c r="N1421" s="8">
        <f t="shared" si="133"/>
        <v>0</v>
      </c>
      <c r="O1421" s="8">
        <f t="shared" si="133"/>
        <v>0</v>
      </c>
    </row>
    <row r="1422" spans="3:15" s="327" customFormat="1" outlineLevel="1" x14ac:dyDescent="0.2">
      <c r="D1422" s="521" t="str">
        <f>Intv_BA!D1354</f>
        <v>Western</v>
      </c>
      <c r="H1422" s="546" t="str">
        <f>Intv_BA!$G$1181</f>
        <v>Chemo</v>
      </c>
      <c r="J1422" s="9">
        <f t="shared" si="133"/>
        <v>0</v>
      </c>
      <c r="K1422" s="9">
        <f t="shared" si="133"/>
        <v>0</v>
      </c>
      <c r="L1422" s="9">
        <f t="shared" si="133"/>
        <v>0</v>
      </c>
      <c r="M1422" s="9">
        <f t="shared" si="133"/>
        <v>0</v>
      </c>
      <c r="N1422" s="9">
        <f t="shared" si="133"/>
        <v>1</v>
      </c>
      <c r="O1422" s="9">
        <f t="shared" si="133"/>
        <v>1</v>
      </c>
    </row>
    <row r="1423" spans="3:15" s="327" customFormat="1" ht="15" x14ac:dyDescent="0.2">
      <c r="D1423" s="522" t="str">
        <f>D1412&amp;" ("&amp;Intv_BA!$G$1181&amp;")"</f>
        <v>Total Active Facilities Offering Chemo (Chemo)</v>
      </c>
      <c r="J1423" s="5">
        <f t="shared" ref="J1423:O1423" si="134">SUM(J1413:J1422)</f>
        <v>1</v>
      </c>
      <c r="K1423" s="5">
        <f t="shared" si="134"/>
        <v>1</v>
      </c>
      <c r="L1423" s="5">
        <f t="shared" si="134"/>
        <v>1</v>
      </c>
      <c r="M1423" s="5">
        <f t="shared" si="134"/>
        <v>1</v>
      </c>
      <c r="N1423" s="5">
        <f t="shared" si="134"/>
        <v>3</v>
      </c>
      <c r="O1423" s="5">
        <f t="shared" si="134"/>
        <v>3</v>
      </c>
    </row>
    <row r="1424" spans="3:15" s="327" customFormat="1" x14ac:dyDescent="0.2"/>
    <row r="1425" spans="3:15" s="327" customFormat="1" x14ac:dyDescent="0.2"/>
    <row r="1426" spans="3:15" s="327" customFormat="1" ht="15" x14ac:dyDescent="0.2">
      <c r="D1426" s="519" t="s">
        <v>114</v>
      </c>
    </row>
    <row r="1427" spans="3:15" s="327" customFormat="1" outlineLevel="1" x14ac:dyDescent="0.2">
      <c r="D1427" s="521" t="str">
        <f>Intv_Ann_TA!D770</f>
        <v>Central</v>
      </c>
      <c r="H1427" s="546" t="str">
        <f>Intv_BA!$G$1181</f>
        <v>Chemo</v>
      </c>
      <c r="J1427" s="13">
        <f t="shared" ref="J1427:O1436" si="135">IFERROR((J1240+J1257+J1274)/J1413,0)</f>
        <v>0</v>
      </c>
      <c r="K1427" s="13">
        <f t="shared" si="135"/>
        <v>0</v>
      </c>
      <c r="L1427" s="13">
        <f t="shared" si="135"/>
        <v>0</v>
      </c>
      <c r="M1427" s="13">
        <f t="shared" si="135"/>
        <v>0</v>
      </c>
      <c r="N1427" s="13">
        <f t="shared" si="135"/>
        <v>0</v>
      </c>
      <c r="O1427" s="13">
        <f t="shared" si="135"/>
        <v>0</v>
      </c>
    </row>
    <row r="1428" spans="3:15" s="327" customFormat="1" outlineLevel="1" x14ac:dyDescent="0.2">
      <c r="D1428" s="521" t="str">
        <f>Intv_Ann_TA!D771</f>
        <v>Copperbelt</v>
      </c>
      <c r="H1428" s="546" t="str">
        <f>Intv_BA!$G$1181</f>
        <v>Chemo</v>
      </c>
      <c r="J1428" s="13">
        <f t="shared" si="135"/>
        <v>0</v>
      </c>
      <c r="K1428" s="13">
        <f t="shared" si="135"/>
        <v>0</v>
      </c>
      <c r="L1428" s="13">
        <f t="shared" si="135"/>
        <v>0</v>
      </c>
      <c r="M1428" s="13">
        <f t="shared" si="135"/>
        <v>0</v>
      </c>
      <c r="N1428" s="13">
        <f t="shared" si="135"/>
        <v>1</v>
      </c>
      <c r="O1428" s="13">
        <f t="shared" si="135"/>
        <v>1</v>
      </c>
    </row>
    <row r="1429" spans="3:15" s="327" customFormat="1" outlineLevel="1" x14ac:dyDescent="0.2">
      <c r="D1429" s="521" t="str">
        <f>Intv_Ann_TA!D772</f>
        <v>Eastern</v>
      </c>
      <c r="H1429" s="546" t="str">
        <f>Intv_BA!$G$1181</f>
        <v>Chemo</v>
      </c>
      <c r="J1429" s="13">
        <f t="shared" si="135"/>
        <v>0</v>
      </c>
      <c r="K1429" s="13">
        <f t="shared" si="135"/>
        <v>0</v>
      </c>
      <c r="L1429" s="13">
        <f t="shared" si="135"/>
        <v>0</v>
      </c>
      <c r="M1429" s="13">
        <f t="shared" si="135"/>
        <v>0</v>
      </c>
      <c r="N1429" s="13">
        <f t="shared" si="135"/>
        <v>0</v>
      </c>
      <c r="O1429" s="13">
        <f t="shared" si="135"/>
        <v>0</v>
      </c>
    </row>
    <row r="1430" spans="3:15" s="327" customFormat="1" outlineLevel="1" x14ac:dyDescent="0.2">
      <c r="D1430" s="521" t="str">
        <f>Intv_Ann_TA!D773</f>
        <v>Luapula</v>
      </c>
      <c r="H1430" s="546" t="str">
        <f>Intv_BA!$G$1181</f>
        <v>Chemo</v>
      </c>
      <c r="J1430" s="13">
        <f t="shared" si="135"/>
        <v>0</v>
      </c>
      <c r="K1430" s="13">
        <f t="shared" si="135"/>
        <v>0</v>
      </c>
      <c r="L1430" s="13">
        <f t="shared" si="135"/>
        <v>0</v>
      </c>
      <c r="M1430" s="13">
        <f t="shared" si="135"/>
        <v>0</v>
      </c>
      <c r="N1430" s="13">
        <f t="shared" si="135"/>
        <v>0</v>
      </c>
      <c r="O1430" s="13">
        <f t="shared" si="135"/>
        <v>0</v>
      </c>
    </row>
    <row r="1431" spans="3:15" s="327" customFormat="1" outlineLevel="1" x14ac:dyDescent="0.2">
      <c r="D1431" s="521" t="str">
        <f>Intv_Ann_TA!D774</f>
        <v>Lusaka</v>
      </c>
      <c r="H1431" s="546" t="str">
        <f>Intv_BA!$G$1181</f>
        <v>Chemo</v>
      </c>
      <c r="J1431" s="13">
        <f t="shared" si="135"/>
        <v>1</v>
      </c>
      <c r="K1431" s="13">
        <f t="shared" si="135"/>
        <v>1</v>
      </c>
      <c r="L1431" s="13">
        <f t="shared" si="135"/>
        <v>1</v>
      </c>
      <c r="M1431" s="13">
        <f t="shared" si="135"/>
        <v>1</v>
      </c>
      <c r="N1431" s="13">
        <f t="shared" si="135"/>
        <v>1</v>
      </c>
      <c r="O1431" s="13">
        <f t="shared" si="135"/>
        <v>1</v>
      </c>
    </row>
    <row r="1432" spans="3:15" s="327" customFormat="1" outlineLevel="1" x14ac:dyDescent="0.2">
      <c r="D1432" s="521" t="str">
        <f>Intv_Ann_TA!D775</f>
        <v>Muchinga</v>
      </c>
      <c r="H1432" s="546" t="str">
        <f>Intv_BA!$G$1181</f>
        <v>Chemo</v>
      </c>
      <c r="J1432" s="13">
        <f t="shared" si="135"/>
        <v>0</v>
      </c>
      <c r="K1432" s="13">
        <f t="shared" si="135"/>
        <v>0</v>
      </c>
      <c r="L1432" s="13">
        <f t="shared" si="135"/>
        <v>0</v>
      </c>
      <c r="M1432" s="13">
        <f t="shared" si="135"/>
        <v>0</v>
      </c>
      <c r="N1432" s="13">
        <f t="shared" si="135"/>
        <v>0</v>
      </c>
      <c r="O1432" s="13">
        <f t="shared" si="135"/>
        <v>0</v>
      </c>
    </row>
    <row r="1433" spans="3:15" s="327" customFormat="1" outlineLevel="1" x14ac:dyDescent="0.2">
      <c r="D1433" s="521" t="str">
        <f>Intv_Ann_TA!D776</f>
        <v>Northern</v>
      </c>
      <c r="H1433" s="546" t="str">
        <f>Intv_BA!$G$1181</f>
        <v>Chemo</v>
      </c>
      <c r="J1433" s="13">
        <f t="shared" si="135"/>
        <v>0</v>
      </c>
      <c r="K1433" s="13">
        <f t="shared" si="135"/>
        <v>0</v>
      </c>
      <c r="L1433" s="13">
        <f t="shared" si="135"/>
        <v>0</v>
      </c>
      <c r="M1433" s="13">
        <f t="shared" si="135"/>
        <v>0</v>
      </c>
      <c r="N1433" s="13">
        <f t="shared" si="135"/>
        <v>0</v>
      </c>
      <c r="O1433" s="13">
        <f t="shared" si="135"/>
        <v>0</v>
      </c>
    </row>
    <row r="1434" spans="3:15" s="327" customFormat="1" outlineLevel="1" x14ac:dyDescent="0.2">
      <c r="D1434" s="521" t="str">
        <f>Intv_Ann_TA!D777</f>
        <v>North-Western</v>
      </c>
      <c r="H1434" s="546" t="str">
        <f>Intv_BA!$G$1181</f>
        <v>Chemo</v>
      </c>
      <c r="J1434" s="13">
        <f t="shared" si="135"/>
        <v>0</v>
      </c>
      <c r="K1434" s="13">
        <f t="shared" si="135"/>
        <v>0</v>
      </c>
      <c r="L1434" s="13">
        <f t="shared" si="135"/>
        <v>0</v>
      </c>
      <c r="M1434" s="13">
        <f t="shared" si="135"/>
        <v>0</v>
      </c>
      <c r="N1434" s="13">
        <f t="shared" si="135"/>
        <v>0</v>
      </c>
      <c r="O1434" s="13">
        <f t="shared" si="135"/>
        <v>0</v>
      </c>
    </row>
    <row r="1435" spans="3:15" s="327" customFormat="1" outlineLevel="1" x14ac:dyDescent="0.2">
      <c r="D1435" s="521" t="str">
        <f>Intv_Ann_TA!D778</f>
        <v>Southern</v>
      </c>
      <c r="H1435" s="546" t="str">
        <f>Intv_BA!$G$1181</f>
        <v>Chemo</v>
      </c>
      <c r="J1435" s="13">
        <f t="shared" si="135"/>
        <v>0</v>
      </c>
      <c r="K1435" s="13">
        <f t="shared" si="135"/>
        <v>0</v>
      </c>
      <c r="L1435" s="13">
        <f t="shared" si="135"/>
        <v>0</v>
      </c>
      <c r="M1435" s="13">
        <f t="shared" si="135"/>
        <v>0</v>
      </c>
      <c r="N1435" s="13">
        <f t="shared" si="135"/>
        <v>0</v>
      </c>
      <c r="O1435" s="13">
        <f t="shared" si="135"/>
        <v>0</v>
      </c>
    </row>
    <row r="1436" spans="3:15" s="327" customFormat="1" outlineLevel="1" x14ac:dyDescent="0.2">
      <c r="D1436" s="521" t="str">
        <f>Intv_Ann_TA!D779</f>
        <v>Western</v>
      </c>
      <c r="H1436" s="546" t="str">
        <f>Intv_BA!$G$1181</f>
        <v>Chemo</v>
      </c>
      <c r="J1436" s="13">
        <f t="shared" si="135"/>
        <v>0</v>
      </c>
      <c r="K1436" s="13">
        <f t="shared" si="135"/>
        <v>0</v>
      </c>
      <c r="L1436" s="13">
        <f t="shared" si="135"/>
        <v>0</v>
      </c>
      <c r="M1436" s="13">
        <f t="shared" si="135"/>
        <v>0</v>
      </c>
      <c r="N1436" s="13">
        <f t="shared" si="135"/>
        <v>1</v>
      </c>
      <c r="O1436" s="13">
        <f t="shared" si="135"/>
        <v>1</v>
      </c>
    </row>
    <row r="1437" spans="3:15" s="327" customFormat="1" x14ac:dyDescent="0.2"/>
    <row r="1438" spans="3:15" s="327" customFormat="1" ht="15.75" x14ac:dyDescent="0.2">
      <c r="C1438" s="330" t="s">
        <v>102</v>
      </c>
    </row>
    <row r="1439" spans="3:15" s="327" customFormat="1" x14ac:dyDescent="0.2"/>
    <row r="1440" spans="3:15" s="327" customFormat="1" ht="15" outlineLevel="2" x14ac:dyDescent="0.2">
      <c r="D1440" s="519" t="s">
        <v>103</v>
      </c>
      <c r="J1440" s="322"/>
      <c r="K1440" s="322"/>
      <c r="L1440" s="322"/>
      <c r="M1440" s="322"/>
      <c r="N1440" s="322"/>
      <c r="O1440" s="322"/>
    </row>
    <row r="1441" spans="4:15" s="327" customFormat="1" outlineLevel="2" x14ac:dyDescent="0.2">
      <c r="D1441" s="521" t="str">
        <f>Intv_Ann_TA!D770</f>
        <v>Central</v>
      </c>
      <c r="H1441" s="521" t="str">
        <f>Intv_BA!$G$1181</f>
        <v>Chemo</v>
      </c>
      <c r="J1441" s="8">
        <f>ROUND(J1240*Intv_BA!$L$1209+J1257*Intv_BA!$L$1210+J1274*Intv_BA!$L$1211+J1291*Intv_BA!$L$1214+J1308*Intv_BA!$L$1214+J1325*Intv_BA!$L$1216+J1342*Intv_BA!$L$1217+J1359*Intv_BA!$L$1218+J1376*Intv_BA!$L$1219+J1393*Intv_BA!$L$1220,0)</f>
        <v>0</v>
      </c>
      <c r="K1441" s="8">
        <f>ROUND(K1240*Intv_BA!$L$1209+K1257*Intv_BA!$L$1210+K1274*Intv_BA!$L$1211+K1291*Intv_BA!$L$1214+K1308*Intv_BA!$L$1214+K1325*Intv_BA!$L$1216+K1342*Intv_BA!$L$1217+K1359*Intv_BA!$L$1218+K1376*Intv_BA!$L$1219+K1393*Intv_BA!$L$1220,0)</f>
        <v>0</v>
      </c>
      <c r="L1441" s="8">
        <f>ROUND(L1240*Intv_BA!$L$1209+L1257*Intv_BA!$L$1210+L1274*Intv_BA!$L$1211+L1291*Intv_BA!$L$1214+L1308*Intv_BA!$L$1214+L1325*Intv_BA!$L$1216+L1342*Intv_BA!$L$1217+L1359*Intv_BA!$L$1218+L1376*Intv_BA!$L$1219+L1393*Intv_BA!$L$1220,0)</f>
        <v>0</v>
      </c>
      <c r="M1441" s="8">
        <f>ROUND(M1240*Intv_BA!$L$1209+M1257*Intv_BA!$L$1210+M1274*Intv_BA!$L$1211+M1291*Intv_BA!$L$1214+M1308*Intv_BA!$L$1214+M1325*Intv_BA!$L$1216+M1342*Intv_BA!$L$1217+M1359*Intv_BA!$L$1218+M1376*Intv_BA!$L$1219+M1393*Intv_BA!$L$1220,0)</f>
        <v>0</v>
      </c>
      <c r="N1441" s="8">
        <f>ROUND(N1240*Intv_BA!$L$1209+N1257*Intv_BA!$L$1210+N1274*Intv_BA!$L$1211+N1291*Intv_BA!$L$1214+N1308*Intv_BA!$L$1214+N1325*Intv_BA!$L$1216+N1342*Intv_BA!$L$1217+N1359*Intv_BA!$L$1218+N1376*Intv_BA!$L$1219+N1393*Intv_BA!$L$1220,0)</f>
        <v>0</v>
      </c>
      <c r="O1441" s="8">
        <f>ROUND(O1240*Intv_BA!$L$1209+O1257*Intv_BA!$L$1210+O1274*Intv_BA!$L$1211+O1291*Intv_BA!$L$1214+O1308*Intv_BA!$L$1214+O1325*Intv_BA!$L$1216+O1342*Intv_BA!$L$1217+O1359*Intv_BA!$L$1218+O1376*Intv_BA!$L$1219+O1393*Intv_BA!$L$1220,0)</f>
        <v>0</v>
      </c>
    </row>
    <row r="1442" spans="4:15" s="327" customFormat="1" outlineLevel="2" x14ac:dyDescent="0.2">
      <c r="D1442" s="521" t="str">
        <f>Intv_Ann_TA!D771</f>
        <v>Copperbelt</v>
      </c>
      <c r="H1442" s="521" t="str">
        <f>Intv_BA!$G$1181</f>
        <v>Chemo</v>
      </c>
      <c r="J1442" s="8">
        <f>ROUND(J1241*Intv_BA!$L$1209+J1258*Intv_BA!$L$1210+J1275*Intv_BA!$L$1211+J1292*Intv_BA!$L$1214+J1309*Intv_BA!$L$1214+J1326*Intv_BA!$L$1216+J1343*Intv_BA!$L$1217+J1360*Intv_BA!$L$1218+J1377*Intv_BA!$L$1219+J1394*Intv_BA!$L$1220,0)</f>
        <v>0</v>
      </c>
      <c r="K1442" s="8">
        <f>ROUND(K1241*Intv_BA!$L$1209+K1258*Intv_BA!$L$1210+K1275*Intv_BA!$L$1211+K1292*Intv_BA!$L$1214+K1309*Intv_BA!$L$1214+K1326*Intv_BA!$L$1216+K1343*Intv_BA!$L$1217+K1360*Intv_BA!$L$1218+K1377*Intv_BA!$L$1219+K1394*Intv_BA!$L$1220,0)</f>
        <v>0</v>
      </c>
      <c r="L1442" s="8">
        <f>ROUND(L1241*Intv_BA!$L$1209+L1258*Intv_BA!$L$1210+L1275*Intv_BA!$L$1211+L1292*Intv_BA!$L$1214+L1309*Intv_BA!$L$1214+L1326*Intv_BA!$L$1216+L1343*Intv_BA!$L$1217+L1360*Intv_BA!$L$1218+L1377*Intv_BA!$L$1219+L1394*Intv_BA!$L$1220,0)</f>
        <v>0</v>
      </c>
      <c r="M1442" s="8">
        <f>ROUND(M1241*Intv_BA!$L$1209+M1258*Intv_BA!$L$1210+M1275*Intv_BA!$L$1211+M1292*Intv_BA!$L$1214+M1309*Intv_BA!$L$1214+M1326*Intv_BA!$L$1216+M1343*Intv_BA!$L$1217+M1360*Intv_BA!$L$1218+M1377*Intv_BA!$L$1219+M1394*Intv_BA!$L$1220,0)</f>
        <v>0</v>
      </c>
      <c r="N1442" s="8">
        <f>ROUND(N1241*Intv_BA!$L$1209+N1258*Intv_BA!$L$1210+N1275*Intv_BA!$L$1211+N1292*Intv_BA!$L$1214+N1309*Intv_BA!$L$1214+N1326*Intv_BA!$L$1216+N1343*Intv_BA!$L$1217+N1360*Intv_BA!$L$1218+N1377*Intv_BA!$L$1219+N1394*Intv_BA!$L$1220,0)</f>
        <v>2640</v>
      </c>
      <c r="O1442" s="8">
        <f>ROUND(O1241*Intv_BA!$L$1209+O1258*Intv_BA!$L$1210+O1275*Intv_BA!$L$1211+O1292*Intv_BA!$L$1214+O1309*Intv_BA!$L$1214+O1326*Intv_BA!$L$1216+O1343*Intv_BA!$L$1217+O1360*Intv_BA!$L$1218+O1377*Intv_BA!$L$1219+O1394*Intv_BA!$L$1220,0)</f>
        <v>2640</v>
      </c>
    </row>
    <row r="1443" spans="4:15" s="327" customFormat="1" outlineLevel="2" x14ac:dyDescent="0.2">
      <c r="D1443" s="521" t="str">
        <f>Intv_Ann_TA!D772</f>
        <v>Eastern</v>
      </c>
      <c r="H1443" s="521" t="str">
        <f>Intv_BA!$G$1181</f>
        <v>Chemo</v>
      </c>
      <c r="J1443" s="8">
        <f>ROUND(J1242*Intv_BA!$L$1209+J1259*Intv_BA!$L$1210+J1276*Intv_BA!$L$1211+J1293*Intv_BA!$L$1214+J1310*Intv_BA!$L$1214+J1327*Intv_BA!$L$1216+J1344*Intv_BA!$L$1217+J1361*Intv_BA!$L$1218+J1378*Intv_BA!$L$1219+J1395*Intv_BA!$L$1220,0)</f>
        <v>0</v>
      </c>
      <c r="K1443" s="8">
        <f>ROUND(K1242*Intv_BA!$L$1209+K1259*Intv_BA!$L$1210+K1276*Intv_BA!$L$1211+K1293*Intv_BA!$L$1214+K1310*Intv_BA!$L$1214+K1327*Intv_BA!$L$1216+K1344*Intv_BA!$L$1217+K1361*Intv_BA!$L$1218+K1378*Intv_BA!$L$1219+K1395*Intv_BA!$L$1220,0)</f>
        <v>0</v>
      </c>
      <c r="L1443" s="8">
        <f>ROUND(L1242*Intv_BA!$L$1209+L1259*Intv_BA!$L$1210+L1276*Intv_BA!$L$1211+L1293*Intv_BA!$L$1214+L1310*Intv_BA!$L$1214+L1327*Intv_BA!$L$1216+L1344*Intv_BA!$L$1217+L1361*Intv_BA!$L$1218+L1378*Intv_BA!$L$1219+L1395*Intv_BA!$L$1220,0)</f>
        <v>0</v>
      </c>
      <c r="M1443" s="8">
        <f>ROUND(M1242*Intv_BA!$L$1209+M1259*Intv_BA!$L$1210+M1276*Intv_BA!$L$1211+M1293*Intv_BA!$L$1214+M1310*Intv_BA!$L$1214+M1327*Intv_BA!$L$1216+M1344*Intv_BA!$L$1217+M1361*Intv_BA!$L$1218+M1378*Intv_BA!$L$1219+M1395*Intv_BA!$L$1220,0)</f>
        <v>0</v>
      </c>
      <c r="N1443" s="8">
        <f>ROUND(N1242*Intv_BA!$L$1209+N1259*Intv_BA!$L$1210+N1276*Intv_BA!$L$1211+N1293*Intv_BA!$L$1214+N1310*Intv_BA!$L$1214+N1327*Intv_BA!$L$1216+N1344*Intv_BA!$L$1217+N1361*Intv_BA!$L$1218+N1378*Intv_BA!$L$1219+N1395*Intv_BA!$L$1220,0)</f>
        <v>0</v>
      </c>
      <c r="O1443" s="8">
        <f>ROUND(O1242*Intv_BA!$L$1209+O1259*Intv_BA!$L$1210+O1276*Intv_BA!$L$1211+O1293*Intv_BA!$L$1214+O1310*Intv_BA!$L$1214+O1327*Intv_BA!$L$1216+O1344*Intv_BA!$L$1217+O1361*Intv_BA!$L$1218+O1378*Intv_BA!$L$1219+O1395*Intv_BA!$L$1220,0)</f>
        <v>0</v>
      </c>
    </row>
    <row r="1444" spans="4:15" s="327" customFormat="1" outlineLevel="2" x14ac:dyDescent="0.2">
      <c r="D1444" s="521" t="str">
        <f>Intv_Ann_TA!D773</f>
        <v>Luapula</v>
      </c>
      <c r="H1444" s="521" t="str">
        <f>Intv_BA!$G$1181</f>
        <v>Chemo</v>
      </c>
      <c r="J1444" s="8">
        <f>ROUND(J1243*Intv_BA!$L$1209+J1260*Intv_BA!$L$1210+J1277*Intv_BA!$L$1211+J1294*Intv_BA!$L$1214+J1311*Intv_BA!$L$1214+J1328*Intv_BA!$L$1216+J1345*Intv_BA!$L$1217+J1362*Intv_BA!$L$1218+J1379*Intv_BA!$L$1219+J1396*Intv_BA!$L$1220,0)</f>
        <v>0</v>
      </c>
      <c r="K1444" s="8">
        <f>ROUND(K1243*Intv_BA!$L$1209+K1260*Intv_BA!$L$1210+K1277*Intv_BA!$L$1211+K1294*Intv_BA!$L$1214+K1311*Intv_BA!$L$1214+K1328*Intv_BA!$L$1216+K1345*Intv_BA!$L$1217+K1362*Intv_BA!$L$1218+K1379*Intv_BA!$L$1219+K1396*Intv_BA!$L$1220,0)</f>
        <v>0</v>
      </c>
      <c r="L1444" s="8">
        <f>ROUND(L1243*Intv_BA!$L$1209+L1260*Intv_BA!$L$1210+L1277*Intv_BA!$L$1211+L1294*Intv_BA!$L$1214+L1311*Intv_BA!$L$1214+L1328*Intv_BA!$L$1216+L1345*Intv_BA!$L$1217+L1362*Intv_BA!$L$1218+L1379*Intv_BA!$L$1219+L1396*Intv_BA!$L$1220,0)</f>
        <v>0</v>
      </c>
      <c r="M1444" s="8">
        <f>ROUND(M1243*Intv_BA!$L$1209+M1260*Intv_BA!$L$1210+M1277*Intv_BA!$L$1211+M1294*Intv_BA!$L$1214+M1311*Intv_BA!$L$1214+M1328*Intv_BA!$L$1216+M1345*Intv_BA!$L$1217+M1362*Intv_BA!$L$1218+M1379*Intv_BA!$L$1219+M1396*Intv_BA!$L$1220,0)</f>
        <v>0</v>
      </c>
      <c r="N1444" s="8">
        <f>ROUND(N1243*Intv_BA!$L$1209+N1260*Intv_BA!$L$1210+N1277*Intv_BA!$L$1211+N1294*Intv_BA!$L$1214+N1311*Intv_BA!$L$1214+N1328*Intv_BA!$L$1216+N1345*Intv_BA!$L$1217+N1362*Intv_BA!$L$1218+N1379*Intv_BA!$L$1219+N1396*Intv_BA!$L$1220,0)</f>
        <v>0</v>
      </c>
      <c r="O1444" s="8">
        <f>ROUND(O1243*Intv_BA!$L$1209+O1260*Intv_BA!$L$1210+O1277*Intv_BA!$L$1211+O1294*Intv_BA!$L$1214+O1311*Intv_BA!$L$1214+O1328*Intv_BA!$L$1216+O1345*Intv_BA!$L$1217+O1362*Intv_BA!$L$1218+O1379*Intv_BA!$L$1219+O1396*Intv_BA!$L$1220,0)</f>
        <v>0</v>
      </c>
    </row>
    <row r="1445" spans="4:15" s="327" customFormat="1" outlineLevel="2" x14ac:dyDescent="0.2">
      <c r="D1445" s="521" t="str">
        <f>Intv_Ann_TA!D774</f>
        <v>Lusaka</v>
      </c>
      <c r="H1445" s="521" t="str">
        <f>Intv_BA!$G$1181</f>
        <v>Chemo</v>
      </c>
      <c r="J1445" s="8">
        <f>ROUND(J1244*Intv_BA!$L$1209+J1261*Intv_BA!$L$1210+J1278*Intv_BA!$L$1211+J1295*Intv_BA!$L$1214+J1312*Intv_BA!$L$1214+J1329*Intv_BA!$L$1216+J1346*Intv_BA!$L$1217+J1363*Intv_BA!$L$1218+J1380*Intv_BA!$L$1219+J1397*Intv_BA!$L$1220,0)</f>
        <v>2640</v>
      </c>
      <c r="K1445" s="8">
        <f>ROUND(K1244*Intv_BA!$L$1209+K1261*Intv_BA!$L$1210+K1278*Intv_BA!$L$1211+K1295*Intv_BA!$L$1214+K1312*Intv_BA!$L$1214+K1329*Intv_BA!$L$1216+K1346*Intv_BA!$L$1217+K1363*Intv_BA!$L$1218+K1380*Intv_BA!$L$1219+K1397*Intv_BA!$L$1220,0)</f>
        <v>2640</v>
      </c>
      <c r="L1445" s="8">
        <f>ROUND(L1244*Intv_BA!$L$1209+L1261*Intv_BA!$L$1210+L1278*Intv_BA!$L$1211+L1295*Intv_BA!$L$1214+L1312*Intv_BA!$L$1214+L1329*Intv_BA!$L$1216+L1346*Intv_BA!$L$1217+L1363*Intv_BA!$L$1218+L1380*Intv_BA!$L$1219+L1397*Intv_BA!$L$1220,0)</f>
        <v>2640</v>
      </c>
      <c r="M1445" s="8">
        <f>ROUND(M1244*Intv_BA!$L$1209+M1261*Intv_BA!$L$1210+M1278*Intv_BA!$L$1211+M1295*Intv_BA!$L$1214+M1312*Intv_BA!$L$1214+M1329*Intv_BA!$L$1216+M1346*Intv_BA!$L$1217+M1363*Intv_BA!$L$1218+M1380*Intv_BA!$L$1219+M1397*Intv_BA!$L$1220,0)</f>
        <v>2640</v>
      </c>
      <c r="N1445" s="8">
        <f>ROUND(N1244*Intv_BA!$L$1209+N1261*Intv_BA!$L$1210+N1278*Intv_BA!$L$1211+N1295*Intv_BA!$L$1214+N1312*Intv_BA!$L$1214+N1329*Intv_BA!$L$1216+N1346*Intv_BA!$L$1217+N1363*Intv_BA!$L$1218+N1380*Intv_BA!$L$1219+N1397*Intv_BA!$L$1220,0)</f>
        <v>2640</v>
      </c>
      <c r="O1445" s="8">
        <f>ROUND(O1244*Intv_BA!$L$1209+O1261*Intv_BA!$L$1210+O1278*Intv_BA!$L$1211+O1295*Intv_BA!$L$1214+O1312*Intv_BA!$L$1214+O1329*Intv_BA!$L$1216+O1346*Intv_BA!$L$1217+O1363*Intv_BA!$L$1218+O1380*Intv_BA!$L$1219+O1397*Intv_BA!$L$1220,0)</f>
        <v>2640</v>
      </c>
    </row>
    <row r="1446" spans="4:15" s="327" customFormat="1" outlineLevel="2" x14ac:dyDescent="0.2">
      <c r="D1446" s="521" t="str">
        <f>Intv_Ann_TA!D775</f>
        <v>Muchinga</v>
      </c>
      <c r="H1446" s="521" t="str">
        <f>Intv_BA!$G$1181</f>
        <v>Chemo</v>
      </c>
      <c r="J1446" s="8">
        <f>ROUND(J1245*Intv_BA!$L$1209+J1262*Intv_BA!$L$1210+J1279*Intv_BA!$L$1211+J1296*Intv_BA!$L$1214+J1313*Intv_BA!$L$1214+J1330*Intv_BA!$L$1216+J1347*Intv_BA!$L$1217+J1364*Intv_BA!$L$1218+J1381*Intv_BA!$L$1219+J1398*Intv_BA!$L$1220,0)</f>
        <v>0</v>
      </c>
      <c r="K1446" s="8">
        <f>ROUND(K1245*Intv_BA!$L$1209+K1262*Intv_BA!$L$1210+K1279*Intv_BA!$L$1211+K1296*Intv_BA!$L$1214+K1313*Intv_BA!$L$1214+K1330*Intv_BA!$L$1216+K1347*Intv_BA!$L$1217+K1364*Intv_BA!$L$1218+K1381*Intv_BA!$L$1219+K1398*Intv_BA!$L$1220,0)</f>
        <v>0</v>
      </c>
      <c r="L1446" s="8">
        <f>ROUND(L1245*Intv_BA!$L$1209+L1262*Intv_BA!$L$1210+L1279*Intv_BA!$L$1211+L1296*Intv_BA!$L$1214+L1313*Intv_BA!$L$1214+L1330*Intv_BA!$L$1216+L1347*Intv_BA!$L$1217+L1364*Intv_BA!$L$1218+L1381*Intv_BA!$L$1219+L1398*Intv_BA!$L$1220,0)</f>
        <v>0</v>
      </c>
      <c r="M1446" s="8">
        <f>ROUND(M1245*Intv_BA!$L$1209+M1262*Intv_BA!$L$1210+M1279*Intv_BA!$L$1211+M1296*Intv_BA!$L$1214+M1313*Intv_BA!$L$1214+M1330*Intv_BA!$L$1216+M1347*Intv_BA!$L$1217+M1364*Intv_BA!$L$1218+M1381*Intv_BA!$L$1219+M1398*Intv_BA!$L$1220,0)</f>
        <v>0</v>
      </c>
      <c r="N1446" s="8">
        <f>ROUND(N1245*Intv_BA!$L$1209+N1262*Intv_BA!$L$1210+N1279*Intv_BA!$L$1211+N1296*Intv_BA!$L$1214+N1313*Intv_BA!$L$1214+N1330*Intv_BA!$L$1216+N1347*Intv_BA!$L$1217+N1364*Intv_BA!$L$1218+N1381*Intv_BA!$L$1219+N1398*Intv_BA!$L$1220,0)</f>
        <v>0</v>
      </c>
      <c r="O1446" s="8">
        <f>ROUND(O1245*Intv_BA!$L$1209+O1262*Intv_BA!$L$1210+O1279*Intv_BA!$L$1211+O1296*Intv_BA!$L$1214+O1313*Intv_BA!$L$1214+O1330*Intv_BA!$L$1216+O1347*Intv_BA!$L$1217+O1364*Intv_BA!$L$1218+O1381*Intv_BA!$L$1219+O1398*Intv_BA!$L$1220,0)</f>
        <v>0</v>
      </c>
    </row>
    <row r="1447" spans="4:15" s="327" customFormat="1" outlineLevel="2" x14ac:dyDescent="0.2">
      <c r="D1447" s="521" t="str">
        <f>Intv_Ann_TA!D776</f>
        <v>Northern</v>
      </c>
      <c r="H1447" s="521" t="str">
        <f>Intv_BA!$G$1181</f>
        <v>Chemo</v>
      </c>
      <c r="J1447" s="8">
        <f>ROUND(J1246*Intv_BA!$L$1209+J1263*Intv_BA!$L$1210+J1280*Intv_BA!$L$1211+J1297*Intv_BA!$L$1214+J1314*Intv_BA!$L$1214+J1331*Intv_BA!$L$1216+J1348*Intv_BA!$L$1217+J1365*Intv_BA!$L$1218+J1382*Intv_BA!$L$1219+J1399*Intv_BA!$L$1220,0)</f>
        <v>0</v>
      </c>
      <c r="K1447" s="8">
        <f>ROUND(K1246*Intv_BA!$L$1209+K1263*Intv_BA!$L$1210+K1280*Intv_BA!$L$1211+K1297*Intv_BA!$L$1214+K1314*Intv_BA!$L$1214+K1331*Intv_BA!$L$1216+K1348*Intv_BA!$L$1217+K1365*Intv_BA!$L$1218+K1382*Intv_BA!$L$1219+K1399*Intv_BA!$L$1220,0)</f>
        <v>0</v>
      </c>
      <c r="L1447" s="8">
        <f>ROUND(L1246*Intv_BA!$L$1209+L1263*Intv_BA!$L$1210+L1280*Intv_BA!$L$1211+L1297*Intv_BA!$L$1214+L1314*Intv_BA!$L$1214+L1331*Intv_BA!$L$1216+L1348*Intv_BA!$L$1217+L1365*Intv_BA!$L$1218+L1382*Intv_BA!$L$1219+L1399*Intv_BA!$L$1220,0)</f>
        <v>0</v>
      </c>
      <c r="M1447" s="8">
        <f>ROUND(M1246*Intv_BA!$L$1209+M1263*Intv_BA!$L$1210+M1280*Intv_BA!$L$1211+M1297*Intv_BA!$L$1214+M1314*Intv_BA!$L$1214+M1331*Intv_BA!$L$1216+M1348*Intv_BA!$L$1217+M1365*Intv_BA!$L$1218+M1382*Intv_BA!$L$1219+M1399*Intv_BA!$L$1220,0)</f>
        <v>0</v>
      </c>
      <c r="N1447" s="8">
        <f>ROUND(N1246*Intv_BA!$L$1209+N1263*Intv_BA!$L$1210+N1280*Intv_BA!$L$1211+N1297*Intv_BA!$L$1214+N1314*Intv_BA!$L$1214+N1331*Intv_BA!$L$1216+N1348*Intv_BA!$L$1217+N1365*Intv_BA!$L$1218+N1382*Intv_BA!$L$1219+N1399*Intv_BA!$L$1220,0)</f>
        <v>0</v>
      </c>
      <c r="O1447" s="8">
        <f>ROUND(O1246*Intv_BA!$L$1209+O1263*Intv_BA!$L$1210+O1280*Intv_BA!$L$1211+O1297*Intv_BA!$L$1214+O1314*Intv_BA!$L$1214+O1331*Intv_BA!$L$1216+O1348*Intv_BA!$L$1217+O1365*Intv_BA!$L$1218+O1382*Intv_BA!$L$1219+O1399*Intv_BA!$L$1220,0)</f>
        <v>0</v>
      </c>
    </row>
    <row r="1448" spans="4:15" s="327" customFormat="1" outlineLevel="2" x14ac:dyDescent="0.2">
      <c r="D1448" s="521" t="str">
        <f>Intv_Ann_TA!D777</f>
        <v>North-Western</v>
      </c>
      <c r="H1448" s="521" t="str">
        <f>Intv_BA!$G$1181</f>
        <v>Chemo</v>
      </c>
      <c r="J1448" s="8">
        <f>ROUND(J1247*Intv_BA!$L$1209+J1264*Intv_BA!$L$1210+J1281*Intv_BA!$L$1211+J1298*Intv_BA!$L$1214+J1315*Intv_BA!$L$1214+J1332*Intv_BA!$L$1216+J1349*Intv_BA!$L$1217+J1366*Intv_BA!$L$1218+J1383*Intv_BA!$L$1219+J1400*Intv_BA!$L$1220,0)</f>
        <v>0</v>
      </c>
      <c r="K1448" s="8">
        <f>ROUND(K1247*Intv_BA!$L$1209+K1264*Intv_BA!$L$1210+K1281*Intv_BA!$L$1211+K1298*Intv_BA!$L$1214+K1315*Intv_BA!$L$1214+K1332*Intv_BA!$L$1216+K1349*Intv_BA!$L$1217+K1366*Intv_BA!$L$1218+K1383*Intv_BA!$L$1219+K1400*Intv_BA!$L$1220,0)</f>
        <v>0</v>
      </c>
      <c r="L1448" s="8">
        <f>ROUND(L1247*Intv_BA!$L$1209+L1264*Intv_BA!$L$1210+L1281*Intv_BA!$L$1211+L1298*Intv_BA!$L$1214+L1315*Intv_BA!$L$1214+L1332*Intv_BA!$L$1216+L1349*Intv_BA!$L$1217+L1366*Intv_BA!$L$1218+L1383*Intv_BA!$L$1219+L1400*Intv_BA!$L$1220,0)</f>
        <v>0</v>
      </c>
      <c r="M1448" s="8">
        <f>ROUND(M1247*Intv_BA!$L$1209+M1264*Intv_BA!$L$1210+M1281*Intv_BA!$L$1211+M1298*Intv_BA!$L$1214+M1315*Intv_BA!$L$1214+M1332*Intv_BA!$L$1216+M1349*Intv_BA!$L$1217+M1366*Intv_BA!$L$1218+M1383*Intv_BA!$L$1219+M1400*Intv_BA!$L$1220,0)</f>
        <v>0</v>
      </c>
      <c r="N1448" s="8">
        <f>ROUND(N1247*Intv_BA!$L$1209+N1264*Intv_BA!$L$1210+N1281*Intv_BA!$L$1211+N1298*Intv_BA!$L$1214+N1315*Intv_BA!$L$1214+N1332*Intv_BA!$L$1216+N1349*Intv_BA!$L$1217+N1366*Intv_BA!$L$1218+N1383*Intv_BA!$L$1219+N1400*Intv_BA!$L$1220,0)</f>
        <v>0</v>
      </c>
      <c r="O1448" s="8">
        <f>ROUND(O1247*Intv_BA!$L$1209+O1264*Intv_BA!$L$1210+O1281*Intv_BA!$L$1211+O1298*Intv_BA!$L$1214+O1315*Intv_BA!$L$1214+O1332*Intv_BA!$L$1216+O1349*Intv_BA!$L$1217+O1366*Intv_BA!$L$1218+O1383*Intv_BA!$L$1219+O1400*Intv_BA!$L$1220,0)</f>
        <v>0</v>
      </c>
    </row>
    <row r="1449" spans="4:15" s="327" customFormat="1" outlineLevel="2" x14ac:dyDescent="0.2">
      <c r="D1449" s="521" t="str">
        <f>Intv_Ann_TA!D778</f>
        <v>Southern</v>
      </c>
      <c r="H1449" s="521" t="str">
        <f>Intv_BA!$G$1181</f>
        <v>Chemo</v>
      </c>
      <c r="J1449" s="8">
        <f>ROUND(J1248*Intv_BA!$L$1209+J1265*Intv_BA!$L$1210+J1282*Intv_BA!$L$1211+J1299*Intv_BA!$L$1214+J1316*Intv_BA!$L$1214+J1333*Intv_BA!$L$1216+J1350*Intv_BA!$L$1217+J1367*Intv_BA!$L$1218+J1384*Intv_BA!$L$1219+J1401*Intv_BA!$L$1220,0)</f>
        <v>0</v>
      </c>
      <c r="K1449" s="8">
        <f>ROUND(K1248*Intv_BA!$L$1209+K1265*Intv_BA!$L$1210+K1282*Intv_BA!$L$1211+K1299*Intv_BA!$L$1214+K1316*Intv_BA!$L$1214+K1333*Intv_BA!$L$1216+K1350*Intv_BA!$L$1217+K1367*Intv_BA!$L$1218+K1384*Intv_BA!$L$1219+K1401*Intv_BA!$L$1220,0)</f>
        <v>0</v>
      </c>
      <c r="L1449" s="8">
        <f>ROUND(L1248*Intv_BA!$L$1209+L1265*Intv_BA!$L$1210+L1282*Intv_BA!$L$1211+L1299*Intv_BA!$L$1214+L1316*Intv_BA!$L$1214+L1333*Intv_BA!$L$1216+L1350*Intv_BA!$L$1217+L1367*Intv_BA!$L$1218+L1384*Intv_BA!$L$1219+L1401*Intv_BA!$L$1220,0)</f>
        <v>0</v>
      </c>
      <c r="M1449" s="8">
        <f>ROUND(M1248*Intv_BA!$L$1209+M1265*Intv_BA!$L$1210+M1282*Intv_BA!$L$1211+M1299*Intv_BA!$L$1214+M1316*Intv_BA!$L$1214+M1333*Intv_BA!$L$1216+M1350*Intv_BA!$L$1217+M1367*Intv_BA!$L$1218+M1384*Intv_BA!$L$1219+M1401*Intv_BA!$L$1220,0)</f>
        <v>0</v>
      </c>
      <c r="N1449" s="8">
        <f>ROUND(N1248*Intv_BA!$L$1209+N1265*Intv_BA!$L$1210+N1282*Intv_BA!$L$1211+N1299*Intv_BA!$L$1214+N1316*Intv_BA!$L$1214+N1333*Intv_BA!$L$1216+N1350*Intv_BA!$L$1217+N1367*Intv_BA!$L$1218+N1384*Intv_BA!$L$1219+N1401*Intv_BA!$L$1220,0)</f>
        <v>0</v>
      </c>
      <c r="O1449" s="8">
        <f>ROUND(O1248*Intv_BA!$L$1209+O1265*Intv_BA!$L$1210+O1282*Intv_BA!$L$1211+O1299*Intv_BA!$L$1214+O1316*Intv_BA!$L$1214+O1333*Intv_BA!$L$1216+O1350*Intv_BA!$L$1217+O1367*Intv_BA!$L$1218+O1384*Intv_BA!$L$1219+O1401*Intv_BA!$L$1220,0)</f>
        <v>0</v>
      </c>
    </row>
    <row r="1450" spans="4:15" s="327" customFormat="1" outlineLevel="2" x14ac:dyDescent="0.2">
      <c r="D1450" s="521" t="str">
        <f>Intv_Ann_TA!D779</f>
        <v>Western</v>
      </c>
      <c r="H1450" s="521" t="str">
        <f>Intv_BA!$G$1181</f>
        <v>Chemo</v>
      </c>
      <c r="J1450" s="9">
        <f>ROUND(J1249*Intv_BA!$L$1209+J1266*Intv_BA!$L$1210+J1283*Intv_BA!$L$1211+J1300*Intv_BA!$L$1214+J1317*Intv_BA!$L$1214+J1334*Intv_BA!$L$1216+J1351*Intv_BA!$L$1217+J1368*Intv_BA!$L$1218+J1385*Intv_BA!$L$1219+J1402*Intv_BA!$L$1220,0)</f>
        <v>0</v>
      </c>
      <c r="K1450" s="9">
        <f>ROUND(K1249*Intv_BA!$L$1209+K1266*Intv_BA!$L$1210+K1283*Intv_BA!$L$1211+K1300*Intv_BA!$L$1214+K1317*Intv_BA!$L$1214+K1334*Intv_BA!$L$1216+K1351*Intv_BA!$L$1217+K1368*Intv_BA!$L$1218+K1385*Intv_BA!$L$1219+K1402*Intv_BA!$L$1220,0)</f>
        <v>0</v>
      </c>
      <c r="L1450" s="9">
        <f>ROUND(L1249*Intv_BA!$L$1209+L1266*Intv_BA!$L$1210+L1283*Intv_BA!$L$1211+L1300*Intv_BA!$L$1214+L1317*Intv_BA!$L$1214+L1334*Intv_BA!$L$1216+L1351*Intv_BA!$L$1217+L1368*Intv_BA!$L$1218+L1385*Intv_BA!$L$1219+L1402*Intv_BA!$L$1220,0)</f>
        <v>0</v>
      </c>
      <c r="M1450" s="9">
        <f>ROUND(M1249*Intv_BA!$L$1209+M1266*Intv_BA!$L$1210+M1283*Intv_BA!$L$1211+M1300*Intv_BA!$L$1214+M1317*Intv_BA!$L$1214+M1334*Intv_BA!$L$1216+M1351*Intv_BA!$L$1217+M1368*Intv_BA!$L$1218+M1385*Intv_BA!$L$1219+M1402*Intv_BA!$L$1220,0)</f>
        <v>0</v>
      </c>
      <c r="N1450" s="9">
        <f>ROUND(N1249*Intv_BA!$L$1209+N1266*Intv_BA!$L$1210+N1283*Intv_BA!$L$1211+N1300*Intv_BA!$L$1214+N1317*Intv_BA!$L$1214+N1334*Intv_BA!$L$1216+N1351*Intv_BA!$L$1217+N1368*Intv_BA!$L$1218+N1385*Intv_BA!$L$1219+N1402*Intv_BA!$L$1220,0)</f>
        <v>2640</v>
      </c>
      <c r="O1450" s="9">
        <f>ROUND(O1249*Intv_BA!$L$1209+O1266*Intv_BA!$L$1210+O1283*Intv_BA!$L$1211+O1300*Intv_BA!$L$1214+O1317*Intv_BA!$L$1214+O1334*Intv_BA!$L$1216+O1351*Intv_BA!$L$1217+O1368*Intv_BA!$L$1218+O1385*Intv_BA!$L$1219+O1402*Intv_BA!$L$1220,0)</f>
        <v>2640</v>
      </c>
    </row>
    <row r="1451" spans="4:15" s="327" customFormat="1" x14ac:dyDescent="0.2">
      <c r="D1451" s="520" t="str">
        <f>"Total "&amp;D1440</f>
        <v>Total Maximum Procedures</v>
      </c>
      <c r="H1451" s="521" t="str">
        <f>Intv_BA!$G$1181</f>
        <v>Chemo</v>
      </c>
      <c r="J1451" s="5">
        <f t="shared" ref="J1451:O1451" si="136">SUM(J1441:J1450)</f>
        <v>2640</v>
      </c>
      <c r="K1451" s="5">
        <f t="shared" si="136"/>
        <v>2640</v>
      </c>
      <c r="L1451" s="5">
        <f t="shared" si="136"/>
        <v>2640</v>
      </c>
      <c r="M1451" s="5">
        <f t="shared" si="136"/>
        <v>2640</v>
      </c>
      <c r="N1451" s="5">
        <f t="shared" si="136"/>
        <v>7920</v>
      </c>
      <c r="O1451" s="5">
        <f t="shared" si="136"/>
        <v>7920</v>
      </c>
    </row>
    <row r="1452" spans="4:15" s="327" customFormat="1" x14ac:dyDescent="0.2"/>
    <row r="1453" spans="4:15" s="327" customFormat="1" outlineLevel="2" x14ac:dyDescent="0.2"/>
    <row r="1454" spans="4:15" s="327" customFormat="1" ht="15" outlineLevel="2" x14ac:dyDescent="0.2">
      <c r="D1454" s="519" t="s">
        <v>383</v>
      </c>
    </row>
    <row r="1455" spans="4:15" s="327" customFormat="1" outlineLevel="2" x14ac:dyDescent="0.2">
      <c r="D1455" s="521" t="str">
        <f>Intv_Ann_TA!D770</f>
        <v>Central</v>
      </c>
      <c r="H1455" s="521" t="str">
        <f>Intv_BA!$G$1181</f>
        <v>Chemo</v>
      </c>
      <c r="J1455" s="8">
        <f ca="1">ROUND(Intv_Ann_TA!J770*Intv_BA!$J$1183*(1-Intv_BA!$J$1184),0)</f>
        <v>26</v>
      </c>
      <c r="K1455" s="8">
        <f ca="1">ROUND(Intv_Ann_TA!K770*Intv_BA!$J$1183*(1-Intv_BA!$J$1184),0)</f>
        <v>26</v>
      </c>
      <c r="L1455" s="8">
        <f ca="1">ROUND(Intv_Ann_TA!L770*Intv_BA!$J$1183*(1-Intv_BA!$J$1184),0)</f>
        <v>26</v>
      </c>
      <c r="M1455" s="8">
        <f ca="1">ROUND(Intv_Ann_TA!M770*Intv_BA!$J$1183*(1-Intv_BA!$J$1184),0)</f>
        <v>26</v>
      </c>
      <c r="N1455" s="8">
        <f ca="1">ROUND(Intv_Ann_TA!N770*Intv_BA!$J$1183*(1-Intv_BA!$J$1184),0)</f>
        <v>26</v>
      </c>
      <c r="O1455" s="8">
        <f ca="1">ROUND(Intv_Ann_TA!O770*Intv_BA!$J$1183*(1-Intv_BA!$J$1184),0)</f>
        <v>26</v>
      </c>
    </row>
    <row r="1456" spans="4:15" s="327" customFormat="1" outlineLevel="2" x14ac:dyDescent="0.2">
      <c r="D1456" s="521" t="str">
        <f>Intv_Ann_TA!D771</f>
        <v>Copperbelt</v>
      </c>
      <c r="H1456" s="521" t="str">
        <f>Intv_BA!$G$1181</f>
        <v>Chemo</v>
      </c>
      <c r="J1456" s="8">
        <f ca="1">ROUND(Intv_Ann_TA!J771*Intv_BA!$J$1183*(1-Intv_BA!$J$1184),0)</f>
        <v>36</v>
      </c>
      <c r="K1456" s="8">
        <f ca="1">ROUND(Intv_Ann_TA!K771*Intv_BA!$J$1183*(1-Intv_BA!$J$1184),0)</f>
        <v>36</v>
      </c>
      <c r="L1456" s="8">
        <f ca="1">ROUND(Intv_Ann_TA!L771*Intv_BA!$J$1183*(1-Intv_BA!$J$1184),0)</f>
        <v>36</v>
      </c>
      <c r="M1456" s="8">
        <f ca="1">ROUND(Intv_Ann_TA!M771*Intv_BA!$J$1183*(1-Intv_BA!$J$1184),0)</f>
        <v>36</v>
      </c>
      <c r="N1456" s="8">
        <f ca="1">ROUND(Intv_Ann_TA!N771*Intv_BA!$J$1183*(1-Intv_BA!$J$1184),0)</f>
        <v>36</v>
      </c>
      <c r="O1456" s="8">
        <f ca="1">ROUND(Intv_Ann_TA!O771*Intv_BA!$J$1183*(1-Intv_BA!$J$1184),0)</f>
        <v>36</v>
      </c>
    </row>
    <row r="1457" spans="4:15" s="327" customFormat="1" outlineLevel="2" x14ac:dyDescent="0.2">
      <c r="D1457" s="521" t="str">
        <f>Intv_Ann_TA!D772</f>
        <v>Eastern</v>
      </c>
      <c r="H1457" s="521" t="str">
        <f>Intv_BA!$G$1181</f>
        <v>Chemo</v>
      </c>
      <c r="J1457" s="8">
        <f ca="1">ROUND(Intv_Ann_TA!J772*Intv_BA!$J$1183*(1-Intv_BA!$J$1184),0)</f>
        <v>47</v>
      </c>
      <c r="K1457" s="8">
        <f ca="1">ROUND(Intv_Ann_TA!K772*Intv_BA!$J$1183*(1-Intv_BA!$J$1184),0)</f>
        <v>47</v>
      </c>
      <c r="L1457" s="8">
        <f ca="1">ROUND(Intv_Ann_TA!L772*Intv_BA!$J$1183*(1-Intv_BA!$J$1184),0)</f>
        <v>47</v>
      </c>
      <c r="M1457" s="8">
        <f ca="1">ROUND(Intv_Ann_TA!M772*Intv_BA!$J$1183*(1-Intv_BA!$J$1184),0)</f>
        <v>47</v>
      </c>
      <c r="N1457" s="8">
        <f ca="1">ROUND(Intv_Ann_TA!N772*Intv_BA!$J$1183*(1-Intv_BA!$J$1184),0)</f>
        <v>47</v>
      </c>
      <c r="O1457" s="8">
        <f ca="1">ROUND(Intv_Ann_TA!O772*Intv_BA!$J$1183*(1-Intv_BA!$J$1184),0)</f>
        <v>47</v>
      </c>
    </row>
    <row r="1458" spans="4:15" s="327" customFormat="1" outlineLevel="2" x14ac:dyDescent="0.2">
      <c r="D1458" s="521" t="str">
        <f>Intv_Ann_TA!D773</f>
        <v>Luapula</v>
      </c>
      <c r="H1458" s="521" t="str">
        <f>Intv_BA!$G$1181</f>
        <v>Chemo</v>
      </c>
      <c r="J1458" s="8">
        <f ca="1">ROUND(Intv_Ann_TA!J773*Intv_BA!$J$1183*(1-Intv_BA!$J$1184),0)</f>
        <v>36</v>
      </c>
      <c r="K1458" s="8">
        <f ca="1">ROUND(Intv_Ann_TA!K773*Intv_BA!$J$1183*(1-Intv_BA!$J$1184),0)</f>
        <v>36</v>
      </c>
      <c r="L1458" s="8">
        <f ca="1">ROUND(Intv_Ann_TA!L773*Intv_BA!$J$1183*(1-Intv_BA!$J$1184),0)</f>
        <v>36</v>
      </c>
      <c r="M1458" s="8">
        <f ca="1">ROUND(Intv_Ann_TA!M773*Intv_BA!$J$1183*(1-Intv_BA!$J$1184),0)</f>
        <v>36</v>
      </c>
      <c r="N1458" s="8">
        <f ca="1">ROUND(Intv_Ann_TA!N773*Intv_BA!$J$1183*(1-Intv_BA!$J$1184),0)</f>
        <v>36</v>
      </c>
      <c r="O1458" s="8">
        <f ca="1">ROUND(Intv_Ann_TA!O773*Intv_BA!$J$1183*(1-Intv_BA!$J$1184),0)</f>
        <v>36</v>
      </c>
    </row>
    <row r="1459" spans="4:15" s="327" customFormat="1" outlineLevel="2" x14ac:dyDescent="0.2">
      <c r="D1459" s="521" t="str">
        <f>Intv_Ann_TA!D774</f>
        <v>Lusaka</v>
      </c>
      <c r="H1459" s="521" t="str">
        <f>Intv_BA!$G$1181</f>
        <v>Chemo</v>
      </c>
      <c r="J1459" s="8">
        <f ca="1">ROUND(Intv_Ann_TA!J774*Intv_BA!$J$1183*(1-Intv_BA!$J$1184),0)</f>
        <v>131</v>
      </c>
      <c r="K1459" s="8">
        <f ca="1">ROUND(Intv_Ann_TA!K774*Intv_BA!$J$1183*(1-Intv_BA!$J$1184),0)</f>
        <v>131</v>
      </c>
      <c r="L1459" s="8">
        <f ca="1">ROUND(Intv_Ann_TA!L774*Intv_BA!$J$1183*(1-Intv_BA!$J$1184),0)</f>
        <v>131</v>
      </c>
      <c r="M1459" s="8">
        <f ca="1">ROUND(Intv_Ann_TA!M774*Intv_BA!$J$1183*(1-Intv_BA!$J$1184),0)</f>
        <v>131</v>
      </c>
      <c r="N1459" s="8">
        <f ca="1">ROUND(Intv_Ann_TA!N774*Intv_BA!$J$1183*(1-Intv_BA!$J$1184),0)</f>
        <v>131</v>
      </c>
      <c r="O1459" s="8">
        <f ca="1">ROUND(Intv_Ann_TA!O774*Intv_BA!$J$1183*(1-Intv_BA!$J$1184),0)</f>
        <v>131</v>
      </c>
    </row>
    <row r="1460" spans="4:15" s="327" customFormat="1" outlineLevel="2" x14ac:dyDescent="0.2">
      <c r="D1460" s="521" t="str">
        <f>Intv_Ann_TA!D775</f>
        <v>Muchinga</v>
      </c>
      <c r="H1460" s="521" t="str">
        <f>Intv_BA!$G$1181</f>
        <v>Chemo</v>
      </c>
      <c r="J1460" s="8">
        <f ca="1">ROUND(Intv_Ann_TA!J775*Intv_BA!$J$1183*(1-Intv_BA!$J$1184),0)</f>
        <v>2</v>
      </c>
      <c r="K1460" s="8">
        <f ca="1">ROUND(Intv_Ann_TA!K775*Intv_BA!$J$1183*(1-Intv_BA!$J$1184),0)</f>
        <v>2</v>
      </c>
      <c r="L1460" s="8">
        <f ca="1">ROUND(Intv_Ann_TA!L775*Intv_BA!$J$1183*(1-Intv_BA!$J$1184),0)</f>
        <v>2</v>
      </c>
      <c r="M1460" s="8">
        <f ca="1">ROUND(Intv_Ann_TA!M775*Intv_BA!$J$1183*(1-Intv_BA!$J$1184),0)</f>
        <v>2</v>
      </c>
      <c r="N1460" s="8">
        <f ca="1">ROUND(Intv_Ann_TA!N775*Intv_BA!$J$1183*(1-Intv_BA!$J$1184),0)</f>
        <v>2</v>
      </c>
      <c r="O1460" s="8">
        <f ca="1">ROUND(Intv_Ann_TA!O775*Intv_BA!$J$1183*(1-Intv_BA!$J$1184),0)</f>
        <v>2</v>
      </c>
    </row>
    <row r="1461" spans="4:15" s="327" customFormat="1" outlineLevel="2" x14ac:dyDescent="0.2">
      <c r="D1461" s="521" t="str">
        <f>Intv_Ann_TA!D776</f>
        <v>Northern</v>
      </c>
      <c r="H1461" s="521" t="str">
        <f>Intv_BA!$G$1181</f>
        <v>Chemo</v>
      </c>
      <c r="J1461" s="8">
        <f ca="1">ROUND(Intv_Ann_TA!J776*Intv_BA!$J$1183*(1-Intv_BA!$J$1184),0)</f>
        <v>13</v>
      </c>
      <c r="K1461" s="8">
        <f ca="1">ROUND(Intv_Ann_TA!K776*Intv_BA!$J$1183*(1-Intv_BA!$J$1184),0)</f>
        <v>13</v>
      </c>
      <c r="L1461" s="8">
        <f ca="1">ROUND(Intv_Ann_TA!L776*Intv_BA!$J$1183*(1-Intv_BA!$J$1184),0)</f>
        <v>13</v>
      </c>
      <c r="M1461" s="8">
        <f ca="1">ROUND(Intv_Ann_TA!M776*Intv_BA!$J$1183*(1-Intv_BA!$J$1184),0)</f>
        <v>13</v>
      </c>
      <c r="N1461" s="8">
        <f ca="1">ROUND(Intv_Ann_TA!N776*Intv_BA!$J$1183*(1-Intv_BA!$J$1184),0)</f>
        <v>13</v>
      </c>
      <c r="O1461" s="8">
        <f ca="1">ROUND(Intv_Ann_TA!O776*Intv_BA!$J$1183*(1-Intv_BA!$J$1184),0)</f>
        <v>13</v>
      </c>
    </row>
    <row r="1462" spans="4:15" s="327" customFormat="1" outlineLevel="2" x14ac:dyDescent="0.2">
      <c r="D1462" s="521" t="str">
        <f>Intv_Ann_TA!D777</f>
        <v>North-Western</v>
      </c>
      <c r="H1462" s="521" t="str">
        <f>Intv_BA!$G$1181</f>
        <v>Chemo</v>
      </c>
      <c r="J1462" s="8">
        <f ca="1">ROUND(Intv_Ann_TA!J777*Intv_BA!$J$1183*(1-Intv_BA!$J$1184),0)</f>
        <v>15</v>
      </c>
      <c r="K1462" s="8">
        <f ca="1">ROUND(Intv_Ann_TA!K777*Intv_BA!$J$1183*(1-Intv_BA!$J$1184),0)</f>
        <v>15</v>
      </c>
      <c r="L1462" s="8">
        <f ca="1">ROUND(Intv_Ann_TA!L777*Intv_BA!$J$1183*(1-Intv_BA!$J$1184),0)</f>
        <v>15</v>
      </c>
      <c r="M1462" s="8">
        <f ca="1">ROUND(Intv_Ann_TA!M777*Intv_BA!$J$1183*(1-Intv_BA!$J$1184),0)</f>
        <v>15</v>
      </c>
      <c r="N1462" s="8">
        <f ca="1">ROUND(Intv_Ann_TA!N777*Intv_BA!$J$1183*(1-Intv_BA!$J$1184),0)</f>
        <v>15</v>
      </c>
      <c r="O1462" s="8">
        <f ca="1">ROUND(Intv_Ann_TA!O777*Intv_BA!$J$1183*(1-Intv_BA!$J$1184),0)</f>
        <v>15</v>
      </c>
    </row>
    <row r="1463" spans="4:15" s="327" customFormat="1" outlineLevel="2" x14ac:dyDescent="0.2">
      <c r="D1463" s="521" t="str">
        <f>Intv_Ann_TA!D778</f>
        <v>Southern</v>
      </c>
      <c r="H1463" s="521" t="str">
        <f>Intv_BA!$G$1181</f>
        <v>Chemo</v>
      </c>
      <c r="J1463" s="8">
        <f ca="1">ROUND(Intv_Ann_TA!J778*Intv_BA!$J$1183*(1-Intv_BA!$J$1184),0)</f>
        <v>36</v>
      </c>
      <c r="K1463" s="8">
        <f ca="1">ROUND(Intv_Ann_TA!K778*Intv_BA!$J$1183*(1-Intv_BA!$J$1184),0)</f>
        <v>36</v>
      </c>
      <c r="L1463" s="8">
        <f ca="1">ROUND(Intv_Ann_TA!L778*Intv_BA!$J$1183*(1-Intv_BA!$J$1184),0)</f>
        <v>36</v>
      </c>
      <c r="M1463" s="8">
        <f ca="1">ROUND(Intv_Ann_TA!M778*Intv_BA!$J$1183*(1-Intv_BA!$J$1184),0)</f>
        <v>36</v>
      </c>
      <c r="N1463" s="8">
        <f ca="1">ROUND(Intv_Ann_TA!N778*Intv_BA!$J$1183*(1-Intv_BA!$J$1184),0)</f>
        <v>36</v>
      </c>
      <c r="O1463" s="8">
        <f ca="1">ROUND(Intv_Ann_TA!O778*Intv_BA!$J$1183*(1-Intv_BA!$J$1184),0)</f>
        <v>36</v>
      </c>
    </row>
    <row r="1464" spans="4:15" s="327" customFormat="1" outlineLevel="2" x14ac:dyDescent="0.2">
      <c r="D1464" s="521" t="str">
        <f>Intv_Ann_TA!D779</f>
        <v>Western</v>
      </c>
      <c r="H1464" s="521" t="str">
        <f>Intv_BA!$G$1181</f>
        <v>Chemo</v>
      </c>
      <c r="J1464" s="9">
        <f ca="1">ROUND(Intv_Ann_TA!J779*Intv_BA!$J$1183*(1-Intv_BA!$J$1184),0)</f>
        <v>36</v>
      </c>
      <c r="K1464" s="9">
        <f ca="1">ROUND(Intv_Ann_TA!K779*Intv_BA!$J$1183*(1-Intv_BA!$J$1184),0)</f>
        <v>36</v>
      </c>
      <c r="L1464" s="9">
        <f ca="1">ROUND(Intv_Ann_TA!L779*Intv_BA!$J$1183*(1-Intv_BA!$J$1184),0)</f>
        <v>36</v>
      </c>
      <c r="M1464" s="9">
        <f ca="1">ROUND(Intv_Ann_TA!M779*Intv_BA!$J$1183*(1-Intv_BA!$J$1184),0)</f>
        <v>36</v>
      </c>
      <c r="N1464" s="9">
        <f ca="1">ROUND(Intv_Ann_TA!N779*Intv_BA!$J$1183*(1-Intv_BA!$J$1184),0)</f>
        <v>36</v>
      </c>
      <c r="O1464" s="9">
        <f ca="1">ROUND(Intv_Ann_TA!O779*Intv_BA!$J$1183*(1-Intv_BA!$J$1184),0)</f>
        <v>36</v>
      </c>
    </row>
    <row r="1465" spans="4:15" s="327" customFormat="1" outlineLevel="2" x14ac:dyDescent="0.2">
      <c r="D1465" s="520" t="str">
        <f>"Total "&amp;D1454</f>
        <v>Total Population Seeking Service (New)</v>
      </c>
      <c r="H1465" s="521" t="str">
        <f>Intv_BA!$G$1181</f>
        <v>Chemo</v>
      </c>
      <c r="J1465" s="5">
        <f t="shared" ref="J1465:O1465" ca="1" si="137">SUM(J1455:J1464)</f>
        <v>378</v>
      </c>
      <c r="K1465" s="5">
        <f t="shared" ca="1" si="137"/>
        <v>378</v>
      </c>
      <c r="L1465" s="5">
        <f t="shared" ca="1" si="137"/>
        <v>378</v>
      </c>
      <c r="M1465" s="5">
        <f t="shared" ca="1" si="137"/>
        <v>378</v>
      </c>
      <c r="N1465" s="5">
        <f t="shared" ca="1" si="137"/>
        <v>378</v>
      </c>
      <c r="O1465" s="5">
        <f t="shared" ca="1" si="137"/>
        <v>378</v>
      </c>
    </row>
    <row r="1466" spans="4:15" s="327" customFormat="1" outlineLevel="2" x14ac:dyDescent="0.2"/>
    <row r="1467" spans="4:15" s="327" customFormat="1" ht="15" outlineLevel="2" x14ac:dyDescent="0.2">
      <c r="D1467" s="519" t="s">
        <v>390</v>
      </c>
      <c r="J1467" s="322"/>
      <c r="K1467" s="322"/>
      <c r="L1467" s="322"/>
      <c r="M1467" s="322"/>
      <c r="N1467" s="322"/>
      <c r="O1467" s="322"/>
    </row>
    <row r="1468" spans="4:15" s="327" customFormat="1" outlineLevel="2" x14ac:dyDescent="0.2">
      <c r="D1468" s="521" t="str">
        <f>Intv_Ann_TA!D770</f>
        <v>Central</v>
      </c>
      <c r="H1468" s="521" t="str">
        <f>Intv_BA!$G$1181</f>
        <v>Chemo</v>
      </c>
      <c r="J1468" s="8">
        <f t="shared" ref="J1468:O1477" ca="1" si="138">I1468+J1455-I1495</f>
        <v>26</v>
      </c>
      <c r="K1468" s="8">
        <f t="shared" ca="1" si="138"/>
        <v>26</v>
      </c>
      <c r="L1468" s="8">
        <f t="shared" ca="1" si="138"/>
        <v>26</v>
      </c>
      <c r="M1468" s="8">
        <f t="shared" ca="1" si="138"/>
        <v>26</v>
      </c>
      <c r="N1468" s="8">
        <f t="shared" ca="1" si="138"/>
        <v>26</v>
      </c>
      <c r="O1468" s="8">
        <f t="shared" ca="1" si="138"/>
        <v>26</v>
      </c>
    </row>
    <row r="1469" spans="4:15" s="327" customFormat="1" outlineLevel="2" x14ac:dyDescent="0.2">
      <c r="D1469" s="521" t="str">
        <f>Intv_Ann_TA!D771</f>
        <v>Copperbelt</v>
      </c>
      <c r="H1469" s="521" t="str">
        <f>Intv_BA!$G$1181</f>
        <v>Chemo</v>
      </c>
      <c r="J1469" s="8">
        <f t="shared" ca="1" si="138"/>
        <v>36</v>
      </c>
      <c r="K1469" s="8">
        <f t="shared" ca="1" si="138"/>
        <v>36</v>
      </c>
      <c r="L1469" s="8">
        <f t="shared" ca="1" si="138"/>
        <v>36</v>
      </c>
      <c r="M1469" s="8">
        <f t="shared" ca="1" si="138"/>
        <v>36</v>
      </c>
      <c r="N1469" s="8">
        <f t="shared" ca="1" si="138"/>
        <v>36</v>
      </c>
      <c r="O1469" s="8">
        <f t="shared" ca="1" si="138"/>
        <v>36</v>
      </c>
    </row>
    <row r="1470" spans="4:15" s="327" customFormat="1" outlineLevel="2" x14ac:dyDescent="0.2">
      <c r="D1470" s="521" t="str">
        <f>Intv_Ann_TA!D772</f>
        <v>Eastern</v>
      </c>
      <c r="H1470" s="521" t="str">
        <f>Intv_BA!$G$1181</f>
        <v>Chemo</v>
      </c>
      <c r="J1470" s="8">
        <f t="shared" ca="1" si="138"/>
        <v>47</v>
      </c>
      <c r="K1470" s="8">
        <f t="shared" ca="1" si="138"/>
        <v>47</v>
      </c>
      <c r="L1470" s="8">
        <f t="shared" ca="1" si="138"/>
        <v>47</v>
      </c>
      <c r="M1470" s="8">
        <f t="shared" ca="1" si="138"/>
        <v>47</v>
      </c>
      <c r="N1470" s="8">
        <f t="shared" ca="1" si="138"/>
        <v>47</v>
      </c>
      <c r="O1470" s="8">
        <f t="shared" ca="1" si="138"/>
        <v>47</v>
      </c>
    </row>
    <row r="1471" spans="4:15" s="327" customFormat="1" outlineLevel="2" x14ac:dyDescent="0.2">
      <c r="D1471" s="521" t="str">
        <f>Intv_Ann_TA!D773</f>
        <v>Luapula</v>
      </c>
      <c r="H1471" s="521" t="str">
        <f>Intv_BA!$G$1181</f>
        <v>Chemo</v>
      </c>
      <c r="J1471" s="8">
        <f t="shared" ca="1" si="138"/>
        <v>36</v>
      </c>
      <c r="K1471" s="8">
        <f t="shared" ca="1" si="138"/>
        <v>36</v>
      </c>
      <c r="L1471" s="8">
        <f t="shared" ca="1" si="138"/>
        <v>36</v>
      </c>
      <c r="M1471" s="8">
        <f t="shared" ca="1" si="138"/>
        <v>36</v>
      </c>
      <c r="N1471" s="8">
        <f t="shared" ca="1" si="138"/>
        <v>36</v>
      </c>
      <c r="O1471" s="8">
        <f t="shared" ca="1" si="138"/>
        <v>36</v>
      </c>
    </row>
    <row r="1472" spans="4:15" s="327" customFormat="1" outlineLevel="2" x14ac:dyDescent="0.2">
      <c r="D1472" s="521" t="str">
        <f>Intv_Ann_TA!D774</f>
        <v>Lusaka</v>
      </c>
      <c r="H1472" s="521" t="str">
        <f>Intv_BA!$G$1181</f>
        <v>Chemo</v>
      </c>
      <c r="J1472" s="8">
        <f t="shared" ca="1" si="138"/>
        <v>131</v>
      </c>
      <c r="K1472" s="8">
        <f t="shared" ca="1" si="138"/>
        <v>131</v>
      </c>
      <c r="L1472" s="8">
        <f t="shared" ca="1" si="138"/>
        <v>131</v>
      </c>
      <c r="M1472" s="8">
        <f t="shared" ca="1" si="138"/>
        <v>131</v>
      </c>
      <c r="N1472" s="8">
        <f t="shared" ca="1" si="138"/>
        <v>131</v>
      </c>
      <c r="O1472" s="8">
        <f t="shared" ca="1" si="138"/>
        <v>131</v>
      </c>
    </row>
    <row r="1473" spans="4:15" s="327" customFormat="1" outlineLevel="2" x14ac:dyDescent="0.2">
      <c r="D1473" s="521" t="str">
        <f>Intv_Ann_TA!D775</f>
        <v>Muchinga</v>
      </c>
      <c r="H1473" s="521" t="str">
        <f>Intv_BA!$G$1181</f>
        <v>Chemo</v>
      </c>
      <c r="J1473" s="8">
        <f t="shared" ca="1" si="138"/>
        <v>2</v>
      </c>
      <c r="K1473" s="8">
        <f t="shared" ca="1" si="138"/>
        <v>2</v>
      </c>
      <c r="L1473" s="8">
        <f t="shared" ca="1" si="138"/>
        <v>2</v>
      </c>
      <c r="M1473" s="8">
        <f t="shared" ca="1" si="138"/>
        <v>2</v>
      </c>
      <c r="N1473" s="8">
        <f t="shared" ca="1" si="138"/>
        <v>2</v>
      </c>
      <c r="O1473" s="8">
        <f t="shared" ca="1" si="138"/>
        <v>2</v>
      </c>
    </row>
    <row r="1474" spans="4:15" s="327" customFormat="1" outlineLevel="2" x14ac:dyDescent="0.2">
      <c r="D1474" s="521" t="str">
        <f>Intv_Ann_TA!D776</f>
        <v>Northern</v>
      </c>
      <c r="H1474" s="521" t="str">
        <f>Intv_BA!$G$1181</f>
        <v>Chemo</v>
      </c>
      <c r="J1474" s="8">
        <f t="shared" ca="1" si="138"/>
        <v>13</v>
      </c>
      <c r="K1474" s="8">
        <f t="shared" ca="1" si="138"/>
        <v>13</v>
      </c>
      <c r="L1474" s="8">
        <f t="shared" ca="1" si="138"/>
        <v>13</v>
      </c>
      <c r="M1474" s="8">
        <f t="shared" ca="1" si="138"/>
        <v>13</v>
      </c>
      <c r="N1474" s="8">
        <f t="shared" ca="1" si="138"/>
        <v>13</v>
      </c>
      <c r="O1474" s="8">
        <f t="shared" ca="1" si="138"/>
        <v>13</v>
      </c>
    </row>
    <row r="1475" spans="4:15" s="327" customFormat="1" outlineLevel="2" x14ac:dyDescent="0.2">
      <c r="D1475" s="521" t="str">
        <f>Intv_Ann_TA!D777</f>
        <v>North-Western</v>
      </c>
      <c r="H1475" s="521" t="str">
        <f>Intv_BA!$G$1181</f>
        <v>Chemo</v>
      </c>
      <c r="J1475" s="8">
        <f t="shared" ca="1" si="138"/>
        <v>15</v>
      </c>
      <c r="K1475" s="8">
        <f t="shared" ca="1" si="138"/>
        <v>15</v>
      </c>
      <c r="L1475" s="8">
        <f t="shared" ca="1" si="138"/>
        <v>15</v>
      </c>
      <c r="M1475" s="8">
        <f t="shared" ca="1" si="138"/>
        <v>15</v>
      </c>
      <c r="N1475" s="8">
        <f t="shared" ca="1" si="138"/>
        <v>15</v>
      </c>
      <c r="O1475" s="8">
        <f t="shared" ca="1" si="138"/>
        <v>15</v>
      </c>
    </row>
    <row r="1476" spans="4:15" s="327" customFormat="1" outlineLevel="2" x14ac:dyDescent="0.2">
      <c r="D1476" s="521" t="str">
        <f>Intv_Ann_TA!D778</f>
        <v>Southern</v>
      </c>
      <c r="H1476" s="521" t="str">
        <f>Intv_BA!$G$1181</f>
        <v>Chemo</v>
      </c>
      <c r="J1476" s="8">
        <f t="shared" ca="1" si="138"/>
        <v>36</v>
      </c>
      <c r="K1476" s="8">
        <f t="shared" ca="1" si="138"/>
        <v>36</v>
      </c>
      <c r="L1476" s="8">
        <f t="shared" ca="1" si="138"/>
        <v>36</v>
      </c>
      <c r="M1476" s="8">
        <f t="shared" ca="1" si="138"/>
        <v>36</v>
      </c>
      <c r="N1476" s="8">
        <f t="shared" ca="1" si="138"/>
        <v>36</v>
      </c>
      <c r="O1476" s="8">
        <f t="shared" ca="1" si="138"/>
        <v>36</v>
      </c>
    </row>
    <row r="1477" spans="4:15" s="327" customFormat="1" outlineLevel="2" x14ac:dyDescent="0.2">
      <c r="D1477" s="521" t="str">
        <f>Intv_Ann_TA!D779</f>
        <v>Western</v>
      </c>
      <c r="H1477" s="521" t="str">
        <f>Intv_BA!$G$1181</f>
        <v>Chemo</v>
      </c>
      <c r="J1477" s="9">
        <f t="shared" ca="1" si="138"/>
        <v>36</v>
      </c>
      <c r="K1477" s="9">
        <f t="shared" ca="1" si="138"/>
        <v>36</v>
      </c>
      <c r="L1477" s="9">
        <f t="shared" ca="1" si="138"/>
        <v>36</v>
      </c>
      <c r="M1477" s="9">
        <f t="shared" ca="1" si="138"/>
        <v>36</v>
      </c>
      <c r="N1477" s="9">
        <f t="shared" ca="1" si="138"/>
        <v>36</v>
      </c>
      <c r="O1477" s="9">
        <f t="shared" ca="1" si="138"/>
        <v>36</v>
      </c>
    </row>
    <row r="1478" spans="4:15" s="327" customFormat="1" x14ac:dyDescent="0.2">
      <c r="D1478" s="520" t="str">
        <f>"Total "&amp;D1467</f>
        <v>Total Population Seeking Service (Cumulative)</v>
      </c>
      <c r="H1478" s="521" t="str">
        <f>Intv_BA!$G$1181</f>
        <v>Chemo</v>
      </c>
      <c r="J1478" s="5">
        <f t="shared" ref="J1478:O1478" ca="1" si="139">SUM(J1468:J1477)</f>
        <v>378</v>
      </c>
      <c r="K1478" s="5">
        <f t="shared" ca="1" si="139"/>
        <v>378</v>
      </c>
      <c r="L1478" s="5">
        <f t="shared" ca="1" si="139"/>
        <v>378</v>
      </c>
      <c r="M1478" s="5">
        <f t="shared" ca="1" si="139"/>
        <v>378</v>
      </c>
      <c r="N1478" s="5">
        <f t="shared" ca="1" si="139"/>
        <v>378</v>
      </c>
      <c r="O1478" s="5">
        <f t="shared" ca="1" si="139"/>
        <v>378</v>
      </c>
    </row>
    <row r="1479" spans="4:15" s="327" customFormat="1" x14ac:dyDescent="0.2"/>
    <row r="1480" spans="4:15" s="327" customFormat="1" outlineLevel="2" x14ac:dyDescent="0.2"/>
    <row r="1481" spans="4:15" s="327" customFormat="1" ht="15" outlineLevel="2" x14ac:dyDescent="0.2">
      <c r="D1481" s="519" t="s">
        <v>185</v>
      </c>
    </row>
    <row r="1482" spans="4:15" s="327" customFormat="1" outlineLevel="2" x14ac:dyDescent="0.2">
      <c r="D1482" s="521" t="str">
        <f t="shared" ref="D1482:D1491" si="140">D1441</f>
        <v>Central</v>
      </c>
      <c r="H1482" s="521" t="str">
        <f>Intv_BA!$G$1181</f>
        <v>Chemo</v>
      </c>
      <c r="J1482" s="8">
        <f t="shared" ref="J1482:O1491" ca="1" si="141">MAX(J1441-J1468,0)</f>
        <v>0</v>
      </c>
      <c r="K1482" s="8">
        <f t="shared" ca="1" si="141"/>
        <v>0</v>
      </c>
      <c r="L1482" s="8">
        <f t="shared" ca="1" si="141"/>
        <v>0</v>
      </c>
      <c r="M1482" s="8">
        <f t="shared" ca="1" si="141"/>
        <v>0</v>
      </c>
      <c r="N1482" s="8">
        <f t="shared" ca="1" si="141"/>
        <v>0</v>
      </c>
      <c r="O1482" s="8">
        <f t="shared" ca="1" si="141"/>
        <v>0</v>
      </c>
    </row>
    <row r="1483" spans="4:15" s="327" customFormat="1" outlineLevel="2" x14ac:dyDescent="0.2">
      <c r="D1483" s="521" t="str">
        <f t="shared" si="140"/>
        <v>Copperbelt</v>
      </c>
      <c r="H1483" s="521" t="str">
        <f>Intv_BA!$G$1181</f>
        <v>Chemo</v>
      </c>
      <c r="J1483" s="8">
        <f t="shared" ca="1" si="141"/>
        <v>0</v>
      </c>
      <c r="K1483" s="8">
        <f t="shared" ca="1" si="141"/>
        <v>0</v>
      </c>
      <c r="L1483" s="8">
        <f t="shared" ca="1" si="141"/>
        <v>0</v>
      </c>
      <c r="M1483" s="8">
        <f t="shared" ca="1" si="141"/>
        <v>0</v>
      </c>
      <c r="N1483" s="8">
        <f t="shared" ca="1" si="141"/>
        <v>2604</v>
      </c>
      <c r="O1483" s="8">
        <f t="shared" ca="1" si="141"/>
        <v>2604</v>
      </c>
    </row>
    <row r="1484" spans="4:15" s="327" customFormat="1" outlineLevel="2" x14ac:dyDescent="0.2">
      <c r="D1484" s="521" t="str">
        <f t="shared" si="140"/>
        <v>Eastern</v>
      </c>
      <c r="H1484" s="521" t="str">
        <f>Intv_BA!$G$1181</f>
        <v>Chemo</v>
      </c>
      <c r="J1484" s="8">
        <f t="shared" ca="1" si="141"/>
        <v>0</v>
      </c>
      <c r="K1484" s="8">
        <f t="shared" ca="1" si="141"/>
        <v>0</v>
      </c>
      <c r="L1484" s="8">
        <f t="shared" ca="1" si="141"/>
        <v>0</v>
      </c>
      <c r="M1484" s="8">
        <f t="shared" ca="1" si="141"/>
        <v>0</v>
      </c>
      <c r="N1484" s="8">
        <f t="shared" ca="1" si="141"/>
        <v>0</v>
      </c>
      <c r="O1484" s="8">
        <f t="shared" ca="1" si="141"/>
        <v>0</v>
      </c>
    </row>
    <row r="1485" spans="4:15" s="327" customFormat="1" outlineLevel="2" x14ac:dyDescent="0.2">
      <c r="D1485" s="521" t="str">
        <f t="shared" si="140"/>
        <v>Luapula</v>
      </c>
      <c r="H1485" s="521" t="str">
        <f>Intv_BA!$G$1181</f>
        <v>Chemo</v>
      </c>
      <c r="J1485" s="8">
        <f t="shared" ca="1" si="141"/>
        <v>0</v>
      </c>
      <c r="K1485" s="8">
        <f t="shared" ca="1" si="141"/>
        <v>0</v>
      </c>
      <c r="L1485" s="8">
        <f t="shared" ca="1" si="141"/>
        <v>0</v>
      </c>
      <c r="M1485" s="8">
        <f t="shared" ca="1" si="141"/>
        <v>0</v>
      </c>
      <c r="N1485" s="8">
        <f t="shared" ca="1" si="141"/>
        <v>0</v>
      </c>
      <c r="O1485" s="8">
        <f t="shared" ca="1" si="141"/>
        <v>0</v>
      </c>
    </row>
    <row r="1486" spans="4:15" s="327" customFormat="1" outlineLevel="2" x14ac:dyDescent="0.2">
      <c r="D1486" s="521" t="str">
        <f t="shared" si="140"/>
        <v>Lusaka</v>
      </c>
      <c r="H1486" s="521" t="str">
        <f>Intv_BA!$G$1181</f>
        <v>Chemo</v>
      </c>
      <c r="J1486" s="8">
        <f t="shared" ca="1" si="141"/>
        <v>2509</v>
      </c>
      <c r="K1486" s="8">
        <f t="shared" ca="1" si="141"/>
        <v>2509</v>
      </c>
      <c r="L1486" s="8">
        <f t="shared" ca="1" si="141"/>
        <v>2509</v>
      </c>
      <c r="M1486" s="8">
        <f t="shared" ca="1" si="141"/>
        <v>2509</v>
      </c>
      <c r="N1486" s="8">
        <f t="shared" ca="1" si="141"/>
        <v>2509</v>
      </c>
      <c r="O1486" s="8">
        <f t="shared" ca="1" si="141"/>
        <v>2509</v>
      </c>
    </row>
    <row r="1487" spans="4:15" s="327" customFormat="1" outlineLevel="2" x14ac:dyDescent="0.2">
      <c r="D1487" s="521" t="str">
        <f t="shared" si="140"/>
        <v>Muchinga</v>
      </c>
      <c r="H1487" s="521" t="str">
        <f>Intv_BA!$G$1181</f>
        <v>Chemo</v>
      </c>
      <c r="J1487" s="8">
        <f t="shared" ca="1" si="141"/>
        <v>0</v>
      </c>
      <c r="K1487" s="8">
        <f t="shared" ca="1" si="141"/>
        <v>0</v>
      </c>
      <c r="L1487" s="8">
        <f t="shared" ca="1" si="141"/>
        <v>0</v>
      </c>
      <c r="M1487" s="8">
        <f t="shared" ca="1" si="141"/>
        <v>0</v>
      </c>
      <c r="N1487" s="8">
        <f t="shared" ca="1" si="141"/>
        <v>0</v>
      </c>
      <c r="O1487" s="8">
        <f t="shared" ca="1" si="141"/>
        <v>0</v>
      </c>
    </row>
    <row r="1488" spans="4:15" s="327" customFormat="1" outlineLevel="2" x14ac:dyDescent="0.2">
      <c r="D1488" s="521" t="str">
        <f t="shared" si="140"/>
        <v>Northern</v>
      </c>
      <c r="H1488" s="521" t="str">
        <f>Intv_BA!$G$1181</f>
        <v>Chemo</v>
      </c>
      <c r="J1488" s="8">
        <f t="shared" ca="1" si="141"/>
        <v>0</v>
      </c>
      <c r="K1488" s="8">
        <f t="shared" ca="1" si="141"/>
        <v>0</v>
      </c>
      <c r="L1488" s="8">
        <f t="shared" ca="1" si="141"/>
        <v>0</v>
      </c>
      <c r="M1488" s="8">
        <f t="shared" ca="1" si="141"/>
        <v>0</v>
      </c>
      <c r="N1488" s="8">
        <f t="shared" ca="1" si="141"/>
        <v>0</v>
      </c>
      <c r="O1488" s="8">
        <f t="shared" ca="1" si="141"/>
        <v>0</v>
      </c>
    </row>
    <row r="1489" spans="4:15" s="327" customFormat="1" outlineLevel="2" x14ac:dyDescent="0.2">
      <c r="D1489" s="521" t="str">
        <f t="shared" si="140"/>
        <v>North-Western</v>
      </c>
      <c r="H1489" s="521" t="str">
        <f>Intv_BA!$G$1181</f>
        <v>Chemo</v>
      </c>
      <c r="J1489" s="8">
        <f t="shared" ca="1" si="141"/>
        <v>0</v>
      </c>
      <c r="K1489" s="8">
        <f t="shared" ca="1" si="141"/>
        <v>0</v>
      </c>
      <c r="L1489" s="8">
        <f t="shared" ca="1" si="141"/>
        <v>0</v>
      </c>
      <c r="M1489" s="8">
        <f t="shared" ca="1" si="141"/>
        <v>0</v>
      </c>
      <c r="N1489" s="8">
        <f t="shared" ca="1" si="141"/>
        <v>0</v>
      </c>
      <c r="O1489" s="8">
        <f t="shared" ca="1" si="141"/>
        <v>0</v>
      </c>
    </row>
    <row r="1490" spans="4:15" s="327" customFormat="1" outlineLevel="2" x14ac:dyDescent="0.2">
      <c r="D1490" s="521" t="str">
        <f t="shared" si="140"/>
        <v>Southern</v>
      </c>
      <c r="H1490" s="521" t="str">
        <f>Intv_BA!$G$1181</f>
        <v>Chemo</v>
      </c>
      <c r="J1490" s="8">
        <f t="shared" ca="1" si="141"/>
        <v>0</v>
      </c>
      <c r="K1490" s="8">
        <f t="shared" ca="1" si="141"/>
        <v>0</v>
      </c>
      <c r="L1490" s="8">
        <f t="shared" ca="1" si="141"/>
        <v>0</v>
      </c>
      <c r="M1490" s="8">
        <f t="shared" ca="1" si="141"/>
        <v>0</v>
      </c>
      <c r="N1490" s="8">
        <f t="shared" ca="1" si="141"/>
        <v>0</v>
      </c>
      <c r="O1490" s="8">
        <f t="shared" ca="1" si="141"/>
        <v>0</v>
      </c>
    </row>
    <row r="1491" spans="4:15" s="327" customFormat="1" outlineLevel="2" x14ac:dyDescent="0.2">
      <c r="D1491" s="521" t="str">
        <f t="shared" si="140"/>
        <v>Western</v>
      </c>
      <c r="H1491" s="521" t="str">
        <f>Intv_BA!$G$1181</f>
        <v>Chemo</v>
      </c>
      <c r="J1491" s="9">
        <f t="shared" ca="1" si="141"/>
        <v>0</v>
      </c>
      <c r="K1491" s="9">
        <f t="shared" ca="1" si="141"/>
        <v>0</v>
      </c>
      <c r="L1491" s="9">
        <f t="shared" ca="1" si="141"/>
        <v>0</v>
      </c>
      <c r="M1491" s="9">
        <f t="shared" ca="1" si="141"/>
        <v>0</v>
      </c>
      <c r="N1491" s="9">
        <f t="shared" ca="1" si="141"/>
        <v>2604</v>
      </c>
      <c r="O1491" s="9">
        <f t="shared" ca="1" si="141"/>
        <v>2604</v>
      </c>
    </row>
    <row r="1492" spans="4:15" s="327" customFormat="1" outlineLevel="2" x14ac:dyDescent="0.2">
      <c r="D1492" s="520" t="str">
        <f>"Total "&amp;D1481</f>
        <v>Total Excess Capacity</v>
      </c>
      <c r="H1492" s="521" t="str">
        <f>Intv_BA!$G$1181</f>
        <v>Chemo</v>
      </c>
      <c r="J1492" s="5">
        <f t="shared" ref="J1492:O1492" ca="1" si="142">SUM(J1482:J1491)</f>
        <v>2509</v>
      </c>
      <c r="K1492" s="5">
        <f t="shared" ca="1" si="142"/>
        <v>2509</v>
      </c>
      <c r="L1492" s="5">
        <f t="shared" ca="1" si="142"/>
        <v>2509</v>
      </c>
      <c r="M1492" s="5">
        <f t="shared" ca="1" si="142"/>
        <v>2509</v>
      </c>
      <c r="N1492" s="5">
        <f t="shared" ca="1" si="142"/>
        <v>7717</v>
      </c>
      <c r="O1492" s="5">
        <f t="shared" ca="1" si="142"/>
        <v>7717</v>
      </c>
    </row>
    <row r="1493" spans="4:15" s="327" customFormat="1" outlineLevel="2" x14ac:dyDescent="0.2"/>
    <row r="1494" spans="4:15" s="327" customFormat="1" ht="15" outlineLevel="2" x14ac:dyDescent="0.2">
      <c r="D1494" s="519" t="s">
        <v>384</v>
      </c>
    </row>
    <row r="1495" spans="4:15" s="327" customFormat="1" outlineLevel="2" x14ac:dyDescent="0.2">
      <c r="D1495" s="521" t="str">
        <f t="shared" ref="D1495:D1504" si="143">D1441</f>
        <v>Central</v>
      </c>
      <c r="H1495" s="521" t="str">
        <f>Intv_BA!$G$1181</f>
        <v>Chemo</v>
      </c>
      <c r="J1495" s="8">
        <f ca="1">ROUND(IF(Intv_Ann_TA!$H$767,IF(J1468&lt;=J1441,J1468,J1468-MAX((J$1478-J$1451),0)*IFERROR((J1468-J1441)/SUMPRODUCT((J$1468:J$1477&gt;J$1441:J$1450)*(J$1468:J$1477-J$1441:J$1450)),0)),J1508),0)</f>
        <v>26</v>
      </c>
      <c r="K1495" s="8">
        <f ca="1">ROUND(IF(Intv_Ann_TA!$H$767,IF(K1468&lt;=K1441,K1468,K1468-MAX((K$1478-K$1451),0)*IFERROR((K1468-K1441)/SUMPRODUCT((K$1468:K$1477&gt;K$1441:K$1450)*(K$1468:K$1477-K$1441:K$1450)),0)),K1508),0)</f>
        <v>26</v>
      </c>
      <c r="L1495" s="8">
        <f ca="1">ROUND(IF(Intv_Ann_TA!$H$767,IF(L1468&lt;=L1441,L1468,L1468-MAX((L$1478-L$1451),0)*IFERROR((L1468-L1441)/SUMPRODUCT((L$1468:L$1477&gt;L$1441:L$1450)*(L$1468:L$1477-L$1441:L$1450)),0)),L1508),0)</f>
        <v>26</v>
      </c>
      <c r="M1495" s="8">
        <f ca="1">ROUND(IF(Intv_Ann_TA!$H$767,IF(M1468&lt;=M1441,M1468,M1468-MAX((M$1478-M$1451),0)*IFERROR((M1468-M1441)/SUMPRODUCT((M$1468:M$1477&gt;M$1441:M$1450)*(M$1468:M$1477-M$1441:M$1450)),0)),M1508),0)</f>
        <v>26</v>
      </c>
      <c r="N1495" s="8">
        <f ca="1">ROUND(IF(Intv_Ann_TA!$H$767,IF(N1468&lt;=N1441,N1468,N1468-MAX((N$1478-N$1451),0)*IFERROR((N1468-N1441)/SUMPRODUCT((N$1468:N$1477&gt;N$1441:N$1450)*(N$1468:N$1477-N$1441:N$1450)),0)),N1508),0)</f>
        <v>26</v>
      </c>
      <c r="O1495" s="8">
        <f ca="1">ROUND(IF(Intv_Ann_TA!$H$767,IF(O1468&lt;=O1441,O1468,O1468-MAX((O$1478-O$1451),0)*IFERROR((O1468-O1441)/SUMPRODUCT((O$1468:O$1477&gt;O$1441:O$1450)*(O$1468:O$1477-O$1441:O$1450)),0)),O1508),0)</f>
        <v>26</v>
      </c>
    </row>
    <row r="1496" spans="4:15" s="327" customFormat="1" outlineLevel="2" x14ac:dyDescent="0.2">
      <c r="D1496" s="521" t="str">
        <f t="shared" si="143"/>
        <v>Copperbelt</v>
      </c>
      <c r="H1496" s="521" t="str">
        <f>Intv_BA!$G$1181</f>
        <v>Chemo</v>
      </c>
      <c r="J1496" s="8">
        <f ca="1">ROUND(IF(Intv_Ann_TA!$H$767,IF(J1469&lt;=J1442,J1469,J1469-MAX((J$1478-J$1451),0)*IFERROR((J1469-J1442)/SUMPRODUCT((J$1468:J$1477&gt;J$1441:J$1450)*(J$1468:J$1477-J$1441:J$1450)),0)),J1509),0)</f>
        <v>36</v>
      </c>
      <c r="K1496" s="8">
        <f ca="1">ROUND(IF(Intv_Ann_TA!$H$767,IF(K1469&lt;=K1442,K1469,K1469-MAX((K$1478-K$1451),0)*IFERROR((K1469-K1442)/SUMPRODUCT((K$1468:K$1477&gt;K$1441:K$1450)*(K$1468:K$1477-K$1441:K$1450)),0)),K1509),0)</f>
        <v>36</v>
      </c>
      <c r="L1496" s="8">
        <f ca="1">ROUND(IF(Intv_Ann_TA!$H$767,IF(L1469&lt;=L1442,L1469,L1469-MAX((L$1478-L$1451),0)*IFERROR((L1469-L1442)/SUMPRODUCT((L$1468:L$1477&gt;L$1441:L$1450)*(L$1468:L$1477-L$1441:L$1450)),0)),L1509),0)</f>
        <v>36</v>
      </c>
      <c r="M1496" s="8">
        <f ca="1">ROUND(IF(Intv_Ann_TA!$H$767,IF(M1469&lt;=M1442,M1469,M1469-MAX((M$1478-M$1451),0)*IFERROR((M1469-M1442)/SUMPRODUCT((M$1468:M$1477&gt;M$1441:M$1450)*(M$1468:M$1477-M$1441:M$1450)),0)),M1509),0)</f>
        <v>36</v>
      </c>
      <c r="N1496" s="8">
        <f ca="1">ROUND(IF(Intv_Ann_TA!$H$767,IF(N1469&lt;=N1442,N1469,N1469-MAX((N$1478-N$1451),0)*IFERROR((N1469-N1442)/SUMPRODUCT((N$1468:N$1477&gt;N$1441:N$1450)*(N$1468:N$1477-N$1441:N$1450)),0)),N1509),0)</f>
        <v>36</v>
      </c>
      <c r="O1496" s="8">
        <f ca="1">ROUND(IF(Intv_Ann_TA!$H$767,IF(O1469&lt;=O1442,O1469,O1469-MAX((O$1478-O$1451),0)*IFERROR((O1469-O1442)/SUMPRODUCT((O$1468:O$1477&gt;O$1441:O$1450)*(O$1468:O$1477-O$1441:O$1450)),0)),O1509),0)</f>
        <v>36</v>
      </c>
    </row>
    <row r="1497" spans="4:15" s="327" customFormat="1" outlineLevel="2" x14ac:dyDescent="0.2">
      <c r="D1497" s="521" t="str">
        <f t="shared" si="143"/>
        <v>Eastern</v>
      </c>
      <c r="H1497" s="521" t="str">
        <f>Intv_BA!$G$1181</f>
        <v>Chemo</v>
      </c>
      <c r="J1497" s="8">
        <f ca="1">ROUND(IF(Intv_Ann_TA!$H$767,IF(J1470&lt;=J1443,J1470,J1470-MAX((J$1478-J$1451),0)*IFERROR((J1470-J1443)/SUMPRODUCT((J$1468:J$1477&gt;J$1441:J$1450)*(J$1468:J$1477-J$1441:J$1450)),0)),J1510),0)</f>
        <v>47</v>
      </c>
      <c r="K1497" s="8">
        <f ca="1">ROUND(IF(Intv_Ann_TA!$H$767,IF(K1470&lt;=K1443,K1470,K1470-MAX((K$1478-K$1451),0)*IFERROR((K1470-K1443)/SUMPRODUCT((K$1468:K$1477&gt;K$1441:K$1450)*(K$1468:K$1477-K$1441:K$1450)),0)),K1510),0)</f>
        <v>47</v>
      </c>
      <c r="L1497" s="8">
        <f ca="1">ROUND(IF(Intv_Ann_TA!$H$767,IF(L1470&lt;=L1443,L1470,L1470-MAX((L$1478-L$1451),0)*IFERROR((L1470-L1443)/SUMPRODUCT((L$1468:L$1477&gt;L$1441:L$1450)*(L$1468:L$1477-L$1441:L$1450)),0)),L1510),0)</f>
        <v>47</v>
      </c>
      <c r="M1497" s="8">
        <f ca="1">ROUND(IF(Intv_Ann_TA!$H$767,IF(M1470&lt;=M1443,M1470,M1470-MAX((M$1478-M$1451),0)*IFERROR((M1470-M1443)/SUMPRODUCT((M$1468:M$1477&gt;M$1441:M$1450)*(M$1468:M$1477-M$1441:M$1450)),0)),M1510),0)</f>
        <v>47</v>
      </c>
      <c r="N1497" s="8">
        <f ca="1">ROUND(IF(Intv_Ann_TA!$H$767,IF(N1470&lt;=N1443,N1470,N1470-MAX((N$1478-N$1451),0)*IFERROR((N1470-N1443)/SUMPRODUCT((N$1468:N$1477&gt;N$1441:N$1450)*(N$1468:N$1477-N$1441:N$1450)),0)),N1510),0)</f>
        <v>47</v>
      </c>
      <c r="O1497" s="8">
        <f ca="1">ROUND(IF(Intv_Ann_TA!$H$767,IF(O1470&lt;=O1443,O1470,O1470-MAX((O$1478-O$1451),0)*IFERROR((O1470-O1443)/SUMPRODUCT((O$1468:O$1477&gt;O$1441:O$1450)*(O$1468:O$1477-O$1441:O$1450)),0)),O1510),0)</f>
        <v>47</v>
      </c>
    </row>
    <row r="1498" spans="4:15" s="327" customFormat="1" outlineLevel="2" x14ac:dyDescent="0.2">
      <c r="D1498" s="521" t="str">
        <f t="shared" si="143"/>
        <v>Luapula</v>
      </c>
      <c r="H1498" s="521" t="str">
        <f>Intv_BA!$G$1181</f>
        <v>Chemo</v>
      </c>
      <c r="J1498" s="8">
        <f ca="1">ROUND(IF(Intv_Ann_TA!$H$767,IF(J1471&lt;=J1444,J1471,J1471-MAX((J$1478-J$1451),0)*IFERROR((J1471-J1444)/SUMPRODUCT((J$1468:J$1477&gt;J$1441:J$1450)*(J$1468:J$1477-J$1441:J$1450)),0)),J1511),0)</f>
        <v>36</v>
      </c>
      <c r="K1498" s="8">
        <f ca="1">ROUND(IF(Intv_Ann_TA!$H$767,IF(K1471&lt;=K1444,K1471,K1471-MAX((K$1478-K$1451),0)*IFERROR((K1471-K1444)/SUMPRODUCT((K$1468:K$1477&gt;K$1441:K$1450)*(K$1468:K$1477-K$1441:K$1450)),0)),K1511),0)</f>
        <v>36</v>
      </c>
      <c r="L1498" s="8">
        <f ca="1">ROUND(IF(Intv_Ann_TA!$H$767,IF(L1471&lt;=L1444,L1471,L1471-MAX((L$1478-L$1451),0)*IFERROR((L1471-L1444)/SUMPRODUCT((L$1468:L$1477&gt;L$1441:L$1450)*(L$1468:L$1477-L$1441:L$1450)),0)),L1511),0)</f>
        <v>36</v>
      </c>
      <c r="M1498" s="8">
        <f ca="1">ROUND(IF(Intv_Ann_TA!$H$767,IF(M1471&lt;=M1444,M1471,M1471-MAX((M$1478-M$1451),0)*IFERROR((M1471-M1444)/SUMPRODUCT((M$1468:M$1477&gt;M$1441:M$1450)*(M$1468:M$1477-M$1441:M$1450)),0)),M1511),0)</f>
        <v>36</v>
      </c>
      <c r="N1498" s="8">
        <f ca="1">ROUND(IF(Intv_Ann_TA!$H$767,IF(N1471&lt;=N1444,N1471,N1471-MAX((N$1478-N$1451),0)*IFERROR((N1471-N1444)/SUMPRODUCT((N$1468:N$1477&gt;N$1441:N$1450)*(N$1468:N$1477-N$1441:N$1450)),0)),N1511),0)</f>
        <v>36</v>
      </c>
      <c r="O1498" s="8">
        <f ca="1">ROUND(IF(Intv_Ann_TA!$H$767,IF(O1471&lt;=O1444,O1471,O1471-MAX((O$1478-O$1451),0)*IFERROR((O1471-O1444)/SUMPRODUCT((O$1468:O$1477&gt;O$1441:O$1450)*(O$1468:O$1477-O$1441:O$1450)),0)),O1511),0)</f>
        <v>36</v>
      </c>
    </row>
    <row r="1499" spans="4:15" s="327" customFormat="1" outlineLevel="2" x14ac:dyDescent="0.2">
      <c r="D1499" s="521" t="str">
        <f t="shared" si="143"/>
        <v>Lusaka</v>
      </c>
      <c r="H1499" s="521" t="str">
        <f>Intv_BA!$G$1181</f>
        <v>Chemo</v>
      </c>
      <c r="J1499" s="8">
        <f ca="1">ROUND(IF(Intv_Ann_TA!$H$767,IF(J1472&lt;=J1445,J1472,J1472-MAX((J$1478-J$1451),0)*IFERROR((J1472-J1445)/SUMPRODUCT((J$1468:J$1477&gt;J$1441:J$1450)*(J$1468:J$1477-J$1441:J$1450)),0)),J1512),0)</f>
        <v>131</v>
      </c>
      <c r="K1499" s="8">
        <f ca="1">ROUND(IF(Intv_Ann_TA!$H$767,IF(K1472&lt;=K1445,K1472,K1472-MAX((K$1478-K$1451),0)*IFERROR((K1472-K1445)/SUMPRODUCT((K$1468:K$1477&gt;K$1441:K$1450)*(K$1468:K$1477-K$1441:K$1450)),0)),K1512),0)</f>
        <v>131</v>
      </c>
      <c r="L1499" s="8">
        <f ca="1">ROUND(IF(Intv_Ann_TA!$H$767,IF(L1472&lt;=L1445,L1472,L1472-MAX((L$1478-L$1451),0)*IFERROR((L1472-L1445)/SUMPRODUCT((L$1468:L$1477&gt;L$1441:L$1450)*(L$1468:L$1477-L$1441:L$1450)),0)),L1512),0)</f>
        <v>131</v>
      </c>
      <c r="M1499" s="8">
        <f ca="1">ROUND(IF(Intv_Ann_TA!$H$767,IF(M1472&lt;=M1445,M1472,M1472-MAX((M$1478-M$1451),0)*IFERROR((M1472-M1445)/SUMPRODUCT((M$1468:M$1477&gt;M$1441:M$1450)*(M$1468:M$1477-M$1441:M$1450)),0)),M1512),0)</f>
        <v>131</v>
      </c>
      <c r="N1499" s="8">
        <f ca="1">ROUND(IF(Intv_Ann_TA!$H$767,IF(N1472&lt;=N1445,N1472,N1472-MAX((N$1478-N$1451),0)*IFERROR((N1472-N1445)/SUMPRODUCT((N$1468:N$1477&gt;N$1441:N$1450)*(N$1468:N$1477-N$1441:N$1450)),0)),N1512),0)</f>
        <v>131</v>
      </c>
      <c r="O1499" s="8">
        <f ca="1">ROUND(IF(Intv_Ann_TA!$H$767,IF(O1472&lt;=O1445,O1472,O1472-MAX((O$1478-O$1451),0)*IFERROR((O1472-O1445)/SUMPRODUCT((O$1468:O$1477&gt;O$1441:O$1450)*(O$1468:O$1477-O$1441:O$1450)),0)),O1512),0)</f>
        <v>131</v>
      </c>
    </row>
    <row r="1500" spans="4:15" s="327" customFormat="1" outlineLevel="2" x14ac:dyDescent="0.2">
      <c r="D1500" s="521" t="str">
        <f t="shared" si="143"/>
        <v>Muchinga</v>
      </c>
      <c r="H1500" s="521" t="str">
        <f>Intv_BA!$G$1181</f>
        <v>Chemo</v>
      </c>
      <c r="J1500" s="8">
        <f ca="1">ROUND(IF(Intv_Ann_TA!$H$767,IF(J1473&lt;=J1446,J1473,J1473-MAX((J$1478-J$1451),0)*IFERROR((J1473-J1446)/SUMPRODUCT((J$1468:J$1477&gt;J$1441:J$1450)*(J$1468:J$1477-J$1441:J$1450)),0)),J1513),0)</f>
        <v>2</v>
      </c>
      <c r="K1500" s="8">
        <f ca="1">ROUND(IF(Intv_Ann_TA!$H$767,IF(K1473&lt;=K1446,K1473,K1473-MAX((K$1478-K$1451),0)*IFERROR((K1473-K1446)/SUMPRODUCT((K$1468:K$1477&gt;K$1441:K$1450)*(K$1468:K$1477-K$1441:K$1450)),0)),K1513),0)</f>
        <v>2</v>
      </c>
      <c r="L1500" s="8">
        <f ca="1">ROUND(IF(Intv_Ann_TA!$H$767,IF(L1473&lt;=L1446,L1473,L1473-MAX((L$1478-L$1451),0)*IFERROR((L1473-L1446)/SUMPRODUCT((L$1468:L$1477&gt;L$1441:L$1450)*(L$1468:L$1477-L$1441:L$1450)),0)),L1513),0)</f>
        <v>2</v>
      </c>
      <c r="M1500" s="8">
        <f ca="1">ROUND(IF(Intv_Ann_TA!$H$767,IF(M1473&lt;=M1446,M1473,M1473-MAX((M$1478-M$1451),0)*IFERROR((M1473-M1446)/SUMPRODUCT((M$1468:M$1477&gt;M$1441:M$1450)*(M$1468:M$1477-M$1441:M$1450)),0)),M1513),0)</f>
        <v>2</v>
      </c>
      <c r="N1500" s="8">
        <f ca="1">ROUND(IF(Intv_Ann_TA!$H$767,IF(N1473&lt;=N1446,N1473,N1473-MAX((N$1478-N$1451),0)*IFERROR((N1473-N1446)/SUMPRODUCT((N$1468:N$1477&gt;N$1441:N$1450)*(N$1468:N$1477-N$1441:N$1450)),0)),N1513),0)</f>
        <v>2</v>
      </c>
      <c r="O1500" s="8">
        <f ca="1">ROUND(IF(Intv_Ann_TA!$H$767,IF(O1473&lt;=O1446,O1473,O1473-MAX((O$1478-O$1451),0)*IFERROR((O1473-O1446)/SUMPRODUCT((O$1468:O$1477&gt;O$1441:O$1450)*(O$1468:O$1477-O$1441:O$1450)),0)),O1513),0)</f>
        <v>2</v>
      </c>
    </row>
    <row r="1501" spans="4:15" s="327" customFormat="1" outlineLevel="2" x14ac:dyDescent="0.2">
      <c r="D1501" s="521" t="str">
        <f t="shared" si="143"/>
        <v>Northern</v>
      </c>
      <c r="H1501" s="521" t="str">
        <f>Intv_BA!$G$1181</f>
        <v>Chemo</v>
      </c>
      <c r="J1501" s="8">
        <f ca="1">ROUND(IF(Intv_Ann_TA!$H$767,IF(J1474&lt;=J1447,J1474,J1474-MAX((J$1478-J$1451),0)*IFERROR((J1474-J1447)/SUMPRODUCT((J$1468:J$1477&gt;J$1441:J$1450)*(J$1468:J$1477-J$1441:J$1450)),0)),J1514),0)</f>
        <v>13</v>
      </c>
      <c r="K1501" s="8">
        <f ca="1">ROUND(IF(Intv_Ann_TA!$H$767,IF(K1474&lt;=K1447,K1474,K1474-MAX((K$1478-K$1451),0)*IFERROR((K1474-K1447)/SUMPRODUCT((K$1468:K$1477&gt;K$1441:K$1450)*(K$1468:K$1477-K$1441:K$1450)),0)),K1514),0)</f>
        <v>13</v>
      </c>
      <c r="L1501" s="8">
        <f ca="1">ROUND(IF(Intv_Ann_TA!$H$767,IF(L1474&lt;=L1447,L1474,L1474-MAX((L$1478-L$1451),0)*IFERROR((L1474-L1447)/SUMPRODUCT((L$1468:L$1477&gt;L$1441:L$1450)*(L$1468:L$1477-L$1441:L$1450)),0)),L1514),0)</f>
        <v>13</v>
      </c>
      <c r="M1501" s="8">
        <f ca="1">ROUND(IF(Intv_Ann_TA!$H$767,IF(M1474&lt;=M1447,M1474,M1474-MAX((M$1478-M$1451),0)*IFERROR((M1474-M1447)/SUMPRODUCT((M$1468:M$1477&gt;M$1441:M$1450)*(M$1468:M$1477-M$1441:M$1450)),0)),M1514),0)</f>
        <v>13</v>
      </c>
      <c r="N1501" s="8">
        <f ca="1">ROUND(IF(Intv_Ann_TA!$H$767,IF(N1474&lt;=N1447,N1474,N1474-MAX((N$1478-N$1451),0)*IFERROR((N1474-N1447)/SUMPRODUCT((N$1468:N$1477&gt;N$1441:N$1450)*(N$1468:N$1477-N$1441:N$1450)),0)),N1514),0)</f>
        <v>13</v>
      </c>
      <c r="O1501" s="8">
        <f ca="1">ROUND(IF(Intv_Ann_TA!$H$767,IF(O1474&lt;=O1447,O1474,O1474-MAX((O$1478-O$1451),0)*IFERROR((O1474-O1447)/SUMPRODUCT((O$1468:O$1477&gt;O$1441:O$1450)*(O$1468:O$1477-O$1441:O$1450)),0)),O1514),0)</f>
        <v>13</v>
      </c>
    </row>
    <row r="1502" spans="4:15" s="327" customFormat="1" outlineLevel="2" x14ac:dyDescent="0.2">
      <c r="D1502" s="521" t="str">
        <f t="shared" si="143"/>
        <v>North-Western</v>
      </c>
      <c r="H1502" s="521" t="str">
        <f>Intv_BA!$G$1181</f>
        <v>Chemo</v>
      </c>
      <c r="J1502" s="8">
        <f ca="1">ROUND(IF(Intv_Ann_TA!$H$767,IF(J1475&lt;=J1448,J1475,J1475-MAX((J$1478-J$1451),0)*IFERROR((J1475-J1448)/SUMPRODUCT((J$1468:J$1477&gt;J$1441:J$1450)*(J$1468:J$1477-J$1441:J$1450)),0)),J1515),0)</f>
        <v>15</v>
      </c>
      <c r="K1502" s="8">
        <f ca="1">ROUND(IF(Intv_Ann_TA!$H$767,IF(K1475&lt;=K1448,K1475,K1475-MAX((K$1478-K$1451),0)*IFERROR((K1475-K1448)/SUMPRODUCT((K$1468:K$1477&gt;K$1441:K$1450)*(K$1468:K$1477-K$1441:K$1450)),0)),K1515),0)</f>
        <v>15</v>
      </c>
      <c r="L1502" s="8">
        <f ca="1">ROUND(IF(Intv_Ann_TA!$H$767,IF(L1475&lt;=L1448,L1475,L1475-MAX((L$1478-L$1451),0)*IFERROR((L1475-L1448)/SUMPRODUCT((L$1468:L$1477&gt;L$1441:L$1450)*(L$1468:L$1477-L$1441:L$1450)),0)),L1515),0)</f>
        <v>15</v>
      </c>
      <c r="M1502" s="8">
        <f ca="1">ROUND(IF(Intv_Ann_TA!$H$767,IF(M1475&lt;=M1448,M1475,M1475-MAX((M$1478-M$1451),0)*IFERROR((M1475-M1448)/SUMPRODUCT((M$1468:M$1477&gt;M$1441:M$1450)*(M$1468:M$1477-M$1441:M$1450)),0)),M1515),0)</f>
        <v>15</v>
      </c>
      <c r="N1502" s="8">
        <f ca="1">ROUND(IF(Intv_Ann_TA!$H$767,IF(N1475&lt;=N1448,N1475,N1475-MAX((N$1478-N$1451),0)*IFERROR((N1475-N1448)/SUMPRODUCT((N$1468:N$1477&gt;N$1441:N$1450)*(N$1468:N$1477-N$1441:N$1450)),0)),N1515),0)</f>
        <v>15</v>
      </c>
      <c r="O1502" s="8">
        <f ca="1">ROUND(IF(Intv_Ann_TA!$H$767,IF(O1475&lt;=O1448,O1475,O1475-MAX((O$1478-O$1451),0)*IFERROR((O1475-O1448)/SUMPRODUCT((O$1468:O$1477&gt;O$1441:O$1450)*(O$1468:O$1477-O$1441:O$1450)),0)),O1515),0)</f>
        <v>15</v>
      </c>
    </row>
    <row r="1503" spans="4:15" s="327" customFormat="1" outlineLevel="2" x14ac:dyDescent="0.2">
      <c r="D1503" s="521" t="str">
        <f t="shared" si="143"/>
        <v>Southern</v>
      </c>
      <c r="H1503" s="521" t="str">
        <f>Intv_BA!$G$1181</f>
        <v>Chemo</v>
      </c>
      <c r="J1503" s="8">
        <f ca="1">ROUND(IF(Intv_Ann_TA!$H$767,IF(J1476&lt;=J1449,J1476,J1476-MAX((J$1478-J$1451),0)*IFERROR((J1476-J1449)/SUMPRODUCT((J$1468:J$1477&gt;J$1441:J$1450)*(J$1468:J$1477-J$1441:J$1450)),0)),J1516),0)</f>
        <v>36</v>
      </c>
      <c r="K1503" s="8">
        <f ca="1">ROUND(IF(Intv_Ann_TA!$H$767,IF(K1476&lt;=K1449,K1476,K1476-MAX((K$1478-K$1451),0)*IFERROR((K1476-K1449)/SUMPRODUCT((K$1468:K$1477&gt;K$1441:K$1450)*(K$1468:K$1477-K$1441:K$1450)),0)),K1516),0)</f>
        <v>36</v>
      </c>
      <c r="L1503" s="8">
        <f ca="1">ROUND(IF(Intv_Ann_TA!$H$767,IF(L1476&lt;=L1449,L1476,L1476-MAX((L$1478-L$1451),0)*IFERROR((L1476-L1449)/SUMPRODUCT((L$1468:L$1477&gt;L$1441:L$1450)*(L$1468:L$1477-L$1441:L$1450)),0)),L1516),0)</f>
        <v>36</v>
      </c>
      <c r="M1503" s="8">
        <f ca="1">ROUND(IF(Intv_Ann_TA!$H$767,IF(M1476&lt;=M1449,M1476,M1476-MAX((M$1478-M$1451),0)*IFERROR((M1476-M1449)/SUMPRODUCT((M$1468:M$1477&gt;M$1441:M$1450)*(M$1468:M$1477-M$1441:M$1450)),0)),M1516),0)</f>
        <v>36</v>
      </c>
      <c r="N1503" s="8">
        <f ca="1">ROUND(IF(Intv_Ann_TA!$H$767,IF(N1476&lt;=N1449,N1476,N1476-MAX((N$1478-N$1451),0)*IFERROR((N1476-N1449)/SUMPRODUCT((N$1468:N$1477&gt;N$1441:N$1450)*(N$1468:N$1477-N$1441:N$1450)),0)),N1516),0)</f>
        <v>36</v>
      </c>
      <c r="O1503" s="8">
        <f ca="1">ROUND(IF(Intv_Ann_TA!$H$767,IF(O1476&lt;=O1449,O1476,O1476-MAX((O$1478-O$1451),0)*IFERROR((O1476-O1449)/SUMPRODUCT((O$1468:O$1477&gt;O$1441:O$1450)*(O$1468:O$1477-O$1441:O$1450)),0)),O1516),0)</f>
        <v>36</v>
      </c>
    </row>
    <row r="1504" spans="4:15" s="327" customFormat="1" outlineLevel="2" x14ac:dyDescent="0.2">
      <c r="D1504" s="521" t="str">
        <f t="shared" si="143"/>
        <v>Western</v>
      </c>
      <c r="H1504" s="521" t="str">
        <f>Intv_BA!$G$1181</f>
        <v>Chemo</v>
      </c>
      <c r="J1504" s="9">
        <f ca="1">ROUND(IF(Intv_Ann_TA!$H$767,IF(J1477&lt;=J1450,J1477,J1477-MAX((J$1478-J$1451),0)*IFERROR((J1477-J1450)/SUMPRODUCT((J$1468:J$1477&gt;J$1441:J$1450)*(J$1468:J$1477-J$1441:J$1450)),0)),J1517),0)</f>
        <v>36</v>
      </c>
      <c r="K1504" s="9">
        <f ca="1">ROUND(IF(Intv_Ann_TA!$H$767,IF(K1477&lt;=K1450,K1477,K1477-MAX((K$1478-K$1451),0)*IFERROR((K1477-K1450)/SUMPRODUCT((K$1468:K$1477&gt;K$1441:K$1450)*(K$1468:K$1477-K$1441:K$1450)),0)),K1517),0)</f>
        <v>36</v>
      </c>
      <c r="L1504" s="9">
        <f ca="1">ROUND(IF(Intv_Ann_TA!$H$767,IF(L1477&lt;=L1450,L1477,L1477-MAX((L$1478-L$1451),0)*IFERROR((L1477-L1450)/SUMPRODUCT((L$1468:L$1477&gt;L$1441:L$1450)*(L$1468:L$1477-L$1441:L$1450)),0)),L1517),0)</f>
        <v>36</v>
      </c>
      <c r="M1504" s="9">
        <f ca="1">ROUND(IF(Intv_Ann_TA!$H$767,IF(M1477&lt;=M1450,M1477,M1477-MAX((M$1478-M$1451),0)*IFERROR((M1477-M1450)/SUMPRODUCT((M$1468:M$1477&gt;M$1441:M$1450)*(M$1468:M$1477-M$1441:M$1450)),0)),M1517),0)</f>
        <v>36</v>
      </c>
      <c r="N1504" s="9">
        <f ca="1">ROUND(IF(Intv_Ann_TA!$H$767,IF(N1477&lt;=N1450,N1477,N1477-MAX((N$1478-N$1451),0)*IFERROR((N1477-N1450)/SUMPRODUCT((N$1468:N$1477&gt;N$1441:N$1450)*(N$1468:N$1477-N$1441:N$1450)),0)),N1517),0)</f>
        <v>36</v>
      </c>
      <c r="O1504" s="9">
        <f ca="1">ROUND(IF(Intv_Ann_TA!$H$767,IF(O1477&lt;=O1450,O1477,O1477-MAX((O$1478-O$1451),0)*IFERROR((O1477-O1450)/SUMPRODUCT((O$1468:O$1477&gt;O$1441:O$1450)*(O$1468:O$1477-O$1441:O$1450)),0)),O1517),0)</f>
        <v>36</v>
      </c>
    </row>
    <row r="1505" spans="3:15" s="327" customFormat="1" outlineLevel="2" x14ac:dyDescent="0.2">
      <c r="D1505" s="520" t="str">
        <f>"Total "&amp;D1494</f>
        <v>Total Procedures Performed (According to Home Region)</v>
      </c>
      <c r="H1505" s="521" t="str">
        <f>Intv_BA!$G$1181</f>
        <v>Chemo</v>
      </c>
      <c r="J1505" s="5">
        <f t="shared" ref="J1505:O1505" ca="1" si="144">SUM(J1495:J1504)</f>
        <v>378</v>
      </c>
      <c r="K1505" s="5">
        <f t="shared" ca="1" si="144"/>
        <v>378</v>
      </c>
      <c r="L1505" s="5">
        <f t="shared" ca="1" si="144"/>
        <v>378</v>
      </c>
      <c r="M1505" s="5">
        <f t="shared" ca="1" si="144"/>
        <v>378</v>
      </c>
      <c r="N1505" s="5">
        <f t="shared" ca="1" si="144"/>
        <v>378</v>
      </c>
      <c r="O1505" s="5">
        <f t="shared" ca="1" si="144"/>
        <v>378</v>
      </c>
    </row>
    <row r="1506" spans="3:15" s="327" customFormat="1" outlineLevel="2" x14ac:dyDescent="0.2"/>
    <row r="1507" spans="3:15" s="327" customFormat="1" ht="15" outlineLevel="2" x14ac:dyDescent="0.2">
      <c r="D1507" s="519" t="s">
        <v>104</v>
      </c>
    </row>
    <row r="1508" spans="3:15" s="327" customFormat="1" outlineLevel="2" x14ac:dyDescent="0.2">
      <c r="D1508" s="521" t="str">
        <f>Intv_Ann_TA!D770</f>
        <v>Central</v>
      </c>
      <c r="J1508" s="8">
        <f ca="1">ROUND(MIN(J1441,IF(Intv_Ann_TA!$H$767,MAX(0,J1468+IFERROR((SUMPRODUCT((J$1441:J$1450=0)*J$1468:J$1477)+SUMPRODUCT((J$1441:J$1450&gt;0)*(J$1468:J$1477&gt;J$1441:J$1450)*(J$1468:J$1477-J$1441:J$1450)))*J1482/J$1492,0)),J1468)),0)</f>
        <v>0</v>
      </c>
      <c r="K1508" s="8">
        <f ca="1">ROUND(MIN(K1441,IF(Intv_Ann_TA!$H$767,MAX(0,K1468+IFERROR((SUMPRODUCT((K$1441:K$1450=0)*K$1468:K$1477)+SUMPRODUCT((K$1441:K$1450&gt;0)*(K$1468:K$1477&gt;K$1441:K$1450)*(K$1468:K$1477-K$1441:K$1450)))*K1482/K$1492,0)),K1468)),0)</f>
        <v>0</v>
      </c>
      <c r="L1508" s="8">
        <f ca="1">ROUND(MIN(L1441,IF(Intv_Ann_TA!$H$767,MAX(0,L1468+IFERROR((SUMPRODUCT((L$1441:L$1450=0)*L$1468:L$1477)+SUMPRODUCT((L$1441:L$1450&gt;0)*(L$1468:L$1477&gt;L$1441:L$1450)*(L$1468:L$1477-L$1441:L$1450)))*L1482/L$1492,0)),L1468)),0)</f>
        <v>0</v>
      </c>
      <c r="M1508" s="8">
        <f ca="1">ROUND(MIN(M1441,IF(Intv_Ann_TA!$H$767,MAX(0,M1468+IFERROR((SUMPRODUCT((M$1441:M$1450=0)*M$1468:M$1477)+SUMPRODUCT((M$1441:M$1450&gt;0)*(M$1468:M$1477&gt;M$1441:M$1450)*(M$1468:M$1477-M$1441:M$1450)))*M1482/M$1492,0)),M1468)),0)</f>
        <v>0</v>
      </c>
      <c r="N1508" s="8">
        <f ca="1">ROUND(MIN(N1441,IF(Intv_Ann_TA!$H$767,MAX(0,N1468+IFERROR((SUMPRODUCT((N$1441:N$1450=0)*N$1468:N$1477)+SUMPRODUCT((N$1441:N$1450&gt;0)*(N$1468:N$1477&gt;N$1441:N$1450)*(N$1468:N$1477-N$1441:N$1450)))*N1482/N$1492,0)),N1468)),0)</f>
        <v>0</v>
      </c>
      <c r="O1508" s="8">
        <f ca="1">ROUND(MIN(O1441,IF(Intv_Ann_TA!$H$767,MAX(0,O1468+IFERROR((SUMPRODUCT((O$1441:O$1450=0)*O$1468:O$1477)+SUMPRODUCT((O$1441:O$1450&gt;0)*(O$1468:O$1477&gt;O$1441:O$1450)*(O$1468:O$1477-O$1441:O$1450)))*O1482/O$1492,0)),O1468)),0)</f>
        <v>0</v>
      </c>
    </row>
    <row r="1509" spans="3:15" s="327" customFormat="1" outlineLevel="2" x14ac:dyDescent="0.2">
      <c r="D1509" s="521" t="str">
        <f>Intv_Ann_TA!D771</f>
        <v>Copperbelt</v>
      </c>
      <c r="J1509" s="8">
        <f ca="1">ROUND(MIN(J1442,IF(Intv_Ann_TA!$H$767,MAX(0,J1469+IFERROR((SUMPRODUCT((J$1441:J$1450=0)*J$1468:J$1477)+SUMPRODUCT((J$1441:J$1450&gt;0)*(J$1468:J$1477&gt;J$1441:J$1450)*(J$1468:J$1477-J$1441:J$1450)))*J1483/J$1492,0)),J1469)),0)</f>
        <v>0</v>
      </c>
      <c r="K1509" s="8">
        <f ca="1">ROUND(MIN(K1442,IF(Intv_Ann_TA!$H$767,MAX(0,K1469+IFERROR((SUMPRODUCT((K$1441:K$1450=0)*K$1468:K$1477)+SUMPRODUCT((K$1441:K$1450&gt;0)*(K$1468:K$1477&gt;K$1441:K$1450)*(K$1468:K$1477-K$1441:K$1450)))*K1483/K$1492,0)),K1469)),0)</f>
        <v>0</v>
      </c>
      <c r="L1509" s="8">
        <f ca="1">ROUND(MIN(L1442,IF(Intv_Ann_TA!$H$767,MAX(0,L1469+IFERROR((SUMPRODUCT((L$1441:L$1450=0)*L$1468:L$1477)+SUMPRODUCT((L$1441:L$1450&gt;0)*(L$1468:L$1477&gt;L$1441:L$1450)*(L$1468:L$1477-L$1441:L$1450)))*L1483/L$1492,0)),L1469)),0)</f>
        <v>0</v>
      </c>
      <c r="M1509" s="8">
        <f ca="1">ROUND(MIN(M1442,IF(Intv_Ann_TA!$H$767,MAX(0,M1469+IFERROR((SUMPRODUCT((M$1441:M$1450=0)*M$1468:M$1477)+SUMPRODUCT((M$1441:M$1450&gt;0)*(M$1468:M$1477&gt;M$1441:M$1450)*(M$1468:M$1477-M$1441:M$1450)))*M1483/M$1492,0)),M1469)),0)</f>
        <v>0</v>
      </c>
      <c r="N1509" s="8">
        <f ca="1">ROUND(MIN(N1442,IF(Intv_Ann_TA!$H$767,MAX(0,N1469+IFERROR((SUMPRODUCT((N$1441:N$1450=0)*N$1468:N$1477)+SUMPRODUCT((N$1441:N$1450&gt;0)*(N$1468:N$1477&gt;N$1441:N$1450)*(N$1468:N$1477-N$1441:N$1450)))*N1483/N$1492,0)),N1469)),0)</f>
        <v>95</v>
      </c>
      <c r="O1509" s="8">
        <f ca="1">ROUND(MIN(O1442,IF(Intv_Ann_TA!$H$767,MAX(0,O1469+IFERROR((SUMPRODUCT((O$1441:O$1450=0)*O$1468:O$1477)+SUMPRODUCT((O$1441:O$1450&gt;0)*(O$1468:O$1477&gt;O$1441:O$1450)*(O$1468:O$1477-O$1441:O$1450)))*O1483/O$1492,0)),O1469)),0)</f>
        <v>95</v>
      </c>
    </row>
    <row r="1510" spans="3:15" s="327" customFormat="1" outlineLevel="2" x14ac:dyDescent="0.2">
      <c r="D1510" s="521" t="str">
        <f>Intv_Ann_TA!D772</f>
        <v>Eastern</v>
      </c>
      <c r="J1510" s="8">
        <f ca="1">ROUND(MIN(J1443,IF(Intv_Ann_TA!$H$767,MAX(0,J1470+IFERROR((SUMPRODUCT((J$1441:J$1450=0)*J$1468:J$1477)+SUMPRODUCT((J$1441:J$1450&gt;0)*(J$1468:J$1477&gt;J$1441:J$1450)*(J$1468:J$1477-J$1441:J$1450)))*J1484/J$1492,0)),J1470)),0)</f>
        <v>0</v>
      </c>
      <c r="K1510" s="8">
        <f ca="1">ROUND(MIN(K1443,IF(Intv_Ann_TA!$H$767,MAX(0,K1470+IFERROR((SUMPRODUCT((K$1441:K$1450=0)*K$1468:K$1477)+SUMPRODUCT((K$1441:K$1450&gt;0)*(K$1468:K$1477&gt;K$1441:K$1450)*(K$1468:K$1477-K$1441:K$1450)))*K1484/K$1492,0)),K1470)),0)</f>
        <v>0</v>
      </c>
      <c r="L1510" s="8">
        <f ca="1">ROUND(MIN(L1443,IF(Intv_Ann_TA!$H$767,MAX(0,L1470+IFERROR((SUMPRODUCT((L$1441:L$1450=0)*L$1468:L$1477)+SUMPRODUCT((L$1441:L$1450&gt;0)*(L$1468:L$1477&gt;L$1441:L$1450)*(L$1468:L$1477-L$1441:L$1450)))*L1484/L$1492,0)),L1470)),0)</f>
        <v>0</v>
      </c>
      <c r="M1510" s="8">
        <f ca="1">ROUND(MIN(M1443,IF(Intv_Ann_TA!$H$767,MAX(0,M1470+IFERROR((SUMPRODUCT((M$1441:M$1450=0)*M$1468:M$1477)+SUMPRODUCT((M$1441:M$1450&gt;0)*(M$1468:M$1477&gt;M$1441:M$1450)*(M$1468:M$1477-M$1441:M$1450)))*M1484/M$1492,0)),M1470)),0)</f>
        <v>0</v>
      </c>
      <c r="N1510" s="8">
        <f ca="1">ROUND(MIN(N1443,IF(Intv_Ann_TA!$H$767,MAX(0,N1470+IFERROR((SUMPRODUCT((N$1441:N$1450=0)*N$1468:N$1477)+SUMPRODUCT((N$1441:N$1450&gt;0)*(N$1468:N$1477&gt;N$1441:N$1450)*(N$1468:N$1477-N$1441:N$1450)))*N1484/N$1492,0)),N1470)),0)</f>
        <v>0</v>
      </c>
      <c r="O1510" s="8">
        <f ca="1">ROUND(MIN(O1443,IF(Intv_Ann_TA!$H$767,MAX(0,O1470+IFERROR((SUMPRODUCT((O$1441:O$1450=0)*O$1468:O$1477)+SUMPRODUCT((O$1441:O$1450&gt;0)*(O$1468:O$1477&gt;O$1441:O$1450)*(O$1468:O$1477-O$1441:O$1450)))*O1484/O$1492,0)),O1470)),0)</f>
        <v>0</v>
      </c>
    </row>
    <row r="1511" spans="3:15" s="327" customFormat="1" outlineLevel="2" x14ac:dyDescent="0.2">
      <c r="D1511" s="521" t="str">
        <f>Intv_Ann_TA!D773</f>
        <v>Luapula</v>
      </c>
      <c r="J1511" s="8">
        <f ca="1">ROUND(MIN(J1444,IF(Intv_Ann_TA!$H$767,MAX(0,J1471+IFERROR((SUMPRODUCT((J$1441:J$1450=0)*J$1468:J$1477)+SUMPRODUCT((J$1441:J$1450&gt;0)*(J$1468:J$1477&gt;J$1441:J$1450)*(J$1468:J$1477-J$1441:J$1450)))*J1485/J$1492,0)),J1471)),0)</f>
        <v>0</v>
      </c>
      <c r="K1511" s="8">
        <f ca="1">ROUND(MIN(K1444,IF(Intv_Ann_TA!$H$767,MAX(0,K1471+IFERROR((SUMPRODUCT((K$1441:K$1450=0)*K$1468:K$1477)+SUMPRODUCT((K$1441:K$1450&gt;0)*(K$1468:K$1477&gt;K$1441:K$1450)*(K$1468:K$1477-K$1441:K$1450)))*K1485/K$1492,0)),K1471)),0)</f>
        <v>0</v>
      </c>
      <c r="L1511" s="8">
        <f ca="1">ROUND(MIN(L1444,IF(Intv_Ann_TA!$H$767,MAX(0,L1471+IFERROR((SUMPRODUCT((L$1441:L$1450=0)*L$1468:L$1477)+SUMPRODUCT((L$1441:L$1450&gt;0)*(L$1468:L$1477&gt;L$1441:L$1450)*(L$1468:L$1477-L$1441:L$1450)))*L1485/L$1492,0)),L1471)),0)</f>
        <v>0</v>
      </c>
      <c r="M1511" s="8">
        <f ca="1">ROUND(MIN(M1444,IF(Intv_Ann_TA!$H$767,MAX(0,M1471+IFERROR((SUMPRODUCT((M$1441:M$1450=0)*M$1468:M$1477)+SUMPRODUCT((M$1441:M$1450&gt;0)*(M$1468:M$1477&gt;M$1441:M$1450)*(M$1468:M$1477-M$1441:M$1450)))*M1485/M$1492,0)),M1471)),0)</f>
        <v>0</v>
      </c>
      <c r="N1511" s="8">
        <f ca="1">ROUND(MIN(N1444,IF(Intv_Ann_TA!$H$767,MAX(0,N1471+IFERROR((SUMPRODUCT((N$1441:N$1450=0)*N$1468:N$1477)+SUMPRODUCT((N$1441:N$1450&gt;0)*(N$1468:N$1477&gt;N$1441:N$1450)*(N$1468:N$1477-N$1441:N$1450)))*N1485/N$1492,0)),N1471)),0)</f>
        <v>0</v>
      </c>
      <c r="O1511" s="8">
        <f ca="1">ROUND(MIN(O1444,IF(Intv_Ann_TA!$H$767,MAX(0,O1471+IFERROR((SUMPRODUCT((O$1441:O$1450=0)*O$1468:O$1477)+SUMPRODUCT((O$1441:O$1450&gt;0)*(O$1468:O$1477&gt;O$1441:O$1450)*(O$1468:O$1477-O$1441:O$1450)))*O1485/O$1492,0)),O1471)),0)</f>
        <v>0</v>
      </c>
    </row>
    <row r="1512" spans="3:15" s="327" customFormat="1" outlineLevel="2" x14ac:dyDescent="0.2">
      <c r="D1512" s="521" t="str">
        <f>Intv_Ann_TA!D774</f>
        <v>Lusaka</v>
      </c>
      <c r="J1512" s="8">
        <f ca="1">ROUND(MIN(J1445,IF(Intv_Ann_TA!$H$767,MAX(0,J1472+IFERROR((SUMPRODUCT((J$1441:J$1450=0)*J$1468:J$1477)+SUMPRODUCT((J$1441:J$1450&gt;0)*(J$1468:J$1477&gt;J$1441:J$1450)*(J$1468:J$1477-J$1441:J$1450)))*J1486/J$1492,0)),J1472)),0)</f>
        <v>378</v>
      </c>
      <c r="K1512" s="8">
        <f ca="1">ROUND(MIN(K1445,IF(Intv_Ann_TA!$H$767,MAX(0,K1472+IFERROR((SUMPRODUCT((K$1441:K$1450=0)*K$1468:K$1477)+SUMPRODUCT((K$1441:K$1450&gt;0)*(K$1468:K$1477&gt;K$1441:K$1450)*(K$1468:K$1477-K$1441:K$1450)))*K1486/K$1492,0)),K1472)),0)</f>
        <v>378</v>
      </c>
      <c r="L1512" s="8">
        <f ca="1">ROUND(MIN(L1445,IF(Intv_Ann_TA!$H$767,MAX(0,L1472+IFERROR((SUMPRODUCT((L$1441:L$1450=0)*L$1468:L$1477)+SUMPRODUCT((L$1441:L$1450&gt;0)*(L$1468:L$1477&gt;L$1441:L$1450)*(L$1468:L$1477-L$1441:L$1450)))*L1486/L$1492,0)),L1472)),0)</f>
        <v>378</v>
      </c>
      <c r="M1512" s="8">
        <f ca="1">ROUND(MIN(M1445,IF(Intv_Ann_TA!$H$767,MAX(0,M1472+IFERROR((SUMPRODUCT((M$1441:M$1450=0)*M$1468:M$1477)+SUMPRODUCT((M$1441:M$1450&gt;0)*(M$1468:M$1477&gt;M$1441:M$1450)*(M$1468:M$1477-M$1441:M$1450)))*M1486/M$1492,0)),M1472)),0)</f>
        <v>378</v>
      </c>
      <c r="N1512" s="8">
        <f ca="1">ROUND(MIN(N1445,IF(Intv_Ann_TA!$H$767,MAX(0,N1472+IFERROR((SUMPRODUCT((N$1441:N$1450=0)*N$1468:N$1477)+SUMPRODUCT((N$1441:N$1450&gt;0)*(N$1468:N$1477&gt;N$1441:N$1450)*(N$1468:N$1477-N$1441:N$1450)))*N1486/N$1492,0)),N1472)),0)</f>
        <v>188</v>
      </c>
      <c r="O1512" s="8">
        <f ca="1">ROUND(MIN(O1445,IF(Intv_Ann_TA!$H$767,MAX(0,O1472+IFERROR((SUMPRODUCT((O$1441:O$1450=0)*O$1468:O$1477)+SUMPRODUCT((O$1441:O$1450&gt;0)*(O$1468:O$1477&gt;O$1441:O$1450)*(O$1468:O$1477-O$1441:O$1450)))*O1486/O$1492,0)),O1472)),0)</f>
        <v>188</v>
      </c>
    </row>
    <row r="1513" spans="3:15" s="327" customFormat="1" outlineLevel="2" x14ac:dyDescent="0.2">
      <c r="D1513" s="521" t="str">
        <f>Intv_Ann_TA!D775</f>
        <v>Muchinga</v>
      </c>
      <c r="J1513" s="8">
        <f ca="1">ROUND(MIN(J1446,IF(Intv_Ann_TA!$H$767,MAX(0,J1473+IFERROR((SUMPRODUCT((J$1441:J$1450=0)*J$1468:J$1477)+SUMPRODUCT((J$1441:J$1450&gt;0)*(J$1468:J$1477&gt;J$1441:J$1450)*(J$1468:J$1477-J$1441:J$1450)))*J1487/J$1492,0)),J1473)),0)</f>
        <v>0</v>
      </c>
      <c r="K1513" s="8">
        <f ca="1">ROUND(MIN(K1446,IF(Intv_Ann_TA!$H$767,MAX(0,K1473+IFERROR((SUMPRODUCT((K$1441:K$1450=0)*K$1468:K$1477)+SUMPRODUCT((K$1441:K$1450&gt;0)*(K$1468:K$1477&gt;K$1441:K$1450)*(K$1468:K$1477-K$1441:K$1450)))*K1487/K$1492,0)),K1473)),0)</f>
        <v>0</v>
      </c>
      <c r="L1513" s="8">
        <f ca="1">ROUND(MIN(L1446,IF(Intv_Ann_TA!$H$767,MAX(0,L1473+IFERROR((SUMPRODUCT((L$1441:L$1450=0)*L$1468:L$1477)+SUMPRODUCT((L$1441:L$1450&gt;0)*(L$1468:L$1477&gt;L$1441:L$1450)*(L$1468:L$1477-L$1441:L$1450)))*L1487/L$1492,0)),L1473)),0)</f>
        <v>0</v>
      </c>
      <c r="M1513" s="8">
        <f ca="1">ROUND(MIN(M1446,IF(Intv_Ann_TA!$H$767,MAX(0,M1473+IFERROR((SUMPRODUCT((M$1441:M$1450=0)*M$1468:M$1477)+SUMPRODUCT((M$1441:M$1450&gt;0)*(M$1468:M$1477&gt;M$1441:M$1450)*(M$1468:M$1477-M$1441:M$1450)))*M1487/M$1492,0)),M1473)),0)</f>
        <v>0</v>
      </c>
      <c r="N1513" s="8">
        <f ca="1">ROUND(MIN(N1446,IF(Intv_Ann_TA!$H$767,MAX(0,N1473+IFERROR((SUMPRODUCT((N$1441:N$1450=0)*N$1468:N$1477)+SUMPRODUCT((N$1441:N$1450&gt;0)*(N$1468:N$1477&gt;N$1441:N$1450)*(N$1468:N$1477-N$1441:N$1450)))*N1487/N$1492,0)),N1473)),0)</f>
        <v>0</v>
      </c>
      <c r="O1513" s="8">
        <f ca="1">ROUND(MIN(O1446,IF(Intv_Ann_TA!$H$767,MAX(0,O1473+IFERROR((SUMPRODUCT((O$1441:O$1450=0)*O$1468:O$1477)+SUMPRODUCT((O$1441:O$1450&gt;0)*(O$1468:O$1477&gt;O$1441:O$1450)*(O$1468:O$1477-O$1441:O$1450)))*O1487/O$1492,0)),O1473)),0)</f>
        <v>0</v>
      </c>
    </row>
    <row r="1514" spans="3:15" s="327" customFormat="1" outlineLevel="2" x14ac:dyDescent="0.2">
      <c r="D1514" s="521" t="str">
        <f>Intv_Ann_TA!D776</f>
        <v>Northern</v>
      </c>
      <c r="J1514" s="8">
        <f ca="1">ROUND(MIN(J1447,IF(Intv_Ann_TA!$H$767,MAX(0,J1474+IFERROR((SUMPRODUCT((J$1441:J$1450=0)*J$1468:J$1477)+SUMPRODUCT((J$1441:J$1450&gt;0)*(J$1468:J$1477&gt;J$1441:J$1450)*(J$1468:J$1477-J$1441:J$1450)))*J1488/J$1492,0)),J1474)),0)</f>
        <v>0</v>
      </c>
      <c r="K1514" s="8">
        <f ca="1">ROUND(MIN(K1447,IF(Intv_Ann_TA!$H$767,MAX(0,K1474+IFERROR((SUMPRODUCT((K$1441:K$1450=0)*K$1468:K$1477)+SUMPRODUCT((K$1441:K$1450&gt;0)*(K$1468:K$1477&gt;K$1441:K$1450)*(K$1468:K$1477-K$1441:K$1450)))*K1488/K$1492,0)),K1474)),0)</f>
        <v>0</v>
      </c>
      <c r="L1514" s="8">
        <f ca="1">ROUND(MIN(L1447,IF(Intv_Ann_TA!$H$767,MAX(0,L1474+IFERROR((SUMPRODUCT((L$1441:L$1450=0)*L$1468:L$1477)+SUMPRODUCT((L$1441:L$1450&gt;0)*(L$1468:L$1477&gt;L$1441:L$1450)*(L$1468:L$1477-L$1441:L$1450)))*L1488/L$1492,0)),L1474)),0)</f>
        <v>0</v>
      </c>
      <c r="M1514" s="8">
        <f ca="1">ROUND(MIN(M1447,IF(Intv_Ann_TA!$H$767,MAX(0,M1474+IFERROR((SUMPRODUCT((M$1441:M$1450=0)*M$1468:M$1477)+SUMPRODUCT((M$1441:M$1450&gt;0)*(M$1468:M$1477&gt;M$1441:M$1450)*(M$1468:M$1477-M$1441:M$1450)))*M1488/M$1492,0)),M1474)),0)</f>
        <v>0</v>
      </c>
      <c r="N1514" s="8">
        <f ca="1">ROUND(MIN(N1447,IF(Intv_Ann_TA!$H$767,MAX(0,N1474+IFERROR((SUMPRODUCT((N$1441:N$1450=0)*N$1468:N$1477)+SUMPRODUCT((N$1441:N$1450&gt;0)*(N$1468:N$1477&gt;N$1441:N$1450)*(N$1468:N$1477-N$1441:N$1450)))*N1488/N$1492,0)),N1474)),0)</f>
        <v>0</v>
      </c>
      <c r="O1514" s="8">
        <f ca="1">ROUND(MIN(O1447,IF(Intv_Ann_TA!$H$767,MAX(0,O1474+IFERROR((SUMPRODUCT((O$1441:O$1450=0)*O$1468:O$1477)+SUMPRODUCT((O$1441:O$1450&gt;0)*(O$1468:O$1477&gt;O$1441:O$1450)*(O$1468:O$1477-O$1441:O$1450)))*O1488/O$1492,0)),O1474)),0)</f>
        <v>0</v>
      </c>
    </row>
    <row r="1515" spans="3:15" s="327" customFormat="1" outlineLevel="2" x14ac:dyDescent="0.2">
      <c r="D1515" s="521" t="str">
        <f>Intv_Ann_TA!D777</f>
        <v>North-Western</v>
      </c>
      <c r="J1515" s="8">
        <f ca="1">ROUND(MIN(J1448,IF(Intv_Ann_TA!$H$767,MAX(0,J1475+IFERROR((SUMPRODUCT((J$1441:J$1450=0)*J$1468:J$1477)+SUMPRODUCT((J$1441:J$1450&gt;0)*(J$1468:J$1477&gt;J$1441:J$1450)*(J$1468:J$1477-J$1441:J$1450)))*J1489/J$1492,0)),J1475)),0)</f>
        <v>0</v>
      </c>
      <c r="K1515" s="8">
        <f ca="1">ROUND(MIN(K1448,IF(Intv_Ann_TA!$H$767,MAX(0,K1475+IFERROR((SUMPRODUCT((K$1441:K$1450=0)*K$1468:K$1477)+SUMPRODUCT((K$1441:K$1450&gt;0)*(K$1468:K$1477&gt;K$1441:K$1450)*(K$1468:K$1477-K$1441:K$1450)))*K1489/K$1492,0)),K1475)),0)</f>
        <v>0</v>
      </c>
      <c r="L1515" s="8">
        <f ca="1">ROUND(MIN(L1448,IF(Intv_Ann_TA!$H$767,MAX(0,L1475+IFERROR((SUMPRODUCT((L$1441:L$1450=0)*L$1468:L$1477)+SUMPRODUCT((L$1441:L$1450&gt;0)*(L$1468:L$1477&gt;L$1441:L$1450)*(L$1468:L$1477-L$1441:L$1450)))*L1489/L$1492,0)),L1475)),0)</f>
        <v>0</v>
      </c>
      <c r="M1515" s="8">
        <f ca="1">ROUND(MIN(M1448,IF(Intv_Ann_TA!$H$767,MAX(0,M1475+IFERROR((SUMPRODUCT((M$1441:M$1450=0)*M$1468:M$1477)+SUMPRODUCT((M$1441:M$1450&gt;0)*(M$1468:M$1477&gt;M$1441:M$1450)*(M$1468:M$1477-M$1441:M$1450)))*M1489/M$1492,0)),M1475)),0)</f>
        <v>0</v>
      </c>
      <c r="N1515" s="8">
        <f ca="1">ROUND(MIN(N1448,IF(Intv_Ann_TA!$H$767,MAX(0,N1475+IFERROR((SUMPRODUCT((N$1441:N$1450=0)*N$1468:N$1477)+SUMPRODUCT((N$1441:N$1450&gt;0)*(N$1468:N$1477&gt;N$1441:N$1450)*(N$1468:N$1477-N$1441:N$1450)))*N1489/N$1492,0)),N1475)),0)</f>
        <v>0</v>
      </c>
      <c r="O1515" s="8">
        <f ca="1">ROUND(MIN(O1448,IF(Intv_Ann_TA!$H$767,MAX(0,O1475+IFERROR((SUMPRODUCT((O$1441:O$1450=0)*O$1468:O$1477)+SUMPRODUCT((O$1441:O$1450&gt;0)*(O$1468:O$1477&gt;O$1441:O$1450)*(O$1468:O$1477-O$1441:O$1450)))*O1489/O$1492,0)),O1475)),0)</f>
        <v>0</v>
      </c>
    </row>
    <row r="1516" spans="3:15" s="327" customFormat="1" outlineLevel="2" x14ac:dyDescent="0.2">
      <c r="D1516" s="521" t="str">
        <f>Intv_Ann_TA!D778</f>
        <v>Southern</v>
      </c>
      <c r="J1516" s="8">
        <f ca="1">ROUND(MIN(J1449,IF(Intv_Ann_TA!$H$767,MAX(0,J1476+IFERROR((SUMPRODUCT((J$1441:J$1450=0)*J$1468:J$1477)+SUMPRODUCT((J$1441:J$1450&gt;0)*(J$1468:J$1477&gt;J$1441:J$1450)*(J$1468:J$1477-J$1441:J$1450)))*J1490/J$1492,0)),J1476)),0)</f>
        <v>0</v>
      </c>
      <c r="K1516" s="8">
        <f ca="1">ROUND(MIN(K1449,IF(Intv_Ann_TA!$H$767,MAX(0,K1476+IFERROR((SUMPRODUCT((K$1441:K$1450=0)*K$1468:K$1477)+SUMPRODUCT((K$1441:K$1450&gt;0)*(K$1468:K$1477&gt;K$1441:K$1450)*(K$1468:K$1477-K$1441:K$1450)))*K1490/K$1492,0)),K1476)),0)</f>
        <v>0</v>
      </c>
      <c r="L1516" s="8">
        <f ca="1">ROUND(MIN(L1449,IF(Intv_Ann_TA!$H$767,MAX(0,L1476+IFERROR((SUMPRODUCT((L$1441:L$1450=0)*L$1468:L$1477)+SUMPRODUCT((L$1441:L$1450&gt;0)*(L$1468:L$1477&gt;L$1441:L$1450)*(L$1468:L$1477-L$1441:L$1450)))*L1490/L$1492,0)),L1476)),0)</f>
        <v>0</v>
      </c>
      <c r="M1516" s="8">
        <f ca="1">ROUND(MIN(M1449,IF(Intv_Ann_TA!$H$767,MAX(0,M1476+IFERROR((SUMPRODUCT((M$1441:M$1450=0)*M$1468:M$1477)+SUMPRODUCT((M$1441:M$1450&gt;0)*(M$1468:M$1477&gt;M$1441:M$1450)*(M$1468:M$1477-M$1441:M$1450)))*M1490/M$1492,0)),M1476)),0)</f>
        <v>0</v>
      </c>
      <c r="N1516" s="8">
        <f ca="1">ROUND(MIN(N1449,IF(Intv_Ann_TA!$H$767,MAX(0,N1476+IFERROR((SUMPRODUCT((N$1441:N$1450=0)*N$1468:N$1477)+SUMPRODUCT((N$1441:N$1450&gt;0)*(N$1468:N$1477&gt;N$1441:N$1450)*(N$1468:N$1477-N$1441:N$1450)))*N1490/N$1492,0)),N1476)),0)</f>
        <v>0</v>
      </c>
      <c r="O1516" s="8">
        <f ca="1">ROUND(MIN(O1449,IF(Intv_Ann_TA!$H$767,MAX(0,O1476+IFERROR((SUMPRODUCT((O$1441:O$1450=0)*O$1468:O$1477)+SUMPRODUCT((O$1441:O$1450&gt;0)*(O$1468:O$1477&gt;O$1441:O$1450)*(O$1468:O$1477-O$1441:O$1450)))*O1490/O$1492,0)),O1476)),0)</f>
        <v>0</v>
      </c>
    </row>
    <row r="1517" spans="3:15" s="327" customFormat="1" outlineLevel="2" x14ac:dyDescent="0.2">
      <c r="D1517" s="521" t="str">
        <f>Intv_Ann_TA!D779</f>
        <v>Western</v>
      </c>
      <c r="J1517" s="9">
        <f ca="1">ROUND(MIN(J1450,IF(Intv_Ann_TA!$H$767,MAX(0,J1477+IFERROR((SUMPRODUCT((J$1441:J$1450=0)*J$1468:J$1477)+SUMPRODUCT((J$1441:J$1450&gt;0)*(J$1468:J$1477&gt;J$1441:J$1450)*(J$1468:J$1477-J$1441:J$1450)))*J1491/J$1492,0)),J1477)),0)</f>
        <v>0</v>
      </c>
      <c r="K1517" s="9">
        <f ca="1">ROUND(MIN(K1450,IF(Intv_Ann_TA!$H$767,MAX(0,K1477+IFERROR((SUMPRODUCT((K$1441:K$1450=0)*K$1468:K$1477)+SUMPRODUCT((K$1441:K$1450&gt;0)*(K$1468:K$1477&gt;K$1441:K$1450)*(K$1468:K$1477-K$1441:K$1450)))*K1491/K$1492,0)),K1477)),0)</f>
        <v>0</v>
      </c>
      <c r="L1517" s="9">
        <f ca="1">ROUND(MIN(L1450,IF(Intv_Ann_TA!$H$767,MAX(0,L1477+IFERROR((SUMPRODUCT((L$1441:L$1450=0)*L$1468:L$1477)+SUMPRODUCT((L$1441:L$1450&gt;0)*(L$1468:L$1477&gt;L$1441:L$1450)*(L$1468:L$1477-L$1441:L$1450)))*L1491/L$1492,0)),L1477)),0)</f>
        <v>0</v>
      </c>
      <c r="M1517" s="9">
        <f ca="1">ROUND(MIN(M1450,IF(Intv_Ann_TA!$H$767,MAX(0,M1477+IFERROR((SUMPRODUCT((M$1441:M$1450=0)*M$1468:M$1477)+SUMPRODUCT((M$1441:M$1450&gt;0)*(M$1468:M$1477&gt;M$1441:M$1450)*(M$1468:M$1477-M$1441:M$1450)))*M1491/M$1492,0)),M1477)),0)</f>
        <v>0</v>
      </c>
      <c r="N1517" s="9">
        <f ca="1">ROUND(MIN(N1450,IF(Intv_Ann_TA!$H$767,MAX(0,N1477+IFERROR((SUMPRODUCT((N$1441:N$1450=0)*N$1468:N$1477)+SUMPRODUCT((N$1441:N$1450&gt;0)*(N$1468:N$1477&gt;N$1441:N$1450)*(N$1468:N$1477-N$1441:N$1450)))*N1491/N$1492,0)),N1477)),0)</f>
        <v>95</v>
      </c>
      <c r="O1517" s="9">
        <f ca="1">ROUND(MIN(O1450,IF(Intv_Ann_TA!$H$767,MAX(0,O1477+IFERROR((SUMPRODUCT((O$1441:O$1450=0)*O$1468:O$1477)+SUMPRODUCT((O$1441:O$1450&gt;0)*(O$1468:O$1477&gt;O$1441:O$1450)*(O$1468:O$1477-O$1441:O$1450)))*O1491/O$1492,0)),O1477)),0)</f>
        <v>95</v>
      </c>
    </row>
    <row r="1518" spans="3:15" s="327" customFormat="1" x14ac:dyDescent="0.2">
      <c r="D1518" s="520" t="str">
        <f>"Total "&amp;D1507&amp;" ("&amp;Intv_BA!G1181&amp;")"</f>
        <v>Total Number of Procedures Performed (Chemo)</v>
      </c>
      <c r="H1518" s="521" t="str">
        <f>Intv_BA!G1181</f>
        <v>Chemo</v>
      </c>
      <c r="J1518" s="25">
        <f t="shared" ref="J1518:O1518" ca="1" si="145">SUM(J1508:J1517)</f>
        <v>378</v>
      </c>
      <c r="K1518" s="25">
        <f t="shared" ca="1" si="145"/>
        <v>378</v>
      </c>
      <c r="L1518" s="25">
        <f t="shared" ca="1" si="145"/>
        <v>378</v>
      </c>
      <c r="M1518" s="25">
        <f t="shared" ca="1" si="145"/>
        <v>378</v>
      </c>
      <c r="N1518" s="25">
        <f t="shared" ca="1" si="145"/>
        <v>378</v>
      </c>
      <c r="O1518" s="25">
        <f t="shared" ca="1" si="145"/>
        <v>378</v>
      </c>
    </row>
    <row r="1519" spans="3:15" s="327" customFormat="1" x14ac:dyDescent="0.2"/>
    <row r="1520" spans="3:15" s="327" customFormat="1" ht="15.75" x14ac:dyDescent="0.2">
      <c r="C1520" s="26" t="str">
        <f>"Expected Costs ("&amp;INDEX(LU_Intv_3_Denom,DD_TS_Denom)&amp;")"</f>
        <v>Expected Costs (USD)</v>
      </c>
    </row>
    <row r="1521" spans="4:15" s="327" customFormat="1" x14ac:dyDescent="0.2"/>
    <row r="1522" spans="4:15" s="327" customFormat="1" ht="15" outlineLevel="2" x14ac:dyDescent="0.2">
      <c r="D1522" s="519" t="s">
        <v>105</v>
      </c>
    </row>
    <row r="1523" spans="4:15" s="327" customFormat="1" ht="10.5" customHeight="1" outlineLevel="2" x14ac:dyDescent="0.2">
      <c r="D1523" s="521" t="str">
        <f>Intv_BA!D1345</f>
        <v>Central</v>
      </c>
      <c r="J1523" s="8">
        <f ca="1">J1508*Intv_BA!$M$1301/TS_Denom_Conv_Fact</f>
        <v>0</v>
      </c>
      <c r="K1523" s="8">
        <f ca="1">K1508*Intv_BA!$M$1301/TS_Denom_Conv_Fact</f>
        <v>0</v>
      </c>
      <c r="L1523" s="8">
        <f ca="1">L1508*Intv_BA!$M$1301/TS_Denom_Conv_Fact</f>
        <v>0</v>
      </c>
      <c r="M1523" s="8">
        <f ca="1">M1508*Intv_BA!$M$1301/TS_Denom_Conv_Fact</f>
        <v>0</v>
      </c>
      <c r="N1523" s="8">
        <f ca="1">N1508*Intv_BA!$M$1301/TS_Denom_Conv_Fact</f>
        <v>0</v>
      </c>
      <c r="O1523" s="8">
        <f ca="1">O1508*Intv_BA!$M$1301/TS_Denom_Conv_Fact</f>
        <v>0</v>
      </c>
    </row>
    <row r="1524" spans="4:15" s="327" customFormat="1" ht="12.95" customHeight="1" outlineLevel="2" x14ac:dyDescent="0.2">
      <c r="D1524" s="521" t="str">
        <f>Intv_BA!D1346</f>
        <v>Copperbelt</v>
      </c>
      <c r="J1524" s="8">
        <f ca="1">J1509*Intv_BA!$M$1301/TS_Denom_Conv_Fact</f>
        <v>0</v>
      </c>
      <c r="K1524" s="8">
        <f ca="1">K1509*Intv_BA!$M$1301/TS_Denom_Conv_Fact</f>
        <v>0</v>
      </c>
      <c r="L1524" s="8">
        <f ca="1">L1509*Intv_BA!$M$1301/TS_Denom_Conv_Fact</f>
        <v>0</v>
      </c>
      <c r="M1524" s="8">
        <f ca="1">M1509*Intv_BA!$M$1301/TS_Denom_Conv_Fact</f>
        <v>0</v>
      </c>
      <c r="N1524" s="8">
        <f ca="1">N1509*Intv_BA!$M$1301/TS_Denom_Conv_Fact</f>
        <v>6665.4374999999991</v>
      </c>
      <c r="O1524" s="8">
        <f ca="1">O1509*Intv_BA!$M$1301/TS_Denom_Conv_Fact</f>
        <v>6665.4374999999991</v>
      </c>
    </row>
    <row r="1525" spans="4:15" s="327" customFormat="1" ht="12.95" customHeight="1" outlineLevel="2" x14ac:dyDescent="0.2">
      <c r="D1525" s="521" t="str">
        <f>Intv_BA!D1347</f>
        <v>Eastern</v>
      </c>
      <c r="J1525" s="8">
        <f ca="1">J1510*Intv_BA!$M$1301/TS_Denom_Conv_Fact</f>
        <v>0</v>
      </c>
      <c r="K1525" s="8">
        <f ca="1">K1510*Intv_BA!$M$1301/TS_Denom_Conv_Fact</f>
        <v>0</v>
      </c>
      <c r="L1525" s="8">
        <f ca="1">L1510*Intv_BA!$M$1301/TS_Denom_Conv_Fact</f>
        <v>0</v>
      </c>
      <c r="M1525" s="8">
        <f ca="1">M1510*Intv_BA!$M$1301/TS_Denom_Conv_Fact</f>
        <v>0</v>
      </c>
      <c r="N1525" s="8">
        <f ca="1">N1510*Intv_BA!$M$1301/TS_Denom_Conv_Fact</f>
        <v>0</v>
      </c>
      <c r="O1525" s="8">
        <f ca="1">O1510*Intv_BA!$M$1301/TS_Denom_Conv_Fact</f>
        <v>0</v>
      </c>
    </row>
    <row r="1526" spans="4:15" s="327" customFormat="1" ht="10.5" customHeight="1" outlineLevel="2" x14ac:dyDescent="0.2">
      <c r="D1526" s="521" t="str">
        <f>Intv_BA!D1348</f>
        <v>Luapula</v>
      </c>
      <c r="J1526" s="8">
        <f ca="1">J1511*Intv_BA!$M$1301/TS_Denom_Conv_Fact</f>
        <v>0</v>
      </c>
      <c r="K1526" s="8">
        <f ca="1">K1511*Intv_BA!$M$1301/TS_Denom_Conv_Fact</f>
        <v>0</v>
      </c>
      <c r="L1526" s="8">
        <f ca="1">L1511*Intv_BA!$M$1301/TS_Denom_Conv_Fact</f>
        <v>0</v>
      </c>
      <c r="M1526" s="8">
        <f ca="1">M1511*Intv_BA!$M$1301/TS_Denom_Conv_Fact</f>
        <v>0</v>
      </c>
      <c r="N1526" s="8">
        <f ca="1">N1511*Intv_BA!$M$1301/TS_Denom_Conv_Fact</f>
        <v>0</v>
      </c>
      <c r="O1526" s="8">
        <f ca="1">O1511*Intv_BA!$M$1301/TS_Denom_Conv_Fact</f>
        <v>0</v>
      </c>
    </row>
    <row r="1527" spans="4:15" s="327" customFormat="1" ht="10.5" customHeight="1" outlineLevel="2" x14ac:dyDescent="0.2">
      <c r="D1527" s="521" t="str">
        <f>Intv_BA!D1349</f>
        <v>Lusaka</v>
      </c>
      <c r="J1527" s="8">
        <f ca="1">J1512*Intv_BA!$M$1301/TS_Denom_Conv_Fact</f>
        <v>26521.424999999999</v>
      </c>
      <c r="K1527" s="8">
        <f ca="1">K1512*Intv_BA!$M$1301/TS_Denom_Conv_Fact</f>
        <v>26521.424999999999</v>
      </c>
      <c r="L1527" s="8">
        <f ca="1">L1512*Intv_BA!$M$1301/TS_Denom_Conv_Fact</f>
        <v>26521.424999999999</v>
      </c>
      <c r="M1527" s="8">
        <f ca="1">M1512*Intv_BA!$M$1301/TS_Denom_Conv_Fact</f>
        <v>26521.424999999999</v>
      </c>
      <c r="N1527" s="8">
        <f ca="1">N1512*Intv_BA!$M$1301/TS_Denom_Conv_Fact</f>
        <v>13190.55</v>
      </c>
      <c r="O1527" s="8">
        <f ca="1">O1512*Intv_BA!$M$1301/TS_Denom_Conv_Fact</f>
        <v>13190.55</v>
      </c>
    </row>
    <row r="1528" spans="4:15" s="327" customFormat="1" ht="12.75" customHeight="1" outlineLevel="2" x14ac:dyDescent="0.2">
      <c r="D1528" s="521" t="str">
        <f>Intv_BA!D1350</f>
        <v>Muchinga</v>
      </c>
      <c r="J1528" s="8">
        <f ca="1">J1513*Intv_BA!$M$1301/TS_Denom_Conv_Fact</f>
        <v>0</v>
      </c>
      <c r="K1528" s="8">
        <f ca="1">K1513*Intv_BA!$M$1301/TS_Denom_Conv_Fact</f>
        <v>0</v>
      </c>
      <c r="L1528" s="8">
        <f ca="1">L1513*Intv_BA!$M$1301/TS_Denom_Conv_Fact</f>
        <v>0</v>
      </c>
      <c r="M1528" s="8">
        <f ca="1">M1513*Intv_BA!$M$1301/TS_Denom_Conv_Fact</f>
        <v>0</v>
      </c>
      <c r="N1528" s="8">
        <f ca="1">N1513*Intv_BA!$M$1301/TS_Denom_Conv_Fact</f>
        <v>0</v>
      </c>
      <c r="O1528" s="8">
        <f ca="1">O1513*Intv_BA!$M$1301/TS_Denom_Conv_Fact</f>
        <v>0</v>
      </c>
    </row>
    <row r="1529" spans="4:15" s="327" customFormat="1" ht="12.75" customHeight="1" outlineLevel="2" x14ac:dyDescent="0.2">
      <c r="D1529" s="521" t="str">
        <f>Intv_BA!D1351</f>
        <v>Northern</v>
      </c>
      <c r="J1529" s="8">
        <f ca="1">J1514*Intv_BA!$M$1301/TS_Denom_Conv_Fact</f>
        <v>0</v>
      </c>
      <c r="K1529" s="8">
        <f ca="1">K1514*Intv_BA!$M$1301/TS_Denom_Conv_Fact</f>
        <v>0</v>
      </c>
      <c r="L1529" s="8">
        <f ca="1">L1514*Intv_BA!$M$1301/TS_Denom_Conv_Fact</f>
        <v>0</v>
      </c>
      <c r="M1529" s="8">
        <f ca="1">M1514*Intv_BA!$M$1301/TS_Denom_Conv_Fact</f>
        <v>0</v>
      </c>
      <c r="N1529" s="8">
        <f ca="1">N1514*Intv_BA!$M$1301/TS_Denom_Conv_Fact</f>
        <v>0</v>
      </c>
      <c r="O1529" s="8">
        <f ca="1">O1514*Intv_BA!$M$1301/TS_Denom_Conv_Fact</f>
        <v>0</v>
      </c>
    </row>
    <row r="1530" spans="4:15" s="327" customFormat="1" ht="12.75" customHeight="1" outlineLevel="2" x14ac:dyDescent="0.2">
      <c r="D1530" s="521" t="str">
        <f>Intv_BA!D1352</f>
        <v>North-Western</v>
      </c>
      <c r="J1530" s="8">
        <f ca="1">J1515*Intv_BA!$M$1301/TS_Denom_Conv_Fact</f>
        <v>0</v>
      </c>
      <c r="K1530" s="8">
        <f ca="1">K1515*Intv_BA!$M$1301/TS_Denom_Conv_Fact</f>
        <v>0</v>
      </c>
      <c r="L1530" s="8">
        <f ca="1">L1515*Intv_BA!$M$1301/TS_Denom_Conv_Fact</f>
        <v>0</v>
      </c>
      <c r="M1530" s="8">
        <f ca="1">M1515*Intv_BA!$M$1301/TS_Denom_Conv_Fact</f>
        <v>0</v>
      </c>
      <c r="N1530" s="8">
        <f ca="1">N1515*Intv_BA!$M$1301/TS_Denom_Conv_Fact</f>
        <v>0</v>
      </c>
      <c r="O1530" s="8">
        <f ca="1">O1515*Intv_BA!$M$1301/TS_Denom_Conv_Fact</f>
        <v>0</v>
      </c>
    </row>
    <row r="1531" spans="4:15" s="327" customFormat="1" ht="12.75" customHeight="1" outlineLevel="2" x14ac:dyDescent="0.2">
      <c r="D1531" s="521" t="str">
        <f>Intv_BA!D1353</f>
        <v>Southern</v>
      </c>
      <c r="J1531" s="8">
        <f ca="1">J1516*Intv_BA!$M$1301/TS_Denom_Conv_Fact</f>
        <v>0</v>
      </c>
      <c r="K1531" s="8">
        <f ca="1">K1516*Intv_BA!$M$1301/TS_Denom_Conv_Fact</f>
        <v>0</v>
      </c>
      <c r="L1531" s="8">
        <f ca="1">L1516*Intv_BA!$M$1301/TS_Denom_Conv_Fact</f>
        <v>0</v>
      </c>
      <c r="M1531" s="8">
        <f ca="1">M1516*Intv_BA!$M$1301/TS_Denom_Conv_Fact</f>
        <v>0</v>
      </c>
      <c r="N1531" s="8">
        <f ca="1">N1516*Intv_BA!$M$1301/TS_Denom_Conv_Fact</f>
        <v>0</v>
      </c>
      <c r="O1531" s="8">
        <f ca="1">O1516*Intv_BA!$M$1301/TS_Denom_Conv_Fact</f>
        <v>0</v>
      </c>
    </row>
    <row r="1532" spans="4:15" s="327" customFormat="1" ht="12.75" customHeight="1" outlineLevel="2" x14ac:dyDescent="0.2">
      <c r="D1532" s="521" t="str">
        <f>Intv_BA!D1354</f>
        <v>Western</v>
      </c>
      <c r="J1532" s="9">
        <f ca="1">J1517*Intv_BA!$M$1301/TS_Denom_Conv_Fact</f>
        <v>0</v>
      </c>
      <c r="K1532" s="9">
        <f ca="1">K1517*Intv_BA!$M$1301/TS_Denom_Conv_Fact</f>
        <v>0</v>
      </c>
      <c r="L1532" s="9">
        <f ca="1">L1517*Intv_BA!$M$1301/TS_Denom_Conv_Fact</f>
        <v>0</v>
      </c>
      <c r="M1532" s="9">
        <f ca="1">M1517*Intv_BA!$M$1301/TS_Denom_Conv_Fact</f>
        <v>0</v>
      </c>
      <c r="N1532" s="9">
        <f ca="1">N1517*Intv_BA!$M$1301/TS_Denom_Conv_Fact</f>
        <v>6665.4374999999991</v>
      </c>
      <c r="O1532" s="9">
        <f ca="1">O1517*Intv_BA!$M$1301/TS_Denom_Conv_Fact</f>
        <v>6665.4374999999991</v>
      </c>
    </row>
    <row r="1533" spans="4:15" s="327" customFormat="1" x14ac:dyDescent="0.2">
      <c r="D1533" s="520" t="str">
        <f>"Total "&amp;D1522&amp;" ("&amp;INDEX(LU_Intv_3_Denom,DD_TS_Denom)&amp;")"</f>
        <v>Total Supply Costs (USD)</v>
      </c>
      <c r="J1533" s="5">
        <f t="shared" ref="J1533:O1533" ca="1" si="146">SUM(J1523:J1532)</f>
        <v>26521.424999999999</v>
      </c>
      <c r="K1533" s="5">
        <f t="shared" ca="1" si="146"/>
        <v>26521.424999999999</v>
      </c>
      <c r="L1533" s="5">
        <f t="shared" ca="1" si="146"/>
        <v>26521.424999999999</v>
      </c>
      <c r="M1533" s="5">
        <f t="shared" ca="1" si="146"/>
        <v>26521.424999999999</v>
      </c>
      <c r="N1533" s="5">
        <f t="shared" ca="1" si="146"/>
        <v>26521.424999999999</v>
      </c>
      <c r="O1533" s="5">
        <f t="shared" ca="1" si="146"/>
        <v>26521.424999999999</v>
      </c>
    </row>
    <row r="1534" spans="4:15" s="327" customFormat="1" outlineLevel="2" x14ac:dyDescent="0.2"/>
    <row r="1535" spans="4:15" s="327" customFormat="1" ht="15" outlineLevel="2" x14ac:dyDescent="0.2">
      <c r="D1535" s="519" t="s">
        <v>288</v>
      </c>
    </row>
    <row r="1536" spans="4:15" s="327" customFormat="1" outlineLevel="2" x14ac:dyDescent="0.2">
      <c r="D1536" s="521" t="str">
        <f>Intv_BA!D1345</f>
        <v>Central</v>
      </c>
      <c r="J1536" s="8">
        <f ca="1">Intv_BA!$O$1266*J1508*J1427/TS_Denom_Conv_Fact</f>
        <v>0</v>
      </c>
      <c r="K1536" s="8">
        <f ca="1">Intv_BA!$O$1266*K1508*K1427/TS_Denom_Conv_Fact</f>
        <v>0</v>
      </c>
      <c r="L1536" s="8">
        <f ca="1">Intv_BA!$O$1266*L1508*L1427/TS_Denom_Conv_Fact</f>
        <v>0</v>
      </c>
      <c r="M1536" s="8">
        <f ca="1">Intv_BA!$O$1266*M1508*M1427/TS_Denom_Conv_Fact</f>
        <v>0</v>
      </c>
      <c r="N1536" s="8">
        <f ca="1">Intv_BA!$O$1266*N1508*N1427/TS_Denom_Conv_Fact</f>
        <v>0</v>
      </c>
      <c r="O1536" s="8">
        <f ca="1">Intv_BA!$O$1266*O1508*O1427/TS_Denom_Conv_Fact</f>
        <v>0</v>
      </c>
    </row>
    <row r="1537" spans="4:15" s="327" customFormat="1" outlineLevel="2" x14ac:dyDescent="0.2">
      <c r="D1537" s="521" t="str">
        <f>Intv_BA!D1346</f>
        <v>Copperbelt</v>
      </c>
      <c r="J1537" s="8">
        <f ca="1">Intv_BA!$O$1266*J1509*J1428/TS_Denom_Conv_Fact</f>
        <v>0</v>
      </c>
      <c r="K1537" s="8">
        <f ca="1">Intv_BA!$O$1266*K1509*K1428/TS_Denom_Conv_Fact</f>
        <v>0</v>
      </c>
      <c r="L1537" s="8">
        <f ca="1">Intv_BA!$O$1266*L1509*L1428/TS_Denom_Conv_Fact</f>
        <v>0</v>
      </c>
      <c r="M1537" s="8">
        <f ca="1">Intv_BA!$O$1266*M1509*M1428/TS_Denom_Conv_Fact</f>
        <v>0</v>
      </c>
      <c r="N1537" s="8">
        <f ca="1">Intv_BA!$O$1266*N1509*N1428/TS_Denom_Conv_Fact</f>
        <v>4688.9308014668559</v>
      </c>
      <c r="O1537" s="8">
        <f ca="1">Intv_BA!$O$1266*O1509*O1428/TS_Denom_Conv_Fact</f>
        <v>4688.9308014668559</v>
      </c>
    </row>
    <row r="1538" spans="4:15" s="327" customFormat="1" outlineLevel="2" x14ac:dyDescent="0.2">
      <c r="D1538" s="521" t="str">
        <f>Intv_BA!D1347</f>
        <v>Eastern</v>
      </c>
      <c r="J1538" s="8">
        <f ca="1">Intv_BA!$O$1266*J1510*J1429/TS_Denom_Conv_Fact</f>
        <v>0</v>
      </c>
      <c r="K1538" s="8">
        <f ca="1">Intv_BA!$O$1266*K1510*K1429/TS_Denom_Conv_Fact</f>
        <v>0</v>
      </c>
      <c r="L1538" s="8">
        <f ca="1">Intv_BA!$O$1266*L1510*L1429/TS_Denom_Conv_Fact</f>
        <v>0</v>
      </c>
      <c r="M1538" s="8">
        <f ca="1">Intv_BA!$O$1266*M1510*M1429/TS_Denom_Conv_Fact</f>
        <v>0</v>
      </c>
      <c r="N1538" s="8">
        <f ca="1">Intv_BA!$O$1266*N1510*N1429/TS_Denom_Conv_Fact</f>
        <v>0</v>
      </c>
      <c r="O1538" s="8">
        <f ca="1">Intv_BA!$O$1266*O1510*O1429/TS_Denom_Conv_Fact</f>
        <v>0</v>
      </c>
    </row>
    <row r="1539" spans="4:15" s="327" customFormat="1" outlineLevel="2" x14ac:dyDescent="0.2">
      <c r="D1539" s="521" t="str">
        <f>Intv_BA!D1348</f>
        <v>Luapula</v>
      </c>
      <c r="J1539" s="8">
        <f ca="1">Intv_BA!$O$1266*J1511*J1430/TS_Denom_Conv_Fact</f>
        <v>0</v>
      </c>
      <c r="K1539" s="8">
        <f ca="1">Intv_BA!$O$1266*K1511*K1430/TS_Denom_Conv_Fact</f>
        <v>0</v>
      </c>
      <c r="L1539" s="8">
        <f ca="1">Intv_BA!$O$1266*L1511*L1430/TS_Denom_Conv_Fact</f>
        <v>0</v>
      </c>
      <c r="M1539" s="8">
        <f ca="1">Intv_BA!$O$1266*M1511*M1430/TS_Denom_Conv_Fact</f>
        <v>0</v>
      </c>
      <c r="N1539" s="8">
        <f ca="1">Intv_BA!$O$1266*N1511*N1430/TS_Denom_Conv_Fact</f>
        <v>0</v>
      </c>
      <c r="O1539" s="8">
        <f ca="1">Intv_BA!$O$1266*O1511*O1430/TS_Denom_Conv_Fact</f>
        <v>0</v>
      </c>
    </row>
    <row r="1540" spans="4:15" s="327" customFormat="1" outlineLevel="2" x14ac:dyDescent="0.2">
      <c r="D1540" s="521" t="str">
        <f>Intv_BA!D1349</f>
        <v>Lusaka</v>
      </c>
      <c r="J1540" s="8">
        <f ca="1">Intv_BA!$O$1266*J1512*J1431/TS_Denom_Conv_Fact</f>
        <v>18657.008873204963</v>
      </c>
      <c r="K1540" s="8">
        <f ca="1">Intv_BA!$O$1266*K1512*K1431/TS_Denom_Conv_Fact</f>
        <v>18657.008873204963</v>
      </c>
      <c r="L1540" s="8">
        <f ca="1">Intv_BA!$O$1266*L1512*L1431/TS_Denom_Conv_Fact</f>
        <v>18657.008873204963</v>
      </c>
      <c r="M1540" s="8">
        <f ca="1">Intv_BA!$O$1266*M1512*M1431/TS_Denom_Conv_Fact</f>
        <v>18657.008873204963</v>
      </c>
      <c r="N1540" s="8">
        <f ca="1">Intv_BA!$O$1266*N1512*N1431/TS_Denom_Conv_Fact</f>
        <v>9279.1472702712508</v>
      </c>
      <c r="O1540" s="8">
        <f ca="1">Intv_BA!$O$1266*O1512*O1431/TS_Denom_Conv_Fact</f>
        <v>9279.1472702712508</v>
      </c>
    </row>
    <row r="1541" spans="4:15" s="327" customFormat="1" outlineLevel="2" x14ac:dyDescent="0.2">
      <c r="D1541" s="521" t="str">
        <f>Intv_BA!D1350</f>
        <v>Muchinga</v>
      </c>
      <c r="J1541" s="8">
        <f ca="1">Intv_BA!$O$1266*J1513*J1432/TS_Denom_Conv_Fact</f>
        <v>0</v>
      </c>
      <c r="K1541" s="8">
        <f ca="1">Intv_BA!$O$1266*K1513*K1432/TS_Denom_Conv_Fact</f>
        <v>0</v>
      </c>
      <c r="L1541" s="8">
        <f ca="1">Intv_BA!$O$1266*L1513*L1432/TS_Denom_Conv_Fact</f>
        <v>0</v>
      </c>
      <c r="M1541" s="8">
        <f ca="1">Intv_BA!$O$1266*M1513*M1432/TS_Denom_Conv_Fact</f>
        <v>0</v>
      </c>
      <c r="N1541" s="8">
        <f ca="1">Intv_BA!$O$1266*N1513*N1432/TS_Denom_Conv_Fact</f>
        <v>0</v>
      </c>
      <c r="O1541" s="8">
        <f ca="1">Intv_BA!$O$1266*O1513*O1432/TS_Denom_Conv_Fact</f>
        <v>0</v>
      </c>
    </row>
    <row r="1542" spans="4:15" s="327" customFormat="1" outlineLevel="2" x14ac:dyDescent="0.2">
      <c r="D1542" s="521" t="str">
        <f>Intv_BA!D1351</f>
        <v>Northern</v>
      </c>
      <c r="J1542" s="8">
        <f ca="1">Intv_BA!$O$1266*J1514*J1433/TS_Denom_Conv_Fact</f>
        <v>0</v>
      </c>
      <c r="K1542" s="8">
        <f ca="1">Intv_BA!$O$1266*K1514*K1433/TS_Denom_Conv_Fact</f>
        <v>0</v>
      </c>
      <c r="L1542" s="8">
        <f ca="1">Intv_BA!$O$1266*L1514*L1433/TS_Denom_Conv_Fact</f>
        <v>0</v>
      </c>
      <c r="M1542" s="8">
        <f ca="1">Intv_BA!$O$1266*M1514*M1433/TS_Denom_Conv_Fact</f>
        <v>0</v>
      </c>
      <c r="N1542" s="8">
        <f ca="1">Intv_BA!$O$1266*N1514*N1433/TS_Denom_Conv_Fact</f>
        <v>0</v>
      </c>
      <c r="O1542" s="8">
        <f ca="1">Intv_BA!$O$1266*O1514*O1433/TS_Denom_Conv_Fact</f>
        <v>0</v>
      </c>
    </row>
    <row r="1543" spans="4:15" s="327" customFormat="1" outlineLevel="2" x14ac:dyDescent="0.2">
      <c r="D1543" s="521" t="str">
        <f>Intv_BA!D1352</f>
        <v>North-Western</v>
      </c>
      <c r="J1543" s="8">
        <f ca="1">Intv_BA!$O$1266*J1515*J1434/TS_Denom_Conv_Fact</f>
        <v>0</v>
      </c>
      <c r="K1543" s="8">
        <f ca="1">Intv_BA!$O$1266*K1515*K1434/TS_Denom_Conv_Fact</f>
        <v>0</v>
      </c>
      <c r="L1543" s="8">
        <f ca="1">Intv_BA!$O$1266*L1515*L1434/TS_Denom_Conv_Fact</f>
        <v>0</v>
      </c>
      <c r="M1543" s="8">
        <f ca="1">Intv_BA!$O$1266*M1515*M1434/TS_Denom_Conv_Fact</f>
        <v>0</v>
      </c>
      <c r="N1543" s="8">
        <f ca="1">Intv_BA!$O$1266*N1515*N1434/TS_Denom_Conv_Fact</f>
        <v>0</v>
      </c>
      <c r="O1543" s="8">
        <f ca="1">Intv_BA!$O$1266*O1515*O1434/TS_Denom_Conv_Fact</f>
        <v>0</v>
      </c>
    </row>
    <row r="1544" spans="4:15" s="327" customFormat="1" outlineLevel="2" x14ac:dyDescent="0.2">
      <c r="D1544" s="521" t="str">
        <f>Intv_BA!D1353</f>
        <v>Southern</v>
      </c>
      <c r="J1544" s="8">
        <f ca="1">Intv_BA!$O$1266*J1516*J1435/TS_Denom_Conv_Fact</f>
        <v>0</v>
      </c>
      <c r="K1544" s="8">
        <f ca="1">Intv_BA!$O$1266*K1516*K1435/TS_Denom_Conv_Fact</f>
        <v>0</v>
      </c>
      <c r="L1544" s="8">
        <f ca="1">Intv_BA!$O$1266*L1516*L1435/TS_Denom_Conv_Fact</f>
        <v>0</v>
      </c>
      <c r="M1544" s="8">
        <f ca="1">Intv_BA!$O$1266*M1516*M1435/TS_Denom_Conv_Fact</f>
        <v>0</v>
      </c>
      <c r="N1544" s="8">
        <f ca="1">Intv_BA!$O$1266*N1516*N1435/TS_Denom_Conv_Fact</f>
        <v>0</v>
      </c>
      <c r="O1544" s="8">
        <f ca="1">Intv_BA!$O$1266*O1516*O1435/TS_Denom_Conv_Fact</f>
        <v>0</v>
      </c>
    </row>
    <row r="1545" spans="4:15" s="327" customFormat="1" outlineLevel="2" x14ac:dyDescent="0.2">
      <c r="D1545" s="521" t="str">
        <f>Intv_BA!D1354</f>
        <v>Western</v>
      </c>
      <c r="J1545" s="9">
        <f ca="1">Intv_BA!$O$1266*J1517*J1436/TS_Denom_Conv_Fact</f>
        <v>0</v>
      </c>
      <c r="K1545" s="9">
        <f ca="1">Intv_BA!$O$1266*K1517*K1436/TS_Denom_Conv_Fact</f>
        <v>0</v>
      </c>
      <c r="L1545" s="9">
        <f ca="1">Intv_BA!$O$1266*L1517*L1436/TS_Denom_Conv_Fact</f>
        <v>0</v>
      </c>
      <c r="M1545" s="9">
        <f ca="1">Intv_BA!$O$1266*M1517*M1436/TS_Denom_Conv_Fact</f>
        <v>0</v>
      </c>
      <c r="N1545" s="9">
        <f ca="1">Intv_BA!$O$1266*N1517*N1436/TS_Denom_Conv_Fact</f>
        <v>4688.9308014668559</v>
      </c>
      <c r="O1545" s="9">
        <f ca="1">Intv_BA!$O$1266*O1517*O1436/TS_Denom_Conv_Fact</f>
        <v>4688.9308014668559</v>
      </c>
    </row>
    <row r="1546" spans="4:15" s="327" customFormat="1" x14ac:dyDescent="0.2">
      <c r="D1546" s="520" t="str">
        <f>"Total "&amp;D1535&amp;" ("&amp;INDEX(LU_Intv_3_Denom,DD_TS_Denom)&amp;")"</f>
        <v>Total Personnel Costs (Hospital) (USD)</v>
      </c>
      <c r="J1546" s="5">
        <f t="shared" ref="J1546:O1546" ca="1" si="147">SUM(J1536:J1545)</f>
        <v>18657.008873204963</v>
      </c>
      <c r="K1546" s="5">
        <f t="shared" ca="1" si="147"/>
        <v>18657.008873204963</v>
      </c>
      <c r="L1546" s="5">
        <f t="shared" ca="1" si="147"/>
        <v>18657.008873204963</v>
      </c>
      <c r="M1546" s="5">
        <f t="shared" ca="1" si="147"/>
        <v>18657.008873204963</v>
      </c>
      <c r="N1546" s="5">
        <f t="shared" ca="1" si="147"/>
        <v>18657.008873204963</v>
      </c>
      <c r="O1546" s="5">
        <f t="shared" ca="1" si="147"/>
        <v>18657.008873204963</v>
      </c>
    </row>
    <row r="1547" spans="4:15" s="327" customFormat="1" outlineLevel="2" x14ac:dyDescent="0.2"/>
    <row r="1548" spans="4:15" s="327" customFormat="1" ht="15" outlineLevel="2" x14ac:dyDescent="0.2">
      <c r="D1548" s="519" t="s">
        <v>115</v>
      </c>
    </row>
    <row r="1549" spans="4:15" s="327" customFormat="1" outlineLevel="2" x14ac:dyDescent="0.2">
      <c r="D1549" s="521" t="str">
        <f>Intv_BA!D1345</f>
        <v>Central</v>
      </c>
      <c r="J1549" s="8">
        <f ca="1">Intv_BA!$O$1280*J1508*(1-J1427)/TS_Denom_Conv_Fact</f>
        <v>0</v>
      </c>
      <c r="K1549" s="8">
        <f ca="1">Intv_BA!$O$1280*K1508*(1-K1427)/TS_Denom_Conv_Fact</f>
        <v>0</v>
      </c>
      <c r="L1549" s="8">
        <f ca="1">Intv_BA!$O$1280*L1508*(1-L1427)/TS_Denom_Conv_Fact</f>
        <v>0</v>
      </c>
      <c r="M1549" s="8">
        <f ca="1">Intv_BA!$O$1280*M1508*(1-M1427)/TS_Denom_Conv_Fact</f>
        <v>0</v>
      </c>
      <c r="N1549" s="8">
        <f ca="1">Intv_BA!$O$1280*N1508*(1-N1427)/TS_Denom_Conv_Fact</f>
        <v>0</v>
      </c>
      <c r="O1549" s="8">
        <f ca="1">Intv_BA!$O$1280*O1508*(1-O1427)/TS_Denom_Conv_Fact</f>
        <v>0</v>
      </c>
    </row>
    <row r="1550" spans="4:15" s="327" customFormat="1" outlineLevel="2" x14ac:dyDescent="0.2">
      <c r="D1550" s="521" t="str">
        <f>Intv_BA!D1346</f>
        <v>Copperbelt</v>
      </c>
      <c r="J1550" s="8">
        <f ca="1">Intv_BA!$O$1280*J1509*(1-J1428)/TS_Denom_Conv_Fact</f>
        <v>0</v>
      </c>
      <c r="K1550" s="8">
        <f ca="1">Intv_BA!$O$1280*K1509*(1-K1428)/TS_Denom_Conv_Fact</f>
        <v>0</v>
      </c>
      <c r="L1550" s="8">
        <f ca="1">Intv_BA!$O$1280*L1509*(1-L1428)/TS_Denom_Conv_Fact</f>
        <v>0</v>
      </c>
      <c r="M1550" s="8">
        <f ca="1">Intv_BA!$O$1280*M1509*(1-M1428)/TS_Denom_Conv_Fact</f>
        <v>0</v>
      </c>
      <c r="N1550" s="8">
        <f ca="1">Intv_BA!$O$1280*N1509*(1-N1428)/TS_Denom_Conv_Fact</f>
        <v>0</v>
      </c>
      <c r="O1550" s="8">
        <f ca="1">Intv_BA!$O$1280*O1509*(1-O1428)/TS_Denom_Conv_Fact</f>
        <v>0</v>
      </c>
    </row>
    <row r="1551" spans="4:15" s="327" customFormat="1" outlineLevel="2" x14ac:dyDescent="0.2">
      <c r="D1551" s="521" t="str">
        <f>Intv_BA!D1347</f>
        <v>Eastern</v>
      </c>
      <c r="J1551" s="8">
        <f ca="1">Intv_BA!$O$1280*J1510*(1-J1429)/TS_Denom_Conv_Fact</f>
        <v>0</v>
      </c>
      <c r="K1551" s="8">
        <f ca="1">Intv_BA!$O$1280*K1510*(1-K1429)/TS_Denom_Conv_Fact</f>
        <v>0</v>
      </c>
      <c r="L1551" s="8">
        <f ca="1">Intv_BA!$O$1280*L1510*(1-L1429)/TS_Denom_Conv_Fact</f>
        <v>0</v>
      </c>
      <c r="M1551" s="8">
        <f ca="1">Intv_BA!$O$1280*M1510*(1-M1429)/TS_Denom_Conv_Fact</f>
        <v>0</v>
      </c>
      <c r="N1551" s="8">
        <f ca="1">Intv_BA!$O$1280*N1510*(1-N1429)/TS_Denom_Conv_Fact</f>
        <v>0</v>
      </c>
      <c r="O1551" s="8">
        <f ca="1">Intv_BA!$O$1280*O1510*(1-O1429)/TS_Denom_Conv_Fact</f>
        <v>0</v>
      </c>
    </row>
    <row r="1552" spans="4:15" s="327" customFormat="1" outlineLevel="2" x14ac:dyDescent="0.2">
      <c r="D1552" s="521" t="str">
        <f>Intv_BA!D1348</f>
        <v>Luapula</v>
      </c>
      <c r="J1552" s="8">
        <f ca="1">Intv_BA!$O$1280*J1511*(1-J1430)/TS_Denom_Conv_Fact</f>
        <v>0</v>
      </c>
      <c r="K1552" s="8">
        <f ca="1">Intv_BA!$O$1280*K1511*(1-K1430)/TS_Denom_Conv_Fact</f>
        <v>0</v>
      </c>
      <c r="L1552" s="8">
        <f ca="1">Intv_BA!$O$1280*L1511*(1-L1430)/TS_Denom_Conv_Fact</f>
        <v>0</v>
      </c>
      <c r="M1552" s="8">
        <f ca="1">Intv_BA!$O$1280*M1511*(1-M1430)/TS_Denom_Conv_Fact</f>
        <v>0</v>
      </c>
      <c r="N1552" s="8">
        <f ca="1">Intv_BA!$O$1280*N1511*(1-N1430)/TS_Denom_Conv_Fact</f>
        <v>0</v>
      </c>
      <c r="O1552" s="8">
        <f ca="1">Intv_BA!$O$1280*O1511*(1-O1430)/TS_Denom_Conv_Fact</f>
        <v>0</v>
      </c>
    </row>
    <row r="1553" spans="4:15" s="327" customFormat="1" outlineLevel="2" x14ac:dyDescent="0.2">
      <c r="D1553" s="521" t="str">
        <f>Intv_BA!D1349</f>
        <v>Lusaka</v>
      </c>
      <c r="J1553" s="8">
        <f ca="1">Intv_BA!$O$1280*J1512*(1-J1431)/TS_Denom_Conv_Fact</f>
        <v>0</v>
      </c>
      <c r="K1553" s="8">
        <f ca="1">Intv_BA!$O$1280*K1512*(1-K1431)/TS_Denom_Conv_Fact</f>
        <v>0</v>
      </c>
      <c r="L1553" s="8">
        <f ca="1">Intv_BA!$O$1280*L1512*(1-L1431)/TS_Denom_Conv_Fact</f>
        <v>0</v>
      </c>
      <c r="M1553" s="8">
        <f ca="1">Intv_BA!$O$1280*M1512*(1-M1431)/TS_Denom_Conv_Fact</f>
        <v>0</v>
      </c>
      <c r="N1553" s="8">
        <f ca="1">Intv_BA!$O$1280*N1512*(1-N1431)/TS_Denom_Conv_Fact</f>
        <v>0</v>
      </c>
      <c r="O1553" s="8">
        <f ca="1">Intv_BA!$O$1280*O1512*(1-O1431)/TS_Denom_Conv_Fact</f>
        <v>0</v>
      </c>
    </row>
    <row r="1554" spans="4:15" s="327" customFormat="1" outlineLevel="2" x14ac:dyDescent="0.2">
      <c r="D1554" s="521" t="str">
        <f>Intv_BA!D1350</f>
        <v>Muchinga</v>
      </c>
      <c r="J1554" s="8">
        <f ca="1">Intv_BA!$O$1280*J1513*(1-J1432)/TS_Denom_Conv_Fact</f>
        <v>0</v>
      </c>
      <c r="K1554" s="8">
        <f ca="1">Intv_BA!$O$1280*K1513*(1-K1432)/TS_Denom_Conv_Fact</f>
        <v>0</v>
      </c>
      <c r="L1554" s="8">
        <f ca="1">Intv_BA!$O$1280*L1513*(1-L1432)/TS_Denom_Conv_Fact</f>
        <v>0</v>
      </c>
      <c r="M1554" s="8">
        <f ca="1">Intv_BA!$O$1280*M1513*(1-M1432)/TS_Denom_Conv_Fact</f>
        <v>0</v>
      </c>
      <c r="N1554" s="8">
        <f ca="1">Intv_BA!$O$1280*N1513*(1-N1432)/TS_Denom_Conv_Fact</f>
        <v>0</v>
      </c>
      <c r="O1554" s="8">
        <f ca="1">Intv_BA!$O$1280*O1513*(1-O1432)/TS_Denom_Conv_Fact</f>
        <v>0</v>
      </c>
    </row>
    <row r="1555" spans="4:15" s="327" customFormat="1" outlineLevel="2" x14ac:dyDescent="0.2">
      <c r="D1555" s="521" t="str">
        <f>Intv_BA!D1351</f>
        <v>Northern</v>
      </c>
      <c r="J1555" s="8">
        <f ca="1">Intv_BA!$O$1280*J1514*(1-J1433)/TS_Denom_Conv_Fact</f>
        <v>0</v>
      </c>
      <c r="K1555" s="8">
        <f ca="1">Intv_BA!$O$1280*K1514*(1-K1433)/TS_Denom_Conv_Fact</f>
        <v>0</v>
      </c>
      <c r="L1555" s="8">
        <f ca="1">Intv_BA!$O$1280*L1514*(1-L1433)/TS_Denom_Conv_Fact</f>
        <v>0</v>
      </c>
      <c r="M1555" s="8">
        <f ca="1">Intv_BA!$O$1280*M1514*(1-M1433)/TS_Denom_Conv_Fact</f>
        <v>0</v>
      </c>
      <c r="N1555" s="8">
        <f ca="1">Intv_BA!$O$1280*N1514*(1-N1433)/TS_Denom_Conv_Fact</f>
        <v>0</v>
      </c>
      <c r="O1555" s="8">
        <f ca="1">Intv_BA!$O$1280*O1514*(1-O1433)/TS_Denom_Conv_Fact</f>
        <v>0</v>
      </c>
    </row>
    <row r="1556" spans="4:15" s="327" customFormat="1" outlineLevel="2" x14ac:dyDescent="0.2">
      <c r="D1556" s="521" t="str">
        <f>Intv_BA!D1352</f>
        <v>North-Western</v>
      </c>
      <c r="J1556" s="8">
        <f ca="1">Intv_BA!$O$1280*J1515*(1-J1434)/TS_Denom_Conv_Fact</f>
        <v>0</v>
      </c>
      <c r="K1556" s="8">
        <f ca="1">Intv_BA!$O$1280*K1515*(1-K1434)/TS_Denom_Conv_Fact</f>
        <v>0</v>
      </c>
      <c r="L1556" s="8">
        <f ca="1">Intv_BA!$O$1280*L1515*(1-L1434)/TS_Denom_Conv_Fact</f>
        <v>0</v>
      </c>
      <c r="M1556" s="8">
        <f ca="1">Intv_BA!$O$1280*M1515*(1-M1434)/TS_Denom_Conv_Fact</f>
        <v>0</v>
      </c>
      <c r="N1556" s="8">
        <f ca="1">Intv_BA!$O$1280*N1515*(1-N1434)/TS_Denom_Conv_Fact</f>
        <v>0</v>
      </c>
      <c r="O1556" s="8">
        <f ca="1">Intv_BA!$O$1280*O1515*(1-O1434)/TS_Denom_Conv_Fact</f>
        <v>0</v>
      </c>
    </row>
    <row r="1557" spans="4:15" s="327" customFormat="1" outlineLevel="2" x14ac:dyDescent="0.2">
      <c r="D1557" s="521" t="str">
        <f>Intv_BA!D1353</f>
        <v>Southern</v>
      </c>
      <c r="J1557" s="8">
        <f ca="1">Intv_BA!$O$1280*J1516*(1-J1435)/TS_Denom_Conv_Fact</f>
        <v>0</v>
      </c>
      <c r="K1557" s="8">
        <f ca="1">Intv_BA!$O$1280*K1516*(1-K1435)/TS_Denom_Conv_Fact</f>
        <v>0</v>
      </c>
      <c r="L1557" s="8">
        <f ca="1">Intv_BA!$O$1280*L1516*(1-L1435)/TS_Denom_Conv_Fact</f>
        <v>0</v>
      </c>
      <c r="M1557" s="8">
        <f ca="1">Intv_BA!$O$1280*M1516*(1-M1435)/TS_Denom_Conv_Fact</f>
        <v>0</v>
      </c>
      <c r="N1557" s="8">
        <f ca="1">Intv_BA!$O$1280*N1516*(1-N1435)/TS_Denom_Conv_Fact</f>
        <v>0</v>
      </c>
      <c r="O1557" s="8">
        <f ca="1">Intv_BA!$O$1280*O1516*(1-O1435)/TS_Denom_Conv_Fact</f>
        <v>0</v>
      </c>
    </row>
    <row r="1558" spans="4:15" s="327" customFormat="1" outlineLevel="2" x14ac:dyDescent="0.2">
      <c r="D1558" s="521" t="str">
        <f>Intv_BA!D1354</f>
        <v>Western</v>
      </c>
      <c r="J1558" s="9">
        <f ca="1">Intv_BA!$O$1280*J1517*(1-J1436)/TS_Denom_Conv_Fact</f>
        <v>0</v>
      </c>
      <c r="K1558" s="9">
        <f ca="1">Intv_BA!$O$1280*K1517*(1-K1436)/TS_Denom_Conv_Fact</f>
        <v>0</v>
      </c>
      <c r="L1558" s="9">
        <f ca="1">Intv_BA!$O$1280*L1517*(1-L1436)/TS_Denom_Conv_Fact</f>
        <v>0</v>
      </c>
      <c r="M1558" s="9">
        <f ca="1">Intv_BA!$O$1280*M1517*(1-M1436)/TS_Denom_Conv_Fact</f>
        <v>0</v>
      </c>
      <c r="N1558" s="9">
        <f ca="1">Intv_BA!$O$1280*N1517*(1-N1436)/TS_Denom_Conv_Fact</f>
        <v>0</v>
      </c>
      <c r="O1558" s="9">
        <f ca="1">Intv_BA!$O$1280*O1517*(1-O1436)/TS_Denom_Conv_Fact</f>
        <v>0</v>
      </c>
    </row>
    <row r="1559" spans="4:15" s="327" customFormat="1" x14ac:dyDescent="0.2">
      <c r="D1559" s="520" t="str">
        <f>"Total "&amp;D1548&amp;" ("&amp;INDEX(LU_Intv_3_Denom,DD_TS_Denom)&amp;")"</f>
        <v>Total Personnel Costs (Other) (USD)</v>
      </c>
      <c r="J1559" s="5">
        <f t="shared" ref="J1559:O1559" ca="1" si="148">SUM(J1549:J1558)</f>
        <v>0</v>
      </c>
      <c r="K1559" s="5">
        <f t="shared" ca="1" si="148"/>
        <v>0</v>
      </c>
      <c r="L1559" s="5">
        <f t="shared" ca="1" si="148"/>
        <v>0</v>
      </c>
      <c r="M1559" s="5">
        <f t="shared" ca="1" si="148"/>
        <v>0</v>
      </c>
      <c r="N1559" s="5">
        <f t="shared" ca="1" si="148"/>
        <v>0</v>
      </c>
      <c r="O1559" s="5">
        <f t="shared" ca="1" si="148"/>
        <v>0</v>
      </c>
    </row>
    <row r="1560" spans="4:15" s="327" customFormat="1" outlineLevel="2" x14ac:dyDescent="0.2"/>
    <row r="1561" spans="4:15" s="327" customFormat="1" ht="15" outlineLevel="2" x14ac:dyDescent="0.2">
      <c r="D1561" s="519" t="s">
        <v>143</v>
      </c>
    </row>
    <row r="1562" spans="4:15" s="327" customFormat="1" outlineLevel="2" x14ac:dyDescent="0.2">
      <c r="D1562" s="521" t="str">
        <f>Intv_BA!D1345</f>
        <v>Central</v>
      </c>
      <c r="J1562" s="8">
        <f ca="1">J1508*Intv_BA!$M$1335/TS_Denom_Conv_Fact</f>
        <v>0</v>
      </c>
      <c r="K1562" s="8">
        <f ca="1">K1508*Intv_BA!$M$1335/TS_Denom_Conv_Fact</f>
        <v>0</v>
      </c>
      <c r="L1562" s="8">
        <f ca="1">L1508*Intv_BA!$M$1335/TS_Denom_Conv_Fact</f>
        <v>0</v>
      </c>
      <c r="M1562" s="8">
        <f ca="1">M1508*Intv_BA!$M$1335/TS_Denom_Conv_Fact</f>
        <v>0</v>
      </c>
      <c r="N1562" s="8">
        <f ca="1">N1508*Intv_BA!$M$1335/TS_Denom_Conv_Fact</f>
        <v>0</v>
      </c>
      <c r="O1562" s="8">
        <f ca="1">O1508*Intv_BA!$M$1335/TS_Denom_Conv_Fact</f>
        <v>0</v>
      </c>
    </row>
    <row r="1563" spans="4:15" s="327" customFormat="1" outlineLevel="2" x14ac:dyDescent="0.2">
      <c r="D1563" s="521" t="str">
        <f>Intv_BA!D1346</f>
        <v>Copperbelt</v>
      </c>
      <c r="J1563" s="8">
        <f ca="1">J1509*Intv_BA!$M$1335/TS_Denom_Conv_Fact</f>
        <v>0</v>
      </c>
      <c r="K1563" s="8">
        <f ca="1">K1509*Intv_BA!$M$1335/TS_Denom_Conv_Fact</f>
        <v>0</v>
      </c>
      <c r="L1563" s="8">
        <f ca="1">L1509*Intv_BA!$M$1335/TS_Denom_Conv_Fact</f>
        <v>0</v>
      </c>
      <c r="M1563" s="8">
        <f ca="1">M1509*Intv_BA!$M$1335/TS_Denom_Conv_Fact</f>
        <v>0</v>
      </c>
      <c r="N1563" s="8">
        <f ca="1">N1509*Intv_BA!$M$1335/TS_Denom_Conv_Fact</f>
        <v>1107.7</v>
      </c>
      <c r="O1563" s="8">
        <f ca="1">O1509*Intv_BA!$M$1335/TS_Denom_Conv_Fact</f>
        <v>1107.7</v>
      </c>
    </row>
    <row r="1564" spans="4:15" s="327" customFormat="1" outlineLevel="2" x14ac:dyDescent="0.2">
      <c r="D1564" s="521" t="str">
        <f>Intv_BA!D1347</f>
        <v>Eastern</v>
      </c>
      <c r="J1564" s="8">
        <f ca="1">J1510*Intv_BA!$M$1335/TS_Denom_Conv_Fact</f>
        <v>0</v>
      </c>
      <c r="K1564" s="8">
        <f ca="1">K1510*Intv_BA!$M$1335/TS_Denom_Conv_Fact</f>
        <v>0</v>
      </c>
      <c r="L1564" s="8">
        <f ca="1">L1510*Intv_BA!$M$1335/TS_Denom_Conv_Fact</f>
        <v>0</v>
      </c>
      <c r="M1564" s="8">
        <f ca="1">M1510*Intv_BA!$M$1335/TS_Denom_Conv_Fact</f>
        <v>0</v>
      </c>
      <c r="N1564" s="8">
        <f ca="1">N1510*Intv_BA!$M$1335/TS_Denom_Conv_Fact</f>
        <v>0</v>
      </c>
      <c r="O1564" s="8">
        <f ca="1">O1510*Intv_BA!$M$1335/TS_Denom_Conv_Fact</f>
        <v>0</v>
      </c>
    </row>
    <row r="1565" spans="4:15" s="327" customFormat="1" outlineLevel="2" x14ac:dyDescent="0.2">
      <c r="D1565" s="521" t="str">
        <f>Intv_BA!D1348</f>
        <v>Luapula</v>
      </c>
      <c r="J1565" s="8">
        <f ca="1">J1511*Intv_BA!$M$1335/TS_Denom_Conv_Fact</f>
        <v>0</v>
      </c>
      <c r="K1565" s="8">
        <f ca="1">K1511*Intv_BA!$M$1335/TS_Denom_Conv_Fact</f>
        <v>0</v>
      </c>
      <c r="L1565" s="8">
        <f ca="1">L1511*Intv_BA!$M$1335/TS_Denom_Conv_Fact</f>
        <v>0</v>
      </c>
      <c r="M1565" s="8">
        <f ca="1">M1511*Intv_BA!$M$1335/TS_Denom_Conv_Fact</f>
        <v>0</v>
      </c>
      <c r="N1565" s="8">
        <f ca="1">N1511*Intv_BA!$M$1335/TS_Denom_Conv_Fact</f>
        <v>0</v>
      </c>
      <c r="O1565" s="8">
        <f ca="1">O1511*Intv_BA!$M$1335/TS_Denom_Conv_Fact</f>
        <v>0</v>
      </c>
    </row>
    <row r="1566" spans="4:15" s="327" customFormat="1" outlineLevel="2" x14ac:dyDescent="0.2">
      <c r="D1566" s="521" t="str">
        <f>Intv_BA!D1349</f>
        <v>Lusaka</v>
      </c>
      <c r="J1566" s="8">
        <f ca="1">J1512*Intv_BA!$M$1335/TS_Denom_Conv_Fact</f>
        <v>4407.4800000000005</v>
      </c>
      <c r="K1566" s="8">
        <f ca="1">K1512*Intv_BA!$M$1335/TS_Denom_Conv_Fact</f>
        <v>4407.4800000000005</v>
      </c>
      <c r="L1566" s="8">
        <f ca="1">L1512*Intv_BA!$M$1335/TS_Denom_Conv_Fact</f>
        <v>4407.4800000000005</v>
      </c>
      <c r="M1566" s="8">
        <f ca="1">M1512*Intv_BA!$M$1335/TS_Denom_Conv_Fact</f>
        <v>4407.4800000000005</v>
      </c>
      <c r="N1566" s="8">
        <f ca="1">N1512*Intv_BA!$M$1335/TS_Denom_Conv_Fact</f>
        <v>2192.08</v>
      </c>
      <c r="O1566" s="8">
        <f ca="1">O1512*Intv_BA!$M$1335/TS_Denom_Conv_Fact</f>
        <v>2192.08</v>
      </c>
    </row>
    <row r="1567" spans="4:15" s="327" customFormat="1" outlineLevel="2" x14ac:dyDescent="0.2">
      <c r="D1567" s="521" t="str">
        <f>Intv_BA!D1350</f>
        <v>Muchinga</v>
      </c>
      <c r="J1567" s="8">
        <f ca="1">J1513*Intv_BA!$M$1335/TS_Denom_Conv_Fact</f>
        <v>0</v>
      </c>
      <c r="K1567" s="8">
        <f ca="1">K1513*Intv_BA!$M$1335/TS_Denom_Conv_Fact</f>
        <v>0</v>
      </c>
      <c r="L1567" s="8">
        <f ca="1">L1513*Intv_BA!$M$1335/TS_Denom_Conv_Fact</f>
        <v>0</v>
      </c>
      <c r="M1567" s="8">
        <f ca="1">M1513*Intv_BA!$M$1335/TS_Denom_Conv_Fact</f>
        <v>0</v>
      </c>
      <c r="N1567" s="8">
        <f ca="1">N1513*Intv_BA!$M$1335/TS_Denom_Conv_Fact</f>
        <v>0</v>
      </c>
      <c r="O1567" s="8">
        <f ca="1">O1513*Intv_BA!$M$1335/TS_Denom_Conv_Fact</f>
        <v>0</v>
      </c>
    </row>
    <row r="1568" spans="4:15" s="327" customFormat="1" outlineLevel="2" x14ac:dyDescent="0.2">
      <c r="D1568" s="521" t="str">
        <f>Intv_BA!D1351</f>
        <v>Northern</v>
      </c>
      <c r="J1568" s="8">
        <f ca="1">J1514*Intv_BA!$M$1335/TS_Denom_Conv_Fact</f>
        <v>0</v>
      </c>
      <c r="K1568" s="8">
        <f ca="1">K1514*Intv_BA!$M$1335/TS_Denom_Conv_Fact</f>
        <v>0</v>
      </c>
      <c r="L1568" s="8">
        <f ca="1">L1514*Intv_BA!$M$1335/TS_Denom_Conv_Fact</f>
        <v>0</v>
      </c>
      <c r="M1568" s="8">
        <f ca="1">M1514*Intv_BA!$M$1335/TS_Denom_Conv_Fact</f>
        <v>0</v>
      </c>
      <c r="N1568" s="8">
        <f ca="1">N1514*Intv_BA!$M$1335/TS_Denom_Conv_Fact</f>
        <v>0</v>
      </c>
      <c r="O1568" s="8">
        <f ca="1">O1514*Intv_BA!$M$1335/TS_Denom_Conv_Fact</f>
        <v>0</v>
      </c>
    </row>
    <row r="1569" spans="4:15" s="327" customFormat="1" outlineLevel="2" x14ac:dyDescent="0.2">
      <c r="D1569" s="521" t="str">
        <f>Intv_BA!D1352</f>
        <v>North-Western</v>
      </c>
      <c r="J1569" s="8">
        <f ca="1">J1515*Intv_BA!$M$1335/TS_Denom_Conv_Fact</f>
        <v>0</v>
      </c>
      <c r="K1569" s="8">
        <f ca="1">K1515*Intv_BA!$M$1335/TS_Denom_Conv_Fact</f>
        <v>0</v>
      </c>
      <c r="L1569" s="8">
        <f ca="1">L1515*Intv_BA!$M$1335/TS_Denom_Conv_Fact</f>
        <v>0</v>
      </c>
      <c r="M1569" s="8">
        <f ca="1">M1515*Intv_BA!$M$1335/TS_Denom_Conv_Fact</f>
        <v>0</v>
      </c>
      <c r="N1569" s="8">
        <f ca="1">N1515*Intv_BA!$M$1335/TS_Denom_Conv_Fact</f>
        <v>0</v>
      </c>
      <c r="O1569" s="8">
        <f ca="1">O1515*Intv_BA!$M$1335/TS_Denom_Conv_Fact</f>
        <v>0</v>
      </c>
    </row>
    <row r="1570" spans="4:15" s="327" customFormat="1" outlineLevel="2" x14ac:dyDescent="0.2">
      <c r="D1570" s="521" t="str">
        <f>Intv_BA!D1353</f>
        <v>Southern</v>
      </c>
      <c r="J1570" s="8">
        <f ca="1">J1516*Intv_BA!$M$1335/TS_Denom_Conv_Fact</f>
        <v>0</v>
      </c>
      <c r="K1570" s="8">
        <f ca="1">K1516*Intv_BA!$M$1335/TS_Denom_Conv_Fact</f>
        <v>0</v>
      </c>
      <c r="L1570" s="8">
        <f ca="1">L1516*Intv_BA!$M$1335/TS_Denom_Conv_Fact</f>
        <v>0</v>
      </c>
      <c r="M1570" s="8">
        <f ca="1">M1516*Intv_BA!$M$1335/TS_Denom_Conv_Fact</f>
        <v>0</v>
      </c>
      <c r="N1570" s="8">
        <f ca="1">N1516*Intv_BA!$M$1335/TS_Denom_Conv_Fact</f>
        <v>0</v>
      </c>
      <c r="O1570" s="8">
        <f ca="1">O1516*Intv_BA!$M$1335/TS_Denom_Conv_Fact</f>
        <v>0</v>
      </c>
    </row>
    <row r="1571" spans="4:15" s="327" customFormat="1" outlineLevel="2" x14ac:dyDescent="0.2">
      <c r="D1571" s="521" t="str">
        <f>Intv_BA!D1354</f>
        <v>Western</v>
      </c>
      <c r="J1571" s="9">
        <f ca="1">J1517*Intv_BA!$M$1335/TS_Denom_Conv_Fact</f>
        <v>0</v>
      </c>
      <c r="K1571" s="9">
        <f ca="1">K1517*Intv_BA!$M$1335/TS_Denom_Conv_Fact</f>
        <v>0</v>
      </c>
      <c r="L1571" s="9">
        <f ca="1">L1517*Intv_BA!$M$1335/TS_Denom_Conv_Fact</f>
        <v>0</v>
      </c>
      <c r="M1571" s="9">
        <f ca="1">M1517*Intv_BA!$M$1335/TS_Denom_Conv_Fact</f>
        <v>0</v>
      </c>
      <c r="N1571" s="9">
        <f ca="1">N1517*Intv_BA!$M$1335/TS_Denom_Conv_Fact</f>
        <v>1107.7</v>
      </c>
      <c r="O1571" s="9">
        <f ca="1">O1517*Intv_BA!$M$1335/TS_Denom_Conv_Fact</f>
        <v>1107.7</v>
      </c>
    </row>
    <row r="1572" spans="4:15" s="327" customFormat="1" x14ac:dyDescent="0.2">
      <c r="D1572" s="520" t="str">
        <f>"Total "&amp;D1561&amp;" ("&amp;INDEX(LU_Intv_3_Denom,DD_TS_Denom)&amp;")"</f>
        <v>Total Other Direct Costs (Lab Tests) (USD)</v>
      </c>
      <c r="J1572" s="5">
        <f t="shared" ref="J1572:O1572" ca="1" si="149">SUM(J1562:J1571)</f>
        <v>4407.4800000000005</v>
      </c>
      <c r="K1572" s="5">
        <f t="shared" ca="1" si="149"/>
        <v>4407.4800000000005</v>
      </c>
      <c r="L1572" s="5">
        <f t="shared" ca="1" si="149"/>
        <v>4407.4800000000005</v>
      </c>
      <c r="M1572" s="5">
        <f t="shared" ca="1" si="149"/>
        <v>4407.4800000000005</v>
      </c>
      <c r="N1572" s="5">
        <f t="shared" ca="1" si="149"/>
        <v>4407.4799999999996</v>
      </c>
      <c r="O1572" s="5">
        <f t="shared" ca="1" si="149"/>
        <v>4407.4799999999996</v>
      </c>
    </row>
    <row r="1573" spans="4:15" s="327" customFormat="1" x14ac:dyDescent="0.2"/>
    <row r="1574" spans="4:15" s="327" customFormat="1" x14ac:dyDescent="0.2">
      <c r="D1574" s="520" t="str">
        <f>"Financial Costs [excl. Capex] ("&amp;INDEX(LU_Intv_3_Denom,DD_TS_Denom)&amp;")"</f>
        <v>Financial Costs [excl. Capex] (USD)</v>
      </c>
      <c r="H1574" s="521" t="str">
        <f>Intv_BA!G1181</f>
        <v>Chemo</v>
      </c>
      <c r="J1574" s="5">
        <f t="shared" ref="J1574:O1574" ca="1" si="150">J1533+J1572</f>
        <v>30928.904999999999</v>
      </c>
      <c r="K1574" s="5">
        <f t="shared" ca="1" si="150"/>
        <v>30928.904999999999</v>
      </c>
      <c r="L1574" s="5">
        <f t="shared" ca="1" si="150"/>
        <v>30928.904999999999</v>
      </c>
      <c r="M1574" s="5">
        <f t="shared" ca="1" si="150"/>
        <v>30928.904999999999</v>
      </c>
      <c r="N1574" s="5">
        <f t="shared" ca="1" si="150"/>
        <v>30928.904999999999</v>
      </c>
      <c r="O1574" s="5">
        <f t="shared" ca="1" si="150"/>
        <v>30928.904999999999</v>
      </c>
    </row>
    <row r="1575" spans="4:15" s="327" customFormat="1" x14ac:dyDescent="0.2">
      <c r="D1575" s="520" t="str">
        <f>"Economic Costs [excl. Capex] ("&amp;INDEX(LU_Intv_3_Denom,DD_TS_Denom)&amp;")"</f>
        <v>Economic Costs [excl. Capex] (USD)</v>
      </c>
      <c r="H1575" s="521" t="str">
        <f>Intv_BA!G1181</f>
        <v>Chemo</v>
      </c>
      <c r="J1575" s="5">
        <f t="shared" ref="J1575:O1575" ca="1" si="151">J1533+J1546+J1559+J1572</f>
        <v>49585.913873204969</v>
      </c>
      <c r="K1575" s="5">
        <f t="shared" ca="1" si="151"/>
        <v>49585.913873204969</v>
      </c>
      <c r="L1575" s="5">
        <f t="shared" ca="1" si="151"/>
        <v>49585.913873204969</v>
      </c>
      <c r="M1575" s="5">
        <f t="shared" ca="1" si="151"/>
        <v>49585.913873204969</v>
      </c>
      <c r="N1575" s="5">
        <f t="shared" ca="1" si="151"/>
        <v>49585.913873204961</v>
      </c>
      <c r="O1575" s="5">
        <f t="shared" ca="1" si="151"/>
        <v>49585.913873204961</v>
      </c>
    </row>
    <row r="1576" spans="4:15" s="327" customFormat="1" x14ac:dyDescent="0.2"/>
    <row r="1577" spans="4:15" s="327" customFormat="1" ht="15" outlineLevel="1" x14ac:dyDescent="0.2">
      <c r="D1577" s="519" t="s">
        <v>1690</v>
      </c>
    </row>
    <row r="1578" spans="4:15" s="327" customFormat="1" outlineLevel="1" x14ac:dyDescent="0.2">
      <c r="D1578" s="521" t="str">
        <f>Intv_BA!D1345</f>
        <v>Central</v>
      </c>
      <c r="H1578" s="546" t="str">
        <f>Intv_BA!G$1181</f>
        <v>Chemo</v>
      </c>
      <c r="J1578" s="5">
        <f>(J1413-I1413)*Intv_BA!$L$1316/TS_Denom_Conv_Fact</f>
        <v>0</v>
      </c>
      <c r="K1578" s="5">
        <f>(K1413-J1413)*Intv_BA!$L$1316/TS_Denom_Conv_Fact</f>
        <v>0</v>
      </c>
      <c r="L1578" s="5">
        <f>(L1413-K1413)*Intv_BA!$L$1316/TS_Denom_Conv_Fact</f>
        <v>0</v>
      </c>
      <c r="M1578" s="5">
        <f>(M1413-L1413)*Intv_BA!$L$1316/TS_Denom_Conv_Fact</f>
        <v>0</v>
      </c>
      <c r="N1578" s="5">
        <f>(N1413-M1413)*Intv_BA!$L$1316/TS_Denom_Conv_Fact</f>
        <v>0</v>
      </c>
      <c r="O1578" s="5">
        <f>(O1413-N1413)*Intv_BA!$L$1316/TS_Denom_Conv_Fact</f>
        <v>0</v>
      </c>
    </row>
    <row r="1579" spans="4:15" s="327" customFormat="1" outlineLevel="1" x14ac:dyDescent="0.2">
      <c r="D1579" s="521" t="str">
        <f>Intv_BA!D1346</f>
        <v>Copperbelt</v>
      </c>
      <c r="H1579" s="546" t="str">
        <f>Intv_BA!G$1181</f>
        <v>Chemo</v>
      </c>
      <c r="J1579" s="5">
        <f>(J1414-I1414)*Intv_BA!$L$1316/TS_Denom_Conv_Fact</f>
        <v>0</v>
      </c>
      <c r="K1579" s="5">
        <f>(K1414-J1414)*Intv_BA!$L$1316/TS_Denom_Conv_Fact</f>
        <v>0</v>
      </c>
      <c r="L1579" s="5">
        <f>(L1414-K1414)*Intv_BA!$L$1316/TS_Denom_Conv_Fact</f>
        <v>0</v>
      </c>
      <c r="M1579" s="5">
        <f>(M1414-L1414)*Intv_BA!$L$1316/TS_Denom_Conv_Fact</f>
        <v>0</v>
      </c>
      <c r="N1579" s="5">
        <f>(N1414-M1414)*Intv_BA!$L$1316/TS_Denom_Conv_Fact</f>
        <v>0</v>
      </c>
      <c r="O1579" s="5">
        <f>(O1414-N1414)*Intv_BA!$L$1316/TS_Denom_Conv_Fact</f>
        <v>0</v>
      </c>
    </row>
    <row r="1580" spans="4:15" s="327" customFormat="1" outlineLevel="1" x14ac:dyDescent="0.2">
      <c r="D1580" s="521" t="str">
        <f>Intv_BA!D1347</f>
        <v>Eastern</v>
      </c>
      <c r="H1580" s="546" t="str">
        <f>Intv_BA!G$1181</f>
        <v>Chemo</v>
      </c>
      <c r="J1580" s="5">
        <f>(J1415-I1415)*Intv_BA!$L$1316/TS_Denom_Conv_Fact</f>
        <v>0</v>
      </c>
      <c r="K1580" s="5">
        <f>(K1415-J1415)*Intv_BA!$L$1316/TS_Denom_Conv_Fact</f>
        <v>0</v>
      </c>
      <c r="L1580" s="5">
        <f>(L1415-K1415)*Intv_BA!$L$1316/TS_Denom_Conv_Fact</f>
        <v>0</v>
      </c>
      <c r="M1580" s="5">
        <f>(M1415-L1415)*Intv_BA!$L$1316/TS_Denom_Conv_Fact</f>
        <v>0</v>
      </c>
      <c r="N1580" s="5">
        <f>(N1415-M1415)*Intv_BA!$L$1316/TS_Denom_Conv_Fact</f>
        <v>0</v>
      </c>
      <c r="O1580" s="5">
        <f>(O1415-N1415)*Intv_BA!$L$1316/TS_Denom_Conv_Fact</f>
        <v>0</v>
      </c>
    </row>
    <row r="1581" spans="4:15" s="327" customFormat="1" outlineLevel="1" x14ac:dyDescent="0.2">
      <c r="D1581" s="521" t="str">
        <f>Intv_BA!D1348</f>
        <v>Luapula</v>
      </c>
      <c r="H1581" s="546" t="str">
        <f>Intv_BA!G$1181</f>
        <v>Chemo</v>
      </c>
      <c r="J1581" s="5">
        <f>(J1416-I1416)*Intv_BA!$L$1316/TS_Denom_Conv_Fact</f>
        <v>0</v>
      </c>
      <c r="K1581" s="5">
        <f>(K1416-J1416)*Intv_BA!$L$1316/TS_Denom_Conv_Fact</f>
        <v>0</v>
      </c>
      <c r="L1581" s="5">
        <f>(L1416-K1416)*Intv_BA!$L$1316/TS_Denom_Conv_Fact</f>
        <v>0</v>
      </c>
      <c r="M1581" s="5">
        <f>(M1416-L1416)*Intv_BA!$L$1316/TS_Denom_Conv_Fact</f>
        <v>0</v>
      </c>
      <c r="N1581" s="5">
        <f>(N1416-M1416)*Intv_BA!$L$1316/TS_Denom_Conv_Fact</f>
        <v>0</v>
      </c>
      <c r="O1581" s="5">
        <f>(O1416-N1416)*Intv_BA!$L$1316/TS_Denom_Conv_Fact</f>
        <v>0</v>
      </c>
    </row>
    <row r="1582" spans="4:15" s="327" customFormat="1" outlineLevel="1" x14ac:dyDescent="0.2">
      <c r="D1582" s="521" t="str">
        <f>Intv_BA!D1349</f>
        <v>Lusaka</v>
      </c>
      <c r="H1582" s="546" t="str">
        <f>Intv_BA!G$1181</f>
        <v>Chemo</v>
      </c>
      <c r="J1582" s="5">
        <f>(J1417-I1417)*Intv_BA!$L$1316/TS_Denom_Conv_Fact</f>
        <v>0</v>
      </c>
      <c r="K1582" s="5">
        <f>(K1417-J1417)*Intv_BA!$L$1316/TS_Denom_Conv_Fact</f>
        <v>0</v>
      </c>
      <c r="L1582" s="5">
        <f>(L1417-K1417)*Intv_BA!$L$1316/TS_Denom_Conv_Fact</f>
        <v>0</v>
      </c>
      <c r="M1582" s="5">
        <f>(M1417-L1417)*Intv_BA!$L$1316/TS_Denom_Conv_Fact</f>
        <v>0</v>
      </c>
      <c r="N1582" s="5">
        <f>(N1417-M1417)*Intv_BA!$L$1316/TS_Denom_Conv_Fact</f>
        <v>0</v>
      </c>
      <c r="O1582" s="5">
        <f>(O1417-N1417)*Intv_BA!$L$1316/TS_Denom_Conv_Fact</f>
        <v>0</v>
      </c>
    </row>
    <row r="1583" spans="4:15" s="327" customFormat="1" outlineLevel="1" x14ac:dyDescent="0.2">
      <c r="D1583" s="521" t="str">
        <f>Intv_BA!D1350</f>
        <v>Muchinga</v>
      </c>
      <c r="H1583" s="546" t="str">
        <f>Intv_BA!G$1181</f>
        <v>Chemo</v>
      </c>
      <c r="J1583" s="5">
        <f>(J1418-I1418)*Intv_BA!$L$1316/TS_Denom_Conv_Fact</f>
        <v>0</v>
      </c>
      <c r="K1583" s="5">
        <f>(K1418-J1418)*Intv_BA!$L$1316/TS_Denom_Conv_Fact</f>
        <v>0</v>
      </c>
      <c r="L1583" s="5">
        <f>(L1418-K1418)*Intv_BA!$L$1316/TS_Denom_Conv_Fact</f>
        <v>0</v>
      </c>
      <c r="M1583" s="5">
        <f>(M1418-L1418)*Intv_BA!$L$1316/TS_Denom_Conv_Fact</f>
        <v>0</v>
      </c>
      <c r="N1583" s="5">
        <f>(N1418-M1418)*Intv_BA!$L$1316/TS_Denom_Conv_Fact</f>
        <v>0</v>
      </c>
      <c r="O1583" s="5">
        <f>(O1418-N1418)*Intv_BA!$L$1316/TS_Denom_Conv_Fact</f>
        <v>0</v>
      </c>
    </row>
    <row r="1584" spans="4:15" s="327" customFormat="1" outlineLevel="1" x14ac:dyDescent="0.2">
      <c r="D1584" s="521" t="str">
        <f>Intv_BA!D1351</f>
        <v>Northern</v>
      </c>
      <c r="H1584" s="546" t="str">
        <f>Intv_BA!G$1181</f>
        <v>Chemo</v>
      </c>
      <c r="J1584" s="5">
        <f>(J1419-I1419)*Intv_BA!$L$1316/TS_Denom_Conv_Fact</f>
        <v>0</v>
      </c>
      <c r="K1584" s="5">
        <f>(K1419-J1419)*Intv_BA!$L$1316/TS_Denom_Conv_Fact</f>
        <v>0</v>
      </c>
      <c r="L1584" s="5">
        <f>(L1419-K1419)*Intv_BA!$L$1316/TS_Denom_Conv_Fact</f>
        <v>0</v>
      </c>
      <c r="M1584" s="5">
        <f>(M1419-L1419)*Intv_BA!$L$1316/TS_Denom_Conv_Fact</f>
        <v>0</v>
      </c>
      <c r="N1584" s="5">
        <f>(N1419-M1419)*Intv_BA!$L$1316/TS_Denom_Conv_Fact</f>
        <v>0</v>
      </c>
      <c r="O1584" s="5">
        <f>(O1419-N1419)*Intv_BA!$L$1316/TS_Denom_Conv_Fact</f>
        <v>0</v>
      </c>
    </row>
    <row r="1585" spans="4:15" s="327" customFormat="1" outlineLevel="1" x14ac:dyDescent="0.2">
      <c r="D1585" s="521" t="str">
        <f>Intv_BA!D1352</f>
        <v>North-Western</v>
      </c>
      <c r="H1585" s="546" t="str">
        <f>Intv_BA!G$1181</f>
        <v>Chemo</v>
      </c>
      <c r="J1585" s="5">
        <f>(J1420-I1420)*Intv_BA!$L$1316/TS_Denom_Conv_Fact</f>
        <v>0</v>
      </c>
      <c r="K1585" s="5">
        <f>(K1420-J1420)*Intv_BA!$L$1316/TS_Denom_Conv_Fact</f>
        <v>0</v>
      </c>
      <c r="L1585" s="5">
        <f>(L1420-K1420)*Intv_BA!$L$1316/TS_Denom_Conv_Fact</f>
        <v>0</v>
      </c>
      <c r="M1585" s="5">
        <f>(M1420-L1420)*Intv_BA!$L$1316/TS_Denom_Conv_Fact</f>
        <v>0</v>
      </c>
      <c r="N1585" s="5">
        <f>(N1420-M1420)*Intv_BA!$L$1316/TS_Denom_Conv_Fact</f>
        <v>0</v>
      </c>
      <c r="O1585" s="5">
        <f>(O1420-N1420)*Intv_BA!$L$1316/TS_Denom_Conv_Fact</f>
        <v>0</v>
      </c>
    </row>
    <row r="1586" spans="4:15" s="327" customFormat="1" outlineLevel="1" x14ac:dyDescent="0.2">
      <c r="D1586" s="521" t="str">
        <f>Intv_BA!D1353</f>
        <v>Southern</v>
      </c>
      <c r="H1586" s="546" t="str">
        <f>Intv_BA!G$1181</f>
        <v>Chemo</v>
      </c>
      <c r="J1586" s="5">
        <f>(J1421-I1421)*Intv_BA!$L$1316/TS_Denom_Conv_Fact</f>
        <v>0</v>
      </c>
      <c r="K1586" s="5">
        <f>(K1421-J1421)*Intv_BA!$L$1316/TS_Denom_Conv_Fact</f>
        <v>0</v>
      </c>
      <c r="L1586" s="5">
        <f>(L1421-K1421)*Intv_BA!$L$1316/TS_Denom_Conv_Fact</f>
        <v>0</v>
      </c>
      <c r="M1586" s="5">
        <f>(M1421-L1421)*Intv_BA!$L$1316/TS_Denom_Conv_Fact</f>
        <v>0</v>
      </c>
      <c r="N1586" s="5">
        <f>(N1421-M1421)*Intv_BA!$L$1316/TS_Denom_Conv_Fact</f>
        <v>0</v>
      </c>
      <c r="O1586" s="5">
        <f>(O1421-N1421)*Intv_BA!$L$1316/TS_Denom_Conv_Fact</f>
        <v>0</v>
      </c>
    </row>
    <row r="1587" spans="4:15" s="327" customFormat="1" outlineLevel="1" x14ac:dyDescent="0.2">
      <c r="D1587" s="521" t="str">
        <f>Intv_BA!D1354</f>
        <v>Western</v>
      </c>
      <c r="H1587" s="546" t="str">
        <f>Intv_BA!G$1181</f>
        <v>Chemo</v>
      </c>
      <c r="J1587" s="5">
        <f>(J1422-I1422)*Intv_BA!$L$1316/TS_Denom_Conv_Fact</f>
        <v>0</v>
      </c>
      <c r="K1587" s="5">
        <f>(K1422-J1422)*Intv_BA!$L$1316/TS_Denom_Conv_Fact</f>
        <v>0</v>
      </c>
      <c r="L1587" s="5">
        <f>(L1422-K1422)*Intv_BA!$L$1316/TS_Denom_Conv_Fact</f>
        <v>0</v>
      </c>
      <c r="M1587" s="5">
        <f>(M1422-L1422)*Intv_BA!$L$1316/TS_Denom_Conv_Fact</f>
        <v>0</v>
      </c>
      <c r="N1587" s="5">
        <f>(N1422-M1422)*Intv_BA!$L$1316/TS_Denom_Conv_Fact</f>
        <v>0</v>
      </c>
      <c r="O1587" s="5">
        <f>(O1422-N1422)*Intv_BA!$L$1316/TS_Denom_Conv_Fact</f>
        <v>0</v>
      </c>
    </row>
    <row r="1588" spans="4:15" s="327" customFormat="1" ht="15" x14ac:dyDescent="0.2">
      <c r="D1588" s="520" t="str">
        <f>D1577&amp;" ("&amp;INDEX(LU_Intv_3_Denom,DD_TS_Denom)&amp;")"</f>
        <v>Financial Capital Expenditures (Capex) (NonAnnualized) (USD)</v>
      </c>
      <c r="H1588" s="24" t="str">
        <f>Intv_BA!$G$1181</f>
        <v>Chemo</v>
      </c>
      <c r="J1588" s="5">
        <f t="shared" ref="J1588:O1588" si="152">SUM(J1578:J1587)</f>
        <v>0</v>
      </c>
      <c r="K1588" s="5">
        <f t="shared" si="152"/>
        <v>0</v>
      </c>
      <c r="L1588" s="5">
        <f t="shared" si="152"/>
        <v>0</v>
      </c>
      <c r="M1588" s="5">
        <f t="shared" si="152"/>
        <v>0</v>
      </c>
      <c r="N1588" s="5">
        <f t="shared" si="152"/>
        <v>0</v>
      </c>
      <c r="O1588" s="5">
        <f t="shared" si="152"/>
        <v>0</v>
      </c>
    </row>
    <row r="1589" spans="4:15" s="327" customFormat="1" ht="15" outlineLevel="2" x14ac:dyDescent="0.2">
      <c r="D1589" s="519" t="s">
        <v>1691</v>
      </c>
    </row>
    <row r="1590" spans="4:15" s="327" customFormat="1" outlineLevel="2" x14ac:dyDescent="0.2">
      <c r="D1590" s="521" t="str">
        <f>Intv_BA!D1345</f>
        <v>Central</v>
      </c>
      <c r="H1590" s="546" t="str">
        <f>Intv_BA!G$1181</f>
        <v>Chemo</v>
      </c>
      <c r="J1590" s="8">
        <f>J1413*Intv_BA!$M$1318/TS_Denom_Conv_Fact</f>
        <v>0</v>
      </c>
      <c r="K1590" s="8">
        <f>K1413*Intv_BA!$M$1318/TS_Denom_Conv_Fact</f>
        <v>0</v>
      </c>
      <c r="L1590" s="8">
        <f>L1413*Intv_BA!$M$1318/TS_Denom_Conv_Fact</f>
        <v>0</v>
      </c>
      <c r="M1590" s="8">
        <f>M1413*Intv_BA!$M$1318/TS_Denom_Conv_Fact</f>
        <v>0</v>
      </c>
      <c r="N1590" s="8">
        <f>N1413*Intv_BA!$M$1318/TS_Denom_Conv_Fact</f>
        <v>0</v>
      </c>
      <c r="O1590" s="8">
        <f>O1413*Intv_BA!$M$1318/TS_Denom_Conv_Fact</f>
        <v>0</v>
      </c>
    </row>
    <row r="1591" spans="4:15" s="327" customFormat="1" outlineLevel="2" x14ac:dyDescent="0.2">
      <c r="D1591" s="521" t="str">
        <f>Intv_BA!D1346</f>
        <v>Copperbelt</v>
      </c>
      <c r="H1591" s="546" t="str">
        <f>Intv_BA!G$1181</f>
        <v>Chemo</v>
      </c>
      <c r="J1591" s="8">
        <f>J1414*Intv_BA!$M$1318/TS_Denom_Conv_Fact</f>
        <v>0</v>
      </c>
      <c r="K1591" s="8">
        <f>K1414*Intv_BA!$M$1318/TS_Denom_Conv_Fact</f>
        <v>0</v>
      </c>
      <c r="L1591" s="8">
        <f>L1414*Intv_BA!$M$1318/TS_Denom_Conv_Fact</f>
        <v>0</v>
      </c>
      <c r="M1591" s="8">
        <f>M1414*Intv_BA!$M$1318/TS_Denom_Conv_Fact</f>
        <v>0</v>
      </c>
      <c r="N1591" s="8">
        <f>N1414*Intv_BA!$M$1318/TS_Denom_Conv_Fact</f>
        <v>0</v>
      </c>
      <c r="O1591" s="8">
        <f>O1414*Intv_BA!$M$1318/TS_Denom_Conv_Fact</f>
        <v>0</v>
      </c>
    </row>
    <row r="1592" spans="4:15" s="327" customFormat="1" outlineLevel="2" x14ac:dyDescent="0.2">
      <c r="D1592" s="521" t="str">
        <f>Intv_BA!D1347</f>
        <v>Eastern</v>
      </c>
      <c r="H1592" s="546" t="str">
        <f>Intv_BA!G$1181</f>
        <v>Chemo</v>
      </c>
      <c r="J1592" s="8">
        <f>J1415*Intv_BA!$M$1318/TS_Denom_Conv_Fact</f>
        <v>0</v>
      </c>
      <c r="K1592" s="8">
        <f>K1415*Intv_BA!$M$1318/TS_Denom_Conv_Fact</f>
        <v>0</v>
      </c>
      <c r="L1592" s="8">
        <f>L1415*Intv_BA!$M$1318/TS_Denom_Conv_Fact</f>
        <v>0</v>
      </c>
      <c r="M1592" s="8">
        <f>M1415*Intv_BA!$M$1318/TS_Denom_Conv_Fact</f>
        <v>0</v>
      </c>
      <c r="N1592" s="8">
        <f>N1415*Intv_BA!$M$1318/TS_Denom_Conv_Fact</f>
        <v>0</v>
      </c>
      <c r="O1592" s="8">
        <f>O1415*Intv_BA!$M$1318/TS_Denom_Conv_Fact</f>
        <v>0</v>
      </c>
    </row>
    <row r="1593" spans="4:15" s="327" customFormat="1" outlineLevel="2" x14ac:dyDescent="0.2">
      <c r="D1593" s="521" t="str">
        <f>Intv_BA!D1348</f>
        <v>Luapula</v>
      </c>
      <c r="H1593" s="546" t="str">
        <f>Intv_BA!G$1181</f>
        <v>Chemo</v>
      </c>
      <c r="J1593" s="8">
        <f>J1416*Intv_BA!$M$1318/TS_Denom_Conv_Fact</f>
        <v>0</v>
      </c>
      <c r="K1593" s="8">
        <f>K1416*Intv_BA!$M$1318/TS_Denom_Conv_Fact</f>
        <v>0</v>
      </c>
      <c r="L1593" s="8">
        <f>L1416*Intv_BA!$M$1318/TS_Denom_Conv_Fact</f>
        <v>0</v>
      </c>
      <c r="M1593" s="8">
        <f>M1416*Intv_BA!$M$1318/TS_Denom_Conv_Fact</f>
        <v>0</v>
      </c>
      <c r="N1593" s="8">
        <f>N1416*Intv_BA!$M$1318/TS_Denom_Conv_Fact</f>
        <v>0</v>
      </c>
      <c r="O1593" s="8">
        <f>O1416*Intv_BA!$M$1318/TS_Denom_Conv_Fact</f>
        <v>0</v>
      </c>
    </row>
    <row r="1594" spans="4:15" s="327" customFormat="1" outlineLevel="2" x14ac:dyDescent="0.2">
      <c r="D1594" s="521" t="str">
        <f>Intv_BA!D1349</f>
        <v>Lusaka</v>
      </c>
      <c r="H1594" s="546" t="str">
        <f>Intv_BA!G$1181</f>
        <v>Chemo</v>
      </c>
      <c r="J1594" s="8">
        <f>J1417*Intv_BA!$M$1318/TS_Denom_Conv_Fact</f>
        <v>0</v>
      </c>
      <c r="K1594" s="8">
        <f>K1417*Intv_BA!$M$1318/TS_Denom_Conv_Fact</f>
        <v>0</v>
      </c>
      <c r="L1594" s="8">
        <f>L1417*Intv_BA!$M$1318/TS_Denom_Conv_Fact</f>
        <v>0</v>
      </c>
      <c r="M1594" s="8">
        <f>M1417*Intv_BA!$M$1318/TS_Denom_Conv_Fact</f>
        <v>0</v>
      </c>
      <c r="N1594" s="8">
        <f>N1417*Intv_BA!$M$1318/TS_Denom_Conv_Fact</f>
        <v>0</v>
      </c>
      <c r="O1594" s="8">
        <f>O1417*Intv_BA!$M$1318/TS_Denom_Conv_Fact</f>
        <v>0</v>
      </c>
    </row>
    <row r="1595" spans="4:15" s="327" customFormat="1" outlineLevel="2" x14ac:dyDescent="0.2">
      <c r="D1595" s="521" t="str">
        <f>Intv_BA!D1350</f>
        <v>Muchinga</v>
      </c>
      <c r="H1595" s="546" t="str">
        <f>Intv_BA!G$1181</f>
        <v>Chemo</v>
      </c>
      <c r="J1595" s="8">
        <f>J1418*Intv_BA!$M$1318/TS_Denom_Conv_Fact</f>
        <v>0</v>
      </c>
      <c r="K1595" s="8">
        <f>K1418*Intv_BA!$M$1318/TS_Denom_Conv_Fact</f>
        <v>0</v>
      </c>
      <c r="L1595" s="8">
        <f>L1418*Intv_BA!$M$1318/TS_Denom_Conv_Fact</f>
        <v>0</v>
      </c>
      <c r="M1595" s="8">
        <f>M1418*Intv_BA!$M$1318/TS_Denom_Conv_Fact</f>
        <v>0</v>
      </c>
      <c r="N1595" s="8">
        <f>N1418*Intv_BA!$M$1318/TS_Denom_Conv_Fact</f>
        <v>0</v>
      </c>
      <c r="O1595" s="8">
        <f>O1418*Intv_BA!$M$1318/TS_Denom_Conv_Fact</f>
        <v>0</v>
      </c>
    </row>
    <row r="1596" spans="4:15" s="327" customFormat="1" outlineLevel="2" x14ac:dyDescent="0.2">
      <c r="D1596" s="521" t="str">
        <f>Intv_BA!D1351</f>
        <v>Northern</v>
      </c>
      <c r="H1596" s="546" t="str">
        <f>Intv_BA!G$1181</f>
        <v>Chemo</v>
      </c>
      <c r="J1596" s="8">
        <f>J1419*Intv_BA!$M$1318/TS_Denom_Conv_Fact</f>
        <v>0</v>
      </c>
      <c r="K1596" s="8">
        <f>K1419*Intv_BA!$M$1318/TS_Denom_Conv_Fact</f>
        <v>0</v>
      </c>
      <c r="L1596" s="8">
        <f>L1419*Intv_BA!$M$1318/TS_Denom_Conv_Fact</f>
        <v>0</v>
      </c>
      <c r="M1596" s="8">
        <f>M1419*Intv_BA!$M$1318/TS_Denom_Conv_Fact</f>
        <v>0</v>
      </c>
      <c r="N1596" s="8">
        <f>N1419*Intv_BA!$M$1318/TS_Denom_Conv_Fact</f>
        <v>0</v>
      </c>
      <c r="O1596" s="8">
        <f>O1419*Intv_BA!$M$1318/TS_Denom_Conv_Fact</f>
        <v>0</v>
      </c>
    </row>
    <row r="1597" spans="4:15" s="327" customFormat="1" outlineLevel="2" x14ac:dyDescent="0.2">
      <c r="D1597" s="521" t="str">
        <f>Intv_BA!D1352</f>
        <v>North-Western</v>
      </c>
      <c r="H1597" s="546" t="str">
        <f>Intv_BA!G$1181</f>
        <v>Chemo</v>
      </c>
      <c r="J1597" s="8">
        <f>J1420*Intv_BA!$M$1318/TS_Denom_Conv_Fact</f>
        <v>0</v>
      </c>
      <c r="K1597" s="8">
        <f>K1420*Intv_BA!$M$1318/TS_Denom_Conv_Fact</f>
        <v>0</v>
      </c>
      <c r="L1597" s="8">
        <f>L1420*Intv_BA!$M$1318/TS_Denom_Conv_Fact</f>
        <v>0</v>
      </c>
      <c r="M1597" s="8">
        <f>M1420*Intv_BA!$M$1318/TS_Denom_Conv_Fact</f>
        <v>0</v>
      </c>
      <c r="N1597" s="8">
        <f>N1420*Intv_BA!$M$1318/TS_Denom_Conv_Fact</f>
        <v>0</v>
      </c>
      <c r="O1597" s="8">
        <f>O1420*Intv_BA!$M$1318/TS_Denom_Conv_Fact</f>
        <v>0</v>
      </c>
    </row>
    <row r="1598" spans="4:15" s="327" customFormat="1" outlineLevel="2" x14ac:dyDescent="0.2">
      <c r="D1598" s="521" t="str">
        <f>Intv_BA!D1353</f>
        <v>Southern</v>
      </c>
      <c r="H1598" s="546" t="str">
        <f>Intv_BA!G$1181</f>
        <v>Chemo</v>
      </c>
      <c r="J1598" s="8">
        <f>J1421*Intv_BA!$M$1318/TS_Denom_Conv_Fact</f>
        <v>0</v>
      </c>
      <c r="K1598" s="8">
        <f>K1421*Intv_BA!$M$1318/TS_Denom_Conv_Fact</f>
        <v>0</v>
      </c>
      <c r="L1598" s="8">
        <f>L1421*Intv_BA!$M$1318/TS_Denom_Conv_Fact</f>
        <v>0</v>
      </c>
      <c r="M1598" s="8">
        <f>M1421*Intv_BA!$M$1318/TS_Denom_Conv_Fact</f>
        <v>0</v>
      </c>
      <c r="N1598" s="8">
        <f>N1421*Intv_BA!$M$1318/TS_Denom_Conv_Fact</f>
        <v>0</v>
      </c>
      <c r="O1598" s="8">
        <f>O1421*Intv_BA!$M$1318/TS_Denom_Conv_Fact</f>
        <v>0</v>
      </c>
    </row>
    <row r="1599" spans="4:15" s="327" customFormat="1" outlineLevel="2" x14ac:dyDescent="0.2">
      <c r="D1599" s="521" t="str">
        <f>Intv_BA!D1354</f>
        <v>Western</v>
      </c>
      <c r="H1599" s="546" t="str">
        <f>Intv_BA!G$1181</f>
        <v>Chemo</v>
      </c>
      <c r="J1599" s="9">
        <f>J1422*Intv_BA!$M$1318/TS_Denom_Conv_Fact</f>
        <v>0</v>
      </c>
      <c r="K1599" s="9">
        <f>K1422*Intv_BA!$M$1318/TS_Denom_Conv_Fact</f>
        <v>0</v>
      </c>
      <c r="L1599" s="9">
        <f>L1422*Intv_BA!$M$1318/TS_Denom_Conv_Fact</f>
        <v>0</v>
      </c>
      <c r="M1599" s="9">
        <f>M1422*Intv_BA!$M$1318/TS_Denom_Conv_Fact</f>
        <v>0</v>
      </c>
      <c r="N1599" s="9">
        <f>N1422*Intv_BA!$M$1318/TS_Denom_Conv_Fact</f>
        <v>0</v>
      </c>
      <c r="O1599" s="9">
        <f>O1422*Intv_BA!$M$1318/TS_Denom_Conv_Fact</f>
        <v>0</v>
      </c>
    </row>
    <row r="1600" spans="4:15" s="327" customFormat="1" ht="15" x14ac:dyDescent="0.2">
      <c r="D1600" s="520" t="str">
        <f>D1589&amp;" ("&amp;INDEX(LU_Intv_3_Denom,DD_TS_Denom)&amp;")"</f>
        <v>Financial Capital Expenditures (Capex) (Annualized) (USD)</v>
      </c>
      <c r="H1600" s="24" t="str">
        <f>Intv_BA!$G$1181</f>
        <v>Chemo</v>
      </c>
      <c r="J1600" s="5">
        <f t="shared" ref="J1600:O1600" si="153">SUM(J1590:J1599)</f>
        <v>0</v>
      </c>
      <c r="K1600" s="5">
        <f t="shared" si="153"/>
        <v>0</v>
      </c>
      <c r="L1600" s="5">
        <f t="shared" si="153"/>
        <v>0</v>
      </c>
      <c r="M1600" s="5">
        <f t="shared" si="153"/>
        <v>0</v>
      </c>
      <c r="N1600" s="5">
        <f t="shared" si="153"/>
        <v>0</v>
      </c>
      <c r="O1600" s="5">
        <f t="shared" si="153"/>
        <v>0</v>
      </c>
    </row>
    <row r="1601" spans="4:15" s="327" customFormat="1" x14ac:dyDescent="0.2"/>
    <row r="1602" spans="4:15" s="327" customFormat="1" ht="15" outlineLevel="1" x14ac:dyDescent="0.2">
      <c r="D1602" s="519" t="s">
        <v>731</v>
      </c>
    </row>
    <row r="1603" spans="4:15" s="327" customFormat="1" outlineLevel="1" x14ac:dyDescent="0.2">
      <c r="D1603" s="521" t="str">
        <f>Intv_BA!D1345</f>
        <v>Central</v>
      </c>
      <c r="H1603" s="546" t="str">
        <f>Intv_BA!G$1181</f>
        <v>Chemo</v>
      </c>
      <c r="J1603" s="14">
        <f>(J1413-I1413)*Intv_BA!$L$1316/TS_Denom_Conv_Fact</f>
        <v>0</v>
      </c>
      <c r="K1603" s="14">
        <f>(K1413-J1413)*Intv_BA!$L$1316/TS_Denom_Conv_Fact</f>
        <v>0</v>
      </c>
      <c r="L1603" s="14">
        <f>(L1413-K1413)*Intv_BA!$L$1316/TS_Denom_Conv_Fact</f>
        <v>0</v>
      </c>
      <c r="M1603" s="14">
        <f>(M1413-L1413)*Intv_BA!$L$1316/TS_Denom_Conv_Fact</f>
        <v>0</v>
      </c>
      <c r="N1603" s="14">
        <f>(N1413-M1413)*Intv_BA!$L$1316/TS_Denom_Conv_Fact</f>
        <v>0</v>
      </c>
      <c r="O1603" s="14">
        <f>(O1413-N1413)*Intv_BA!$L$1316/TS_Denom_Conv_Fact</f>
        <v>0</v>
      </c>
    </row>
    <row r="1604" spans="4:15" s="327" customFormat="1" outlineLevel="1" x14ac:dyDescent="0.2">
      <c r="D1604" s="521" t="str">
        <f>Intv_BA!D1346</f>
        <v>Copperbelt</v>
      </c>
      <c r="H1604" s="546" t="str">
        <f>Intv_BA!G$1181</f>
        <v>Chemo</v>
      </c>
      <c r="J1604" s="14">
        <f>(J1414-I1414)*Intv_BA!$L$1316/TS_Denom_Conv_Fact</f>
        <v>0</v>
      </c>
      <c r="K1604" s="14">
        <f>(K1414-J1414)*Intv_BA!$L$1316/TS_Denom_Conv_Fact</f>
        <v>0</v>
      </c>
      <c r="L1604" s="14">
        <f>(L1414-K1414)*Intv_BA!$L$1316/TS_Denom_Conv_Fact</f>
        <v>0</v>
      </c>
      <c r="M1604" s="14">
        <f>(M1414-L1414)*Intv_BA!$L$1316/TS_Denom_Conv_Fact</f>
        <v>0</v>
      </c>
      <c r="N1604" s="14">
        <f>(N1414-M1414)*Intv_BA!$L$1316/TS_Denom_Conv_Fact</f>
        <v>0</v>
      </c>
      <c r="O1604" s="14">
        <f>(O1414-N1414)*Intv_BA!$L$1316/TS_Denom_Conv_Fact</f>
        <v>0</v>
      </c>
    </row>
    <row r="1605" spans="4:15" s="327" customFormat="1" outlineLevel="1" x14ac:dyDescent="0.2">
      <c r="D1605" s="521" t="str">
        <f>Intv_BA!D1347</f>
        <v>Eastern</v>
      </c>
      <c r="H1605" s="546" t="str">
        <f>Intv_BA!G$1181</f>
        <v>Chemo</v>
      </c>
      <c r="J1605" s="14">
        <f>(J1415-I1415)*Intv_BA!$L$1316/TS_Denom_Conv_Fact</f>
        <v>0</v>
      </c>
      <c r="K1605" s="14">
        <f>(K1415-J1415)*Intv_BA!$L$1316/TS_Denom_Conv_Fact</f>
        <v>0</v>
      </c>
      <c r="L1605" s="14">
        <f>(L1415-K1415)*Intv_BA!$L$1316/TS_Denom_Conv_Fact</f>
        <v>0</v>
      </c>
      <c r="M1605" s="14">
        <f>(M1415-L1415)*Intv_BA!$L$1316/TS_Denom_Conv_Fact</f>
        <v>0</v>
      </c>
      <c r="N1605" s="14">
        <f>(N1415-M1415)*Intv_BA!$L$1316/TS_Denom_Conv_Fact</f>
        <v>0</v>
      </c>
      <c r="O1605" s="14">
        <f>(O1415-N1415)*Intv_BA!$L$1316/TS_Denom_Conv_Fact</f>
        <v>0</v>
      </c>
    </row>
    <row r="1606" spans="4:15" s="327" customFormat="1" outlineLevel="1" x14ac:dyDescent="0.2">
      <c r="D1606" s="521" t="str">
        <f>Intv_BA!D1348</f>
        <v>Luapula</v>
      </c>
      <c r="H1606" s="546" t="str">
        <f>Intv_BA!G$1181</f>
        <v>Chemo</v>
      </c>
      <c r="J1606" s="14">
        <f>(J1416-I1416)*Intv_BA!$L$1316/TS_Denom_Conv_Fact</f>
        <v>0</v>
      </c>
      <c r="K1606" s="14">
        <f>(K1416-J1416)*Intv_BA!$L$1316/TS_Denom_Conv_Fact</f>
        <v>0</v>
      </c>
      <c r="L1606" s="14">
        <f>(L1416-K1416)*Intv_BA!$L$1316/TS_Denom_Conv_Fact</f>
        <v>0</v>
      </c>
      <c r="M1606" s="14">
        <f>(M1416-L1416)*Intv_BA!$L$1316/TS_Denom_Conv_Fact</f>
        <v>0</v>
      </c>
      <c r="N1606" s="14">
        <f>(N1416-M1416)*Intv_BA!$L$1316/TS_Denom_Conv_Fact</f>
        <v>0</v>
      </c>
      <c r="O1606" s="14">
        <f>(O1416-N1416)*Intv_BA!$L$1316/TS_Denom_Conv_Fact</f>
        <v>0</v>
      </c>
    </row>
    <row r="1607" spans="4:15" s="327" customFormat="1" outlineLevel="1" x14ac:dyDescent="0.2">
      <c r="D1607" s="521" t="str">
        <f>Intv_BA!D1349</f>
        <v>Lusaka</v>
      </c>
      <c r="H1607" s="546" t="str">
        <f>Intv_BA!G$1181</f>
        <v>Chemo</v>
      </c>
      <c r="J1607" s="14">
        <f>(J1417-I1417)*Intv_BA!$L$1316/TS_Denom_Conv_Fact</f>
        <v>0</v>
      </c>
      <c r="K1607" s="14">
        <f>(K1417-J1417)*Intv_BA!$L$1316/TS_Denom_Conv_Fact</f>
        <v>0</v>
      </c>
      <c r="L1607" s="14">
        <f>(L1417-K1417)*Intv_BA!$L$1316/TS_Denom_Conv_Fact</f>
        <v>0</v>
      </c>
      <c r="M1607" s="14">
        <f>(M1417-L1417)*Intv_BA!$L$1316/TS_Denom_Conv_Fact</f>
        <v>0</v>
      </c>
      <c r="N1607" s="14">
        <f>(N1417-M1417)*Intv_BA!$L$1316/TS_Denom_Conv_Fact</f>
        <v>0</v>
      </c>
      <c r="O1607" s="14">
        <f>(O1417-N1417)*Intv_BA!$L$1316/TS_Denom_Conv_Fact</f>
        <v>0</v>
      </c>
    </row>
    <row r="1608" spans="4:15" s="327" customFormat="1" outlineLevel="1" x14ac:dyDescent="0.2">
      <c r="D1608" s="521" t="str">
        <f>Intv_BA!D1350</f>
        <v>Muchinga</v>
      </c>
      <c r="H1608" s="546" t="str">
        <f>Intv_BA!G$1181</f>
        <v>Chemo</v>
      </c>
      <c r="J1608" s="14">
        <f>(J1418-I1418)*Intv_BA!$L$1316/TS_Denom_Conv_Fact</f>
        <v>0</v>
      </c>
      <c r="K1608" s="14">
        <f>(K1418-J1418)*Intv_BA!$L$1316/TS_Denom_Conv_Fact</f>
        <v>0</v>
      </c>
      <c r="L1608" s="14">
        <f>(L1418-K1418)*Intv_BA!$L$1316/TS_Denom_Conv_Fact</f>
        <v>0</v>
      </c>
      <c r="M1608" s="14">
        <f>(M1418-L1418)*Intv_BA!$L$1316/TS_Denom_Conv_Fact</f>
        <v>0</v>
      </c>
      <c r="N1608" s="14">
        <f>(N1418-M1418)*Intv_BA!$L$1316/TS_Denom_Conv_Fact</f>
        <v>0</v>
      </c>
      <c r="O1608" s="14">
        <f>(O1418-N1418)*Intv_BA!$L$1316/TS_Denom_Conv_Fact</f>
        <v>0</v>
      </c>
    </row>
    <row r="1609" spans="4:15" s="327" customFormat="1" outlineLevel="1" x14ac:dyDescent="0.2">
      <c r="D1609" s="521" t="str">
        <f>Intv_BA!D1351</f>
        <v>Northern</v>
      </c>
      <c r="H1609" s="546" t="str">
        <f>Intv_BA!G$1181</f>
        <v>Chemo</v>
      </c>
      <c r="J1609" s="14">
        <f>(J1419-I1419)*Intv_BA!$L$1316/TS_Denom_Conv_Fact</f>
        <v>0</v>
      </c>
      <c r="K1609" s="14">
        <f>(K1419-J1419)*Intv_BA!$L$1316/TS_Denom_Conv_Fact</f>
        <v>0</v>
      </c>
      <c r="L1609" s="14">
        <f>(L1419-K1419)*Intv_BA!$L$1316/TS_Denom_Conv_Fact</f>
        <v>0</v>
      </c>
      <c r="M1609" s="14">
        <f>(M1419-L1419)*Intv_BA!$L$1316/TS_Denom_Conv_Fact</f>
        <v>0</v>
      </c>
      <c r="N1609" s="14">
        <f>(N1419-M1419)*Intv_BA!$L$1316/TS_Denom_Conv_Fact</f>
        <v>0</v>
      </c>
      <c r="O1609" s="14">
        <f>(O1419-N1419)*Intv_BA!$L$1316/TS_Denom_Conv_Fact</f>
        <v>0</v>
      </c>
    </row>
    <row r="1610" spans="4:15" s="327" customFormat="1" outlineLevel="1" x14ac:dyDescent="0.2">
      <c r="D1610" s="521" t="str">
        <f>Intv_BA!D1352</f>
        <v>North-Western</v>
      </c>
      <c r="H1610" s="546" t="str">
        <f>Intv_BA!G$1181</f>
        <v>Chemo</v>
      </c>
      <c r="J1610" s="14">
        <f>(J1420-I1420)*Intv_BA!$L$1316/TS_Denom_Conv_Fact</f>
        <v>0</v>
      </c>
      <c r="K1610" s="14">
        <f>(K1420-J1420)*Intv_BA!$L$1316/TS_Denom_Conv_Fact</f>
        <v>0</v>
      </c>
      <c r="L1610" s="14">
        <f>(L1420-K1420)*Intv_BA!$L$1316/TS_Denom_Conv_Fact</f>
        <v>0</v>
      </c>
      <c r="M1610" s="14">
        <f>(M1420-L1420)*Intv_BA!$L$1316/TS_Denom_Conv_Fact</f>
        <v>0</v>
      </c>
      <c r="N1610" s="14">
        <f>(N1420-M1420)*Intv_BA!$L$1316/TS_Denom_Conv_Fact</f>
        <v>0</v>
      </c>
      <c r="O1610" s="14">
        <f>(O1420-N1420)*Intv_BA!$L$1316/TS_Denom_Conv_Fact</f>
        <v>0</v>
      </c>
    </row>
    <row r="1611" spans="4:15" s="327" customFormat="1" outlineLevel="1" x14ac:dyDescent="0.2">
      <c r="D1611" s="521" t="str">
        <f>Intv_BA!D1353</f>
        <v>Southern</v>
      </c>
      <c r="H1611" s="546" t="str">
        <f>Intv_BA!G$1181</f>
        <v>Chemo</v>
      </c>
      <c r="J1611" s="14">
        <f>(J1421-I1421)*Intv_BA!$L$1316/TS_Denom_Conv_Fact</f>
        <v>0</v>
      </c>
      <c r="K1611" s="14">
        <f>(K1421-J1421)*Intv_BA!$L$1316/TS_Denom_Conv_Fact</f>
        <v>0</v>
      </c>
      <c r="L1611" s="14">
        <f>(L1421-K1421)*Intv_BA!$L$1316/TS_Denom_Conv_Fact</f>
        <v>0</v>
      </c>
      <c r="M1611" s="14">
        <f>(M1421-L1421)*Intv_BA!$L$1316/TS_Denom_Conv_Fact</f>
        <v>0</v>
      </c>
      <c r="N1611" s="14">
        <f>(N1421-M1421)*Intv_BA!$L$1316/TS_Denom_Conv_Fact</f>
        <v>0</v>
      </c>
      <c r="O1611" s="14">
        <f>(O1421-N1421)*Intv_BA!$L$1316/TS_Denom_Conv_Fact</f>
        <v>0</v>
      </c>
    </row>
    <row r="1612" spans="4:15" s="327" customFormat="1" outlineLevel="1" x14ac:dyDescent="0.2">
      <c r="D1612" s="521" t="str">
        <f>Intv_BA!D1354</f>
        <v>Western</v>
      </c>
      <c r="H1612" s="546" t="str">
        <f>Intv_BA!G$1181</f>
        <v>Chemo</v>
      </c>
      <c r="J1612" s="14">
        <f>(J1422-I1422)*Intv_BA!$L$1316/TS_Denom_Conv_Fact</f>
        <v>0</v>
      </c>
      <c r="K1612" s="14">
        <f>(K1422-J1422)*Intv_BA!$L$1316/TS_Denom_Conv_Fact</f>
        <v>0</v>
      </c>
      <c r="L1612" s="14">
        <f>(L1422-K1422)*Intv_BA!$L$1316/TS_Denom_Conv_Fact</f>
        <v>0</v>
      </c>
      <c r="M1612" s="14">
        <f>(M1422-L1422)*Intv_BA!$L$1316/TS_Denom_Conv_Fact</f>
        <v>0</v>
      </c>
      <c r="N1612" s="14">
        <f>(N1422-M1422)*Intv_BA!$L$1316/TS_Denom_Conv_Fact</f>
        <v>0</v>
      </c>
      <c r="O1612" s="14">
        <f>(O1422-N1422)*Intv_BA!$L$1316/TS_Denom_Conv_Fact</f>
        <v>0</v>
      </c>
    </row>
    <row r="1613" spans="4:15" s="327" customFormat="1" ht="15" x14ac:dyDescent="0.2">
      <c r="D1613" s="520" t="str">
        <f>D1602&amp;" ("&amp;INDEX(LU_Intv_3_Denom,DD_TS_Denom)&amp;")"</f>
        <v>Economic Capex (NonAnnualized) (USD)</v>
      </c>
      <c r="H1613" s="24" t="str">
        <f>Intv_BA!$G$1181</f>
        <v>Chemo</v>
      </c>
      <c r="J1613" s="5">
        <f t="shared" ref="J1613:O1613" si="154">SUM(J1603:J1612)</f>
        <v>0</v>
      </c>
      <c r="K1613" s="5">
        <f t="shared" si="154"/>
        <v>0</v>
      </c>
      <c r="L1613" s="5">
        <f t="shared" si="154"/>
        <v>0</v>
      </c>
      <c r="M1613" s="5">
        <f t="shared" si="154"/>
        <v>0</v>
      </c>
      <c r="N1613" s="5">
        <f t="shared" si="154"/>
        <v>0</v>
      </c>
      <c r="O1613" s="5">
        <f t="shared" si="154"/>
        <v>0</v>
      </c>
    </row>
    <row r="1614" spans="4:15" s="327" customFormat="1" ht="15" outlineLevel="2" x14ac:dyDescent="0.2">
      <c r="D1614" s="519" t="s">
        <v>1692</v>
      </c>
    </row>
    <row r="1615" spans="4:15" s="327" customFormat="1" outlineLevel="2" x14ac:dyDescent="0.2">
      <c r="D1615" s="521" t="str">
        <f>Intv_BA!D1345</f>
        <v>Central</v>
      </c>
      <c r="H1615" s="546" t="str">
        <f>Intv_BA!G$1181</f>
        <v>Chemo</v>
      </c>
      <c r="J1615" s="8">
        <f>J1413*Intv_BA!$N$1318/TS_Denom_Conv_Fact</f>
        <v>0</v>
      </c>
      <c r="K1615" s="8">
        <f>K1413*Intv_BA!$N$1318/TS_Denom_Conv_Fact</f>
        <v>0</v>
      </c>
      <c r="L1615" s="8">
        <f>L1413*Intv_BA!$N$1318/TS_Denom_Conv_Fact</f>
        <v>0</v>
      </c>
      <c r="M1615" s="8">
        <f>M1413*Intv_BA!$N$1318/TS_Denom_Conv_Fact</f>
        <v>0</v>
      </c>
      <c r="N1615" s="8">
        <f>N1413*Intv_BA!$N$1318/TS_Denom_Conv_Fact</f>
        <v>0</v>
      </c>
      <c r="O1615" s="8">
        <f>O1413*Intv_BA!$N$1318/TS_Denom_Conv_Fact</f>
        <v>0</v>
      </c>
    </row>
    <row r="1616" spans="4:15" s="327" customFormat="1" outlineLevel="2" x14ac:dyDescent="0.2">
      <c r="D1616" s="521" t="str">
        <f>Intv_BA!D1346</f>
        <v>Copperbelt</v>
      </c>
      <c r="H1616" s="546" t="str">
        <f>Intv_BA!G$1181</f>
        <v>Chemo</v>
      </c>
      <c r="J1616" s="8">
        <f>J1414*Intv_BA!$N$1318/TS_Denom_Conv_Fact</f>
        <v>0</v>
      </c>
      <c r="K1616" s="8">
        <f>K1414*Intv_BA!$N$1318/TS_Denom_Conv_Fact</f>
        <v>0</v>
      </c>
      <c r="L1616" s="8">
        <f>L1414*Intv_BA!$N$1318/TS_Denom_Conv_Fact</f>
        <v>0</v>
      </c>
      <c r="M1616" s="8">
        <f>M1414*Intv_BA!$N$1318/TS_Denom_Conv_Fact</f>
        <v>0</v>
      </c>
      <c r="N1616" s="8">
        <f>N1414*Intv_BA!$N$1318/TS_Denom_Conv_Fact</f>
        <v>0</v>
      </c>
      <c r="O1616" s="8">
        <f>O1414*Intv_BA!$N$1318/TS_Denom_Conv_Fact</f>
        <v>0</v>
      </c>
    </row>
    <row r="1617" spans="4:15" s="327" customFormat="1" outlineLevel="2" x14ac:dyDescent="0.2">
      <c r="D1617" s="521" t="str">
        <f>Intv_BA!D1347</f>
        <v>Eastern</v>
      </c>
      <c r="H1617" s="546" t="str">
        <f>Intv_BA!G$1181</f>
        <v>Chemo</v>
      </c>
      <c r="J1617" s="8">
        <f>J1415*Intv_BA!$N$1318/TS_Denom_Conv_Fact</f>
        <v>0</v>
      </c>
      <c r="K1617" s="8">
        <f>K1415*Intv_BA!$N$1318/TS_Denom_Conv_Fact</f>
        <v>0</v>
      </c>
      <c r="L1617" s="8">
        <f>L1415*Intv_BA!$N$1318/TS_Denom_Conv_Fact</f>
        <v>0</v>
      </c>
      <c r="M1617" s="8">
        <f>M1415*Intv_BA!$N$1318/TS_Denom_Conv_Fact</f>
        <v>0</v>
      </c>
      <c r="N1617" s="8">
        <f>N1415*Intv_BA!$N$1318/TS_Denom_Conv_Fact</f>
        <v>0</v>
      </c>
      <c r="O1617" s="8">
        <f>O1415*Intv_BA!$N$1318/TS_Denom_Conv_Fact</f>
        <v>0</v>
      </c>
    </row>
    <row r="1618" spans="4:15" s="327" customFormat="1" outlineLevel="2" x14ac:dyDescent="0.2">
      <c r="D1618" s="521" t="str">
        <f>Intv_BA!D1348</f>
        <v>Luapula</v>
      </c>
      <c r="H1618" s="546" t="str">
        <f>Intv_BA!G$1181</f>
        <v>Chemo</v>
      </c>
      <c r="J1618" s="8">
        <f>J1416*Intv_BA!$N$1318/TS_Denom_Conv_Fact</f>
        <v>0</v>
      </c>
      <c r="K1618" s="8">
        <f>K1416*Intv_BA!$N$1318/TS_Denom_Conv_Fact</f>
        <v>0</v>
      </c>
      <c r="L1618" s="8">
        <f>L1416*Intv_BA!$N$1318/TS_Denom_Conv_Fact</f>
        <v>0</v>
      </c>
      <c r="M1618" s="8">
        <f>M1416*Intv_BA!$N$1318/TS_Denom_Conv_Fact</f>
        <v>0</v>
      </c>
      <c r="N1618" s="8">
        <f>N1416*Intv_BA!$N$1318/TS_Denom_Conv_Fact</f>
        <v>0</v>
      </c>
      <c r="O1618" s="8">
        <f>O1416*Intv_BA!$N$1318/TS_Denom_Conv_Fact</f>
        <v>0</v>
      </c>
    </row>
    <row r="1619" spans="4:15" s="327" customFormat="1" outlineLevel="2" x14ac:dyDescent="0.2">
      <c r="D1619" s="521" t="str">
        <f>Intv_BA!D1349</f>
        <v>Lusaka</v>
      </c>
      <c r="H1619" s="546" t="str">
        <f>Intv_BA!G$1181</f>
        <v>Chemo</v>
      </c>
      <c r="J1619" s="8">
        <f>J1417*Intv_BA!$N$1318/TS_Denom_Conv_Fact</f>
        <v>0</v>
      </c>
      <c r="K1619" s="8">
        <f>K1417*Intv_BA!$N$1318/TS_Denom_Conv_Fact</f>
        <v>0</v>
      </c>
      <c r="L1619" s="8">
        <f>L1417*Intv_BA!$N$1318/TS_Denom_Conv_Fact</f>
        <v>0</v>
      </c>
      <c r="M1619" s="8">
        <f>M1417*Intv_BA!$N$1318/TS_Denom_Conv_Fact</f>
        <v>0</v>
      </c>
      <c r="N1619" s="8">
        <f>N1417*Intv_BA!$N$1318/TS_Denom_Conv_Fact</f>
        <v>0</v>
      </c>
      <c r="O1619" s="8">
        <f>O1417*Intv_BA!$N$1318/TS_Denom_Conv_Fact</f>
        <v>0</v>
      </c>
    </row>
    <row r="1620" spans="4:15" s="327" customFormat="1" outlineLevel="2" x14ac:dyDescent="0.2">
      <c r="D1620" s="521" t="str">
        <f>Intv_BA!D1350</f>
        <v>Muchinga</v>
      </c>
      <c r="H1620" s="546" t="str">
        <f>Intv_BA!G$1181</f>
        <v>Chemo</v>
      </c>
      <c r="J1620" s="8">
        <f>J1418*Intv_BA!$N$1318/TS_Denom_Conv_Fact</f>
        <v>0</v>
      </c>
      <c r="K1620" s="8">
        <f>K1418*Intv_BA!$N$1318/TS_Denom_Conv_Fact</f>
        <v>0</v>
      </c>
      <c r="L1620" s="8">
        <f>L1418*Intv_BA!$N$1318/TS_Denom_Conv_Fact</f>
        <v>0</v>
      </c>
      <c r="M1620" s="8">
        <f>M1418*Intv_BA!$N$1318/TS_Denom_Conv_Fact</f>
        <v>0</v>
      </c>
      <c r="N1620" s="8">
        <f>N1418*Intv_BA!$N$1318/TS_Denom_Conv_Fact</f>
        <v>0</v>
      </c>
      <c r="O1620" s="8">
        <f>O1418*Intv_BA!$N$1318/TS_Denom_Conv_Fact</f>
        <v>0</v>
      </c>
    </row>
    <row r="1621" spans="4:15" s="327" customFormat="1" outlineLevel="2" x14ac:dyDescent="0.2">
      <c r="D1621" s="521" t="str">
        <f>Intv_BA!D1351</f>
        <v>Northern</v>
      </c>
      <c r="H1621" s="546" t="str">
        <f>Intv_BA!G$1181</f>
        <v>Chemo</v>
      </c>
      <c r="J1621" s="8">
        <f>J1419*Intv_BA!$N$1318/TS_Denom_Conv_Fact</f>
        <v>0</v>
      </c>
      <c r="K1621" s="8">
        <f>K1419*Intv_BA!$N$1318/TS_Denom_Conv_Fact</f>
        <v>0</v>
      </c>
      <c r="L1621" s="8">
        <f>L1419*Intv_BA!$N$1318/TS_Denom_Conv_Fact</f>
        <v>0</v>
      </c>
      <c r="M1621" s="8">
        <f>M1419*Intv_BA!$N$1318/TS_Denom_Conv_Fact</f>
        <v>0</v>
      </c>
      <c r="N1621" s="8">
        <f>N1419*Intv_BA!$N$1318/TS_Denom_Conv_Fact</f>
        <v>0</v>
      </c>
      <c r="O1621" s="8">
        <f>O1419*Intv_BA!$N$1318/TS_Denom_Conv_Fact</f>
        <v>0</v>
      </c>
    </row>
    <row r="1622" spans="4:15" s="327" customFormat="1" outlineLevel="2" x14ac:dyDescent="0.2">
      <c r="D1622" s="521" t="str">
        <f>Intv_BA!D1352</f>
        <v>North-Western</v>
      </c>
      <c r="H1622" s="546" t="str">
        <f>Intv_BA!G$1181</f>
        <v>Chemo</v>
      </c>
      <c r="J1622" s="8">
        <f>J1420*Intv_BA!$N$1318/TS_Denom_Conv_Fact</f>
        <v>0</v>
      </c>
      <c r="K1622" s="8">
        <f>K1420*Intv_BA!$N$1318/TS_Denom_Conv_Fact</f>
        <v>0</v>
      </c>
      <c r="L1622" s="8">
        <f>L1420*Intv_BA!$N$1318/TS_Denom_Conv_Fact</f>
        <v>0</v>
      </c>
      <c r="M1622" s="8">
        <f>M1420*Intv_BA!$N$1318/TS_Denom_Conv_Fact</f>
        <v>0</v>
      </c>
      <c r="N1622" s="8">
        <f>N1420*Intv_BA!$N$1318/TS_Denom_Conv_Fact</f>
        <v>0</v>
      </c>
      <c r="O1622" s="8">
        <f>O1420*Intv_BA!$N$1318/TS_Denom_Conv_Fact</f>
        <v>0</v>
      </c>
    </row>
    <row r="1623" spans="4:15" s="327" customFormat="1" outlineLevel="2" x14ac:dyDescent="0.2">
      <c r="D1623" s="521" t="str">
        <f>Intv_BA!D1353</f>
        <v>Southern</v>
      </c>
      <c r="H1623" s="546" t="str">
        <f>Intv_BA!G$1181</f>
        <v>Chemo</v>
      </c>
      <c r="J1623" s="8">
        <f>J1421*Intv_BA!$N$1318/TS_Denom_Conv_Fact</f>
        <v>0</v>
      </c>
      <c r="K1623" s="8">
        <f>K1421*Intv_BA!$N$1318/TS_Denom_Conv_Fact</f>
        <v>0</v>
      </c>
      <c r="L1623" s="8">
        <f>L1421*Intv_BA!$N$1318/TS_Denom_Conv_Fact</f>
        <v>0</v>
      </c>
      <c r="M1623" s="8">
        <f>M1421*Intv_BA!$N$1318/TS_Denom_Conv_Fact</f>
        <v>0</v>
      </c>
      <c r="N1623" s="8">
        <f>N1421*Intv_BA!$N$1318/TS_Denom_Conv_Fact</f>
        <v>0</v>
      </c>
      <c r="O1623" s="8">
        <f>O1421*Intv_BA!$N$1318/TS_Denom_Conv_Fact</f>
        <v>0</v>
      </c>
    </row>
    <row r="1624" spans="4:15" s="327" customFormat="1" outlineLevel="2" x14ac:dyDescent="0.2">
      <c r="D1624" s="521" t="str">
        <f>Intv_BA!D1354</f>
        <v>Western</v>
      </c>
      <c r="H1624" s="546" t="str">
        <f>Intv_BA!G$1181</f>
        <v>Chemo</v>
      </c>
      <c r="J1624" s="9">
        <f>J1422*Intv_BA!$N$1318/TS_Denom_Conv_Fact</f>
        <v>0</v>
      </c>
      <c r="K1624" s="9">
        <f>K1422*Intv_BA!$N$1318/TS_Denom_Conv_Fact</f>
        <v>0</v>
      </c>
      <c r="L1624" s="9">
        <f>L1422*Intv_BA!$N$1318/TS_Denom_Conv_Fact</f>
        <v>0</v>
      </c>
      <c r="M1624" s="9">
        <f>M1422*Intv_BA!$N$1318/TS_Denom_Conv_Fact</f>
        <v>0</v>
      </c>
      <c r="N1624" s="9">
        <f>N1422*Intv_BA!$N$1318/TS_Denom_Conv_Fact</f>
        <v>0</v>
      </c>
      <c r="O1624" s="9">
        <f>O1422*Intv_BA!$N$1318/TS_Denom_Conv_Fact</f>
        <v>0</v>
      </c>
    </row>
    <row r="1625" spans="4:15" s="327" customFormat="1" ht="15" x14ac:dyDescent="0.2">
      <c r="D1625" s="520" t="str">
        <f>D1614&amp;" ("&amp;INDEX(LU_Intv_3_Denom,DD_TS_Denom)&amp;")"</f>
        <v>Economic Capital Expenditures (Capex) (Annualized) (USD)</v>
      </c>
      <c r="H1625" s="24" t="str">
        <f>Intv_BA!$G$1181</f>
        <v>Chemo</v>
      </c>
      <c r="J1625" s="5">
        <f t="shared" ref="J1625:O1625" si="155">SUM(J1615:J1624)</f>
        <v>0</v>
      </c>
      <c r="K1625" s="5">
        <f t="shared" si="155"/>
        <v>0</v>
      </c>
      <c r="L1625" s="5">
        <f t="shared" si="155"/>
        <v>0</v>
      </c>
      <c r="M1625" s="5">
        <f t="shared" si="155"/>
        <v>0</v>
      </c>
      <c r="N1625" s="5">
        <f t="shared" si="155"/>
        <v>0</v>
      </c>
      <c r="O1625" s="5">
        <f t="shared" si="155"/>
        <v>0</v>
      </c>
    </row>
    <row r="1626" spans="4:15" s="327" customFormat="1" x14ac:dyDescent="0.2"/>
    <row r="1627" spans="4:15" s="327" customFormat="1" ht="15.75" x14ac:dyDescent="0.2">
      <c r="D1627" s="330" t="s">
        <v>732</v>
      </c>
    </row>
    <row r="1628" spans="4:15" s="327" customFormat="1" x14ac:dyDescent="0.2">
      <c r="D1628" s="930" t="str">
        <f>"Total Fin Costs [incl. Capex] (NonAnnualized) ("&amp;INDEX(LU_Intv_3_Denom,DD_TS_Denom)&amp;")"</f>
        <v>Total Fin Costs [incl. Capex] (NonAnnualized) (USD)</v>
      </c>
      <c r="E1628" s="930"/>
      <c r="F1628" s="930"/>
      <c r="G1628" s="930"/>
      <c r="H1628" s="521" t="str">
        <f>Intv_BA!$G$1181</f>
        <v>Chemo</v>
      </c>
      <c r="J1628" s="5">
        <f t="shared" ref="J1628:O1628" ca="1" si="156">J1574+J1588</f>
        <v>30928.904999999999</v>
      </c>
      <c r="K1628" s="5">
        <f t="shared" ca="1" si="156"/>
        <v>30928.904999999999</v>
      </c>
      <c r="L1628" s="5">
        <f t="shared" ca="1" si="156"/>
        <v>30928.904999999999</v>
      </c>
      <c r="M1628" s="5">
        <f t="shared" ca="1" si="156"/>
        <v>30928.904999999999</v>
      </c>
      <c r="N1628" s="5">
        <f t="shared" ca="1" si="156"/>
        <v>30928.904999999999</v>
      </c>
      <c r="O1628" s="5">
        <f t="shared" ca="1" si="156"/>
        <v>30928.904999999999</v>
      </c>
    </row>
    <row r="1629" spans="4:15" s="327" customFormat="1" x14ac:dyDescent="0.2">
      <c r="D1629" s="930" t="str">
        <f>"Total Fin Costs [incl. Capex] (Annualized) ("&amp;INDEX(LU_Intv_3_Denom,DD_TS_Denom)&amp;")"</f>
        <v>Total Fin Costs [incl. Capex] (Annualized) (USD)</v>
      </c>
      <c r="E1629" s="930"/>
      <c r="F1629" s="930"/>
      <c r="G1629" s="930"/>
      <c r="H1629" s="521" t="str">
        <f>Intv_BA!$G$1181</f>
        <v>Chemo</v>
      </c>
      <c r="J1629" s="5">
        <f t="shared" ref="J1629:O1629" ca="1" si="157">J1574+J1600</f>
        <v>30928.904999999999</v>
      </c>
      <c r="K1629" s="5">
        <f t="shared" ca="1" si="157"/>
        <v>30928.904999999999</v>
      </c>
      <c r="L1629" s="5">
        <f t="shared" ca="1" si="157"/>
        <v>30928.904999999999</v>
      </c>
      <c r="M1629" s="5">
        <f t="shared" ca="1" si="157"/>
        <v>30928.904999999999</v>
      </c>
      <c r="N1629" s="5">
        <f t="shared" ca="1" si="157"/>
        <v>30928.904999999999</v>
      </c>
      <c r="O1629" s="5">
        <f t="shared" ca="1" si="157"/>
        <v>30928.904999999999</v>
      </c>
    </row>
    <row r="1630" spans="4:15" s="327" customFormat="1" x14ac:dyDescent="0.2"/>
    <row r="1631" spans="4:15" s="327" customFormat="1" ht="15.75" x14ac:dyDescent="0.2">
      <c r="D1631" s="330" t="s">
        <v>733</v>
      </c>
    </row>
    <row r="1632" spans="4:15" s="327" customFormat="1" ht="24.6" customHeight="1" x14ac:dyDescent="0.2">
      <c r="D1632" s="930" t="str">
        <f>"Total Econ Costs [incl. Capex] (NonAnnualized) ("&amp;INDEX(LU_Intv_3_Denom,DD_TS_Denom)&amp;")"</f>
        <v>Total Econ Costs [incl. Capex] (NonAnnualized) (USD)</v>
      </c>
      <c r="E1632" s="930"/>
      <c r="F1632" s="930"/>
      <c r="G1632" s="930"/>
      <c r="H1632" s="521" t="str">
        <f>Intv_BA!$G$1181</f>
        <v>Chemo</v>
      </c>
      <c r="J1632" s="5">
        <f t="shared" ref="J1632:O1632" ca="1" si="158">J1575+J1613</f>
        <v>49585.913873204969</v>
      </c>
      <c r="K1632" s="5">
        <f t="shared" ca="1" si="158"/>
        <v>49585.913873204969</v>
      </c>
      <c r="L1632" s="5">
        <f t="shared" ca="1" si="158"/>
        <v>49585.913873204969</v>
      </c>
      <c r="M1632" s="5">
        <f t="shared" ca="1" si="158"/>
        <v>49585.913873204969</v>
      </c>
      <c r="N1632" s="5">
        <f t="shared" ca="1" si="158"/>
        <v>49585.913873204961</v>
      </c>
      <c r="O1632" s="5">
        <f t="shared" ca="1" si="158"/>
        <v>49585.913873204961</v>
      </c>
    </row>
    <row r="1633" spans="2:15" s="327" customFormat="1" ht="24" customHeight="1" x14ac:dyDescent="0.2">
      <c r="D1633" s="931" t="str">
        <f>"Econ Costs [incl. Capex] (Annualized) ("&amp;INDEX(LU_Intv_3_Denom,DD_TS_Denom)&amp;")"</f>
        <v>Econ Costs [incl. Capex] (Annualized) (USD)</v>
      </c>
      <c r="E1633" s="931"/>
      <c r="F1633" s="931"/>
      <c r="G1633" s="931"/>
      <c r="H1633" s="521" t="str">
        <f>Intv_BA!$G$1181</f>
        <v>Chemo</v>
      </c>
      <c r="J1633" s="5">
        <f t="shared" ref="J1633:O1633" ca="1" si="159">J1575+J1625</f>
        <v>49585.913873204969</v>
      </c>
      <c r="K1633" s="5">
        <f t="shared" ca="1" si="159"/>
        <v>49585.913873204969</v>
      </c>
      <c r="L1633" s="5">
        <f t="shared" ca="1" si="159"/>
        <v>49585.913873204969</v>
      </c>
      <c r="M1633" s="5">
        <f t="shared" ca="1" si="159"/>
        <v>49585.913873204969</v>
      </c>
      <c r="N1633" s="5">
        <f t="shared" ca="1" si="159"/>
        <v>49585.913873204961</v>
      </c>
      <c r="O1633" s="5">
        <f t="shared" ca="1" si="159"/>
        <v>49585.913873204961</v>
      </c>
    </row>
    <row r="1634" spans="2:15" s="327" customFormat="1" x14ac:dyDescent="0.2"/>
    <row r="1635" spans="2:15" s="327" customFormat="1" x14ac:dyDescent="0.2"/>
    <row r="1636" spans="2:15" s="327" customFormat="1" x14ac:dyDescent="0.2">
      <c r="C1636" s="716" t="str">
        <f>"Go to "&amp;HL_Intv_3_Ass</f>
        <v>Go to Chemotherapy</v>
      </c>
      <c r="D1636" s="716"/>
      <c r="E1636" s="716"/>
      <c r="F1636" s="716"/>
      <c r="G1636" s="716"/>
      <c r="H1636" s="716"/>
      <c r="I1636" s="716"/>
    </row>
    <row r="1637" spans="2:15" s="327" customFormat="1" x14ac:dyDescent="0.2">
      <c r="C1637" s="716" t="str">
        <f>"Go to "&amp;HL_Intv_3_Ann_Ass</f>
        <v>Go to Intervention Services - Annual Assumptions</v>
      </c>
      <c r="D1637" s="716"/>
      <c r="E1637" s="716"/>
      <c r="F1637" s="716"/>
      <c r="G1637" s="716"/>
      <c r="H1637" s="716"/>
      <c r="I1637" s="716"/>
    </row>
    <row r="1638" spans="2:15" s="327" customFormat="1" x14ac:dyDescent="0.2"/>
    <row r="1639" spans="2:15" s="327" customFormat="1" x14ac:dyDescent="0.2"/>
    <row r="1640" spans="2:15" s="327" customFormat="1" ht="18.75" x14ac:dyDescent="0.2">
      <c r="B1640" s="452" t="str">
        <f>Intv_4_Name</f>
        <v>Radiotherapy</v>
      </c>
    </row>
    <row r="1641" spans="2:15" s="327" customFormat="1" x14ac:dyDescent="0.2"/>
    <row r="1642" spans="2:15" s="327" customFormat="1" ht="15.75" outlineLevel="2" x14ac:dyDescent="0.2">
      <c r="C1642" s="26" t="str">
        <f>"Active "&amp;Intv_BA!D1796&amp;"s"</f>
        <v>Active Central Referral Hospitals</v>
      </c>
    </row>
    <row r="1643" spans="2:15" s="327" customFormat="1" outlineLevel="2" x14ac:dyDescent="0.2"/>
    <row r="1644" spans="2:15" s="327" customFormat="1" outlineLevel="2" x14ac:dyDescent="0.2">
      <c r="D1644" s="518" t="s">
        <v>82</v>
      </c>
      <c r="H1644" s="27">
        <v>1</v>
      </c>
    </row>
    <row r="1645" spans="2:15" s="327" customFormat="1" outlineLevel="2" x14ac:dyDescent="0.2"/>
    <row r="1646" spans="2:15" s="327" customFormat="1" ht="15" outlineLevel="2" x14ac:dyDescent="0.2">
      <c r="D1646" s="24" t="str">
        <f>Labels_BA!G10</f>
        <v>Province</v>
      </c>
    </row>
    <row r="1647" spans="2:15" s="327" customFormat="1" outlineLevel="2" x14ac:dyDescent="0.2">
      <c r="D1647" s="521" t="str">
        <f>Intv_BA!D1937</f>
        <v>Central</v>
      </c>
      <c r="J1647" s="8">
        <f>Intv_Ann_TA!J801</f>
        <v>0</v>
      </c>
      <c r="K1647" s="8">
        <f>Intv_Ann_TA!K801</f>
        <v>0</v>
      </c>
      <c r="L1647" s="8">
        <f>Intv_Ann_TA!L801</f>
        <v>0</v>
      </c>
      <c r="M1647" s="8">
        <f>Intv_Ann_TA!M801</f>
        <v>0</v>
      </c>
      <c r="N1647" s="8">
        <f>Intv_Ann_TA!N801</f>
        <v>0</v>
      </c>
      <c r="O1647" s="8">
        <f>Intv_Ann_TA!O801</f>
        <v>0</v>
      </c>
    </row>
    <row r="1648" spans="2:15" s="327" customFormat="1" outlineLevel="2" x14ac:dyDescent="0.2">
      <c r="D1648" s="521" t="str">
        <f>Intv_BA!D1938</f>
        <v>Copperbelt</v>
      </c>
      <c r="J1648" s="8">
        <f>Intv_Ann_TA!J802</f>
        <v>0</v>
      </c>
      <c r="K1648" s="8">
        <f>Intv_Ann_TA!K802</f>
        <v>0</v>
      </c>
      <c r="L1648" s="8">
        <f>Intv_Ann_TA!L802</f>
        <v>0</v>
      </c>
      <c r="M1648" s="8">
        <f>Intv_Ann_TA!M802</f>
        <v>0</v>
      </c>
      <c r="N1648" s="8">
        <f>Intv_Ann_TA!N802</f>
        <v>1</v>
      </c>
      <c r="O1648" s="8">
        <f>Intv_Ann_TA!O802</f>
        <v>1</v>
      </c>
    </row>
    <row r="1649" spans="3:15" s="327" customFormat="1" outlineLevel="2" x14ac:dyDescent="0.2">
      <c r="D1649" s="521" t="str">
        <f>Intv_BA!D1939</f>
        <v>Eastern</v>
      </c>
      <c r="J1649" s="8">
        <f>Intv_Ann_TA!J803</f>
        <v>0</v>
      </c>
      <c r="K1649" s="8">
        <f>Intv_Ann_TA!K803</f>
        <v>0</v>
      </c>
      <c r="L1649" s="8">
        <f>Intv_Ann_TA!L803</f>
        <v>0</v>
      </c>
      <c r="M1649" s="8">
        <f>Intv_Ann_TA!M803</f>
        <v>0</v>
      </c>
      <c r="N1649" s="8">
        <f>Intv_Ann_TA!N803</f>
        <v>0</v>
      </c>
      <c r="O1649" s="8">
        <f>Intv_Ann_TA!O803</f>
        <v>0</v>
      </c>
    </row>
    <row r="1650" spans="3:15" s="327" customFormat="1" outlineLevel="2" x14ac:dyDescent="0.2">
      <c r="D1650" s="521" t="str">
        <f>Intv_BA!D1940</f>
        <v>Luapula</v>
      </c>
      <c r="J1650" s="8">
        <f>Intv_Ann_TA!J804</f>
        <v>0</v>
      </c>
      <c r="K1650" s="8">
        <f>Intv_Ann_TA!K804</f>
        <v>0</v>
      </c>
      <c r="L1650" s="8">
        <f>Intv_Ann_TA!L804</f>
        <v>0</v>
      </c>
      <c r="M1650" s="8">
        <f>Intv_Ann_TA!M804</f>
        <v>0</v>
      </c>
      <c r="N1650" s="8">
        <f>Intv_Ann_TA!N804</f>
        <v>0</v>
      </c>
      <c r="O1650" s="8">
        <f>Intv_Ann_TA!O804</f>
        <v>0</v>
      </c>
    </row>
    <row r="1651" spans="3:15" s="327" customFormat="1" outlineLevel="2" x14ac:dyDescent="0.2">
      <c r="D1651" s="521" t="str">
        <f>Intv_BA!D1941</f>
        <v>Lusaka</v>
      </c>
      <c r="J1651" s="8">
        <f>Intv_Ann_TA!J805</f>
        <v>1</v>
      </c>
      <c r="K1651" s="8">
        <f>Intv_Ann_TA!K805</f>
        <v>1</v>
      </c>
      <c r="L1651" s="8">
        <f>Intv_Ann_TA!L805</f>
        <v>1</v>
      </c>
      <c r="M1651" s="8">
        <f>Intv_Ann_TA!M805</f>
        <v>1</v>
      </c>
      <c r="N1651" s="8">
        <f>Intv_Ann_TA!N805</f>
        <v>1</v>
      </c>
      <c r="O1651" s="8">
        <f>Intv_Ann_TA!O805</f>
        <v>1</v>
      </c>
    </row>
    <row r="1652" spans="3:15" s="327" customFormat="1" outlineLevel="2" x14ac:dyDescent="0.2">
      <c r="D1652" s="521" t="str">
        <f>Intv_BA!D1942</f>
        <v>Muchinga</v>
      </c>
      <c r="J1652" s="8">
        <f>Intv_Ann_TA!J806</f>
        <v>0</v>
      </c>
      <c r="K1652" s="8">
        <f>Intv_Ann_TA!K806</f>
        <v>0</v>
      </c>
      <c r="L1652" s="8">
        <f>Intv_Ann_TA!L806</f>
        <v>0</v>
      </c>
      <c r="M1652" s="8">
        <f>Intv_Ann_TA!M806</f>
        <v>0</v>
      </c>
      <c r="N1652" s="8">
        <f>Intv_Ann_TA!N806</f>
        <v>0</v>
      </c>
      <c r="O1652" s="8">
        <f>Intv_Ann_TA!O806</f>
        <v>0</v>
      </c>
    </row>
    <row r="1653" spans="3:15" s="327" customFormat="1" outlineLevel="2" x14ac:dyDescent="0.2">
      <c r="D1653" s="521" t="str">
        <f>Intv_BA!D1943</f>
        <v>Northern</v>
      </c>
      <c r="J1653" s="8">
        <f>Intv_Ann_TA!J807</f>
        <v>0</v>
      </c>
      <c r="K1653" s="8">
        <f>Intv_Ann_TA!K807</f>
        <v>0</v>
      </c>
      <c r="L1653" s="8">
        <f>Intv_Ann_TA!L807</f>
        <v>0</v>
      </c>
      <c r="M1653" s="8">
        <f>Intv_Ann_TA!M807</f>
        <v>0</v>
      </c>
      <c r="N1653" s="8">
        <f>Intv_Ann_TA!N807</f>
        <v>0</v>
      </c>
      <c r="O1653" s="8">
        <f>Intv_Ann_TA!O807</f>
        <v>0</v>
      </c>
    </row>
    <row r="1654" spans="3:15" s="327" customFormat="1" outlineLevel="2" x14ac:dyDescent="0.2">
      <c r="D1654" s="521" t="str">
        <f>Intv_BA!D1944</f>
        <v>North-Western</v>
      </c>
      <c r="J1654" s="8">
        <f>Intv_Ann_TA!J808</f>
        <v>0</v>
      </c>
      <c r="K1654" s="8">
        <f>Intv_Ann_TA!K808</f>
        <v>0</v>
      </c>
      <c r="L1654" s="8">
        <f>Intv_Ann_TA!L808</f>
        <v>0</v>
      </c>
      <c r="M1654" s="8">
        <f>Intv_Ann_TA!M808</f>
        <v>0</v>
      </c>
      <c r="N1654" s="8">
        <f>Intv_Ann_TA!N808</f>
        <v>0</v>
      </c>
      <c r="O1654" s="8">
        <f>Intv_Ann_TA!O808</f>
        <v>0</v>
      </c>
    </row>
    <row r="1655" spans="3:15" s="327" customFormat="1" outlineLevel="2" x14ac:dyDescent="0.2">
      <c r="D1655" s="521" t="str">
        <f>Intv_BA!D1945</f>
        <v>Southern</v>
      </c>
      <c r="J1655" s="8">
        <f>Intv_Ann_TA!J809</f>
        <v>0</v>
      </c>
      <c r="K1655" s="8">
        <f>Intv_Ann_TA!K809</f>
        <v>0</v>
      </c>
      <c r="L1655" s="8">
        <f>Intv_Ann_TA!L809</f>
        <v>0</v>
      </c>
      <c r="M1655" s="8">
        <f>Intv_Ann_TA!M809</f>
        <v>0</v>
      </c>
      <c r="N1655" s="8">
        <f>Intv_Ann_TA!N809</f>
        <v>1</v>
      </c>
      <c r="O1655" s="8">
        <f>Intv_Ann_TA!O809</f>
        <v>1</v>
      </c>
    </row>
    <row r="1656" spans="3:15" s="327" customFormat="1" outlineLevel="2" x14ac:dyDescent="0.2">
      <c r="D1656" s="521" t="str">
        <f>Intv_BA!D1946</f>
        <v>Western</v>
      </c>
      <c r="J1656" s="9">
        <f>Intv_Ann_TA!J810</f>
        <v>0</v>
      </c>
      <c r="K1656" s="9">
        <f>Intv_Ann_TA!K810</f>
        <v>0</v>
      </c>
      <c r="L1656" s="9">
        <f>Intv_Ann_TA!L810</f>
        <v>0</v>
      </c>
      <c r="M1656" s="9">
        <f>Intv_Ann_TA!M810</f>
        <v>0</v>
      </c>
      <c r="N1656" s="9">
        <f>Intv_Ann_TA!N810</f>
        <v>0</v>
      </c>
      <c r="O1656" s="9">
        <f>Intv_Ann_TA!O810</f>
        <v>0</v>
      </c>
    </row>
    <row r="1657" spans="3:15" s="327" customFormat="1" x14ac:dyDescent="0.2">
      <c r="D1657" s="520" t="str">
        <f>"Total "&amp;C1642</f>
        <v>Total Active Central Referral Hospitals</v>
      </c>
      <c r="J1657" s="5">
        <f t="shared" ref="J1657:O1657" si="160">SUM(J1647:J1656)</f>
        <v>1</v>
      </c>
      <c r="K1657" s="5">
        <f t="shared" si="160"/>
        <v>1</v>
      </c>
      <c r="L1657" s="5">
        <f t="shared" si="160"/>
        <v>1</v>
      </c>
      <c r="M1657" s="5">
        <f t="shared" si="160"/>
        <v>1</v>
      </c>
      <c r="N1657" s="5">
        <f t="shared" si="160"/>
        <v>3</v>
      </c>
      <c r="O1657" s="5">
        <f t="shared" si="160"/>
        <v>3</v>
      </c>
    </row>
    <row r="1658" spans="3:15" s="327" customFormat="1" outlineLevel="2" x14ac:dyDescent="0.2"/>
    <row r="1659" spans="3:15" s="327" customFormat="1" ht="15.75" outlineLevel="2" x14ac:dyDescent="0.2">
      <c r="C1659" s="26" t="str">
        <f>"Active "&amp;Intv_BA!D1797&amp;"s"</f>
        <v>Active Provincial Hospitals</v>
      </c>
    </row>
    <row r="1660" spans="3:15" s="327" customFormat="1" outlineLevel="2" x14ac:dyDescent="0.2"/>
    <row r="1661" spans="3:15" s="327" customFormat="1" outlineLevel="2" x14ac:dyDescent="0.2">
      <c r="D1661" s="518" t="s">
        <v>82</v>
      </c>
      <c r="H1661" s="27">
        <v>2</v>
      </c>
    </row>
    <row r="1662" spans="3:15" s="327" customFormat="1" outlineLevel="2" x14ac:dyDescent="0.2"/>
    <row r="1663" spans="3:15" s="327" customFormat="1" ht="15" outlineLevel="2" x14ac:dyDescent="0.2">
      <c r="D1663" s="24" t="str">
        <f>Labels_BA!G10</f>
        <v>Province</v>
      </c>
    </row>
    <row r="1664" spans="3:15" s="327" customFormat="1" outlineLevel="2" x14ac:dyDescent="0.2">
      <c r="D1664" s="521" t="str">
        <f>Intv_BA!D1937</f>
        <v>Central</v>
      </c>
      <c r="J1664" s="8">
        <f>Intv_Ann_TA!J817</f>
        <v>0</v>
      </c>
      <c r="K1664" s="8">
        <f>Intv_Ann_TA!K817</f>
        <v>0</v>
      </c>
      <c r="L1664" s="8">
        <f>Intv_Ann_TA!L817</f>
        <v>0</v>
      </c>
      <c r="M1664" s="8">
        <f>Intv_Ann_TA!M817</f>
        <v>0</v>
      </c>
      <c r="N1664" s="8">
        <f>Intv_Ann_TA!N817</f>
        <v>0</v>
      </c>
      <c r="O1664" s="8">
        <f>Intv_Ann_TA!O817</f>
        <v>0</v>
      </c>
    </row>
    <row r="1665" spans="3:15" s="327" customFormat="1" outlineLevel="2" x14ac:dyDescent="0.2">
      <c r="D1665" s="521" t="str">
        <f>Intv_BA!D1938</f>
        <v>Copperbelt</v>
      </c>
      <c r="J1665" s="8">
        <f>Intv_Ann_TA!J818</f>
        <v>0</v>
      </c>
      <c r="K1665" s="8">
        <f>Intv_Ann_TA!K818</f>
        <v>0</v>
      </c>
      <c r="L1665" s="8">
        <f>Intv_Ann_TA!L818</f>
        <v>0</v>
      </c>
      <c r="M1665" s="8">
        <f>Intv_Ann_TA!M818</f>
        <v>0</v>
      </c>
      <c r="N1665" s="8">
        <f>Intv_Ann_TA!N818</f>
        <v>0</v>
      </c>
      <c r="O1665" s="8">
        <f>Intv_Ann_TA!O818</f>
        <v>0</v>
      </c>
    </row>
    <row r="1666" spans="3:15" s="327" customFormat="1" outlineLevel="2" x14ac:dyDescent="0.2">
      <c r="D1666" s="521" t="str">
        <f>Intv_BA!D1939</f>
        <v>Eastern</v>
      </c>
      <c r="J1666" s="8">
        <f>Intv_Ann_TA!J819</f>
        <v>0</v>
      </c>
      <c r="K1666" s="8">
        <f>Intv_Ann_TA!K819</f>
        <v>0</v>
      </c>
      <c r="L1666" s="8">
        <f>Intv_Ann_TA!L819</f>
        <v>0</v>
      </c>
      <c r="M1666" s="8">
        <f>Intv_Ann_TA!M819</f>
        <v>0</v>
      </c>
      <c r="N1666" s="8">
        <f>Intv_Ann_TA!N819</f>
        <v>0</v>
      </c>
      <c r="O1666" s="8">
        <f>Intv_Ann_TA!O819</f>
        <v>0</v>
      </c>
    </row>
    <row r="1667" spans="3:15" s="327" customFormat="1" outlineLevel="2" x14ac:dyDescent="0.2">
      <c r="D1667" s="521" t="str">
        <f>Intv_BA!D1940</f>
        <v>Luapula</v>
      </c>
      <c r="J1667" s="8">
        <f>Intv_Ann_TA!J820</f>
        <v>0</v>
      </c>
      <c r="K1667" s="8">
        <f>Intv_Ann_TA!K820</f>
        <v>0</v>
      </c>
      <c r="L1667" s="8">
        <f>Intv_Ann_TA!L820</f>
        <v>0</v>
      </c>
      <c r="M1667" s="8">
        <f>Intv_Ann_TA!M820</f>
        <v>0</v>
      </c>
      <c r="N1667" s="8">
        <f>Intv_Ann_TA!N820</f>
        <v>0</v>
      </c>
      <c r="O1667" s="8">
        <f>Intv_Ann_TA!O820</f>
        <v>0</v>
      </c>
    </row>
    <row r="1668" spans="3:15" s="327" customFormat="1" outlineLevel="2" x14ac:dyDescent="0.2">
      <c r="D1668" s="521" t="str">
        <f>Intv_BA!D1941</f>
        <v>Lusaka</v>
      </c>
      <c r="J1668" s="8">
        <f>Intv_Ann_TA!J821</f>
        <v>0</v>
      </c>
      <c r="K1668" s="8">
        <f>Intv_Ann_TA!K821</f>
        <v>0</v>
      </c>
      <c r="L1668" s="8">
        <f>Intv_Ann_TA!L821</f>
        <v>0</v>
      </c>
      <c r="M1668" s="8">
        <f>Intv_Ann_TA!M821</f>
        <v>0</v>
      </c>
      <c r="N1668" s="8">
        <f>Intv_Ann_TA!N821</f>
        <v>0</v>
      </c>
      <c r="O1668" s="8">
        <f>Intv_Ann_TA!O821</f>
        <v>0</v>
      </c>
    </row>
    <row r="1669" spans="3:15" s="327" customFormat="1" outlineLevel="2" x14ac:dyDescent="0.2">
      <c r="D1669" s="521" t="str">
        <f>Intv_BA!D1942</f>
        <v>Muchinga</v>
      </c>
      <c r="J1669" s="8">
        <f>Intv_Ann_TA!J822</f>
        <v>0</v>
      </c>
      <c r="K1669" s="8">
        <f>Intv_Ann_TA!K822</f>
        <v>0</v>
      </c>
      <c r="L1669" s="8">
        <f>Intv_Ann_TA!L822</f>
        <v>0</v>
      </c>
      <c r="M1669" s="8">
        <f>Intv_Ann_TA!M822</f>
        <v>0</v>
      </c>
      <c r="N1669" s="8">
        <f>Intv_Ann_TA!N822</f>
        <v>0</v>
      </c>
      <c r="O1669" s="8">
        <f>Intv_Ann_TA!O822</f>
        <v>0</v>
      </c>
    </row>
    <row r="1670" spans="3:15" s="327" customFormat="1" outlineLevel="2" x14ac:dyDescent="0.2">
      <c r="D1670" s="521" t="str">
        <f>Intv_BA!D1943</f>
        <v>Northern</v>
      </c>
      <c r="J1670" s="8">
        <f>Intv_Ann_TA!J823</f>
        <v>0</v>
      </c>
      <c r="K1670" s="8">
        <f>Intv_Ann_TA!K823</f>
        <v>0</v>
      </c>
      <c r="L1670" s="8">
        <f>Intv_Ann_TA!L823</f>
        <v>0</v>
      </c>
      <c r="M1670" s="8">
        <f>Intv_Ann_TA!M823</f>
        <v>0</v>
      </c>
      <c r="N1670" s="8">
        <f>Intv_Ann_TA!N823</f>
        <v>0</v>
      </c>
      <c r="O1670" s="8">
        <f>Intv_Ann_TA!O823</f>
        <v>0</v>
      </c>
    </row>
    <row r="1671" spans="3:15" s="327" customFormat="1" outlineLevel="2" x14ac:dyDescent="0.2">
      <c r="D1671" s="521" t="str">
        <f>Intv_BA!D1944</f>
        <v>North-Western</v>
      </c>
      <c r="J1671" s="8">
        <f>Intv_Ann_TA!J824</f>
        <v>0</v>
      </c>
      <c r="K1671" s="8">
        <f>Intv_Ann_TA!K824</f>
        <v>0</v>
      </c>
      <c r="L1671" s="8">
        <f>Intv_Ann_TA!L824</f>
        <v>0</v>
      </c>
      <c r="M1671" s="8">
        <f>Intv_Ann_TA!M824</f>
        <v>0</v>
      </c>
      <c r="N1671" s="8">
        <f>Intv_Ann_TA!N824</f>
        <v>0</v>
      </c>
      <c r="O1671" s="8">
        <f>Intv_Ann_TA!O824</f>
        <v>0</v>
      </c>
    </row>
    <row r="1672" spans="3:15" s="327" customFormat="1" outlineLevel="2" x14ac:dyDescent="0.2">
      <c r="D1672" s="521" t="str">
        <f>Intv_BA!D1945</f>
        <v>Southern</v>
      </c>
      <c r="J1672" s="8">
        <f>Intv_Ann_TA!J825</f>
        <v>0</v>
      </c>
      <c r="K1672" s="8">
        <f>Intv_Ann_TA!K825</f>
        <v>0</v>
      </c>
      <c r="L1672" s="8">
        <f>Intv_Ann_TA!L825</f>
        <v>0</v>
      </c>
      <c r="M1672" s="8">
        <f>Intv_Ann_TA!M825</f>
        <v>0</v>
      </c>
      <c r="N1672" s="8">
        <f>Intv_Ann_TA!N825</f>
        <v>0</v>
      </c>
      <c r="O1672" s="8">
        <f>Intv_Ann_TA!O825</f>
        <v>0</v>
      </c>
    </row>
    <row r="1673" spans="3:15" s="327" customFormat="1" outlineLevel="2" x14ac:dyDescent="0.2">
      <c r="D1673" s="521" t="str">
        <f>Intv_BA!D1946</f>
        <v>Western</v>
      </c>
      <c r="J1673" s="9">
        <f>Intv_Ann_TA!J826</f>
        <v>0</v>
      </c>
      <c r="K1673" s="9">
        <f>Intv_Ann_TA!K826</f>
        <v>0</v>
      </c>
      <c r="L1673" s="9">
        <f>Intv_Ann_TA!L826</f>
        <v>0</v>
      </c>
      <c r="M1673" s="9">
        <f>Intv_Ann_TA!M826</f>
        <v>0</v>
      </c>
      <c r="N1673" s="9">
        <f>Intv_Ann_TA!N826</f>
        <v>0</v>
      </c>
      <c r="O1673" s="9">
        <f>Intv_Ann_TA!O826</f>
        <v>0</v>
      </c>
    </row>
    <row r="1674" spans="3:15" s="327" customFormat="1" x14ac:dyDescent="0.2">
      <c r="D1674" s="520" t="str">
        <f>"Total "&amp;C1659</f>
        <v>Total Active Provincial Hospitals</v>
      </c>
      <c r="J1674" s="5">
        <f t="shared" ref="J1674:O1674" si="161">SUM(J1664:J1673)</f>
        <v>0</v>
      </c>
      <c r="K1674" s="5">
        <f t="shared" si="161"/>
        <v>0</v>
      </c>
      <c r="L1674" s="5">
        <f t="shared" si="161"/>
        <v>0</v>
      </c>
      <c r="M1674" s="5">
        <f t="shared" si="161"/>
        <v>0</v>
      </c>
      <c r="N1674" s="5">
        <f t="shared" si="161"/>
        <v>0</v>
      </c>
      <c r="O1674" s="5">
        <f t="shared" si="161"/>
        <v>0</v>
      </c>
    </row>
    <row r="1675" spans="3:15" s="327" customFormat="1" outlineLevel="2" x14ac:dyDescent="0.2"/>
    <row r="1676" spans="3:15" s="327" customFormat="1" ht="15.75" outlineLevel="2" x14ac:dyDescent="0.2">
      <c r="C1676" s="26" t="str">
        <f>"Active "&amp;Intv_BA!D1798&amp;"s"</f>
        <v>Active District Hospitals</v>
      </c>
    </row>
    <row r="1677" spans="3:15" s="327" customFormat="1" outlineLevel="2" x14ac:dyDescent="0.2"/>
    <row r="1678" spans="3:15" s="327" customFormat="1" outlineLevel="2" x14ac:dyDescent="0.2">
      <c r="D1678" s="518" t="s">
        <v>82</v>
      </c>
      <c r="H1678" s="27">
        <v>3</v>
      </c>
    </row>
    <row r="1679" spans="3:15" s="327" customFormat="1" outlineLevel="2" x14ac:dyDescent="0.2"/>
    <row r="1680" spans="3:15" s="327" customFormat="1" ht="15" outlineLevel="2" x14ac:dyDescent="0.2">
      <c r="D1680" s="24" t="str">
        <f>Labels_BA!G10</f>
        <v>Province</v>
      </c>
    </row>
    <row r="1681" spans="3:15" s="327" customFormat="1" outlineLevel="2" x14ac:dyDescent="0.2">
      <c r="D1681" s="521" t="str">
        <f>Intv_BA!D1937</f>
        <v>Central</v>
      </c>
      <c r="J1681" s="8">
        <f>Intv_Ann_TA!J833</f>
        <v>0</v>
      </c>
      <c r="K1681" s="8">
        <f>Intv_Ann_TA!K833</f>
        <v>0</v>
      </c>
      <c r="L1681" s="8">
        <f>Intv_Ann_TA!L833</f>
        <v>0</v>
      </c>
      <c r="M1681" s="8">
        <f>Intv_Ann_TA!M833</f>
        <v>0</v>
      </c>
      <c r="N1681" s="8">
        <f>Intv_Ann_TA!N833</f>
        <v>0</v>
      </c>
      <c r="O1681" s="8">
        <f>Intv_Ann_TA!O833</f>
        <v>0</v>
      </c>
    </row>
    <row r="1682" spans="3:15" s="327" customFormat="1" outlineLevel="2" x14ac:dyDescent="0.2">
      <c r="D1682" s="521" t="str">
        <f>Intv_BA!D1938</f>
        <v>Copperbelt</v>
      </c>
      <c r="J1682" s="8">
        <f>Intv_Ann_TA!J834</f>
        <v>0</v>
      </c>
      <c r="K1682" s="8">
        <f>Intv_Ann_TA!K834</f>
        <v>0</v>
      </c>
      <c r="L1682" s="8">
        <f>Intv_Ann_TA!L834</f>
        <v>0</v>
      </c>
      <c r="M1682" s="8">
        <f>Intv_Ann_TA!M834</f>
        <v>0</v>
      </c>
      <c r="N1682" s="8">
        <f>Intv_Ann_TA!N834</f>
        <v>0</v>
      </c>
      <c r="O1682" s="8">
        <f>Intv_Ann_TA!O834</f>
        <v>0</v>
      </c>
    </row>
    <row r="1683" spans="3:15" s="327" customFormat="1" outlineLevel="2" x14ac:dyDescent="0.2">
      <c r="D1683" s="521" t="str">
        <f>Intv_BA!D1939</f>
        <v>Eastern</v>
      </c>
      <c r="J1683" s="8">
        <f>Intv_Ann_TA!J835</f>
        <v>0</v>
      </c>
      <c r="K1683" s="8">
        <f>Intv_Ann_TA!K835</f>
        <v>0</v>
      </c>
      <c r="L1683" s="8">
        <f>Intv_Ann_TA!L835</f>
        <v>0</v>
      </c>
      <c r="M1683" s="8">
        <f>Intv_Ann_TA!M835</f>
        <v>0</v>
      </c>
      <c r="N1683" s="8">
        <f>Intv_Ann_TA!N835</f>
        <v>0</v>
      </c>
      <c r="O1683" s="8">
        <f>Intv_Ann_TA!O835</f>
        <v>0</v>
      </c>
    </row>
    <row r="1684" spans="3:15" s="327" customFormat="1" outlineLevel="2" x14ac:dyDescent="0.2">
      <c r="D1684" s="521" t="str">
        <f>Intv_BA!D1940</f>
        <v>Luapula</v>
      </c>
      <c r="J1684" s="8">
        <f>Intv_Ann_TA!J836</f>
        <v>0</v>
      </c>
      <c r="K1684" s="8">
        <f>Intv_Ann_TA!K836</f>
        <v>0</v>
      </c>
      <c r="L1684" s="8">
        <f>Intv_Ann_TA!L836</f>
        <v>0</v>
      </c>
      <c r="M1684" s="8">
        <f>Intv_Ann_TA!M836</f>
        <v>0</v>
      </c>
      <c r="N1684" s="8">
        <f>Intv_Ann_TA!N836</f>
        <v>0</v>
      </c>
      <c r="O1684" s="8">
        <f>Intv_Ann_TA!O836</f>
        <v>0</v>
      </c>
    </row>
    <row r="1685" spans="3:15" s="327" customFormat="1" outlineLevel="2" x14ac:dyDescent="0.2">
      <c r="D1685" s="521" t="str">
        <f>Intv_BA!D1941</f>
        <v>Lusaka</v>
      </c>
      <c r="J1685" s="8">
        <f>Intv_Ann_TA!J837</f>
        <v>0</v>
      </c>
      <c r="K1685" s="8">
        <f>Intv_Ann_TA!K837</f>
        <v>0</v>
      </c>
      <c r="L1685" s="8">
        <f>Intv_Ann_TA!L837</f>
        <v>0</v>
      </c>
      <c r="M1685" s="8">
        <f>Intv_Ann_TA!M837</f>
        <v>0</v>
      </c>
      <c r="N1685" s="8">
        <f>Intv_Ann_TA!N837</f>
        <v>0</v>
      </c>
      <c r="O1685" s="8">
        <f>Intv_Ann_TA!O837</f>
        <v>0</v>
      </c>
    </row>
    <row r="1686" spans="3:15" s="327" customFormat="1" outlineLevel="2" x14ac:dyDescent="0.2">
      <c r="D1686" s="521" t="str">
        <f>Intv_BA!D1942</f>
        <v>Muchinga</v>
      </c>
      <c r="J1686" s="8">
        <f>Intv_Ann_TA!J838</f>
        <v>0</v>
      </c>
      <c r="K1686" s="8">
        <f>Intv_Ann_TA!K838</f>
        <v>0</v>
      </c>
      <c r="L1686" s="8">
        <f>Intv_Ann_TA!L838</f>
        <v>0</v>
      </c>
      <c r="M1686" s="8">
        <f>Intv_Ann_TA!M838</f>
        <v>0</v>
      </c>
      <c r="N1686" s="8">
        <f>Intv_Ann_TA!N838</f>
        <v>0</v>
      </c>
      <c r="O1686" s="8">
        <f>Intv_Ann_TA!O838</f>
        <v>0</v>
      </c>
    </row>
    <row r="1687" spans="3:15" s="327" customFormat="1" outlineLevel="2" x14ac:dyDescent="0.2">
      <c r="D1687" s="521" t="str">
        <f>Intv_BA!D1943</f>
        <v>Northern</v>
      </c>
      <c r="J1687" s="8">
        <f>Intv_Ann_TA!J839</f>
        <v>0</v>
      </c>
      <c r="K1687" s="8">
        <f>Intv_Ann_TA!K839</f>
        <v>0</v>
      </c>
      <c r="L1687" s="8">
        <f>Intv_Ann_TA!L839</f>
        <v>0</v>
      </c>
      <c r="M1687" s="8">
        <f>Intv_Ann_TA!M839</f>
        <v>0</v>
      </c>
      <c r="N1687" s="8">
        <f>Intv_Ann_TA!N839</f>
        <v>0</v>
      </c>
      <c r="O1687" s="8">
        <f>Intv_Ann_TA!O839</f>
        <v>0</v>
      </c>
    </row>
    <row r="1688" spans="3:15" s="327" customFormat="1" outlineLevel="2" x14ac:dyDescent="0.2">
      <c r="D1688" s="521" t="str">
        <f>Intv_BA!D1944</f>
        <v>North-Western</v>
      </c>
      <c r="J1688" s="8">
        <f>Intv_Ann_TA!J840</f>
        <v>0</v>
      </c>
      <c r="K1688" s="8">
        <f>Intv_Ann_TA!K840</f>
        <v>0</v>
      </c>
      <c r="L1688" s="8">
        <f>Intv_Ann_TA!L840</f>
        <v>0</v>
      </c>
      <c r="M1688" s="8">
        <f>Intv_Ann_TA!M840</f>
        <v>0</v>
      </c>
      <c r="N1688" s="8">
        <f>Intv_Ann_TA!N840</f>
        <v>0</v>
      </c>
      <c r="O1688" s="8">
        <f>Intv_Ann_TA!O840</f>
        <v>0</v>
      </c>
    </row>
    <row r="1689" spans="3:15" s="327" customFormat="1" outlineLevel="2" x14ac:dyDescent="0.2">
      <c r="D1689" s="521" t="str">
        <f>Intv_BA!D1945</f>
        <v>Southern</v>
      </c>
      <c r="J1689" s="8">
        <f>Intv_Ann_TA!J841</f>
        <v>0</v>
      </c>
      <c r="K1689" s="8">
        <f>Intv_Ann_TA!K841</f>
        <v>0</v>
      </c>
      <c r="L1689" s="8">
        <f>Intv_Ann_TA!L841</f>
        <v>0</v>
      </c>
      <c r="M1689" s="8">
        <f>Intv_Ann_TA!M841</f>
        <v>0</v>
      </c>
      <c r="N1689" s="8">
        <f>Intv_Ann_TA!N841</f>
        <v>0</v>
      </c>
      <c r="O1689" s="8">
        <f>Intv_Ann_TA!O841</f>
        <v>0</v>
      </c>
    </row>
    <row r="1690" spans="3:15" s="327" customFormat="1" outlineLevel="2" x14ac:dyDescent="0.2">
      <c r="D1690" s="521" t="str">
        <f>Intv_BA!D1946</f>
        <v>Western</v>
      </c>
      <c r="J1690" s="9">
        <f>Intv_Ann_TA!J842</f>
        <v>0</v>
      </c>
      <c r="K1690" s="9">
        <f>Intv_Ann_TA!K842</f>
        <v>0</v>
      </c>
      <c r="L1690" s="9">
        <f>Intv_Ann_TA!L842</f>
        <v>0</v>
      </c>
      <c r="M1690" s="9">
        <f>Intv_Ann_TA!M842</f>
        <v>0</v>
      </c>
      <c r="N1690" s="9">
        <f>Intv_Ann_TA!N842</f>
        <v>0</v>
      </c>
      <c r="O1690" s="9">
        <f>Intv_Ann_TA!O842</f>
        <v>0</v>
      </c>
    </row>
    <row r="1691" spans="3:15" s="327" customFormat="1" x14ac:dyDescent="0.2">
      <c r="D1691" s="520" t="str">
        <f>"Total "&amp;C1676</f>
        <v>Total Active District Hospitals</v>
      </c>
      <c r="J1691" s="5">
        <f t="shared" ref="J1691:O1691" si="162">SUM(J1681:J1690)</f>
        <v>0</v>
      </c>
      <c r="K1691" s="5">
        <f t="shared" si="162"/>
        <v>0</v>
      </c>
      <c r="L1691" s="5">
        <f t="shared" si="162"/>
        <v>0</v>
      </c>
      <c r="M1691" s="5">
        <f t="shared" si="162"/>
        <v>0</v>
      </c>
      <c r="N1691" s="5">
        <f t="shared" si="162"/>
        <v>0</v>
      </c>
      <c r="O1691" s="5">
        <f t="shared" si="162"/>
        <v>0</v>
      </c>
    </row>
    <row r="1692" spans="3:15" s="327" customFormat="1" outlineLevel="2" x14ac:dyDescent="0.2"/>
    <row r="1693" spans="3:15" s="327" customFormat="1" ht="15.75" outlineLevel="2" x14ac:dyDescent="0.2">
      <c r="C1693" s="26" t="str">
        <f>"Active "&amp;Intv_BA!D1801&amp;"s"</f>
        <v>Active Fixed Health Clinics</v>
      </c>
    </row>
    <row r="1694" spans="3:15" s="327" customFormat="1" outlineLevel="2" x14ac:dyDescent="0.2"/>
    <row r="1695" spans="3:15" s="327" customFormat="1" outlineLevel="2" x14ac:dyDescent="0.2">
      <c r="D1695" s="518" t="s">
        <v>82</v>
      </c>
      <c r="H1695" s="27">
        <v>4</v>
      </c>
    </row>
    <row r="1696" spans="3:15" s="327" customFormat="1" outlineLevel="2" x14ac:dyDescent="0.2"/>
    <row r="1697" spans="3:15" s="327" customFormat="1" ht="15" outlineLevel="2" x14ac:dyDescent="0.2">
      <c r="D1697" s="24" t="str">
        <f>Labels_BA!G10</f>
        <v>Province</v>
      </c>
    </row>
    <row r="1698" spans="3:15" s="327" customFormat="1" outlineLevel="2" x14ac:dyDescent="0.2">
      <c r="D1698" s="521" t="str">
        <f>Intv_BA!D1937</f>
        <v>Central</v>
      </c>
      <c r="J1698" s="8">
        <f>Intv_Ann_TA!J849</f>
        <v>0</v>
      </c>
      <c r="K1698" s="8">
        <f>Intv_Ann_TA!K849</f>
        <v>0</v>
      </c>
      <c r="L1698" s="8">
        <f>Intv_Ann_TA!L849</f>
        <v>0</v>
      </c>
      <c r="M1698" s="8">
        <f>Intv_Ann_TA!M849</f>
        <v>0</v>
      </c>
      <c r="N1698" s="8">
        <f>Intv_Ann_TA!N849</f>
        <v>0</v>
      </c>
      <c r="O1698" s="8">
        <f>Intv_Ann_TA!O849</f>
        <v>0</v>
      </c>
    </row>
    <row r="1699" spans="3:15" s="327" customFormat="1" outlineLevel="2" x14ac:dyDescent="0.2">
      <c r="D1699" s="521" t="str">
        <f>Intv_BA!D1938</f>
        <v>Copperbelt</v>
      </c>
      <c r="J1699" s="8">
        <f>Intv_Ann_TA!J850</f>
        <v>0</v>
      </c>
      <c r="K1699" s="8">
        <f>Intv_Ann_TA!K850</f>
        <v>0</v>
      </c>
      <c r="L1699" s="8">
        <f>Intv_Ann_TA!L850</f>
        <v>0</v>
      </c>
      <c r="M1699" s="8">
        <f>Intv_Ann_TA!M850</f>
        <v>0</v>
      </c>
      <c r="N1699" s="8">
        <f>Intv_Ann_TA!N850</f>
        <v>0</v>
      </c>
      <c r="O1699" s="8">
        <f>Intv_Ann_TA!O850</f>
        <v>0</v>
      </c>
    </row>
    <row r="1700" spans="3:15" s="327" customFormat="1" outlineLevel="2" x14ac:dyDescent="0.2">
      <c r="D1700" s="521" t="str">
        <f>Intv_BA!D1939</f>
        <v>Eastern</v>
      </c>
      <c r="J1700" s="8">
        <f>Intv_Ann_TA!J851</f>
        <v>0</v>
      </c>
      <c r="K1700" s="8">
        <f>Intv_Ann_TA!K851</f>
        <v>0</v>
      </c>
      <c r="L1700" s="8">
        <f>Intv_Ann_TA!L851</f>
        <v>0</v>
      </c>
      <c r="M1700" s="8">
        <f>Intv_Ann_TA!M851</f>
        <v>0</v>
      </c>
      <c r="N1700" s="8">
        <f>Intv_Ann_TA!N851</f>
        <v>0</v>
      </c>
      <c r="O1700" s="8">
        <f>Intv_Ann_TA!O851</f>
        <v>0</v>
      </c>
    </row>
    <row r="1701" spans="3:15" s="327" customFormat="1" outlineLevel="2" x14ac:dyDescent="0.2">
      <c r="D1701" s="521" t="str">
        <f>Intv_BA!D1940</f>
        <v>Luapula</v>
      </c>
      <c r="J1701" s="8">
        <f>Intv_Ann_TA!J852</f>
        <v>0</v>
      </c>
      <c r="K1701" s="8">
        <f>Intv_Ann_TA!K852</f>
        <v>0</v>
      </c>
      <c r="L1701" s="8">
        <f>Intv_Ann_TA!L852</f>
        <v>0</v>
      </c>
      <c r="M1701" s="8">
        <f>Intv_Ann_TA!M852</f>
        <v>0</v>
      </c>
      <c r="N1701" s="8">
        <f>Intv_Ann_TA!N852</f>
        <v>0</v>
      </c>
      <c r="O1701" s="8">
        <f>Intv_Ann_TA!O852</f>
        <v>0</v>
      </c>
    </row>
    <row r="1702" spans="3:15" s="327" customFormat="1" outlineLevel="2" x14ac:dyDescent="0.2">
      <c r="D1702" s="521" t="str">
        <f>Intv_BA!D1941</f>
        <v>Lusaka</v>
      </c>
      <c r="J1702" s="8">
        <f>Intv_Ann_TA!J853</f>
        <v>0</v>
      </c>
      <c r="K1702" s="8">
        <f>Intv_Ann_TA!K853</f>
        <v>0</v>
      </c>
      <c r="L1702" s="8">
        <f>Intv_Ann_TA!L853</f>
        <v>0</v>
      </c>
      <c r="M1702" s="8">
        <f>Intv_Ann_TA!M853</f>
        <v>0</v>
      </c>
      <c r="N1702" s="8">
        <f>Intv_Ann_TA!N853</f>
        <v>0</v>
      </c>
      <c r="O1702" s="8">
        <f>Intv_Ann_TA!O853</f>
        <v>0</v>
      </c>
    </row>
    <row r="1703" spans="3:15" s="327" customFormat="1" outlineLevel="2" x14ac:dyDescent="0.2">
      <c r="D1703" s="521" t="str">
        <f>Intv_BA!D1942</f>
        <v>Muchinga</v>
      </c>
      <c r="J1703" s="8">
        <f>Intv_Ann_TA!J854</f>
        <v>0</v>
      </c>
      <c r="K1703" s="8">
        <f>Intv_Ann_TA!K854</f>
        <v>0</v>
      </c>
      <c r="L1703" s="8">
        <f>Intv_Ann_TA!L854</f>
        <v>0</v>
      </c>
      <c r="M1703" s="8">
        <f>Intv_Ann_TA!M854</f>
        <v>0</v>
      </c>
      <c r="N1703" s="8">
        <f>Intv_Ann_TA!N854</f>
        <v>0</v>
      </c>
      <c r="O1703" s="8">
        <f>Intv_Ann_TA!O854</f>
        <v>0</v>
      </c>
    </row>
    <row r="1704" spans="3:15" s="327" customFormat="1" outlineLevel="2" x14ac:dyDescent="0.2">
      <c r="D1704" s="521" t="str">
        <f>Intv_BA!D1943</f>
        <v>Northern</v>
      </c>
      <c r="J1704" s="8">
        <f>Intv_Ann_TA!J855</f>
        <v>0</v>
      </c>
      <c r="K1704" s="8">
        <f>Intv_Ann_TA!K855</f>
        <v>0</v>
      </c>
      <c r="L1704" s="8">
        <f>Intv_Ann_TA!L855</f>
        <v>0</v>
      </c>
      <c r="M1704" s="8">
        <f>Intv_Ann_TA!M855</f>
        <v>0</v>
      </c>
      <c r="N1704" s="8">
        <f>Intv_Ann_TA!N855</f>
        <v>0</v>
      </c>
      <c r="O1704" s="8">
        <f>Intv_Ann_TA!O855</f>
        <v>0</v>
      </c>
    </row>
    <row r="1705" spans="3:15" s="327" customFormat="1" outlineLevel="2" x14ac:dyDescent="0.2">
      <c r="D1705" s="521" t="str">
        <f>Intv_BA!D1944</f>
        <v>North-Western</v>
      </c>
      <c r="J1705" s="8">
        <f>Intv_Ann_TA!J856</f>
        <v>0</v>
      </c>
      <c r="K1705" s="8">
        <f>Intv_Ann_TA!K856</f>
        <v>0</v>
      </c>
      <c r="L1705" s="8">
        <f>Intv_Ann_TA!L856</f>
        <v>0</v>
      </c>
      <c r="M1705" s="8">
        <f>Intv_Ann_TA!M856</f>
        <v>0</v>
      </c>
      <c r="N1705" s="8">
        <f>Intv_Ann_TA!N856</f>
        <v>0</v>
      </c>
      <c r="O1705" s="8">
        <f>Intv_Ann_TA!O856</f>
        <v>0</v>
      </c>
    </row>
    <row r="1706" spans="3:15" s="327" customFormat="1" outlineLevel="2" x14ac:dyDescent="0.2">
      <c r="D1706" s="521" t="str">
        <f>Intv_BA!D1945</f>
        <v>Southern</v>
      </c>
      <c r="J1706" s="8">
        <f>Intv_Ann_TA!J857</f>
        <v>0</v>
      </c>
      <c r="K1706" s="8">
        <f>Intv_Ann_TA!K857</f>
        <v>0</v>
      </c>
      <c r="L1706" s="8">
        <f>Intv_Ann_TA!L857</f>
        <v>0</v>
      </c>
      <c r="M1706" s="8">
        <f>Intv_Ann_TA!M857</f>
        <v>0</v>
      </c>
      <c r="N1706" s="8">
        <f>Intv_Ann_TA!N857</f>
        <v>0</v>
      </c>
      <c r="O1706" s="8">
        <f>Intv_Ann_TA!O857</f>
        <v>0</v>
      </c>
    </row>
    <row r="1707" spans="3:15" s="327" customFormat="1" outlineLevel="2" x14ac:dyDescent="0.2">
      <c r="D1707" s="521" t="str">
        <f>Intv_BA!D1946</f>
        <v>Western</v>
      </c>
      <c r="J1707" s="9">
        <f>Intv_Ann_TA!J858</f>
        <v>0</v>
      </c>
      <c r="K1707" s="9">
        <f>Intv_Ann_TA!K858</f>
        <v>0</v>
      </c>
      <c r="L1707" s="9">
        <f>Intv_Ann_TA!L858</f>
        <v>0</v>
      </c>
      <c r="M1707" s="9">
        <f>Intv_Ann_TA!M858</f>
        <v>0</v>
      </c>
      <c r="N1707" s="9">
        <f>Intv_Ann_TA!N858</f>
        <v>0</v>
      </c>
      <c r="O1707" s="9">
        <f>Intv_Ann_TA!O858</f>
        <v>0</v>
      </c>
    </row>
    <row r="1708" spans="3:15" s="327" customFormat="1" x14ac:dyDescent="0.2">
      <c r="D1708" s="520" t="str">
        <f>"Total "&amp;C1693</f>
        <v>Total Active Fixed Health Clinics</v>
      </c>
      <c r="J1708" s="5">
        <f t="shared" ref="J1708:O1708" si="163">SUM(J1698:J1707)</f>
        <v>0</v>
      </c>
      <c r="K1708" s="5">
        <f t="shared" si="163"/>
        <v>0</v>
      </c>
      <c r="L1708" s="5">
        <f t="shared" si="163"/>
        <v>0</v>
      </c>
      <c r="M1708" s="5">
        <f t="shared" si="163"/>
        <v>0</v>
      </c>
      <c r="N1708" s="5">
        <f t="shared" si="163"/>
        <v>0</v>
      </c>
      <c r="O1708" s="5">
        <f t="shared" si="163"/>
        <v>0</v>
      </c>
    </row>
    <row r="1709" spans="3:15" s="327" customFormat="1" outlineLevel="2" x14ac:dyDescent="0.2"/>
    <row r="1710" spans="3:15" s="327" customFormat="1" ht="15.75" outlineLevel="2" x14ac:dyDescent="0.2">
      <c r="C1710" s="26" t="str">
        <f>"Active "&amp;Intv_BA!D1802&amp;"s"</f>
        <v>Active PCI Mobile Health Teams</v>
      </c>
    </row>
    <row r="1711" spans="3:15" s="327" customFormat="1" outlineLevel="2" x14ac:dyDescent="0.2"/>
    <row r="1712" spans="3:15" s="327" customFormat="1" outlineLevel="2" x14ac:dyDescent="0.2">
      <c r="D1712" s="518" t="s">
        <v>82</v>
      </c>
      <c r="H1712" s="27">
        <v>5</v>
      </c>
    </row>
    <row r="1713" spans="3:15" s="327" customFormat="1" outlineLevel="2" x14ac:dyDescent="0.2"/>
    <row r="1714" spans="3:15" s="327" customFormat="1" ht="15" outlineLevel="2" x14ac:dyDescent="0.2">
      <c r="D1714" s="24" t="str">
        <f>Labels_BA!G10</f>
        <v>Province</v>
      </c>
    </row>
    <row r="1715" spans="3:15" s="327" customFormat="1" outlineLevel="2" x14ac:dyDescent="0.2">
      <c r="D1715" s="521" t="str">
        <f>Intv_BA!D1937</f>
        <v>Central</v>
      </c>
      <c r="J1715" s="8">
        <f>Intv_Ann_TA!J865</f>
        <v>0</v>
      </c>
      <c r="K1715" s="8">
        <f>Intv_Ann_TA!K865</f>
        <v>0</v>
      </c>
      <c r="L1715" s="8">
        <f>Intv_Ann_TA!L865</f>
        <v>0</v>
      </c>
      <c r="M1715" s="8">
        <f>Intv_Ann_TA!M865</f>
        <v>0</v>
      </c>
      <c r="N1715" s="8">
        <f>Intv_Ann_TA!N865</f>
        <v>0</v>
      </c>
      <c r="O1715" s="8">
        <f>Intv_Ann_TA!O865</f>
        <v>0</v>
      </c>
    </row>
    <row r="1716" spans="3:15" s="327" customFormat="1" outlineLevel="2" x14ac:dyDescent="0.2">
      <c r="D1716" s="521" t="str">
        <f>Intv_BA!D1938</f>
        <v>Copperbelt</v>
      </c>
      <c r="J1716" s="8">
        <f>Intv_Ann_TA!J866</f>
        <v>0</v>
      </c>
      <c r="K1716" s="8">
        <f>Intv_Ann_TA!K866</f>
        <v>0</v>
      </c>
      <c r="L1716" s="8">
        <f>Intv_Ann_TA!L866</f>
        <v>0</v>
      </c>
      <c r="M1716" s="8">
        <f>Intv_Ann_TA!M866</f>
        <v>0</v>
      </c>
      <c r="N1716" s="8">
        <f>Intv_Ann_TA!N866</f>
        <v>0</v>
      </c>
      <c r="O1716" s="8">
        <f>Intv_Ann_TA!O866</f>
        <v>0</v>
      </c>
    </row>
    <row r="1717" spans="3:15" s="327" customFormat="1" outlineLevel="2" x14ac:dyDescent="0.2">
      <c r="D1717" s="521" t="str">
        <f>Intv_BA!D1939</f>
        <v>Eastern</v>
      </c>
      <c r="J1717" s="8">
        <f>Intv_Ann_TA!J867</f>
        <v>0</v>
      </c>
      <c r="K1717" s="8">
        <f>Intv_Ann_TA!K867</f>
        <v>0</v>
      </c>
      <c r="L1717" s="8">
        <f>Intv_Ann_TA!L867</f>
        <v>0</v>
      </c>
      <c r="M1717" s="8">
        <f>Intv_Ann_TA!M867</f>
        <v>0</v>
      </c>
      <c r="N1717" s="8">
        <f>Intv_Ann_TA!N867</f>
        <v>0</v>
      </c>
      <c r="O1717" s="8">
        <f>Intv_Ann_TA!O867</f>
        <v>0</v>
      </c>
    </row>
    <row r="1718" spans="3:15" s="327" customFormat="1" outlineLevel="2" x14ac:dyDescent="0.2">
      <c r="D1718" s="521" t="str">
        <f>Intv_BA!D1940</f>
        <v>Luapula</v>
      </c>
      <c r="J1718" s="8">
        <f>Intv_Ann_TA!J868</f>
        <v>0</v>
      </c>
      <c r="K1718" s="8">
        <f>Intv_Ann_TA!K868</f>
        <v>0</v>
      </c>
      <c r="L1718" s="8">
        <f>Intv_Ann_TA!L868</f>
        <v>0</v>
      </c>
      <c r="M1718" s="8">
        <f>Intv_Ann_TA!M868</f>
        <v>0</v>
      </c>
      <c r="N1718" s="8">
        <f>Intv_Ann_TA!N868</f>
        <v>0</v>
      </c>
      <c r="O1718" s="8">
        <f>Intv_Ann_TA!O868</f>
        <v>0</v>
      </c>
    </row>
    <row r="1719" spans="3:15" s="327" customFormat="1" outlineLevel="2" x14ac:dyDescent="0.2">
      <c r="D1719" s="521" t="str">
        <f>Intv_BA!D1941</f>
        <v>Lusaka</v>
      </c>
      <c r="J1719" s="8">
        <f>Intv_Ann_TA!J869</f>
        <v>0</v>
      </c>
      <c r="K1719" s="8">
        <f>Intv_Ann_TA!K869</f>
        <v>0</v>
      </c>
      <c r="L1719" s="8">
        <f>Intv_Ann_TA!L869</f>
        <v>0</v>
      </c>
      <c r="M1719" s="8">
        <f>Intv_Ann_TA!M869</f>
        <v>0</v>
      </c>
      <c r="N1719" s="8">
        <f>Intv_Ann_TA!N869</f>
        <v>0</v>
      </c>
      <c r="O1719" s="8">
        <f>Intv_Ann_TA!O869</f>
        <v>0</v>
      </c>
    </row>
    <row r="1720" spans="3:15" s="327" customFormat="1" outlineLevel="2" x14ac:dyDescent="0.2">
      <c r="D1720" s="521" t="str">
        <f>Intv_BA!D1942</f>
        <v>Muchinga</v>
      </c>
      <c r="J1720" s="8">
        <f>Intv_Ann_TA!J870</f>
        <v>0</v>
      </c>
      <c r="K1720" s="8">
        <f>Intv_Ann_TA!K870</f>
        <v>0</v>
      </c>
      <c r="L1720" s="8">
        <f>Intv_Ann_TA!L870</f>
        <v>0</v>
      </c>
      <c r="M1720" s="8">
        <f>Intv_Ann_TA!M870</f>
        <v>0</v>
      </c>
      <c r="N1720" s="8">
        <f>Intv_Ann_TA!N870</f>
        <v>0</v>
      </c>
      <c r="O1720" s="8">
        <f>Intv_Ann_TA!O870</f>
        <v>0</v>
      </c>
    </row>
    <row r="1721" spans="3:15" s="327" customFormat="1" outlineLevel="2" x14ac:dyDescent="0.2">
      <c r="D1721" s="521" t="str">
        <f>Intv_BA!D1943</f>
        <v>Northern</v>
      </c>
      <c r="J1721" s="8">
        <f>Intv_Ann_TA!J871</f>
        <v>0</v>
      </c>
      <c r="K1721" s="8">
        <f>Intv_Ann_TA!K871</f>
        <v>0</v>
      </c>
      <c r="L1721" s="8">
        <f>Intv_Ann_TA!L871</f>
        <v>0</v>
      </c>
      <c r="M1721" s="8">
        <f>Intv_Ann_TA!M871</f>
        <v>0</v>
      </c>
      <c r="N1721" s="8">
        <f>Intv_Ann_TA!N871</f>
        <v>0</v>
      </c>
      <c r="O1721" s="8">
        <f>Intv_Ann_TA!O871</f>
        <v>0</v>
      </c>
    </row>
    <row r="1722" spans="3:15" s="327" customFormat="1" outlineLevel="2" x14ac:dyDescent="0.2">
      <c r="D1722" s="521" t="str">
        <f>Intv_BA!D1944</f>
        <v>North-Western</v>
      </c>
      <c r="J1722" s="8">
        <f>Intv_Ann_TA!J872</f>
        <v>0</v>
      </c>
      <c r="K1722" s="8">
        <f>Intv_Ann_TA!K872</f>
        <v>0</v>
      </c>
      <c r="L1722" s="8">
        <f>Intv_Ann_TA!L872</f>
        <v>0</v>
      </c>
      <c r="M1722" s="8">
        <f>Intv_Ann_TA!M872</f>
        <v>0</v>
      </c>
      <c r="N1722" s="8">
        <f>Intv_Ann_TA!N872</f>
        <v>0</v>
      </c>
      <c r="O1722" s="8">
        <f>Intv_Ann_TA!O872</f>
        <v>0</v>
      </c>
    </row>
    <row r="1723" spans="3:15" s="327" customFormat="1" outlineLevel="2" x14ac:dyDescent="0.2">
      <c r="D1723" s="521" t="str">
        <f>Intv_BA!D1945</f>
        <v>Southern</v>
      </c>
      <c r="J1723" s="8">
        <f>Intv_Ann_TA!J873</f>
        <v>0</v>
      </c>
      <c r="K1723" s="8">
        <f>Intv_Ann_TA!K873</f>
        <v>0</v>
      </c>
      <c r="L1723" s="8">
        <f>Intv_Ann_TA!L873</f>
        <v>0</v>
      </c>
      <c r="M1723" s="8">
        <f>Intv_Ann_TA!M873</f>
        <v>0</v>
      </c>
      <c r="N1723" s="8">
        <f>Intv_Ann_TA!N873</f>
        <v>0</v>
      </c>
      <c r="O1723" s="8">
        <f>Intv_Ann_TA!O873</f>
        <v>0</v>
      </c>
    </row>
    <row r="1724" spans="3:15" s="327" customFormat="1" outlineLevel="2" x14ac:dyDescent="0.2">
      <c r="D1724" s="521" t="str">
        <f>Intv_BA!D1946</f>
        <v>Western</v>
      </c>
      <c r="J1724" s="9">
        <f>Intv_Ann_TA!J874</f>
        <v>0</v>
      </c>
      <c r="K1724" s="9">
        <f>Intv_Ann_TA!K874</f>
        <v>0</v>
      </c>
      <c r="L1724" s="9">
        <f>Intv_Ann_TA!L874</f>
        <v>0</v>
      </c>
      <c r="M1724" s="9">
        <f>Intv_Ann_TA!M874</f>
        <v>0</v>
      </c>
      <c r="N1724" s="9">
        <f>Intv_Ann_TA!N874</f>
        <v>0</v>
      </c>
      <c r="O1724" s="9">
        <f>Intv_Ann_TA!O874</f>
        <v>0</v>
      </c>
    </row>
    <row r="1725" spans="3:15" s="327" customFormat="1" x14ac:dyDescent="0.2">
      <c r="D1725" s="520" t="str">
        <f>"Total "&amp;C1710</f>
        <v>Total Active PCI Mobile Health Teams</v>
      </c>
      <c r="J1725" s="5">
        <f t="shared" ref="J1725:O1725" si="164">SUM(J1715:J1724)</f>
        <v>0</v>
      </c>
      <c r="K1725" s="5">
        <f t="shared" si="164"/>
        <v>0</v>
      </c>
      <c r="L1725" s="5">
        <f t="shared" si="164"/>
        <v>0</v>
      </c>
      <c r="M1725" s="5">
        <f t="shared" si="164"/>
        <v>0</v>
      </c>
      <c r="N1725" s="5">
        <f t="shared" si="164"/>
        <v>0</v>
      </c>
      <c r="O1725" s="5">
        <f t="shared" si="164"/>
        <v>0</v>
      </c>
    </row>
    <row r="1726" spans="3:15" s="327" customFormat="1" outlineLevel="2" x14ac:dyDescent="0.2"/>
    <row r="1727" spans="3:15" s="327" customFormat="1" ht="15.75" outlineLevel="2" x14ac:dyDescent="0.2">
      <c r="C1727" s="26" t="str">
        <f>"Active "&amp;Intv_BA!D1803&amp;"s"</f>
        <v>Active Gov't Mobile Health Team (Hospital)s</v>
      </c>
    </row>
    <row r="1728" spans="3:15" s="327" customFormat="1" outlineLevel="2" x14ac:dyDescent="0.2"/>
    <row r="1729" spans="3:15" s="327" customFormat="1" outlineLevel="2" x14ac:dyDescent="0.2">
      <c r="D1729" s="518" t="s">
        <v>82</v>
      </c>
      <c r="H1729" s="27">
        <v>6</v>
      </c>
    </row>
    <row r="1730" spans="3:15" s="327" customFormat="1" outlineLevel="2" x14ac:dyDescent="0.2"/>
    <row r="1731" spans="3:15" s="327" customFormat="1" ht="15" outlineLevel="2" x14ac:dyDescent="0.2">
      <c r="D1731" s="24" t="str">
        <f>Labels_BA!G10</f>
        <v>Province</v>
      </c>
    </row>
    <row r="1732" spans="3:15" s="327" customFormat="1" outlineLevel="2" x14ac:dyDescent="0.2">
      <c r="D1732" s="521" t="str">
        <f>Intv_BA!D1937</f>
        <v>Central</v>
      </c>
      <c r="J1732" s="8">
        <f>Intv_Ann_TA!J881</f>
        <v>0</v>
      </c>
      <c r="K1732" s="8">
        <f>Intv_Ann_TA!K881</f>
        <v>0</v>
      </c>
      <c r="L1732" s="8">
        <f>Intv_Ann_TA!L881</f>
        <v>0</v>
      </c>
      <c r="M1732" s="8">
        <f>Intv_Ann_TA!M881</f>
        <v>0</v>
      </c>
      <c r="N1732" s="8">
        <f>Intv_Ann_TA!N881</f>
        <v>0</v>
      </c>
      <c r="O1732" s="8">
        <f>Intv_Ann_TA!O881</f>
        <v>0</v>
      </c>
    </row>
    <row r="1733" spans="3:15" s="327" customFormat="1" outlineLevel="2" x14ac:dyDescent="0.2">
      <c r="D1733" s="521" t="str">
        <f>Intv_BA!D1938</f>
        <v>Copperbelt</v>
      </c>
      <c r="J1733" s="8">
        <f>Intv_Ann_TA!J882</f>
        <v>0</v>
      </c>
      <c r="K1733" s="8">
        <f>Intv_Ann_TA!K882</f>
        <v>0</v>
      </c>
      <c r="L1733" s="8">
        <f>Intv_Ann_TA!L882</f>
        <v>0</v>
      </c>
      <c r="M1733" s="8">
        <f>Intv_Ann_TA!M882</f>
        <v>0</v>
      </c>
      <c r="N1733" s="8">
        <f>Intv_Ann_TA!N882</f>
        <v>0</v>
      </c>
      <c r="O1733" s="8">
        <f>Intv_Ann_TA!O882</f>
        <v>0</v>
      </c>
    </row>
    <row r="1734" spans="3:15" s="327" customFormat="1" outlineLevel="2" x14ac:dyDescent="0.2">
      <c r="D1734" s="521" t="str">
        <f>Intv_BA!D1939</f>
        <v>Eastern</v>
      </c>
      <c r="J1734" s="8">
        <f>Intv_Ann_TA!J883</f>
        <v>0</v>
      </c>
      <c r="K1734" s="8">
        <f>Intv_Ann_TA!K883</f>
        <v>0</v>
      </c>
      <c r="L1734" s="8">
        <f>Intv_Ann_TA!L883</f>
        <v>0</v>
      </c>
      <c r="M1734" s="8">
        <f>Intv_Ann_TA!M883</f>
        <v>0</v>
      </c>
      <c r="N1734" s="8">
        <f>Intv_Ann_TA!N883</f>
        <v>0</v>
      </c>
      <c r="O1734" s="8">
        <f>Intv_Ann_TA!O883</f>
        <v>0</v>
      </c>
    </row>
    <row r="1735" spans="3:15" s="327" customFormat="1" outlineLevel="2" x14ac:dyDescent="0.2">
      <c r="D1735" s="521" t="str">
        <f>Intv_BA!D1940</f>
        <v>Luapula</v>
      </c>
      <c r="J1735" s="8">
        <f>Intv_Ann_TA!J884</f>
        <v>0</v>
      </c>
      <c r="K1735" s="8">
        <f>Intv_Ann_TA!K884</f>
        <v>0</v>
      </c>
      <c r="L1735" s="8">
        <f>Intv_Ann_TA!L884</f>
        <v>0</v>
      </c>
      <c r="M1735" s="8">
        <f>Intv_Ann_TA!M884</f>
        <v>0</v>
      </c>
      <c r="N1735" s="8">
        <f>Intv_Ann_TA!N884</f>
        <v>0</v>
      </c>
      <c r="O1735" s="8">
        <f>Intv_Ann_TA!O884</f>
        <v>0</v>
      </c>
    </row>
    <row r="1736" spans="3:15" s="327" customFormat="1" outlineLevel="2" x14ac:dyDescent="0.2">
      <c r="D1736" s="521" t="str">
        <f>Intv_BA!D1941</f>
        <v>Lusaka</v>
      </c>
      <c r="J1736" s="8">
        <f>Intv_Ann_TA!J885</f>
        <v>0</v>
      </c>
      <c r="K1736" s="8">
        <f>Intv_Ann_TA!K885</f>
        <v>0</v>
      </c>
      <c r="L1736" s="8">
        <f>Intv_Ann_TA!L885</f>
        <v>0</v>
      </c>
      <c r="M1736" s="8">
        <f>Intv_Ann_TA!M885</f>
        <v>0</v>
      </c>
      <c r="N1736" s="8">
        <f>Intv_Ann_TA!N885</f>
        <v>0</v>
      </c>
      <c r="O1736" s="8">
        <f>Intv_Ann_TA!O885</f>
        <v>0</v>
      </c>
    </row>
    <row r="1737" spans="3:15" s="327" customFormat="1" outlineLevel="2" x14ac:dyDescent="0.2">
      <c r="D1737" s="521" t="str">
        <f>Intv_BA!D1942</f>
        <v>Muchinga</v>
      </c>
      <c r="J1737" s="8">
        <f>Intv_Ann_TA!J886</f>
        <v>0</v>
      </c>
      <c r="K1737" s="8">
        <f>Intv_Ann_TA!K886</f>
        <v>0</v>
      </c>
      <c r="L1737" s="8">
        <f>Intv_Ann_TA!L886</f>
        <v>0</v>
      </c>
      <c r="M1737" s="8">
        <f>Intv_Ann_TA!M886</f>
        <v>0</v>
      </c>
      <c r="N1737" s="8">
        <f>Intv_Ann_TA!N886</f>
        <v>0</v>
      </c>
      <c r="O1737" s="8">
        <f>Intv_Ann_TA!O886</f>
        <v>0</v>
      </c>
    </row>
    <row r="1738" spans="3:15" s="327" customFormat="1" outlineLevel="2" x14ac:dyDescent="0.2">
      <c r="D1738" s="521" t="str">
        <f>Intv_BA!D1943</f>
        <v>Northern</v>
      </c>
      <c r="J1738" s="8">
        <f>Intv_Ann_TA!J887</f>
        <v>0</v>
      </c>
      <c r="K1738" s="8">
        <f>Intv_Ann_TA!K887</f>
        <v>0</v>
      </c>
      <c r="L1738" s="8">
        <f>Intv_Ann_TA!L887</f>
        <v>0</v>
      </c>
      <c r="M1738" s="8">
        <f>Intv_Ann_TA!M887</f>
        <v>0</v>
      </c>
      <c r="N1738" s="8">
        <f>Intv_Ann_TA!N887</f>
        <v>0</v>
      </c>
      <c r="O1738" s="8">
        <f>Intv_Ann_TA!O887</f>
        <v>0</v>
      </c>
    </row>
    <row r="1739" spans="3:15" s="327" customFormat="1" outlineLevel="2" x14ac:dyDescent="0.2">
      <c r="D1739" s="521" t="str">
        <f>Intv_BA!D1944</f>
        <v>North-Western</v>
      </c>
      <c r="J1739" s="8">
        <f>Intv_Ann_TA!J888</f>
        <v>0</v>
      </c>
      <c r="K1739" s="8">
        <f>Intv_Ann_TA!K888</f>
        <v>0</v>
      </c>
      <c r="L1739" s="8">
        <f>Intv_Ann_TA!L888</f>
        <v>0</v>
      </c>
      <c r="M1739" s="8">
        <f>Intv_Ann_TA!M888</f>
        <v>0</v>
      </c>
      <c r="N1739" s="8">
        <f>Intv_Ann_TA!N888</f>
        <v>0</v>
      </c>
      <c r="O1739" s="8">
        <f>Intv_Ann_TA!O888</f>
        <v>0</v>
      </c>
    </row>
    <row r="1740" spans="3:15" s="327" customFormat="1" outlineLevel="2" x14ac:dyDescent="0.2">
      <c r="D1740" s="521" t="str">
        <f>Intv_BA!D1945</f>
        <v>Southern</v>
      </c>
      <c r="J1740" s="8">
        <f>Intv_Ann_TA!J889</f>
        <v>0</v>
      </c>
      <c r="K1740" s="8">
        <f>Intv_Ann_TA!K889</f>
        <v>0</v>
      </c>
      <c r="L1740" s="8">
        <f>Intv_Ann_TA!L889</f>
        <v>0</v>
      </c>
      <c r="M1740" s="8">
        <f>Intv_Ann_TA!M889</f>
        <v>0</v>
      </c>
      <c r="N1740" s="8">
        <f>Intv_Ann_TA!N889</f>
        <v>0</v>
      </c>
      <c r="O1740" s="8">
        <f>Intv_Ann_TA!O889</f>
        <v>0</v>
      </c>
    </row>
    <row r="1741" spans="3:15" s="327" customFormat="1" outlineLevel="2" x14ac:dyDescent="0.2">
      <c r="D1741" s="521" t="str">
        <f>Intv_BA!D1946</f>
        <v>Western</v>
      </c>
      <c r="J1741" s="9">
        <f>Intv_Ann_TA!J890</f>
        <v>0</v>
      </c>
      <c r="K1741" s="9">
        <f>Intv_Ann_TA!K890</f>
        <v>0</v>
      </c>
      <c r="L1741" s="9">
        <f>Intv_Ann_TA!L890</f>
        <v>0</v>
      </c>
      <c r="M1741" s="9">
        <f>Intv_Ann_TA!M890</f>
        <v>0</v>
      </c>
      <c r="N1741" s="9">
        <f>Intv_Ann_TA!N890</f>
        <v>0</v>
      </c>
      <c r="O1741" s="9">
        <f>Intv_Ann_TA!O890</f>
        <v>0</v>
      </c>
    </row>
    <row r="1742" spans="3:15" s="327" customFormat="1" x14ac:dyDescent="0.2">
      <c r="D1742" s="520" t="str">
        <f>"Total "&amp;C1727</f>
        <v>Total Active Gov't Mobile Health Team (Hospital)s</v>
      </c>
      <c r="J1742" s="5">
        <f t="shared" ref="J1742:O1742" si="165">SUM(J1732:J1741)</f>
        <v>0</v>
      </c>
      <c r="K1742" s="5">
        <f t="shared" si="165"/>
        <v>0</v>
      </c>
      <c r="L1742" s="5">
        <f t="shared" si="165"/>
        <v>0</v>
      </c>
      <c r="M1742" s="5">
        <f t="shared" si="165"/>
        <v>0</v>
      </c>
      <c r="N1742" s="5">
        <f t="shared" si="165"/>
        <v>0</v>
      </c>
      <c r="O1742" s="5">
        <f t="shared" si="165"/>
        <v>0</v>
      </c>
    </row>
    <row r="1743" spans="3:15" s="327" customFormat="1" outlineLevel="1" x14ac:dyDescent="0.2"/>
    <row r="1744" spans="3:15" s="327" customFormat="1" ht="15.75" outlineLevel="1" x14ac:dyDescent="0.2">
      <c r="C1744" s="26" t="str">
        <f>"Active "&amp;Intv_BA!D1804&amp;"s"</f>
        <v>Active CIDRZ Mobile Health Teams</v>
      </c>
    </row>
    <row r="1745" spans="4:15" s="327" customFormat="1" outlineLevel="1" x14ac:dyDescent="0.2"/>
    <row r="1746" spans="4:15" s="327" customFormat="1" outlineLevel="1" x14ac:dyDescent="0.2">
      <c r="D1746" s="518" t="s">
        <v>82</v>
      </c>
      <c r="H1746" s="27">
        <v>7</v>
      </c>
    </row>
    <row r="1747" spans="4:15" s="327" customFormat="1" outlineLevel="1" x14ac:dyDescent="0.2"/>
    <row r="1748" spans="4:15" s="327" customFormat="1" ht="15" outlineLevel="1" x14ac:dyDescent="0.2">
      <c r="D1748" s="24" t="str">
        <f>Labels_BA!G10</f>
        <v>Province</v>
      </c>
    </row>
    <row r="1749" spans="4:15" s="327" customFormat="1" outlineLevel="1" x14ac:dyDescent="0.2">
      <c r="D1749" s="521" t="str">
        <f>Intv_BA!D1937</f>
        <v>Central</v>
      </c>
      <c r="J1749" s="8">
        <f>Intv_Ann_TA!J897</f>
        <v>0</v>
      </c>
      <c r="K1749" s="8">
        <f>Intv_Ann_TA!K897</f>
        <v>0</v>
      </c>
      <c r="L1749" s="8">
        <f>Intv_Ann_TA!L897</f>
        <v>0</v>
      </c>
      <c r="M1749" s="8">
        <f>Intv_Ann_TA!M897</f>
        <v>0</v>
      </c>
      <c r="N1749" s="8">
        <f>Intv_Ann_TA!N897</f>
        <v>0</v>
      </c>
      <c r="O1749" s="8">
        <f>Intv_Ann_TA!O897</f>
        <v>0</v>
      </c>
    </row>
    <row r="1750" spans="4:15" s="327" customFormat="1" outlineLevel="1" x14ac:dyDescent="0.2">
      <c r="D1750" s="521" t="str">
        <f>Intv_BA!D1938</f>
        <v>Copperbelt</v>
      </c>
      <c r="J1750" s="8">
        <f>Intv_Ann_TA!J898</f>
        <v>0</v>
      </c>
      <c r="K1750" s="8">
        <f>Intv_Ann_TA!K898</f>
        <v>0</v>
      </c>
      <c r="L1750" s="8">
        <f>Intv_Ann_TA!L898</f>
        <v>0</v>
      </c>
      <c r="M1750" s="8">
        <f>Intv_Ann_TA!M898</f>
        <v>0</v>
      </c>
      <c r="N1750" s="8">
        <f>Intv_Ann_TA!N898</f>
        <v>0</v>
      </c>
      <c r="O1750" s="8">
        <f>Intv_Ann_TA!O898</f>
        <v>0</v>
      </c>
    </row>
    <row r="1751" spans="4:15" s="327" customFormat="1" outlineLevel="1" x14ac:dyDescent="0.2">
      <c r="D1751" s="521" t="str">
        <f>Intv_BA!D1939</f>
        <v>Eastern</v>
      </c>
      <c r="J1751" s="8">
        <f>Intv_Ann_TA!J899</f>
        <v>0</v>
      </c>
      <c r="K1751" s="8">
        <f>Intv_Ann_TA!K899</f>
        <v>0</v>
      </c>
      <c r="L1751" s="8">
        <f>Intv_Ann_TA!L899</f>
        <v>0</v>
      </c>
      <c r="M1751" s="8">
        <f>Intv_Ann_TA!M899</f>
        <v>0</v>
      </c>
      <c r="N1751" s="8">
        <f>Intv_Ann_TA!N899</f>
        <v>0</v>
      </c>
      <c r="O1751" s="8">
        <f>Intv_Ann_TA!O899</f>
        <v>0</v>
      </c>
    </row>
    <row r="1752" spans="4:15" s="327" customFormat="1" outlineLevel="1" x14ac:dyDescent="0.2">
      <c r="D1752" s="521" t="str">
        <f>Intv_BA!D1940</f>
        <v>Luapula</v>
      </c>
      <c r="J1752" s="8">
        <f>Intv_Ann_TA!J900</f>
        <v>0</v>
      </c>
      <c r="K1752" s="8">
        <f>Intv_Ann_TA!K900</f>
        <v>0</v>
      </c>
      <c r="L1752" s="8">
        <f>Intv_Ann_TA!L900</f>
        <v>0</v>
      </c>
      <c r="M1752" s="8">
        <f>Intv_Ann_TA!M900</f>
        <v>0</v>
      </c>
      <c r="N1752" s="8">
        <f>Intv_Ann_TA!N900</f>
        <v>0</v>
      </c>
      <c r="O1752" s="8">
        <f>Intv_Ann_TA!O900</f>
        <v>0</v>
      </c>
    </row>
    <row r="1753" spans="4:15" s="327" customFormat="1" outlineLevel="1" x14ac:dyDescent="0.2">
      <c r="D1753" s="521" t="str">
        <f>Intv_BA!D1941</f>
        <v>Lusaka</v>
      </c>
      <c r="J1753" s="8">
        <f>Intv_Ann_TA!J901</f>
        <v>0</v>
      </c>
      <c r="K1753" s="8">
        <f>Intv_Ann_TA!K901</f>
        <v>0</v>
      </c>
      <c r="L1753" s="8">
        <f>Intv_Ann_TA!L901</f>
        <v>0</v>
      </c>
      <c r="M1753" s="8">
        <f>Intv_Ann_TA!M901</f>
        <v>0</v>
      </c>
      <c r="N1753" s="8">
        <f>Intv_Ann_TA!N901</f>
        <v>0</v>
      </c>
      <c r="O1753" s="8">
        <f>Intv_Ann_TA!O901</f>
        <v>0</v>
      </c>
    </row>
    <row r="1754" spans="4:15" s="327" customFormat="1" outlineLevel="1" x14ac:dyDescent="0.2">
      <c r="D1754" s="521" t="str">
        <f>Intv_BA!D1942</f>
        <v>Muchinga</v>
      </c>
      <c r="J1754" s="8">
        <f>Intv_Ann_TA!J902</f>
        <v>0</v>
      </c>
      <c r="K1754" s="8">
        <f>Intv_Ann_TA!K902</f>
        <v>0</v>
      </c>
      <c r="L1754" s="8">
        <f>Intv_Ann_TA!L902</f>
        <v>0</v>
      </c>
      <c r="M1754" s="8">
        <f>Intv_Ann_TA!M902</f>
        <v>0</v>
      </c>
      <c r="N1754" s="8">
        <f>Intv_Ann_TA!N902</f>
        <v>0</v>
      </c>
      <c r="O1754" s="8">
        <f>Intv_Ann_TA!O902</f>
        <v>0</v>
      </c>
    </row>
    <row r="1755" spans="4:15" s="327" customFormat="1" outlineLevel="1" x14ac:dyDescent="0.2">
      <c r="D1755" s="521" t="str">
        <f>Intv_BA!D1943</f>
        <v>Northern</v>
      </c>
      <c r="J1755" s="8">
        <f>Intv_Ann_TA!J903</f>
        <v>0</v>
      </c>
      <c r="K1755" s="8">
        <f>Intv_Ann_TA!K903</f>
        <v>0</v>
      </c>
      <c r="L1755" s="8">
        <f>Intv_Ann_TA!L903</f>
        <v>0</v>
      </c>
      <c r="M1755" s="8">
        <f>Intv_Ann_TA!M903</f>
        <v>0</v>
      </c>
      <c r="N1755" s="8">
        <f>Intv_Ann_TA!N903</f>
        <v>0</v>
      </c>
      <c r="O1755" s="8">
        <f>Intv_Ann_TA!O903</f>
        <v>0</v>
      </c>
    </row>
    <row r="1756" spans="4:15" s="327" customFormat="1" outlineLevel="1" x14ac:dyDescent="0.2">
      <c r="D1756" s="521" t="str">
        <f>Intv_BA!D1944</f>
        <v>North-Western</v>
      </c>
      <c r="J1756" s="8">
        <f>Intv_Ann_TA!J904</f>
        <v>0</v>
      </c>
      <c r="K1756" s="8">
        <f>Intv_Ann_TA!K904</f>
        <v>0</v>
      </c>
      <c r="L1756" s="8">
        <f>Intv_Ann_TA!L904</f>
        <v>0</v>
      </c>
      <c r="M1756" s="8">
        <f>Intv_Ann_TA!M904</f>
        <v>0</v>
      </c>
      <c r="N1756" s="8">
        <f>Intv_Ann_TA!N904</f>
        <v>0</v>
      </c>
      <c r="O1756" s="8">
        <f>Intv_Ann_TA!O904</f>
        <v>0</v>
      </c>
    </row>
    <row r="1757" spans="4:15" s="327" customFormat="1" outlineLevel="1" x14ac:dyDescent="0.2">
      <c r="D1757" s="521" t="str">
        <f>Intv_BA!D1945</f>
        <v>Southern</v>
      </c>
      <c r="J1757" s="8">
        <f>Intv_Ann_TA!J905</f>
        <v>0</v>
      </c>
      <c r="K1757" s="8">
        <f>Intv_Ann_TA!K905</f>
        <v>0</v>
      </c>
      <c r="L1757" s="8">
        <f>Intv_Ann_TA!L905</f>
        <v>0</v>
      </c>
      <c r="M1757" s="8">
        <f>Intv_Ann_TA!M905</f>
        <v>0</v>
      </c>
      <c r="N1757" s="8">
        <f>Intv_Ann_TA!N905</f>
        <v>0</v>
      </c>
      <c r="O1757" s="8">
        <f>Intv_Ann_TA!O905</f>
        <v>0</v>
      </c>
    </row>
    <row r="1758" spans="4:15" s="327" customFormat="1" outlineLevel="1" x14ac:dyDescent="0.2">
      <c r="D1758" s="521" t="str">
        <f>Intv_BA!D1946</f>
        <v>Western</v>
      </c>
      <c r="J1758" s="9">
        <f>Intv_Ann_TA!J906</f>
        <v>0</v>
      </c>
      <c r="K1758" s="9">
        <f>Intv_Ann_TA!K906</f>
        <v>0</v>
      </c>
      <c r="L1758" s="9">
        <f>Intv_Ann_TA!L906</f>
        <v>0</v>
      </c>
      <c r="M1758" s="9">
        <f>Intv_Ann_TA!M906</f>
        <v>0</v>
      </c>
      <c r="N1758" s="9">
        <f>Intv_Ann_TA!N906</f>
        <v>0</v>
      </c>
      <c r="O1758" s="9">
        <f>Intv_Ann_TA!O906</f>
        <v>0</v>
      </c>
    </row>
    <row r="1759" spans="4:15" s="327" customFormat="1" x14ac:dyDescent="0.2">
      <c r="D1759" s="520" t="str">
        <f>"Total "&amp;C1744</f>
        <v>Total Active CIDRZ Mobile Health Teams</v>
      </c>
      <c r="J1759" s="5">
        <f t="shared" ref="J1759:O1759" si="166">SUM(J1749:J1758)</f>
        <v>0</v>
      </c>
      <c r="K1759" s="5">
        <f t="shared" si="166"/>
        <v>0</v>
      </c>
      <c r="L1759" s="5">
        <f t="shared" si="166"/>
        <v>0</v>
      </c>
      <c r="M1759" s="5">
        <f t="shared" si="166"/>
        <v>0</v>
      </c>
      <c r="N1759" s="5">
        <f t="shared" si="166"/>
        <v>0</v>
      </c>
      <c r="O1759" s="5">
        <f t="shared" si="166"/>
        <v>0</v>
      </c>
    </row>
    <row r="1760" spans="4:15" s="327" customFormat="1" outlineLevel="1" x14ac:dyDescent="0.2"/>
    <row r="1761" spans="3:15" s="327" customFormat="1" ht="15.75" outlineLevel="1" x14ac:dyDescent="0.2">
      <c r="C1761" s="26" t="str">
        <f>"Active "&amp;Intv_BA!D1805&amp;"s"</f>
        <v>Active Facility Type 8s</v>
      </c>
    </row>
    <row r="1762" spans="3:15" s="327" customFormat="1" outlineLevel="1" x14ac:dyDescent="0.2"/>
    <row r="1763" spans="3:15" s="327" customFormat="1" outlineLevel="1" x14ac:dyDescent="0.2">
      <c r="D1763" s="518" t="s">
        <v>82</v>
      </c>
      <c r="H1763" s="27">
        <v>8</v>
      </c>
    </row>
    <row r="1764" spans="3:15" s="327" customFormat="1" outlineLevel="1" x14ac:dyDescent="0.2"/>
    <row r="1765" spans="3:15" s="327" customFormat="1" ht="15" outlineLevel="1" x14ac:dyDescent="0.2">
      <c r="D1765" s="24" t="str">
        <f>Labels_BA!G10</f>
        <v>Province</v>
      </c>
    </row>
    <row r="1766" spans="3:15" s="327" customFormat="1" outlineLevel="1" x14ac:dyDescent="0.2">
      <c r="D1766" s="521" t="str">
        <f>Intv_BA!D1937</f>
        <v>Central</v>
      </c>
      <c r="J1766" s="8">
        <f>Intv_Ann_TA!J913</f>
        <v>0</v>
      </c>
      <c r="K1766" s="8">
        <f>Intv_Ann_TA!K913</f>
        <v>0</v>
      </c>
      <c r="L1766" s="8">
        <f>Intv_Ann_TA!L913</f>
        <v>0</v>
      </c>
      <c r="M1766" s="8">
        <f>Intv_Ann_TA!M913</f>
        <v>0</v>
      </c>
      <c r="N1766" s="8">
        <f>Intv_Ann_TA!N913</f>
        <v>0</v>
      </c>
      <c r="O1766" s="8">
        <f>Intv_Ann_TA!O913</f>
        <v>0</v>
      </c>
    </row>
    <row r="1767" spans="3:15" s="327" customFormat="1" outlineLevel="1" x14ac:dyDescent="0.2">
      <c r="D1767" s="521" t="str">
        <f>Intv_BA!D1938</f>
        <v>Copperbelt</v>
      </c>
      <c r="J1767" s="8">
        <f>Intv_Ann_TA!J914</f>
        <v>0</v>
      </c>
      <c r="K1767" s="8">
        <f>Intv_Ann_TA!K914</f>
        <v>0</v>
      </c>
      <c r="L1767" s="8">
        <f>Intv_Ann_TA!L914</f>
        <v>0</v>
      </c>
      <c r="M1767" s="8">
        <f>Intv_Ann_TA!M914</f>
        <v>0</v>
      </c>
      <c r="N1767" s="8">
        <f>Intv_Ann_TA!N914</f>
        <v>0</v>
      </c>
      <c r="O1767" s="8">
        <f>Intv_Ann_TA!O914</f>
        <v>0</v>
      </c>
    </row>
    <row r="1768" spans="3:15" s="327" customFormat="1" outlineLevel="1" x14ac:dyDescent="0.2">
      <c r="D1768" s="521" t="str">
        <f>Intv_BA!D1939</f>
        <v>Eastern</v>
      </c>
      <c r="J1768" s="8">
        <f>Intv_Ann_TA!J915</f>
        <v>0</v>
      </c>
      <c r="K1768" s="8">
        <f>Intv_Ann_TA!K915</f>
        <v>0</v>
      </c>
      <c r="L1768" s="8">
        <f>Intv_Ann_TA!L915</f>
        <v>0</v>
      </c>
      <c r="M1768" s="8">
        <f>Intv_Ann_TA!M915</f>
        <v>0</v>
      </c>
      <c r="N1768" s="8">
        <f>Intv_Ann_TA!N915</f>
        <v>0</v>
      </c>
      <c r="O1768" s="8">
        <f>Intv_Ann_TA!O915</f>
        <v>0</v>
      </c>
    </row>
    <row r="1769" spans="3:15" s="327" customFormat="1" outlineLevel="1" x14ac:dyDescent="0.2">
      <c r="D1769" s="521" t="str">
        <f>Intv_BA!D1940</f>
        <v>Luapula</v>
      </c>
      <c r="J1769" s="8">
        <f>Intv_Ann_TA!J916</f>
        <v>0</v>
      </c>
      <c r="K1769" s="8">
        <f>Intv_Ann_TA!K916</f>
        <v>0</v>
      </c>
      <c r="L1769" s="8">
        <f>Intv_Ann_TA!L916</f>
        <v>0</v>
      </c>
      <c r="M1769" s="8">
        <f>Intv_Ann_TA!M916</f>
        <v>0</v>
      </c>
      <c r="N1769" s="8">
        <f>Intv_Ann_TA!N916</f>
        <v>0</v>
      </c>
      <c r="O1769" s="8">
        <f>Intv_Ann_TA!O916</f>
        <v>0</v>
      </c>
    </row>
    <row r="1770" spans="3:15" s="327" customFormat="1" outlineLevel="1" x14ac:dyDescent="0.2">
      <c r="D1770" s="521" t="str">
        <f>Intv_BA!D1941</f>
        <v>Lusaka</v>
      </c>
      <c r="J1770" s="8">
        <f>Intv_Ann_TA!J917</f>
        <v>0</v>
      </c>
      <c r="K1770" s="8">
        <f>Intv_Ann_TA!K917</f>
        <v>0</v>
      </c>
      <c r="L1770" s="8">
        <f>Intv_Ann_TA!L917</f>
        <v>0</v>
      </c>
      <c r="M1770" s="8">
        <f>Intv_Ann_TA!M917</f>
        <v>0</v>
      </c>
      <c r="N1770" s="8">
        <f>Intv_Ann_TA!N917</f>
        <v>0</v>
      </c>
      <c r="O1770" s="8">
        <f>Intv_Ann_TA!O917</f>
        <v>0</v>
      </c>
    </row>
    <row r="1771" spans="3:15" s="327" customFormat="1" outlineLevel="1" x14ac:dyDescent="0.2">
      <c r="D1771" s="521" t="str">
        <f>Intv_BA!D1942</f>
        <v>Muchinga</v>
      </c>
      <c r="J1771" s="8">
        <f>Intv_Ann_TA!J918</f>
        <v>0</v>
      </c>
      <c r="K1771" s="8">
        <f>Intv_Ann_TA!K918</f>
        <v>0</v>
      </c>
      <c r="L1771" s="8">
        <f>Intv_Ann_TA!L918</f>
        <v>0</v>
      </c>
      <c r="M1771" s="8">
        <f>Intv_Ann_TA!M918</f>
        <v>0</v>
      </c>
      <c r="N1771" s="8">
        <f>Intv_Ann_TA!N918</f>
        <v>0</v>
      </c>
      <c r="O1771" s="8">
        <f>Intv_Ann_TA!O918</f>
        <v>0</v>
      </c>
    </row>
    <row r="1772" spans="3:15" s="327" customFormat="1" outlineLevel="1" x14ac:dyDescent="0.2">
      <c r="D1772" s="521" t="str">
        <f>Intv_BA!D1943</f>
        <v>Northern</v>
      </c>
      <c r="J1772" s="8">
        <f>Intv_Ann_TA!J919</f>
        <v>0</v>
      </c>
      <c r="K1772" s="8">
        <f>Intv_Ann_TA!K919</f>
        <v>0</v>
      </c>
      <c r="L1772" s="8">
        <f>Intv_Ann_TA!L919</f>
        <v>0</v>
      </c>
      <c r="M1772" s="8">
        <f>Intv_Ann_TA!M919</f>
        <v>0</v>
      </c>
      <c r="N1772" s="8">
        <f>Intv_Ann_TA!N919</f>
        <v>0</v>
      </c>
      <c r="O1772" s="8">
        <f>Intv_Ann_TA!O919</f>
        <v>0</v>
      </c>
    </row>
    <row r="1773" spans="3:15" s="327" customFormat="1" outlineLevel="1" x14ac:dyDescent="0.2">
      <c r="D1773" s="521" t="str">
        <f>Intv_BA!D1944</f>
        <v>North-Western</v>
      </c>
      <c r="J1773" s="8">
        <f>Intv_Ann_TA!J920</f>
        <v>0</v>
      </c>
      <c r="K1773" s="8">
        <f>Intv_Ann_TA!K920</f>
        <v>0</v>
      </c>
      <c r="L1773" s="8">
        <f>Intv_Ann_TA!L920</f>
        <v>0</v>
      </c>
      <c r="M1773" s="8">
        <f>Intv_Ann_TA!M920</f>
        <v>0</v>
      </c>
      <c r="N1773" s="8">
        <f>Intv_Ann_TA!N920</f>
        <v>0</v>
      </c>
      <c r="O1773" s="8">
        <f>Intv_Ann_TA!O920</f>
        <v>0</v>
      </c>
    </row>
    <row r="1774" spans="3:15" s="327" customFormat="1" outlineLevel="1" x14ac:dyDescent="0.2">
      <c r="D1774" s="521" t="str">
        <f>Intv_BA!D1945</f>
        <v>Southern</v>
      </c>
      <c r="J1774" s="8">
        <f>Intv_Ann_TA!J921</f>
        <v>0</v>
      </c>
      <c r="K1774" s="8">
        <f>Intv_Ann_TA!K921</f>
        <v>0</v>
      </c>
      <c r="L1774" s="8">
        <f>Intv_Ann_TA!L921</f>
        <v>0</v>
      </c>
      <c r="M1774" s="8">
        <f>Intv_Ann_TA!M921</f>
        <v>0</v>
      </c>
      <c r="N1774" s="8">
        <f>Intv_Ann_TA!N921</f>
        <v>0</v>
      </c>
      <c r="O1774" s="8">
        <f>Intv_Ann_TA!O921</f>
        <v>0</v>
      </c>
    </row>
    <row r="1775" spans="3:15" s="327" customFormat="1" outlineLevel="1" x14ac:dyDescent="0.2">
      <c r="D1775" s="521" t="str">
        <f>Intv_BA!D1946</f>
        <v>Western</v>
      </c>
      <c r="J1775" s="9">
        <f>Intv_Ann_TA!J922</f>
        <v>0</v>
      </c>
      <c r="K1775" s="9">
        <f>Intv_Ann_TA!K922</f>
        <v>0</v>
      </c>
      <c r="L1775" s="9">
        <f>Intv_Ann_TA!L922</f>
        <v>0</v>
      </c>
      <c r="M1775" s="9">
        <f>Intv_Ann_TA!M922</f>
        <v>0</v>
      </c>
      <c r="N1775" s="9">
        <f>Intv_Ann_TA!N922</f>
        <v>0</v>
      </c>
      <c r="O1775" s="9">
        <f>Intv_Ann_TA!O922</f>
        <v>0</v>
      </c>
    </row>
    <row r="1776" spans="3:15" s="327" customFormat="1" x14ac:dyDescent="0.2">
      <c r="D1776" s="520" t="str">
        <f>"Total "&amp;C1761</f>
        <v>Total Active Facility Type 8s</v>
      </c>
      <c r="J1776" s="5">
        <f t="shared" ref="J1776:O1776" si="167">SUM(J1766:J1775)</f>
        <v>0</v>
      </c>
      <c r="K1776" s="5">
        <f t="shared" si="167"/>
        <v>0</v>
      </c>
      <c r="L1776" s="5">
        <f t="shared" si="167"/>
        <v>0</v>
      </c>
      <c r="M1776" s="5">
        <f t="shared" si="167"/>
        <v>0</v>
      </c>
      <c r="N1776" s="5">
        <f t="shared" si="167"/>
        <v>0</v>
      </c>
      <c r="O1776" s="5">
        <f t="shared" si="167"/>
        <v>0</v>
      </c>
    </row>
    <row r="1777" spans="3:15" s="327" customFormat="1" outlineLevel="1" x14ac:dyDescent="0.2"/>
    <row r="1778" spans="3:15" s="327" customFormat="1" ht="15.75" outlineLevel="1" x14ac:dyDescent="0.2">
      <c r="C1778" s="26" t="str">
        <f>"Active "&amp;Intv_BA!D1806&amp;"s"</f>
        <v>Active Facility Type 9s</v>
      </c>
    </row>
    <row r="1779" spans="3:15" s="327" customFormat="1" outlineLevel="1" x14ac:dyDescent="0.2"/>
    <row r="1780" spans="3:15" s="327" customFormat="1" outlineLevel="1" x14ac:dyDescent="0.2">
      <c r="D1780" s="518" t="s">
        <v>82</v>
      </c>
      <c r="H1780" s="27">
        <v>9</v>
      </c>
    </row>
    <row r="1781" spans="3:15" s="327" customFormat="1" outlineLevel="1" x14ac:dyDescent="0.2"/>
    <row r="1782" spans="3:15" s="327" customFormat="1" ht="15" outlineLevel="1" x14ac:dyDescent="0.2">
      <c r="D1782" s="24" t="str">
        <f>Labels_BA!G10</f>
        <v>Province</v>
      </c>
    </row>
    <row r="1783" spans="3:15" s="327" customFormat="1" outlineLevel="1" x14ac:dyDescent="0.2">
      <c r="D1783" s="521" t="str">
        <f>Intv_BA!D1937</f>
        <v>Central</v>
      </c>
      <c r="J1783" s="8">
        <f>Intv_Ann_TA!J929</f>
        <v>0</v>
      </c>
      <c r="K1783" s="8">
        <f>Intv_Ann_TA!K929</f>
        <v>0</v>
      </c>
      <c r="L1783" s="8">
        <f>Intv_Ann_TA!L929</f>
        <v>0</v>
      </c>
      <c r="M1783" s="8">
        <f>Intv_Ann_TA!M929</f>
        <v>0</v>
      </c>
      <c r="N1783" s="8">
        <f>Intv_Ann_TA!N929</f>
        <v>0</v>
      </c>
      <c r="O1783" s="8">
        <f>Intv_Ann_TA!O929</f>
        <v>0</v>
      </c>
    </row>
    <row r="1784" spans="3:15" s="327" customFormat="1" outlineLevel="1" x14ac:dyDescent="0.2">
      <c r="D1784" s="521" t="str">
        <f>Intv_BA!D1938</f>
        <v>Copperbelt</v>
      </c>
      <c r="J1784" s="8">
        <f>Intv_Ann_TA!J930</f>
        <v>0</v>
      </c>
      <c r="K1784" s="8">
        <f>Intv_Ann_TA!K930</f>
        <v>0</v>
      </c>
      <c r="L1784" s="8">
        <f>Intv_Ann_TA!L930</f>
        <v>0</v>
      </c>
      <c r="M1784" s="8">
        <f>Intv_Ann_TA!M930</f>
        <v>0</v>
      </c>
      <c r="N1784" s="8">
        <f>Intv_Ann_TA!N930</f>
        <v>0</v>
      </c>
      <c r="O1784" s="8">
        <f>Intv_Ann_TA!O930</f>
        <v>0</v>
      </c>
    </row>
    <row r="1785" spans="3:15" s="327" customFormat="1" outlineLevel="1" x14ac:dyDescent="0.2">
      <c r="D1785" s="521" t="str">
        <f>Intv_BA!D1939</f>
        <v>Eastern</v>
      </c>
      <c r="J1785" s="8">
        <f>Intv_Ann_TA!J931</f>
        <v>0</v>
      </c>
      <c r="K1785" s="8">
        <f>Intv_Ann_TA!K931</f>
        <v>0</v>
      </c>
      <c r="L1785" s="8">
        <f>Intv_Ann_TA!L931</f>
        <v>0</v>
      </c>
      <c r="M1785" s="8">
        <f>Intv_Ann_TA!M931</f>
        <v>0</v>
      </c>
      <c r="N1785" s="8">
        <f>Intv_Ann_TA!N931</f>
        <v>0</v>
      </c>
      <c r="O1785" s="8">
        <f>Intv_Ann_TA!O931</f>
        <v>0</v>
      </c>
    </row>
    <row r="1786" spans="3:15" s="327" customFormat="1" outlineLevel="1" x14ac:dyDescent="0.2">
      <c r="D1786" s="521" t="str">
        <f>Intv_BA!D1940</f>
        <v>Luapula</v>
      </c>
      <c r="J1786" s="8">
        <f>Intv_Ann_TA!J932</f>
        <v>0</v>
      </c>
      <c r="K1786" s="8">
        <f>Intv_Ann_TA!K932</f>
        <v>0</v>
      </c>
      <c r="L1786" s="8">
        <f>Intv_Ann_TA!L932</f>
        <v>0</v>
      </c>
      <c r="M1786" s="8">
        <f>Intv_Ann_TA!M932</f>
        <v>0</v>
      </c>
      <c r="N1786" s="8">
        <f>Intv_Ann_TA!N932</f>
        <v>0</v>
      </c>
      <c r="O1786" s="8">
        <f>Intv_Ann_TA!O932</f>
        <v>0</v>
      </c>
    </row>
    <row r="1787" spans="3:15" s="327" customFormat="1" outlineLevel="1" x14ac:dyDescent="0.2">
      <c r="D1787" s="521" t="str">
        <f>Intv_BA!D1941</f>
        <v>Lusaka</v>
      </c>
      <c r="J1787" s="8">
        <f>Intv_Ann_TA!J933</f>
        <v>0</v>
      </c>
      <c r="K1787" s="8">
        <f>Intv_Ann_TA!K933</f>
        <v>0</v>
      </c>
      <c r="L1787" s="8">
        <f>Intv_Ann_TA!L933</f>
        <v>0</v>
      </c>
      <c r="M1787" s="8">
        <f>Intv_Ann_TA!M933</f>
        <v>0</v>
      </c>
      <c r="N1787" s="8">
        <f>Intv_Ann_TA!N933</f>
        <v>0</v>
      </c>
      <c r="O1787" s="8">
        <f>Intv_Ann_TA!O933</f>
        <v>0</v>
      </c>
    </row>
    <row r="1788" spans="3:15" s="327" customFormat="1" outlineLevel="1" x14ac:dyDescent="0.2">
      <c r="D1788" s="521" t="str">
        <f>Intv_BA!D1942</f>
        <v>Muchinga</v>
      </c>
      <c r="J1788" s="8">
        <f>Intv_Ann_TA!J934</f>
        <v>0</v>
      </c>
      <c r="K1788" s="8">
        <f>Intv_Ann_TA!K934</f>
        <v>0</v>
      </c>
      <c r="L1788" s="8">
        <f>Intv_Ann_TA!L934</f>
        <v>0</v>
      </c>
      <c r="M1788" s="8">
        <f>Intv_Ann_TA!M934</f>
        <v>0</v>
      </c>
      <c r="N1788" s="8">
        <f>Intv_Ann_TA!N934</f>
        <v>0</v>
      </c>
      <c r="O1788" s="8">
        <f>Intv_Ann_TA!O934</f>
        <v>0</v>
      </c>
    </row>
    <row r="1789" spans="3:15" s="327" customFormat="1" outlineLevel="1" x14ac:dyDescent="0.2">
      <c r="D1789" s="521" t="str">
        <f>Intv_BA!D1943</f>
        <v>Northern</v>
      </c>
      <c r="J1789" s="8">
        <f>Intv_Ann_TA!J935</f>
        <v>0</v>
      </c>
      <c r="K1789" s="8">
        <f>Intv_Ann_TA!K935</f>
        <v>0</v>
      </c>
      <c r="L1789" s="8">
        <f>Intv_Ann_TA!L935</f>
        <v>0</v>
      </c>
      <c r="M1789" s="8">
        <f>Intv_Ann_TA!M935</f>
        <v>0</v>
      </c>
      <c r="N1789" s="8">
        <f>Intv_Ann_TA!N935</f>
        <v>0</v>
      </c>
      <c r="O1789" s="8">
        <f>Intv_Ann_TA!O935</f>
        <v>0</v>
      </c>
    </row>
    <row r="1790" spans="3:15" s="327" customFormat="1" outlineLevel="1" x14ac:dyDescent="0.2">
      <c r="D1790" s="521" t="str">
        <f>Intv_BA!D1944</f>
        <v>North-Western</v>
      </c>
      <c r="J1790" s="8">
        <f>Intv_Ann_TA!J936</f>
        <v>0</v>
      </c>
      <c r="K1790" s="8">
        <f>Intv_Ann_TA!K936</f>
        <v>0</v>
      </c>
      <c r="L1790" s="8">
        <f>Intv_Ann_TA!L936</f>
        <v>0</v>
      </c>
      <c r="M1790" s="8">
        <f>Intv_Ann_TA!M936</f>
        <v>0</v>
      </c>
      <c r="N1790" s="8">
        <f>Intv_Ann_TA!N936</f>
        <v>0</v>
      </c>
      <c r="O1790" s="8">
        <f>Intv_Ann_TA!O936</f>
        <v>0</v>
      </c>
    </row>
    <row r="1791" spans="3:15" s="327" customFormat="1" outlineLevel="1" x14ac:dyDescent="0.2">
      <c r="D1791" s="521" t="str">
        <f>Intv_BA!D1945</f>
        <v>Southern</v>
      </c>
      <c r="J1791" s="8">
        <f>Intv_Ann_TA!J937</f>
        <v>0</v>
      </c>
      <c r="K1791" s="8">
        <f>Intv_Ann_TA!K937</f>
        <v>0</v>
      </c>
      <c r="L1791" s="8">
        <f>Intv_Ann_TA!L937</f>
        <v>0</v>
      </c>
      <c r="M1791" s="8">
        <f>Intv_Ann_TA!M937</f>
        <v>0</v>
      </c>
      <c r="N1791" s="8">
        <f>Intv_Ann_TA!N937</f>
        <v>0</v>
      </c>
      <c r="O1791" s="8">
        <f>Intv_Ann_TA!O937</f>
        <v>0</v>
      </c>
    </row>
    <row r="1792" spans="3:15" s="327" customFormat="1" outlineLevel="1" x14ac:dyDescent="0.2">
      <c r="D1792" s="521" t="str">
        <f>Intv_BA!D1946</f>
        <v>Western</v>
      </c>
      <c r="J1792" s="9">
        <f>Intv_Ann_TA!J938</f>
        <v>0</v>
      </c>
      <c r="K1792" s="9">
        <f>Intv_Ann_TA!K938</f>
        <v>0</v>
      </c>
      <c r="L1792" s="9">
        <f>Intv_Ann_TA!L938</f>
        <v>0</v>
      </c>
      <c r="M1792" s="9">
        <f>Intv_Ann_TA!M938</f>
        <v>0</v>
      </c>
      <c r="N1792" s="9">
        <f>Intv_Ann_TA!N938</f>
        <v>0</v>
      </c>
      <c r="O1792" s="9">
        <f>Intv_Ann_TA!O938</f>
        <v>0</v>
      </c>
    </row>
    <row r="1793" spans="3:15" s="327" customFormat="1" x14ac:dyDescent="0.2">
      <c r="D1793" s="520" t="str">
        <f>"Total "&amp;C1778</f>
        <v>Total Active Facility Type 9s</v>
      </c>
      <c r="J1793" s="5">
        <f t="shared" ref="J1793:O1793" si="168">SUM(J1783:J1792)</f>
        <v>0</v>
      </c>
      <c r="K1793" s="5">
        <f t="shared" si="168"/>
        <v>0</v>
      </c>
      <c r="L1793" s="5">
        <f t="shared" si="168"/>
        <v>0</v>
      </c>
      <c r="M1793" s="5">
        <f t="shared" si="168"/>
        <v>0</v>
      </c>
      <c r="N1793" s="5">
        <f t="shared" si="168"/>
        <v>0</v>
      </c>
      <c r="O1793" s="5">
        <f t="shared" si="168"/>
        <v>0</v>
      </c>
    </row>
    <row r="1794" spans="3:15" s="327" customFormat="1" outlineLevel="1" x14ac:dyDescent="0.2"/>
    <row r="1795" spans="3:15" s="327" customFormat="1" ht="15.75" outlineLevel="2" x14ac:dyDescent="0.2">
      <c r="C1795" s="26" t="str">
        <f>"Active "&amp;Intv_BA!D1807&amp;"s"</f>
        <v>Active Facility Type 10s</v>
      </c>
    </row>
    <row r="1796" spans="3:15" s="327" customFormat="1" outlineLevel="2" x14ac:dyDescent="0.2"/>
    <row r="1797" spans="3:15" s="327" customFormat="1" outlineLevel="2" x14ac:dyDescent="0.2">
      <c r="D1797" s="518" t="s">
        <v>82</v>
      </c>
      <c r="H1797" s="27">
        <v>10</v>
      </c>
    </row>
    <row r="1798" spans="3:15" s="327" customFormat="1" outlineLevel="2" x14ac:dyDescent="0.2"/>
    <row r="1799" spans="3:15" s="327" customFormat="1" ht="15" outlineLevel="2" x14ac:dyDescent="0.2">
      <c r="D1799" s="24" t="str">
        <f>Labels_BA!G10</f>
        <v>Province</v>
      </c>
    </row>
    <row r="1800" spans="3:15" s="327" customFormat="1" outlineLevel="2" x14ac:dyDescent="0.2">
      <c r="D1800" s="521" t="str">
        <f>Intv_BA!D1937</f>
        <v>Central</v>
      </c>
      <c r="J1800" s="8">
        <f>Intv_Ann_TA!J945</f>
        <v>0</v>
      </c>
      <c r="K1800" s="8">
        <f>Intv_Ann_TA!K945</f>
        <v>0</v>
      </c>
      <c r="L1800" s="8">
        <f>Intv_Ann_TA!L945</f>
        <v>0</v>
      </c>
      <c r="M1800" s="8">
        <f>Intv_Ann_TA!M945</f>
        <v>0</v>
      </c>
      <c r="N1800" s="8">
        <f>Intv_Ann_TA!N945</f>
        <v>0</v>
      </c>
      <c r="O1800" s="8">
        <f>Intv_Ann_TA!O945</f>
        <v>0</v>
      </c>
    </row>
    <row r="1801" spans="3:15" s="327" customFormat="1" outlineLevel="2" x14ac:dyDescent="0.2">
      <c r="D1801" s="521" t="str">
        <f>Intv_BA!D1938</f>
        <v>Copperbelt</v>
      </c>
      <c r="J1801" s="8">
        <f>Intv_Ann_TA!J946</f>
        <v>0</v>
      </c>
      <c r="K1801" s="8">
        <f>Intv_Ann_TA!K946</f>
        <v>0</v>
      </c>
      <c r="L1801" s="8">
        <f>Intv_Ann_TA!L946</f>
        <v>0</v>
      </c>
      <c r="M1801" s="8">
        <f>Intv_Ann_TA!M946</f>
        <v>0</v>
      </c>
      <c r="N1801" s="8">
        <f>Intv_Ann_TA!N946</f>
        <v>0</v>
      </c>
      <c r="O1801" s="8">
        <f>Intv_Ann_TA!O946</f>
        <v>0</v>
      </c>
    </row>
    <row r="1802" spans="3:15" s="327" customFormat="1" outlineLevel="2" x14ac:dyDescent="0.2">
      <c r="D1802" s="521" t="str">
        <f>Intv_BA!D1939</f>
        <v>Eastern</v>
      </c>
      <c r="J1802" s="8">
        <f>Intv_Ann_TA!J947</f>
        <v>0</v>
      </c>
      <c r="K1802" s="8">
        <f>Intv_Ann_TA!K947</f>
        <v>0</v>
      </c>
      <c r="L1802" s="8">
        <f>Intv_Ann_TA!L947</f>
        <v>0</v>
      </c>
      <c r="M1802" s="8">
        <f>Intv_Ann_TA!M947</f>
        <v>0</v>
      </c>
      <c r="N1802" s="8">
        <f>Intv_Ann_TA!N947</f>
        <v>0</v>
      </c>
      <c r="O1802" s="8">
        <f>Intv_Ann_TA!O947</f>
        <v>0</v>
      </c>
    </row>
    <row r="1803" spans="3:15" s="327" customFormat="1" outlineLevel="2" x14ac:dyDescent="0.2">
      <c r="D1803" s="521" t="str">
        <f>Intv_BA!D1940</f>
        <v>Luapula</v>
      </c>
      <c r="J1803" s="8">
        <f>Intv_Ann_TA!J948</f>
        <v>0</v>
      </c>
      <c r="K1803" s="8">
        <f>Intv_Ann_TA!K948</f>
        <v>0</v>
      </c>
      <c r="L1803" s="8">
        <f>Intv_Ann_TA!L948</f>
        <v>0</v>
      </c>
      <c r="M1803" s="8">
        <f>Intv_Ann_TA!M948</f>
        <v>0</v>
      </c>
      <c r="N1803" s="8">
        <f>Intv_Ann_TA!N948</f>
        <v>0</v>
      </c>
      <c r="O1803" s="8">
        <f>Intv_Ann_TA!O948</f>
        <v>0</v>
      </c>
    </row>
    <row r="1804" spans="3:15" s="327" customFormat="1" outlineLevel="2" x14ac:dyDescent="0.2">
      <c r="D1804" s="521" t="str">
        <f>Intv_BA!D1941</f>
        <v>Lusaka</v>
      </c>
      <c r="J1804" s="8">
        <f>Intv_Ann_TA!J949</f>
        <v>0</v>
      </c>
      <c r="K1804" s="8">
        <f>Intv_Ann_TA!K949</f>
        <v>0</v>
      </c>
      <c r="L1804" s="8">
        <f>Intv_Ann_TA!L949</f>
        <v>0</v>
      </c>
      <c r="M1804" s="8">
        <f>Intv_Ann_TA!M949</f>
        <v>0</v>
      </c>
      <c r="N1804" s="8">
        <f>Intv_Ann_TA!N949</f>
        <v>0</v>
      </c>
      <c r="O1804" s="8">
        <f>Intv_Ann_TA!O949</f>
        <v>0</v>
      </c>
    </row>
    <row r="1805" spans="3:15" s="327" customFormat="1" outlineLevel="2" x14ac:dyDescent="0.2">
      <c r="D1805" s="521" t="str">
        <f>Intv_BA!D1942</f>
        <v>Muchinga</v>
      </c>
      <c r="J1805" s="8">
        <f>Intv_Ann_TA!J950</f>
        <v>0</v>
      </c>
      <c r="K1805" s="8">
        <f>Intv_Ann_TA!K950</f>
        <v>0</v>
      </c>
      <c r="L1805" s="8">
        <f>Intv_Ann_TA!L950</f>
        <v>0</v>
      </c>
      <c r="M1805" s="8">
        <f>Intv_Ann_TA!M950</f>
        <v>0</v>
      </c>
      <c r="N1805" s="8">
        <f>Intv_Ann_TA!N950</f>
        <v>0</v>
      </c>
      <c r="O1805" s="8">
        <f>Intv_Ann_TA!O950</f>
        <v>0</v>
      </c>
    </row>
    <row r="1806" spans="3:15" s="327" customFormat="1" outlineLevel="2" x14ac:dyDescent="0.2">
      <c r="D1806" s="521" t="str">
        <f>Intv_BA!D1943</f>
        <v>Northern</v>
      </c>
      <c r="J1806" s="8">
        <f>Intv_Ann_TA!J951</f>
        <v>0</v>
      </c>
      <c r="K1806" s="8">
        <f>Intv_Ann_TA!K951</f>
        <v>0</v>
      </c>
      <c r="L1806" s="8">
        <f>Intv_Ann_TA!L951</f>
        <v>0</v>
      </c>
      <c r="M1806" s="8">
        <f>Intv_Ann_TA!M951</f>
        <v>0</v>
      </c>
      <c r="N1806" s="8">
        <f>Intv_Ann_TA!N951</f>
        <v>0</v>
      </c>
      <c r="O1806" s="8">
        <f>Intv_Ann_TA!O951</f>
        <v>0</v>
      </c>
    </row>
    <row r="1807" spans="3:15" s="327" customFormat="1" outlineLevel="2" x14ac:dyDescent="0.2">
      <c r="D1807" s="521" t="str">
        <f>Intv_BA!D1944</f>
        <v>North-Western</v>
      </c>
      <c r="J1807" s="8">
        <f>Intv_Ann_TA!J952</f>
        <v>0</v>
      </c>
      <c r="K1807" s="8">
        <f>Intv_Ann_TA!K952</f>
        <v>0</v>
      </c>
      <c r="L1807" s="8">
        <f>Intv_Ann_TA!L952</f>
        <v>0</v>
      </c>
      <c r="M1807" s="8">
        <f>Intv_Ann_TA!M952</f>
        <v>0</v>
      </c>
      <c r="N1807" s="8">
        <f>Intv_Ann_TA!N952</f>
        <v>0</v>
      </c>
      <c r="O1807" s="8">
        <f>Intv_Ann_TA!O952</f>
        <v>0</v>
      </c>
    </row>
    <row r="1808" spans="3:15" s="327" customFormat="1" outlineLevel="2" x14ac:dyDescent="0.2">
      <c r="D1808" s="521" t="str">
        <f>Intv_BA!D1945</f>
        <v>Southern</v>
      </c>
      <c r="J1808" s="8">
        <f>Intv_Ann_TA!J953</f>
        <v>0</v>
      </c>
      <c r="K1808" s="8">
        <f>Intv_Ann_TA!K953</f>
        <v>0</v>
      </c>
      <c r="L1808" s="8">
        <f>Intv_Ann_TA!L953</f>
        <v>0</v>
      </c>
      <c r="M1808" s="8">
        <f>Intv_Ann_TA!M953</f>
        <v>0</v>
      </c>
      <c r="N1808" s="8">
        <f>Intv_Ann_TA!N953</f>
        <v>0</v>
      </c>
      <c r="O1808" s="8">
        <f>Intv_Ann_TA!O953</f>
        <v>0</v>
      </c>
    </row>
    <row r="1809" spans="3:15" s="327" customFormat="1" outlineLevel="2" x14ac:dyDescent="0.2">
      <c r="D1809" s="521" t="str">
        <f>Intv_BA!D1946</f>
        <v>Western</v>
      </c>
      <c r="J1809" s="9">
        <f>Intv_Ann_TA!J954</f>
        <v>0</v>
      </c>
      <c r="K1809" s="9">
        <f>Intv_Ann_TA!K954</f>
        <v>0</v>
      </c>
      <c r="L1809" s="9">
        <f>Intv_Ann_TA!L954</f>
        <v>0</v>
      </c>
      <c r="M1809" s="9">
        <f>Intv_Ann_TA!M954</f>
        <v>0</v>
      </c>
      <c r="N1809" s="9">
        <f>Intv_Ann_TA!N954</f>
        <v>0</v>
      </c>
      <c r="O1809" s="9">
        <f>Intv_Ann_TA!O954</f>
        <v>0</v>
      </c>
    </row>
    <row r="1810" spans="3:15" s="327" customFormat="1" x14ac:dyDescent="0.2">
      <c r="D1810" s="520" t="str">
        <f>"Total "&amp;C1795</f>
        <v>Total Active Facility Type 10s</v>
      </c>
      <c r="J1810" s="5">
        <f t="shared" ref="J1810:O1810" si="169">SUM(J1800:J1809)</f>
        <v>0</v>
      </c>
      <c r="K1810" s="5">
        <f t="shared" si="169"/>
        <v>0</v>
      </c>
      <c r="L1810" s="5">
        <f t="shared" si="169"/>
        <v>0</v>
      </c>
      <c r="M1810" s="5">
        <f t="shared" si="169"/>
        <v>0</v>
      </c>
      <c r="N1810" s="5">
        <f t="shared" si="169"/>
        <v>0</v>
      </c>
      <c r="O1810" s="5">
        <f t="shared" si="169"/>
        <v>0</v>
      </c>
    </row>
    <row r="1811" spans="3:15" s="327" customFormat="1" x14ac:dyDescent="0.2"/>
    <row r="1812" spans="3:15" s="327" customFormat="1" x14ac:dyDescent="0.2"/>
    <row r="1813" spans="3:15" s="327" customFormat="1" ht="15" x14ac:dyDescent="0.2">
      <c r="D1813" s="522" t="str">
        <f>"Total Active Facilities " &amp;Intv_BA!G1768</f>
        <v>Total Active Facilities RADIO</v>
      </c>
      <c r="I1813" s="437"/>
      <c r="J1813" s="14">
        <f t="shared" ref="J1813:O1813" si="170">SUM(J1657,J1674,J1691,J1708,J1725,J1742,J1759,J1776,J1793,J1810)</f>
        <v>1</v>
      </c>
      <c r="K1813" s="14">
        <f t="shared" si="170"/>
        <v>1</v>
      </c>
      <c r="L1813" s="14">
        <f t="shared" si="170"/>
        <v>1</v>
      </c>
      <c r="M1813" s="14">
        <f t="shared" si="170"/>
        <v>1</v>
      </c>
      <c r="N1813" s="14">
        <f t="shared" si="170"/>
        <v>3</v>
      </c>
      <c r="O1813" s="14">
        <f t="shared" si="170"/>
        <v>3</v>
      </c>
    </row>
    <row r="1814" spans="3:15" s="327" customFormat="1" x14ac:dyDescent="0.2"/>
    <row r="1815" spans="3:15" s="327" customFormat="1" ht="15" x14ac:dyDescent="0.2">
      <c r="D1815" s="522" t="str">
        <f>"Total New Active Facilities " &amp;Intv_BA!$G$1768</f>
        <v>Total New Active Facilities RADIO</v>
      </c>
      <c r="J1815" s="14">
        <f t="shared" ref="J1815:O1815" si="171">J1813-I1813</f>
        <v>1</v>
      </c>
      <c r="K1815" s="14">
        <f t="shared" si="171"/>
        <v>0</v>
      </c>
      <c r="L1815" s="14">
        <f t="shared" si="171"/>
        <v>0</v>
      </c>
      <c r="M1815" s="14">
        <f t="shared" si="171"/>
        <v>0</v>
      </c>
      <c r="N1815" s="14">
        <f t="shared" si="171"/>
        <v>2</v>
      </c>
      <c r="O1815" s="14">
        <f t="shared" si="171"/>
        <v>0</v>
      </c>
    </row>
    <row r="1816" spans="3:15" s="327" customFormat="1" x14ac:dyDescent="0.2"/>
    <row r="1817" spans="3:15" s="327" customFormat="1" ht="15.75" x14ac:dyDescent="0.2">
      <c r="C1817" s="330" t="s">
        <v>123</v>
      </c>
    </row>
    <row r="1818" spans="3:15" s="327" customFormat="1" outlineLevel="1" x14ac:dyDescent="0.2"/>
    <row r="1819" spans="3:15" s="327" customFormat="1" ht="15" outlineLevel="1" x14ac:dyDescent="0.2">
      <c r="D1819" s="522" t="str">
        <f>"Total Active Facilities Offering "&amp;Intv_BA!$G$1768</f>
        <v>Total Active Facilities Offering RADIO</v>
      </c>
    </row>
    <row r="1820" spans="3:15" s="327" customFormat="1" outlineLevel="1" x14ac:dyDescent="0.2">
      <c r="D1820" s="521" t="str">
        <f>Intv_BA!D1937</f>
        <v>Central</v>
      </c>
      <c r="H1820" s="546" t="str">
        <f>Intv_BA!$G$1768</f>
        <v>RADIO</v>
      </c>
      <c r="J1820" s="8">
        <f t="shared" ref="J1820:O1829" si="172">SUM(J1647,J1664,J1681,J1698,J1715,J1732,J1749,J1766,J1783,J1800)</f>
        <v>0</v>
      </c>
      <c r="K1820" s="8">
        <f t="shared" si="172"/>
        <v>0</v>
      </c>
      <c r="L1820" s="8">
        <f t="shared" si="172"/>
        <v>0</v>
      </c>
      <c r="M1820" s="8">
        <f t="shared" si="172"/>
        <v>0</v>
      </c>
      <c r="N1820" s="8">
        <f t="shared" si="172"/>
        <v>0</v>
      </c>
      <c r="O1820" s="8">
        <f t="shared" si="172"/>
        <v>0</v>
      </c>
    </row>
    <row r="1821" spans="3:15" s="327" customFormat="1" outlineLevel="1" x14ac:dyDescent="0.2">
      <c r="D1821" s="521" t="str">
        <f>Intv_BA!D1938</f>
        <v>Copperbelt</v>
      </c>
      <c r="H1821" s="546" t="str">
        <f>Intv_BA!$G$1768</f>
        <v>RADIO</v>
      </c>
      <c r="J1821" s="8">
        <f t="shared" si="172"/>
        <v>0</v>
      </c>
      <c r="K1821" s="8">
        <f t="shared" si="172"/>
        <v>0</v>
      </c>
      <c r="L1821" s="8">
        <f t="shared" si="172"/>
        <v>0</v>
      </c>
      <c r="M1821" s="8">
        <f t="shared" si="172"/>
        <v>0</v>
      </c>
      <c r="N1821" s="8">
        <f t="shared" si="172"/>
        <v>1</v>
      </c>
      <c r="O1821" s="8">
        <f t="shared" si="172"/>
        <v>1</v>
      </c>
    </row>
    <row r="1822" spans="3:15" s="327" customFormat="1" outlineLevel="1" x14ac:dyDescent="0.2">
      <c r="D1822" s="521" t="str">
        <f>Intv_BA!D1939</f>
        <v>Eastern</v>
      </c>
      <c r="H1822" s="546" t="str">
        <f>Intv_BA!$G$1768</f>
        <v>RADIO</v>
      </c>
      <c r="J1822" s="8">
        <f t="shared" si="172"/>
        <v>0</v>
      </c>
      <c r="K1822" s="8">
        <f t="shared" si="172"/>
        <v>0</v>
      </c>
      <c r="L1822" s="8">
        <f t="shared" si="172"/>
        <v>0</v>
      </c>
      <c r="M1822" s="8">
        <f t="shared" si="172"/>
        <v>0</v>
      </c>
      <c r="N1822" s="8">
        <f t="shared" si="172"/>
        <v>0</v>
      </c>
      <c r="O1822" s="8">
        <f t="shared" si="172"/>
        <v>0</v>
      </c>
    </row>
    <row r="1823" spans="3:15" s="327" customFormat="1" outlineLevel="1" x14ac:dyDescent="0.2">
      <c r="D1823" s="521" t="str">
        <f>Intv_BA!D1940</f>
        <v>Luapula</v>
      </c>
      <c r="H1823" s="546" t="str">
        <f>Intv_BA!$G$1768</f>
        <v>RADIO</v>
      </c>
      <c r="J1823" s="8">
        <f t="shared" si="172"/>
        <v>0</v>
      </c>
      <c r="K1823" s="8">
        <f t="shared" si="172"/>
        <v>0</v>
      </c>
      <c r="L1823" s="8">
        <f t="shared" si="172"/>
        <v>0</v>
      </c>
      <c r="M1823" s="8">
        <f t="shared" si="172"/>
        <v>0</v>
      </c>
      <c r="N1823" s="8">
        <f t="shared" si="172"/>
        <v>0</v>
      </c>
      <c r="O1823" s="8">
        <f t="shared" si="172"/>
        <v>0</v>
      </c>
    </row>
    <row r="1824" spans="3:15" s="327" customFormat="1" outlineLevel="1" x14ac:dyDescent="0.2">
      <c r="D1824" s="521" t="str">
        <f>Intv_BA!D1941</f>
        <v>Lusaka</v>
      </c>
      <c r="H1824" s="546" t="str">
        <f>Intv_BA!$G$1768</f>
        <v>RADIO</v>
      </c>
      <c r="J1824" s="8">
        <f t="shared" si="172"/>
        <v>1</v>
      </c>
      <c r="K1824" s="8">
        <f t="shared" si="172"/>
        <v>1</v>
      </c>
      <c r="L1824" s="8">
        <f t="shared" si="172"/>
        <v>1</v>
      </c>
      <c r="M1824" s="8">
        <f t="shared" si="172"/>
        <v>1</v>
      </c>
      <c r="N1824" s="8">
        <f t="shared" si="172"/>
        <v>1</v>
      </c>
      <c r="O1824" s="8">
        <f t="shared" si="172"/>
        <v>1</v>
      </c>
    </row>
    <row r="1825" spans="4:15" s="327" customFormat="1" outlineLevel="1" x14ac:dyDescent="0.2">
      <c r="D1825" s="521" t="str">
        <f>Intv_BA!D1942</f>
        <v>Muchinga</v>
      </c>
      <c r="H1825" s="546" t="str">
        <f>Intv_BA!$G$1768</f>
        <v>RADIO</v>
      </c>
      <c r="J1825" s="8">
        <f t="shared" si="172"/>
        <v>0</v>
      </c>
      <c r="K1825" s="8">
        <f t="shared" si="172"/>
        <v>0</v>
      </c>
      <c r="L1825" s="8">
        <f t="shared" si="172"/>
        <v>0</v>
      </c>
      <c r="M1825" s="8">
        <f t="shared" si="172"/>
        <v>0</v>
      </c>
      <c r="N1825" s="8">
        <f t="shared" si="172"/>
        <v>0</v>
      </c>
      <c r="O1825" s="8">
        <f t="shared" si="172"/>
        <v>0</v>
      </c>
    </row>
    <row r="1826" spans="4:15" s="327" customFormat="1" outlineLevel="1" x14ac:dyDescent="0.2">
      <c r="D1826" s="521" t="str">
        <f>Intv_BA!D1943</f>
        <v>Northern</v>
      </c>
      <c r="H1826" s="546" t="str">
        <f>Intv_BA!$G$1768</f>
        <v>RADIO</v>
      </c>
      <c r="J1826" s="8">
        <f t="shared" si="172"/>
        <v>0</v>
      </c>
      <c r="K1826" s="8">
        <f t="shared" si="172"/>
        <v>0</v>
      </c>
      <c r="L1826" s="8">
        <f t="shared" si="172"/>
        <v>0</v>
      </c>
      <c r="M1826" s="8">
        <f t="shared" si="172"/>
        <v>0</v>
      </c>
      <c r="N1826" s="8">
        <f t="shared" si="172"/>
        <v>0</v>
      </c>
      <c r="O1826" s="8">
        <f t="shared" si="172"/>
        <v>0</v>
      </c>
    </row>
    <row r="1827" spans="4:15" s="327" customFormat="1" outlineLevel="1" x14ac:dyDescent="0.2">
      <c r="D1827" s="521" t="str">
        <f>Intv_BA!D1944</f>
        <v>North-Western</v>
      </c>
      <c r="H1827" s="546" t="str">
        <f>Intv_BA!$G$1768</f>
        <v>RADIO</v>
      </c>
      <c r="J1827" s="8">
        <f t="shared" si="172"/>
        <v>0</v>
      </c>
      <c r="K1827" s="8">
        <f t="shared" si="172"/>
        <v>0</v>
      </c>
      <c r="L1827" s="8">
        <f t="shared" si="172"/>
        <v>0</v>
      </c>
      <c r="M1827" s="8">
        <f t="shared" si="172"/>
        <v>0</v>
      </c>
      <c r="N1827" s="8">
        <f t="shared" si="172"/>
        <v>0</v>
      </c>
      <c r="O1827" s="8">
        <f t="shared" si="172"/>
        <v>0</v>
      </c>
    </row>
    <row r="1828" spans="4:15" s="327" customFormat="1" outlineLevel="1" x14ac:dyDescent="0.2">
      <c r="D1828" s="521" t="str">
        <f>Intv_BA!D1945</f>
        <v>Southern</v>
      </c>
      <c r="H1828" s="546" t="str">
        <f>Intv_BA!$G$1768</f>
        <v>RADIO</v>
      </c>
      <c r="J1828" s="8">
        <f t="shared" si="172"/>
        <v>0</v>
      </c>
      <c r="K1828" s="8">
        <f t="shared" si="172"/>
        <v>0</v>
      </c>
      <c r="L1828" s="8">
        <f t="shared" si="172"/>
        <v>0</v>
      </c>
      <c r="M1828" s="8">
        <f t="shared" si="172"/>
        <v>0</v>
      </c>
      <c r="N1828" s="8">
        <f t="shared" si="172"/>
        <v>1</v>
      </c>
      <c r="O1828" s="8">
        <f t="shared" si="172"/>
        <v>1</v>
      </c>
    </row>
    <row r="1829" spans="4:15" s="327" customFormat="1" outlineLevel="1" x14ac:dyDescent="0.2">
      <c r="D1829" s="521" t="str">
        <f>Intv_BA!D1946</f>
        <v>Western</v>
      </c>
      <c r="H1829" s="546" t="str">
        <f>Intv_BA!$G$1768</f>
        <v>RADIO</v>
      </c>
      <c r="J1829" s="9">
        <f t="shared" si="172"/>
        <v>0</v>
      </c>
      <c r="K1829" s="9">
        <f t="shared" si="172"/>
        <v>0</v>
      </c>
      <c r="L1829" s="9">
        <f t="shared" si="172"/>
        <v>0</v>
      </c>
      <c r="M1829" s="9">
        <f t="shared" si="172"/>
        <v>0</v>
      </c>
      <c r="N1829" s="9">
        <f t="shared" si="172"/>
        <v>0</v>
      </c>
      <c r="O1829" s="9">
        <f t="shared" si="172"/>
        <v>0</v>
      </c>
    </row>
    <row r="1830" spans="4:15" s="327" customFormat="1" ht="15" x14ac:dyDescent="0.2">
      <c r="D1830" s="522" t="str">
        <f>D1819&amp;" ("&amp;Intv_BA!$G$1768&amp;")"</f>
        <v>Total Active Facilities Offering RADIO (RADIO)</v>
      </c>
      <c r="J1830" s="5">
        <f t="shared" ref="J1830:O1830" si="173">SUM(J1820:J1829)</f>
        <v>1</v>
      </c>
      <c r="K1830" s="5">
        <f t="shared" si="173"/>
        <v>1</v>
      </c>
      <c r="L1830" s="5">
        <f t="shared" si="173"/>
        <v>1</v>
      </c>
      <c r="M1830" s="5">
        <f t="shared" si="173"/>
        <v>1</v>
      </c>
      <c r="N1830" s="5">
        <f t="shared" si="173"/>
        <v>3</v>
      </c>
      <c r="O1830" s="5">
        <f t="shared" si="173"/>
        <v>3</v>
      </c>
    </row>
    <row r="1831" spans="4:15" s="327" customFormat="1" x14ac:dyDescent="0.2"/>
    <row r="1832" spans="4:15" s="327" customFormat="1" x14ac:dyDescent="0.2"/>
    <row r="1833" spans="4:15" s="327" customFormat="1" ht="15" x14ac:dyDescent="0.2">
      <c r="D1833" s="519" t="s">
        <v>114</v>
      </c>
    </row>
    <row r="1834" spans="4:15" s="327" customFormat="1" outlineLevel="1" x14ac:dyDescent="0.2">
      <c r="D1834" s="521" t="str">
        <f>Intv_Ann_TA!D965</f>
        <v>Central</v>
      </c>
      <c r="H1834" s="546" t="str">
        <f>Intv_BA!$G$1768</f>
        <v>RADIO</v>
      </c>
      <c r="J1834" s="13">
        <f t="shared" ref="J1834:O1843" si="174">IFERROR((J1647+J1664+J1681)/J1820,0)</f>
        <v>0</v>
      </c>
      <c r="K1834" s="13">
        <f t="shared" si="174"/>
        <v>0</v>
      </c>
      <c r="L1834" s="13">
        <f t="shared" si="174"/>
        <v>0</v>
      </c>
      <c r="M1834" s="13">
        <f t="shared" si="174"/>
        <v>0</v>
      </c>
      <c r="N1834" s="13">
        <f t="shared" si="174"/>
        <v>0</v>
      </c>
      <c r="O1834" s="13">
        <f t="shared" si="174"/>
        <v>0</v>
      </c>
    </row>
    <row r="1835" spans="4:15" s="327" customFormat="1" outlineLevel="1" x14ac:dyDescent="0.2">
      <c r="D1835" s="521" t="str">
        <f>Intv_Ann_TA!D966</f>
        <v>Copperbelt</v>
      </c>
      <c r="H1835" s="546" t="str">
        <f>Intv_BA!$G$1768</f>
        <v>RADIO</v>
      </c>
      <c r="J1835" s="13">
        <f t="shared" si="174"/>
        <v>0</v>
      </c>
      <c r="K1835" s="13">
        <f t="shared" si="174"/>
        <v>0</v>
      </c>
      <c r="L1835" s="13">
        <f t="shared" si="174"/>
        <v>0</v>
      </c>
      <c r="M1835" s="13">
        <f t="shared" si="174"/>
        <v>0</v>
      </c>
      <c r="N1835" s="13">
        <f t="shared" si="174"/>
        <v>1</v>
      </c>
      <c r="O1835" s="13">
        <f t="shared" si="174"/>
        <v>1</v>
      </c>
    </row>
    <row r="1836" spans="4:15" s="327" customFormat="1" outlineLevel="1" x14ac:dyDescent="0.2">
      <c r="D1836" s="521" t="str">
        <f>Intv_Ann_TA!D967</f>
        <v>Eastern</v>
      </c>
      <c r="H1836" s="546" t="str">
        <f>Intv_BA!$G$1768</f>
        <v>RADIO</v>
      </c>
      <c r="J1836" s="13">
        <f t="shared" si="174"/>
        <v>0</v>
      </c>
      <c r="K1836" s="13">
        <f t="shared" si="174"/>
        <v>0</v>
      </c>
      <c r="L1836" s="13">
        <f t="shared" si="174"/>
        <v>0</v>
      </c>
      <c r="M1836" s="13">
        <f t="shared" si="174"/>
        <v>0</v>
      </c>
      <c r="N1836" s="13">
        <f t="shared" si="174"/>
        <v>0</v>
      </c>
      <c r="O1836" s="13">
        <f t="shared" si="174"/>
        <v>0</v>
      </c>
    </row>
    <row r="1837" spans="4:15" s="327" customFormat="1" outlineLevel="1" x14ac:dyDescent="0.2">
      <c r="D1837" s="521" t="str">
        <f>Intv_Ann_TA!D968</f>
        <v>Luapula</v>
      </c>
      <c r="H1837" s="546" t="str">
        <f>Intv_BA!$G$1768</f>
        <v>RADIO</v>
      </c>
      <c r="J1837" s="13">
        <f t="shared" si="174"/>
        <v>0</v>
      </c>
      <c r="K1837" s="13">
        <f t="shared" si="174"/>
        <v>0</v>
      </c>
      <c r="L1837" s="13">
        <f t="shared" si="174"/>
        <v>0</v>
      </c>
      <c r="M1837" s="13">
        <f t="shared" si="174"/>
        <v>0</v>
      </c>
      <c r="N1837" s="13">
        <f t="shared" si="174"/>
        <v>0</v>
      </c>
      <c r="O1837" s="13">
        <f t="shared" si="174"/>
        <v>0</v>
      </c>
    </row>
    <row r="1838" spans="4:15" s="327" customFormat="1" outlineLevel="1" x14ac:dyDescent="0.2">
      <c r="D1838" s="521" t="str">
        <f>Intv_Ann_TA!D969</f>
        <v>Lusaka</v>
      </c>
      <c r="H1838" s="546" t="str">
        <f>Intv_BA!$G$1768</f>
        <v>RADIO</v>
      </c>
      <c r="J1838" s="13">
        <f t="shared" si="174"/>
        <v>1</v>
      </c>
      <c r="K1838" s="13">
        <f t="shared" si="174"/>
        <v>1</v>
      </c>
      <c r="L1838" s="13">
        <f t="shared" si="174"/>
        <v>1</v>
      </c>
      <c r="M1838" s="13">
        <f t="shared" si="174"/>
        <v>1</v>
      </c>
      <c r="N1838" s="13">
        <f t="shared" si="174"/>
        <v>1</v>
      </c>
      <c r="O1838" s="13">
        <f t="shared" si="174"/>
        <v>1</v>
      </c>
    </row>
    <row r="1839" spans="4:15" s="327" customFormat="1" outlineLevel="1" x14ac:dyDescent="0.2">
      <c r="D1839" s="521" t="str">
        <f>Intv_Ann_TA!D970</f>
        <v>Muchinga</v>
      </c>
      <c r="H1839" s="546" t="str">
        <f>Intv_BA!$G$1768</f>
        <v>RADIO</v>
      </c>
      <c r="J1839" s="13">
        <f t="shared" si="174"/>
        <v>0</v>
      </c>
      <c r="K1839" s="13">
        <f t="shared" si="174"/>
        <v>0</v>
      </c>
      <c r="L1839" s="13">
        <f t="shared" si="174"/>
        <v>0</v>
      </c>
      <c r="M1839" s="13">
        <f t="shared" si="174"/>
        <v>0</v>
      </c>
      <c r="N1839" s="13">
        <f t="shared" si="174"/>
        <v>0</v>
      </c>
      <c r="O1839" s="13">
        <f t="shared" si="174"/>
        <v>0</v>
      </c>
    </row>
    <row r="1840" spans="4:15" s="327" customFormat="1" outlineLevel="1" x14ac:dyDescent="0.2">
      <c r="D1840" s="521" t="str">
        <f>Intv_Ann_TA!D971</f>
        <v>Northern</v>
      </c>
      <c r="H1840" s="546" t="str">
        <f>Intv_BA!$G$1768</f>
        <v>RADIO</v>
      </c>
      <c r="J1840" s="13">
        <f t="shared" si="174"/>
        <v>0</v>
      </c>
      <c r="K1840" s="13">
        <f t="shared" si="174"/>
        <v>0</v>
      </c>
      <c r="L1840" s="13">
        <f t="shared" si="174"/>
        <v>0</v>
      </c>
      <c r="M1840" s="13">
        <f t="shared" si="174"/>
        <v>0</v>
      </c>
      <c r="N1840" s="13">
        <f t="shared" si="174"/>
        <v>0</v>
      </c>
      <c r="O1840" s="13">
        <f t="shared" si="174"/>
        <v>0</v>
      </c>
    </row>
    <row r="1841" spans="3:15" s="327" customFormat="1" outlineLevel="1" x14ac:dyDescent="0.2">
      <c r="D1841" s="521" t="str">
        <f>Intv_Ann_TA!D972</f>
        <v>North-Western</v>
      </c>
      <c r="H1841" s="546" t="str">
        <f>Intv_BA!$G$1768</f>
        <v>RADIO</v>
      </c>
      <c r="J1841" s="13">
        <f t="shared" si="174"/>
        <v>0</v>
      </c>
      <c r="K1841" s="13">
        <f t="shared" si="174"/>
        <v>0</v>
      </c>
      <c r="L1841" s="13">
        <f t="shared" si="174"/>
        <v>0</v>
      </c>
      <c r="M1841" s="13">
        <f t="shared" si="174"/>
        <v>0</v>
      </c>
      <c r="N1841" s="13">
        <f t="shared" si="174"/>
        <v>0</v>
      </c>
      <c r="O1841" s="13">
        <f t="shared" si="174"/>
        <v>0</v>
      </c>
    </row>
    <row r="1842" spans="3:15" s="327" customFormat="1" outlineLevel="1" x14ac:dyDescent="0.2">
      <c r="D1842" s="521" t="str">
        <f>Intv_Ann_TA!D973</f>
        <v>Southern</v>
      </c>
      <c r="H1842" s="546" t="str">
        <f>Intv_BA!$G$1768</f>
        <v>RADIO</v>
      </c>
      <c r="J1842" s="13">
        <f t="shared" si="174"/>
        <v>0</v>
      </c>
      <c r="K1842" s="13">
        <f t="shared" si="174"/>
        <v>0</v>
      </c>
      <c r="L1842" s="13">
        <f t="shared" si="174"/>
        <v>0</v>
      </c>
      <c r="M1842" s="13">
        <f t="shared" si="174"/>
        <v>0</v>
      </c>
      <c r="N1842" s="13">
        <f t="shared" si="174"/>
        <v>1</v>
      </c>
      <c r="O1842" s="13">
        <f t="shared" si="174"/>
        <v>1</v>
      </c>
    </row>
    <row r="1843" spans="3:15" s="327" customFormat="1" outlineLevel="1" x14ac:dyDescent="0.2">
      <c r="D1843" s="521" t="str">
        <f>Intv_Ann_TA!D974</f>
        <v>Western</v>
      </c>
      <c r="H1843" s="546" t="str">
        <f>Intv_BA!$G$1768</f>
        <v>RADIO</v>
      </c>
      <c r="J1843" s="13">
        <f t="shared" si="174"/>
        <v>0</v>
      </c>
      <c r="K1843" s="13">
        <f t="shared" si="174"/>
        <v>0</v>
      </c>
      <c r="L1843" s="13">
        <f t="shared" si="174"/>
        <v>0</v>
      </c>
      <c r="M1843" s="13">
        <f t="shared" si="174"/>
        <v>0</v>
      </c>
      <c r="N1843" s="13">
        <f t="shared" si="174"/>
        <v>0</v>
      </c>
      <c r="O1843" s="13">
        <f t="shared" si="174"/>
        <v>0</v>
      </c>
    </row>
    <row r="1844" spans="3:15" s="327" customFormat="1" x14ac:dyDescent="0.2"/>
    <row r="1845" spans="3:15" s="327" customFormat="1" ht="15.75" x14ac:dyDescent="0.2">
      <c r="C1845" s="330" t="s">
        <v>102</v>
      </c>
    </row>
    <row r="1846" spans="3:15" s="327" customFormat="1" x14ac:dyDescent="0.2"/>
    <row r="1847" spans="3:15" s="327" customFormat="1" ht="15" outlineLevel="2" x14ac:dyDescent="0.2">
      <c r="D1847" s="519" t="s">
        <v>103</v>
      </c>
      <c r="J1847" s="322"/>
      <c r="K1847" s="322"/>
      <c r="L1847" s="322"/>
      <c r="M1847" s="322"/>
      <c r="N1847" s="322"/>
      <c r="O1847" s="322"/>
    </row>
    <row r="1848" spans="3:15" s="327" customFormat="1" outlineLevel="2" x14ac:dyDescent="0.2">
      <c r="D1848" s="521" t="str">
        <f>Intv_Ann_TA!D965</f>
        <v>Central</v>
      </c>
      <c r="H1848" s="521" t="str">
        <f>Intv_BA!$G$1768</f>
        <v>RADIO</v>
      </c>
      <c r="J1848" s="8">
        <f>ROUND(J1647*Intv_BA!$L$1796+J1664*Intv_BA!$L$1797+J1681*Intv_BA!$L$1798+J1698*Intv_BA!$L$1801+J1715*Intv_BA!$L$1801+J1732*Intv_BA!$L$1803+J1749*Intv_BA!$L$1804+J1766*Intv_BA!$L$1805+J1783*Intv_BA!$L$1806+J1800*Intv_BA!$L$1807,0)</f>
        <v>0</v>
      </c>
      <c r="K1848" s="8">
        <f>ROUND(K1647*Intv_BA!$L$1796+K1664*Intv_BA!$L$1797+K1681*Intv_BA!$L$1798+K1698*Intv_BA!$L$1801+K1715*Intv_BA!$L$1801+K1732*Intv_BA!$L$1803+K1749*Intv_BA!$L$1804+K1766*Intv_BA!$L$1805+K1783*Intv_BA!$L$1806+K1800*Intv_BA!$L$1807,0)</f>
        <v>0</v>
      </c>
      <c r="L1848" s="8">
        <f>ROUND(L1647*Intv_BA!$L$1796+L1664*Intv_BA!$L$1797+L1681*Intv_BA!$L$1798+L1698*Intv_BA!$L$1801+L1715*Intv_BA!$L$1801+L1732*Intv_BA!$L$1803+L1749*Intv_BA!$L$1804+L1766*Intv_BA!$L$1805+L1783*Intv_BA!$L$1806+L1800*Intv_BA!$L$1807,0)</f>
        <v>0</v>
      </c>
      <c r="M1848" s="8">
        <f>ROUND(M1647*Intv_BA!$L$1796+M1664*Intv_BA!$L$1797+M1681*Intv_BA!$L$1798+M1698*Intv_BA!$L$1801+M1715*Intv_BA!$L$1801+M1732*Intv_BA!$L$1803+M1749*Intv_BA!$L$1804+M1766*Intv_BA!$L$1805+M1783*Intv_BA!$L$1806+M1800*Intv_BA!$L$1807,0)</f>
        <v>0</v>
      </c>
      <c r="N1848" s="8">
        <f>ROUND(N1647*Intv_BA!$L$1796+N1664*Intv_BA!$L$1797+N1681*Intv_BA!$L$1798+N1698*Intv_BA!$L$1801+N1715*Intv_BA!$L$1801+N1732*Intv_BA!$L$1803+N1749*Intv_BA!$L$1804+N1766*Intv_BA!$L$1805+N1783*Intv_BA!$L$1806+N1800*Intv_BA!$L$1807,0)</f>
        <v>0</v>
      </c>
      <c r="O1848" s="8">
        <f>ROUND(O1647*Intv_BA!$L$1796+O1664*Intv_BA!$L$1797+O1681*Intv_BA!$L$1798+O1698*Intv_BA!$L$1801+O1715*Intv_BA!$L$1801+O1732*Intv_BA!$L$1803+O1749*Intv_BA!$L$1804+O1766*Intv_BA!$L$1805+O1783*Intv_BA!$L$1806+O1800*Intv_BA!$L$1807,0)</f>
        <v>0</v>
      </c>
    </row>
    <row r="1849" spans="3:15" s="327" customFormat="1" outlineLevel="2" x14ac:dyDescent="0.2">
      <c r="D1849" s="521" t="str">
        <f>Intv_Ann_TA!D966</f>
        <v>Copperbelt</v>
      </c>
      <c r="H1849" s="521" t="str">
        <f>Intv_BA!$G$1768</f>
        <v>RADIO</v>
      </c>
      <c r="J1849" s="8">
        <f>ROUND(J1648*Intv_BA!$L$1796+J1665*Intv_BA!$L$1797+J1682*Intv_BA!$L$1798+J1699*Intv_BA!$L$1801+J1716*Intv_BA!$L$1801+J1733*Intv_BA!$L$1803+J1750*Intv_BA!$L$1804+J1767*Intv_BA!$L$1805+J1784*Intv_BA!$L$1806+J1801*Intv_BA!$L$1807,0)</f>
        <v>0</v>
      </c>
      <c r="K1849" s="8">
        <f>ROUND(K1648*Intv_BA!$L$1796+K1665*Intv_BA!$L$1797+K1682*Intv_BA!$L$1798+K1699*Intv_BA!$L$1801+K1716*Intv_BA!$L$1801+K1733*Intv_BA!$L$1803+K1750*Intv_BA!$L$1804+K1767*Intv_BA!$L$1805+K1784*Intv_BA!$L$1806+K1801*Intv_BA!$L$1807,0)</f>
        <v>0</v>
      </c>
      <c r="L1849" s="8">
        <f>ROUND(L1648*Intv_BA!$L$1796+L1665*Intv_BA!$L$1797+L1682*Intv_BA!$L$1798+L1699*Intv_BA!$L$1801+L1716*Intv_BA!$L$1801+L1733*Intv_BA!$L$1803+L1750*Intv_BA!$L$1804+L1767*Intv_BA!$L$1805+L1784*Intv_BA!$L$1806+L1801*Intv_BA!$L$1807,0)</f>
        <v>0</v>
      </c>
      <c r="M1849" s="8">
        <f>ROUND(M1648*Intv_BA!$L$1796+M1665*Intv_BA!$L$1797+M1682*Intv_BA!$L$1798+M1699*Intv_BA!$L$1801+M1716*Intv_BA!$L$1801+M1733*Intv_BA!$L$1803+M1750*Intv_BA!$L$1804+M1767*Intv_BA!$L$1805+M1784*Intv_BA!$L$1806+M1801*Intv_BA!$L$1807,0)</f>
        <v>0</v>
      </c>
      <c r="N1849" s="8">
        <f>ROUND(N1648*Intv_BA!$L$1796+N1665*Intv_BA!$L$1797+N1682*Intv_BA!$L$1798+N1699*Intv_BA!$L$1801+N1716*Intv_BA!$L$1801+N1733*Intv_BA!$L$1803+N1750*Intv_BA!$L$1804+N1767*Intv_BA!$L$1805+N1784*Intv_BA!$L$1806+N1801*Intv_BA!$L$1807,0)</f>
        <v>2420</v>
      </c>
      <c r="O1849" s="8">
        <f>ROUND(O1648*Intv_BA!$L$1796+O1665*Intv_BA!$L$1797+O1682*Intv_BA!$L$1798+O1699*Intv_BA!$L$1801+O1716*Intv_BA!$L$1801+O1733*Intv_BA!$L$1803+O1750*Intv_BA!$L$1804+O1767*Intv_BA!$L$1805+O1784*Intv_BA!$L$1806+O1801*Intv_BA!$L$1807,0)</f>
        <v>2420</v>
      </c>
    </row>
    <row r="1850" spans="3:15" s="327" customFormat="1" outlineLevel="2" x14ac:dyDescent="0.2">
      <c r="D1850" s="521" t="str">
        <f>Intv_Ann_TA!D967</f>
        <v>Eastern</v>
      </c>
      <c r="H1850" s="521" t="str">
        <f>Intv_BA!$G$1768</f>
        <v>RADIO</v>
      </c>
      <c r="J1850" s="8">
        <f>ROUND(J1649*Intv_BA!$L$1796+J1666*Intv_BA!$L$1797+J1683*Intv_BA!$L$1798+J1700*Intv_BA!$L$1801+J1717*Intv_BA!$L$1801+J1734*Intv_BA!$L$1803+J1751*Intv_BA!$L$1804+J1768*Intv_BA!$L$1805+J1785*Intv_BA!$L$1806+J1802*Intv_BA!$L$1807,0)</f>
        <v>0</v>
      </c>
      <c r="K1850" s="8">
        <f>ROUND(K1649*Intv_BA!$L$1796+K1666*Intv_BA!$L$1797+K1683*Intv_BA!$L$1798+K1700*Intv_BA!$L$1801+K1717*Intv_BA!$L$1801+K1734*Intv_BA!$L$1803+K1751*Intv_BA!$L$1804+K1768*Intv_BA!$L$1805+K1785*Intv_BA!$L$1806+K1802*Intv_BA!$L$1807,0)</f>
        <v>0</v>
      </c>
      <c r="L1850" s="8">
        <f>ROUND(L1649*Intv_BA!$L$1796+L1666*Intv_BA!$L$1797+L1683*Intv_BA!$L$1798+L1700*Intv_BA!$L$1801+L1717*Intv_BA!$L$1801+L1734*Intv_BA!$L$1803+L1751*Intv_BA!$L$1804+L1768*Intv_BA!$L$1805+L1785*Intv_BA!$L$1806+L1802*Intv_BA!$L$1807,0)</f>
        <v>0</v>
      </c>
      <c r="M1850" s="8">
        <f>ROUND(M1649*Intv_BA!$L$1796+M1666*Intv_BA!$L$1797+M1683*Intv_BA!$L$1798+M1700*Intv_BA!$L$1801+M1717*Intv_BA!$L$1801+M1734*Intv_BA!$L$1803+M1751*Intv_BA!$L$1804+M1768*Intv_BA!$L$1805+M1785*Intv_BA!$L$1806+M1802*Intv_BA!$L$1807,0)</f>
        <v>0</v>
      </c>
      <c r="N1850" s="8">
        <f>ROUND(N1649*Intv_BA!$L$1796+N1666*Intv_BA!$L$1797+N1683*Intv_BA!$L$1798+N1700*Intv_BA!$L$1801+N1717*Intv_BA!$L$1801+N1734*Intv_BA!$L$1803+N1751*Intv_BA!$L$1804+N1768*Intv_BA!$L$1805+N1785*Intv_BA!$L$1806+N1802*Intv_BA!$L$1807,0)</f>
        <v>0</v>
      </c>
      <c r="O1850" s="8">
        <f>ROUND(O1649*Intv_BA!$L$1796+O1666*Intv_BA!$L$1797+O1683*Intv_BA!$L$1798+O1700*Intv_BA!$L$1801+O1717*Intv_BA!$L$1801+O1734*Intv_BA!$L$1803+O1751*Intv_BA!$L$1804+O1768*Intv_BA!$L$1805+O1785*Intv_BA!$L$1806+O1802*Intv_BA!$L$1807,0)</f>
        <v>0</v>
      </c>
    </row>
    <row r="1851" spans="3:15" s="327" customFormat="1" outlineLevel="2" x14ac:dyDescent="0.2">
      <c r="D1851" s="521" t="str">
        <f>Intv_Ann_TA!D968</f>
        <v>Luapula</v>
      </c>
      <c r="H1851" s="521" t="str">
        <f>Intv_BA!$G$1768</f>
        <v>RADIO</v>
      </c>
      <c r="J1851" s="8">
        <f>ROUND(J1650*Intv_BA!$L$1796+J1667*Intv_BA!$L$1797+J1684*Intv_BA!$L$1798+J1701*Intv_BA!$L$1801+J1718*Intv_BA!$L$1801+J1735*Intv_BA!$L$1803+J1752*Intv_BA!$L$1804+J1769*Intv_BA!$L$1805+J1786*Intv_BA!$L$1806+J1803*Intv_BA!$L$1807,0)</f>
        <v>0</v>
      </c>
      <c r="K1851" s="8">
        <f>ROUND(K1650*Intv_BA!$L$1796+K1667*Intv_BA!$L$1797+K1684*Intv_BA!$L$1798+K1701*Intv_BA!$L$1801+K1718*Intv_BA!$L$1801+K1735*Intv_BA!$L$1803+K1752*Intv_BA!$L$1804+K1769*Intv_BA!$L$1805+K1786*Intv_BA!$L$1806+K1803*Intv_BA!$L$1807,0)</f>
        <v>0</v>
      </c>
      <c r="L1851" s="8">
        <f>ROUND(L1650*Intv_BA!$L$1796+L1667*Intv_BA!$L$1797+L1684*Intv_BA!$L$1798+L1701*Intv_BA!$L$1801+L1718*Intv_BA!$L$1801+L1735*Intv_BA!$L$1803+L1752*Intv_BA!$L$1804+L1769*Intv_BA!$L$1805+L1786*Intv_BA!$L$1806+L1803*Intv_BA!$L$1807,0)</f>
        <v>0</v>
      </c>
      <c r="M1851" s="8">
        <f>ROUND(M1650*Intv_BA!$L$1796+M1667*Intv_BA!$L$1797+M1684*Intv_BA!$L$1798+M1701*Intv_BA!$L$1801+M1718*Intv_BA!$L$1801+M1735*Intv_BA!$L$1803+M1752*Intv_BA!$L$1804+M1769*Intv_BA!$L$1805+M1786*Intv_BA!$L$1806+M1803*Intv_BA!$L$1807,0)</f>
        <v>0</v>
      </c>
      <c r="N1851" s="8">
        <f>ROUND(N1650*Intv_BA!$L$1796+N1667*Intv_BA!$L$1797+N1684*Intv_BA!$L$1798+N1701*Intv_BA!$L$1801+N1718*Intv_BA!$L$1801+N1735*Intv_BA!$L$1803+N1752*Intv_BA!$L$1804+N1769*Intv_BA!$L$1805+N1786*Intv_BA!$L$1806+N1803*Intv_BA!$L$1807,0)</f>
        <v>0</v>
      </c>
      <c r="O1851" s="8">
        <f>ROUND(O1650*Intv_BA!$L$1796+O1667*Intv_BA!$L$1797+O1684*Intv_BA!$L$1798+O1701*Intv_BA!$L$1801+O1718*Intv_BA!$L$1801+O1735*Intv_BA!$L$1803+O1752*Intv_BA!$L$1804+O1769*Intv_BA!$L$1805+O1786*Intv_BA!$L$1806+O1803*Intv_BA!$L$1807,0)</f>
        <v>0</v>
      </c>
    </row>
    <row r="1852" spans="3:15" s="327" customFormat="1" outlineLevel="2" x14ac:dyDescent="0.2">
      <c r="D1852" s="521" t="str">
        <f>Intv_Ann_TA!D969</f>
        <v>Lusaka</v>
      </c>
      <c r="H1852" s="521" t="str">
        <f>Intv_BA!$G$1768</f>
        <v>RADIO</v>
      </c>
      <c r="J1852" s="8">
        <f>ROUND(J1651*Intv_BA!$L$1796+J1668*Intv_BA!$L$1797+J1685*Intv_BA!$L$1798+J1702*Intv_BA!$L$1801+J1719*Intv_BA!$L$1801+J1736*Intv_BA!$L$1803+J1753*Intv_BA!$L$1804+J1770*Intv_BA!$L$1805+J1787*Intv_BA!$L$1806+J1804*Intv_BA!$L$1807,0)</f>
        <v>2420</v>
      </c>
      <c r="K1852" s="8">
        <f>ROUND(K1651*Intv_BA!$L$1796+K1668*Intv_BA!$L$1797+K1685*Intv_BA!$L$1798+K1702*Intv_BA!$L$1801+K1719*Intv_BA!$L$1801+K1736*Intv_BA!$L$1803+K1753*Intv_BA!$L$1804+K1770*Intv_BA!$L$1805+K1787*Intv_BA!$L$1806+K1804*Intv_BA!$L$1807,0)</f>
        <v>2420</v>
      </c>
      <c r="L1852" s="8">
        <f>ROUND(L1651*Intv_BA!$L$1796+L1668*Intv_BA!$L$1797+L1685*Intv_BA!$L$1798+L1702*Intv_BA!$L$1801+L1719*Intv_BA!$L$1801+L1736*Intv_BA!$L$1803+L1753*Intv_BA!$L$1804+L1770*Intv_BA!$L$1805+L1787*Intv_BA!$L$1806+L1804*Intv_BA!$L$1807,0)</f>
        <v>2420</v>
      </c>
      <c r="M1852" s="8">
        <f>ROUND(M1651*Intv_BA!$L$1796+M1668*Intv_BA!$L$1797+M1685*Intv_BA!$L$1798+M1702*Intv_BA!$L$1801+M1719*Intv_BA!$L$1801+M1736*Intv_BA!$L$1803+M1753*Intv_BA!$L$1804+M1770*Intv_BA!$L$1805+M1787*Intv_BA!$L$1806+M1804*Intv_BA!$L$1807,0)</f>
        <v>2420</v>
      </c>
      <c r="N1852" s="8">
        <f>ROUND(N1651*Intv_BA!$L$1796+N1668*Intv_BA!$L$1797+N1685*Intv_BA!$L$1798+N1702*Intv_BA!$L$1801+N1719*Intv_BA!$L$1801+N1736*Intv_BA!$L$1803+N1753*Intv_BA!$L$1804+N1770*Intv_BA!$L$1805+N1787*Intv_BA!$L$1806+N1804*Intv_BA!$L$1807,0)</f>
        <v>2420</v>
      </c>
      <c r="O1852" s="8">
        <f>ROUND(O1651*Intv_BA!$L$1796+O1668*Intv_BA!$L$1797+O1685*Intv_BA!$L$1798+O1702*Intv_BA!$L$1801+O1719*Intv_BA!$L$1801+O1736*Intv_BA!$L$1803+O1753*Intv_BA!$L$1804+O1770*Intv_BA!$L$1805+O1787*Intv_BA!$L$1806+O1804*Intv_BA!$L$1807,0)</f>
        <v>2420</v>
      </c>
    </row>
    <row r="1853" spans="3:15" s="327" customFormat="1" outlineLevel="2" x14ac:dyDescent="0.2">
      <c r="D1853" s="521" t="str">
        <f>Intv_Ann_TA!D970</f>
        <v>Muchinga</v>
      </c>
      <c r="H1853" s="521" t="str">
        <f>Intv_BA!$G$1768</f>
        <v>RADIO</v>
      </c>
      <c r="J1853" s="8">
        <f>ROUND(J1652*Intv_BA!$L$1796+J1669*Intv_BA!$L$1797+J1686*Intv_BA!$L$1798+J1703*Intv_BA!$L$1801+J1720*Intv_BA!$L$1801+J1737*Intv_BA!$L$1803+J1754*Intv_BA!$L$1804+J1771*Intv_BA!$L$1805+J1788*Intv_BA!$L$1806+J1805*Intv_BA!$L$1807,0)</f>
        <v>0</v>
      </c>
      <c r="K1853" s="8">
        <f>ROUND(K1652*Intv_BA!$L$1796+K1669*Intv_BA!$L$1797+K1686*Intv_BA!$L$1798+K1703*Intv_BA!$L$1801+K1720*Intv_BA!$L$1801+K1737*Intv_BA!$L$1803+K1754*Intv_BA!$L$1804+K1771*Intv_BA!$L$1805+K1788*Intv_BA!$L$1806+K1805*Intv_BA!$L$1807,0)</f>
        <v>0</v>
      </c>
      <c r="L1853" s="8">
        <f>ROUND(L1652*Intv_BA!$L$1796+L1669*Intv_BA!$L$1797+L1686*Intv_BA!$L$1798+L1703*Intv_BA!$L$1801+L1720*Intv_BA!$L$1801+L1737*Intv_BA!$L$1803+L1754*Intv_BA!$L$1804+L1771*Intv_BA!$L$1805+L1788*Intv_BA!$L$1806+L1805*Intv_BA!$L$1807,0)</f>
        <v>0</v>
      </c>
      <c r="M1853" s="8">
        <f>ROUND(M1652*Intv_BA!$L$1796+M1669*Intv_BA!$L$1797+M1686*Intv_BA!$L$1798+M1703*Intv_BA!$L$1801+M1720*Intv_BA!$L$1801+M1737*Intv_BA!$L$1803+M1754*Intv_BA!$L$1804+M1771*Intv_BA!$L$1805+M1788*Intv_BA!$L$1806+M1805*Intv_BA!$L$1807,0)</f>
        <v>0</v>
      </c>
      <c r="N1853" s="8">
        <f>ROUND(N1652*Intv_BA!$L$1796+N1669*Intv_BA!$L$1797+N1686*Intv_BA!$L$1798+N1703*Intv_BA!$L$1801+N1720*Intv_BA!$L$1801+N1737*Intv_BA!$L$1803+N1754*Intv_BA!$L$1804+N1771*Intv_BA!$L$1805+N1788*Intv_BA!$L$1806+N1805*Intv_BA!$L$1807,0)</f>
        <v>0</v>
      </c>
      <c r="O1853" s="8">
        <f>ROUND(O1652*Intv_BA!$L$1796+O1669*Intv_BA!$L$1797+O1686*Intv_BA!$L$1798+O1703*Intv_BA!$L$1801+O1720*Intv_BA!$L$1801+O1737*Intv_BA!$L$1803+O1754*Intv_BA!$L$1804+O1771*Intv_BA!$L$1805+O1788*Intv_BA!$L$1806+O1805*Intv_BA!$L$1807,0)</f>
        <v>0</v>
      </c>
    </row>
    <row r="1854" spans="3:15" s="327" customFormat="1" outlineLevel="2" x14ac:dyDescent="0.2">
      <c r="D1854" s="521" t="str">
        <f>Intv_Ann_TA!D971</f>
        <v>Northern</v>
      </c>
      <c r="H1854" s="521" t="str">
        <f>Intv_BA!$G$1768</f>
        <v>RADIO</v>
      </c>
      <c r="J1854" s="8">
        <f>ROUND(J1653*Intv_BA!$L$1796+J1670*Intv_BA!$L$1797+J1687*Intv_BA!$L$1798+J1704*Intv_BA!$L$1801+J1721*Intv_BA!$L$1801+J1738*Intv_BA!$L$1803+J1755*Intv_BA!$L$1804+J1772*Intv_BA!$L$1805+J1789*Intv_BA!$L$1806+J1806*Intv_BA!$L$1807,0)</f>
        <v>0</v>
      </c>
      <c r="K1854" s="8">
        <f>ROUND(K1653*Intv_BA!$L$1796+K1670*Intv_BA!$L$1797+K1687*Intv_BA!$L$1798+K1704*Intv_BA!$L$1801+K1721*Intv_BA!$L$1801+K1738*Intv_BA!$L$1803+K1755*Intv_BA!$L$1804+K1772*Intv_BA!$L$1805+K1789*Intv_BA!$L$1806+K1806*Intv_BA!$L$1807,0)</f>
        <v>0</v>
      </c>
      <c r="L1854" s="8">
        <f>ROUND(L1653*Intv_BA!$L$1796+L1670*Intv_BA!$L$1797+L1687*Intv_BA!$L$1798+L1704*Intv_BA!$L$1801+L1721*Intv_BA!$L$1801+L1738*Intv_BA!$L$1803+L1755*Intv_BA!$L$1804+L1772*Intv_BA!$L$1805+L1789*Intv_BA!$L$1806+L1806*Intv_BA!$L$1807,0)</f>
        <v>0</v>
      </c>
      <c r="M1854" s="8">
        <f>ROUND(M1653*Intv_BA!$L$1796+M1670*Intv_BA!$L$1797+M1687*Intv_BA!$L$1798+M1704*Intv_BA!$L$1801+M1721*Intv_BA!$L$1801+M1738*Intv_BA!$L$1803+M1755*Intv_BA!$L$1804+M1772*Intv_BA!$L$1805+M1789*Intv_BA!$L$1806+M1806*Intv_BA!$L$1807,0)</f>
        <v>0</v>
      </c>
      <c r="N1854" s="8">
        <f>ROUND(N1653*Intv_BA!$L$1796+N1670*Intv_BA!$L$1797+N1687*Intv_BA!$L$1798+N1704*Intv_BA!$L$1801+N1721*Intv_BA!$L$1801+N1738*Intv_BA!$L$1803+N1755*Intv_BA!$L$1804+N1772*Intv_BA!$L$1805+N1789*Intv_BA!$L$1806+N1806*Intv_BA!$L$1807,0)</f>
        <v>0</v>
      </c>
      <c r="O1854" s="8">
        <f>ROUND(O1653*Intv_BA!$L$1796+O1670*Intv_BA!$L$1797+O1687*Intv_BA!$L$1798+O1704*Intv_BA!$L$1801+O1721*Intv_BA!$L$1801+O1738*Intv_BA!$L$1803+O1755*Intv_BA!$L$1804+O1772*Intv_BA!$L$1805+O1789*Intv_BA!$L$1806+O1806*Intv_BA!$L$1807,0)</f>
        <v>0</v>
      </c>
    </row>
    <row r="1855" spans="3:15" s="327" customFormat="1" outlineLevel="2" x14ac:dyDescent="0.2">
      <c r="D1855" s="521" t="str">
        <f>Intv_Ann_TA!D972</f>
        <v>North-Western</v>
      </c>
      <c r="H1855" s="521" t="str">
        <f>Intv_BA!$G$1768</f>
        <v>RADIO</v>
      </c>
      <c r="J1855" s="8">
        <f>ROUND(J1654*Intv_BA!$L$1796+J1671*Intv_BA!$L$1797+J1688*Intv_BA!$L$1798+J1705*Intv_BA!$L$1801+J1722*Intv_BA!$L$1801+J1739*Intv_BA!$L$1803+J1756*Intv_BA!$L$1804+J1773*Intv_BA!$L$1805+J1790*Intv_BA!$L$1806+J1807*Intv_BA!$L$1807,0)</f>
        <v>0</v>
      </c>
      <c r="K1855" s="8">
        <f>ROUND(K1654*Intv_BA!$L$1796+K1671*Intv_BA!$L$1797+K1688*Intv_BA!$L$1798+K1705*Intv_BA!$L$1801+K1722*Intv_BA!$L$1801+K1739*Intv_BA!$L$1803+K1756*Intv_BA!$L$1804+K1773*Intv_BA!$L$1805+K1790*Intv_BA!$L$1806+K1807*Intv_BA!$L$1807,0)</f>
        <v>0</v>
      </c>
      <c r="L1855" s="8">
        <f>ROUND(L1654*Intv_BA!$L$1796+L1671*Intv_BA!$L$1797+L1688*Intv_BA!$L$1798+L1705*Intv_BA!$L$1801+L1722*Intv_BA!$L$1801+L1739*Intv_BA!$L$1803+L1756*Intv_BA!$L$1804+L1773*Intv_BA!$L$1805+L1790*Intv_BA!$L$1806+L1807*Intv_BA!$L$1807,0)</f>
        <v>0</v>
      </c>
      <c r="M1855" s="8">
        <f>ROUND(M1654*Intv_BA!$L$1796+M1671*Intv_BA!$L$1797+M1688*Intv_BA!$L$1798+M1705*Intv_BA!$L$1801+M1722*Intv_BA!$L$1801+M1739*Intv_BA!$L$1803+M1756*Intv_BA!$L$1804+M1773*Intv_BA!$L$1805+M1790*Intv_BA!$L$1806+M1807*Intv_BA!$L$1807,0)</f>
        <v>0</v>
      </c>
      <c r="N1855" s="8">
        <f>ROUND(N1654*Intv_BA!$L$1796+N1671*Intv_BA!$L$1797+N1688*Intv_BA!$L$1798+N1705*Intv_BA!$L$1801+N1722*Intv_BA!$L$1801+N1739*Intv_BA!$L$1803+N1756*Intv_BA!$L$1804+N1773*Intv_BA!$L$1805+N1790*Intv_BA!$L$1806+N1807*Intv_BA!$L$1807,0)</f>
        <v>0</v>
      </c>
      <c r="O1855" s="8">
        <f>ROUND(O1654*Intv_BA!$L$1796+O1671*Intv_BA!$L$1797+O1688*Intv_BA!$L$1798+O1705*Intv_BA!$L$1801+O1722*Intv_BA!$L$1801+O1739*Intv_BA!$L$1803+O1756*Intv_BA!$L$1804+O1773*Intv_BA!$L$1805+O1790*Intv_BA!$L$1806+O1807*Intv_BA!$L$1807,0)</f>
        <v>0</v>
      </c>
    </row>
    <row r="1856" spans="3:15" s="327" customFormat="1" outlineLevel="2" x14ac:dyDescent="0.2">
      <c r="D1856" s="521" t="str">
        <f>Intv_Ann_TA!D973</f>
        <v>Southern</v>
      </c>
      <c r="H1856" s="521" t="str">
        <f>Intv_BA!$G$1768</f>
        <v>RADIO</v>
      </c>
      <c r="J1856" s="8">
        <f>ROUND(J1655*Intv_BA!$L$1796+J1672*Intv_BA!$L$1797+J1689*Intv_BA!$L$1798+J1706*Intv_BA!$L$1801+J1723*Intv_BA!$L$1801+J1740*Intv_BA!$L$1803+J1757*Intv_BA!$L$1804+J1774*Intv_BA!$L$1805+J1791*Intv_BA!$L$1806+J1808*Intv_BA!$L$1807,0)</f>
        <v>0</v>
      </c>
      <c r="K1856" s="8">
        <f>ROUND(K1655*Intv_BA!$L$1796+K1672*Intv_BA!$L$1797+K1689*Intv_BA!$L$1798+K1706*Intv_BA!$L$1801+K1723*Intv_BA!$L$1801+K1740*Intv_BA!$L$1803+K1757*Intv_BA!$L$1804+K1774*Intv_BA!$L$1805+K1791*Intv_BA!$L$1806+K1808*Intv_BA!$L$1807,0)</f>
        <v>0</v>
      </c>
      <c r="L1856" s="8">
        <f>ROUND(L1655*Intv_BA!$L$1796+L1672*Intv_BA!$L$1797+L1689*Intv_BA!$L$1798+L1706*Intv_BA!$L$1801+L1723*Intv_BA!$L$1801+L1740*Intv_BA!$L$1803+L1757*Intv_BA!$L$1804+L1774*Intv_BA!$L$1805+L1791*Intv_BA!$L$1806+L1808*Intv_BA!$L$1807,0)</f>
        <v>0</v>
      </c>
      <c r="M1856" s="8">
        <f>ROUND(M1655*Intv_BA!$L$1796+M1672*Intv_BA!$L$1797+M1689*Intv_BA!$L$1798+M1706*Intv_BA!$L$1801+M1723*Intv_BA!$L$1801+M1740*Intv_BA!$L$1803+M1757*Intv_BA!$L$1804+M1774*Intv_BA!$L$1805+M1791*Intv_BA!$L$1806+M1808*Intv_BA!$L$1807,0)</f>
        <v>0</v>
      </c>
      <c r="N1856" s="8">
        <f>ROUND(N1655*Intv_BA!$L$1796+N1672*Intv_BA!$L$1797+N1689*Intv_BA!$L$1798+N1706*Intv_BA!$L$1801+N1723*Intv_BA!$L$1801+N1740*Intv_BA!$L$1803+N1757*Intv_BA!$L$1804+N1774*Intv_BA!$L$1805+N1791*Intv_BA!$L$1806+N1808*Intv_BA!$L$1807,0)</f>
        <v>2420</v>
      </c>
      <c r="O1856" s="8">
        <f>ROUND(O1655*Intv_BA!$L$1796+O1672*Intv_BA!$L$1797+O1689*Intv_BA!$L$1798+O1706*Intv_BA!$L$1801+O1723*Intv_BA!$L$1801+O1740*Intv_BA!$L$1803+O1757*Intv_BA!$L$1804+O1774*Intv_BA!$L$1805+O1791*Intv_BA!$L$1806+O1808*Intv_BA!$L$1807,0)</f>
        <v>2420</v>
      </c>
    </row>
    <row r="1857" spans="4:15" s="327" customFormat="1" outlineLevel="2" x14ac:dyDescent="0.2">
      <c r="D1857" s="521" t="str">
        <f>Intv_Ann_TA!D974</f>
        <v>Western</v>
      </c>
      <c r="H1857" s="521" t="str">
        <f>Intv_BA!$G$1768</f>
        <v>RADIO</v>
      </c>
      <c r="J1857" s="9">
        <f>ROUND(J1656*Intv_BA!$L$1796+J1673*Intv_BA!$L$1797+J1690*Intv_BA!$L$1798+J1707*Intv_BA!$L$1801+J1724*Intv_BA!$L$1801+J1741*Intv_BA!$L$1803+J1758*Intv_BA!$L$1804+J1775*Intv_BA!$L$1805+J1792*Intv_BA!$L$1806+J1809*Intv_BA!$L$1807,0)</f>
        <v>0</v>
      </c>
      <c r="K1857" s="9">
        <f>ROUND(K1656*Intv_BA!$L$1796+K1673*Intv_BA!$L$1797+K1690*Intv_BA!$L$1798+K1707*Intv_BA!$L$1801+K1724*Intv_BA!$L$1801+K1741*Intv_BA!$L$1803+K1758*Intv_BA!$L$1804+K1775*Intv_BA!$L$1805+K1792*Intv_BA!$L$1806+K1809*Intv_BA!$L$1807,0)</f>
        <v>0</v>
      </c>
      <c r="L1857" s="9">
        <f>ROUND(L1656*Intv_BA!$L$1796+L1673*Intv_BA!$L$1797+L1690*Intv_BA!$L$1798+L1707*Intv_BA!$L$1801+L1724*Intv_BA!$L$1801+L1741*Intv_BA!$L$1803+L1758*Intv_BA!$L$1804+L1775*Intv_BA!$L$1805+L1792*Intv_BA!$L$1806+L1809*Intv_BA!$L$1807,0)</f>
        <v>0</v>
      </c>
      <c r="M1857" s="9">
        <f>ROUND(M1656*Intv_BA!$L$1796+M1673*Intv_BA!$L$1797+M1690*Intv_BA!$L$1798+M1707*Intv_BA!$L$1801+M1724*Intv_BA!$L$1801+M1741*Intv_BA!$L$1803+M1758*Intv_BA!$L$1804+M1775*Intv_BA!$L$1805+M1792*Intv_BA!$L$1806+M1809*Intv_BA!$L$1807,0)</f>
        <v>0</v>
      </c>
      <c r="N1857" s="9">
        <f>ROUND(N1656*Intv_BA!$L$1796+N1673*Intv_BA!$L$1797+N1690*Intv_BA!$L$1798+N1707*Intv_BA!$L$1801+N1724*Intv_BA!$L$1801+N1741*Intv_BA!$L$1803+N1758*Intv_BA!$L$1804+N1775*Intv_BA!$L$1805+N1792*Intv_BA!$L$1806+N1809*Intv_BA!$L$1807,0)</f>
        <v>0</v>
      </c>
      <c r="O1857" s="9">
        <f>ROUND(O1656*Intv_BA!$L$1796+O1673*Intv_BA!$L$1797+O1690*Intv_BA!$L$1798+O1707*Intv_BA!$L$1801+O1724*Intv_BA!$L$1801+O1741*Intv_BA!$L$1803+O1758*Intv_BA!$L$1804+O1775*Intv_BA!$L$1805+O1792*Intv_BA!$L$1806+O1809*Intv_BA!$L$1807,0)</f>
        <v>0</v>
      </c>
    </row>
    <row r="1858" spans="4:15" s="327" customFormat="1" x14ac:dyDescent="0.2">
      <c r="D1858" s="520" t="str">
        <f>"Total "&amp;D1847</f>
        <v>Total Maximum Procedures</v>
      </c>
      <c r="H1858" s="521" t="str">
        <f>Intv_BA!$G$1768</f>
        <v>RADIO</v>
      </c>
      <c r="J1858" s="5">
        <f t="shared" ref="J1858:O1858" si="175">SUM(J1848:J1857)</f>
        <v>2420</v>
      </c>
      <c r="K1858" s="5">
        <f t="shared" si="175"/>
        <v>2420</v>
      </c>
      <c r="L1858" s="5">
        <f t="shared" si="175"/>
        <v>2420</v>
      </c>
      <c r="M1858" s="5">
        <f t="shared" si="175"/>
        <v>2420</v>
      </c>
      <c r="N1858" s="5">
        <f t="shared" si="175"/>
        <v>7260</v>
      </c>
      <c r="O1858" s="5">
        <f t="shared" si="175"/>
        <v>7260</v>
      </c>
    </row>
    <row r="1859" spans="4:15" s="327" customFormat="1" x14ac:dyDescent="0.2"/>
    <row r="1860" spans="4:15" s="327" customFormat="1" outlineLevel="2" x14ac:dyDescent="0.2"/>
    <row r="1861" spans="4:15" s="327" customFormat="1" ht="15" outlineLevel="2" x14ac:dyDescent="0.2">
      <c r="D1861" s="519" t="s">
        <v>383</v>
      </c>
    </row>
    <row r="1862" spans="4:15" s="327" customFormat="1" outlineLevel="2" x14ac:dyDescent="0.2">
      <c r="D1862" s="521" t="str">
        <f>Intv_Ann_TA!D965</f>
        <v>Central</v>
      </c>
      <c r="H1862" s="521" t="str">
        <f>Intv_BA!$G$1768</f>
        <v>RADIO</v>
      </c>
      <c r="J1862" s="8">
        <f ca="1">ROUND(Intv_Ann_TA!J965*Intv_BA!$J$1770*(1-Intv_BA!$J$1771),0)</f>
        <v>16</v>
      </c>
      <c r="K1862" s="8">
        <f ca="1">ROUND(Intv_Ann_TA!K965*Intv_BA!$J$1770*(1-Intv_BA!$J$1771),0)</f>
        <v>16</v>
      </c>
      <c r="L1862" s="8">
        <f ca="1">ROUND(Intv_Ann_TA!L965*Intv_BA!$J$1770*(1-Intv_BA!$J$1771),0)</f>
        <v>16</v>
      </c>
      <c r="M1862" s="8">
        <f ca="1">ROUND(Intv_Ann_TA!M965*Intv_BA!$J$1770*(1-Intv_BA!$J$1771),0)</f>
        <v>16</v>
      </c>
      <c r="N1862" s="8">
        <f ca="1">ROUND(Intv_Ann_TA!N965*Intv_BA!$J$1770*(1-Intv_BA!$J$1771),0)</f>
        <v>16</v>
      </c>
      <c r="O1862" s="8">
        <f ca="1">ROUND(Intv_Ann_TA!O965*Intv_BA!$J$1770*(1-Intv_BA!$J$1771),0)</f>
        <v>16</v>
      </c>
    </row>
    <row r="1863" spans="4:15" s="327" customFormat="1" outlineLevel="2" x14ac:dyDescent="0.2">
      <c r="D1863" s="521" t="str">
        <f>Intv_Ann_TA!D966</f>
        <v>Copperbelt</v>
      </c>
      <c r="H1863" s="521" t="str">
        <f>Intv_BA!$G$1768</f>
        <v>RADIO</v>
      </c>
      <c r="J1863" s="8">
        <f ca="1">ROUND(Intv_Ann_TA!J966*Intv_BA!$J$1770*(1-Intv_BA!$J$1771),0)</f>
        <v>22</v>
      </c>
      <c r="K1863" s="8">
        <f ca="1">ROUND(Intv_Ann_TA!K966*Intv_BA!$J$1770*(1-Intv_BA!$J$1771),0)</f>
        <v>22</v>
      </c>
      <c r="L1863" s="8">
        <f ca="1">ROUND(Intv_Ann_TA!L966*Intv_BA!$J$1770*(1-Intv_BA!$J$1771),0)</f>
        <v>22</v>
      </c>
      <c r="M1863" s="8">
        <f ca="1">ROUND(Intv_Ann_TA!M966*Intv_BA!$J$1770*(1-Intv_BA!$J$1771),0)</f>
        <v>22</v>
      </c>
      <c r="N1863" s="8">
        <f ca="1">ROUND(Intv_Ann_TA!N966*Intv_BA!$J$1770*(1-Intv_BA!$J$1771),0)</f>
        <v>22</v>
      </c>
      <c r="O1863" s="8">
        <f ca="1">ROUND(Intv_Ann_TA!O966*Intv_BA!$J$1770*(1-Intv_BA!$J$1771),0)</f>
        <v>22</v>
      </c>
    </row>
    <row r="1864" spans="4:15" s="327" customFormat="1" outlineLevel="2" x14ac:dyDescent="0.2">
      <c r="D1864" s="521" t="str">
        <f>Intv_Ann_TA!D967</f>
        <v>Eastern</v>
      </c>
      <c r="H1864" s="521" t="str">
        <f>Intv_BA!$G$1768</f>
        <v>RADIO</v>
      </c>
      <c r="J1864" s="8">
        <f ca="1">ROUND(Intv_Ann_TA!J967*Intv_BA!$J$1770*(1-Intv_BA!$J$1771),0)</f>
        <v>28</v>
      </c>
      <c r="K1864" s="8">
        <f ca="1">ROUND(Intv_Ann_TA!K967*Intv_BA!$J$1770*(1-Intv_BA!$J$1771),0)</f>
        <v>28</v>
      </c>
      <c r="L1864" s="8">
        <f ca="1">ROUND(Intv_Ann_TA!L967*Intv_BA!$J$1770*(1-Intv_BA!$J$1771),0)</f>
        <v>28</v>
      </c>
      <c r="M1864" s="8">
        <f ca="1">ROUND(Intv_Ann_TA!M967*Intv_BA!$J$1770*(1-Intv_BA!$J$1771),0)</f>
        <v>28</v>
      </c>
      <c r="N1864" s="8">
        <f ca="1">ROUND(Intv_Ann_TA!N967*Intv_BA!$J$1770*(1-Intv_BA!$J$1771),0)</f>
        <v>28</v>
      </c>
      <c r="O1864" s="8">
        <f ca="1">ROUND(Intv_Ann_TA!O967*Intv_BA!$J$1770*(1-Intv_BA!$J$1771),0)</f>
        <v>28</v>
      </c>
    </row>
    <row r="1865" spans="4:15" s="327" customFormat="1" outlineLevel="2" x14ac:dyDescent="0.2">
      <c r="D1865" s="521" t="str">
        <f>Intv_Ann_TA!D968</f>
        <v>Luapula</v>
      </c>
      <c r="H1865" s="521" t="str">
        <f>Intv_BA!$G$1768</f>
        <v>RADIO</v>
      </c>
      <c r="J1865" s="8">
        <f ca="1">ROUND(Intv_Ann_TA!J968*Intv_BA!$J$1770*(1-Intv_BA!$J$1771),0)</f>
        <v>22</v>
      </c>
      <c r="K1865" s="8">
        <f ca="1">ROUND(Intv_Ann_TA!K968*Intv_BA!$J$1770*(1-Intv_BA!$J$1771),0)</f>
        <v>22</v>
      </c>
      <c r="L1865" s="8">
        <f ca="1">ROUND(Intv_Ann_TA!L968*Intv_BA!$J$1770*(1-Intv_BA!$J$1771),0)</f>
        <v>22</v>
      </c>
      <c r="M1865" s="8">
        <f ca="1">ROUND(Intv_Ann_TA!M968*Intv_BA!$J$1770*(1-Intv_BA!$J$1771),0)</f>
        <v>22</v>
      </c>
      <c r="N1865" s="8">
        <f ca="1">ROUND(Intv_Ann_TA!N968*Intv_BA!$J$1770*(1-Intv_BA!$J$1771),0)</f>
        <v>22</v>
      </c>
      <c r="O1865" s="8">
        <f ca="1">ROUND(Intv_Ann_TA!O968*Intv_BA!$J$1770*(1-Intv_BA!$J$1771),0)</f>
        <v>22</v>
      </c>
    </row>
    <row r="1866" spans="4:15" s="327" customFormat="1" outlineLevel="2" x14ac:dyDescent="0.2">
      <c r="D1866" s="521" t="str">
        <f>Intv_Ann_TA!D969</f>
        <v>Lusaka</v>
      </c>
      <c r="H1866" s="521" t="str">
        <f>Intv_BA!$G$1768</f>
        <v>RADIO</v>
      </c>
      <c r="J1866" s="8">
        <f ca="1">ROUND(Intv_Ann_TA!J969*Intv_BA!$J$1770*(1-Intv_BA!$J$1771),0)</f>
        <v>78</v>
      </c>
      <c r="K1866" s="8">
        <f ca="1">ROUND(Intv_Ann_TA!K969*Intv_BA!$J$1770*(1-Intv_BA!$J$1771),0)</f>
        <v>78</v>
      </c>
      <c r="L1866" s="8">
        <f ca="1">ROUND(Intv_Ann_TA!L969*Intv_BA!$J$1770*(1-Intv_BA!$J$1771),0)</f>
        <v>78</v>
      </c>
      <c r="M1866" s="8">
        <f ca="1">ROUND(Intv_Ann_TA!M969*Intv_BA!$J$1770*(1-Intv_BA!$J$1771),0)</f>
        <v>78</v>
      </c>
      <c r="N1866" s="8">
        <f ca="1">ROUND(Intv_Ann_TA!N969*Intv_BA!$J$1770*(1-Intv_BA!$J$1771),0)</f>
        <v>78</v>
      </c>
      <c r="O1866" s="8">
        <f ca="1">ROUND(Intv_Ann_TA!O969*Intv_BA!$J$1770*(1-Intv_BA!$J$1771),0)</f>
        <v>78</v>
      </c>
    </row>
    <row r="1867" spans="4:15" s="327" customFormat="1" outlineLevel="2" x14ac:dyDescent="0.2">
      <c r="D1867" s="521" t="str">
        <f>Intv_Ann_TA!D970</f>
        <v>Muchinga</v>
      </c>
      <c r="H1867" s="521" t="str">
        <f>Intv_BA!$G$1768</f>
        <v>RADIO</v>
      </c>
      <c r="J1867" s="8">
        <f ca="1">ROUND(Intv_Ann_TA!J970*Intv_BA!$J$1770*(1-Intv_BA!$J$1771),0)</f>
        <v>1</v>
      </c>
      <c r="K1867" s="8">
        <f ca="1">ROUND(Intv_Ann_TA!K970*Intv_BA!$J$1770*(1-Intv_BA!$J$1771),0)</f>
        <v>1</v>
      </c>
      <c r="L1867" s="8">
        <f ca="1">ROUND(Intv_Ann_TA!L970*Intv_BA!$J$1770*(1-Intv_BA!$J$1771),0)</f>
        <v>1</v>
      </c>
      <c r="M1867" s="8">
        <f ca="1">ROUND(Intv_Ann_TA!M970*Intv_BA!$J$1770*(1-Intv_BA!$J$1771),0)</f>
        <v>1</v>
      </c>
      <c r="N1867" s="8">
        <f ca="1">ROUND(Intv_Ann_TA!N970*Intv_BA!$J$1770*(1-Intv_BA!$J$1771),0)</f>
        <v>1</v>
      </c>
      <c r="O1867" s="8">
        <f ca="1">ROUND(Intv_Ann_TA!O970*Intv_BA!$J$1770*(1-Intv_BA!$J$1771),0)</f>
        <v>1</v>
      </c>
    </row>
    <row r="1868" spans="4:15" s="327" customFormat="1" outlineLevel="2" x14ac:dyDescent="0.2">
      <c r="D1868" s="521" t="str">
        <f>Intv_Ann_TA!D971</f>
        <v>Northern</v>
      </c>
      <c r="H1868" s="521" t="str">
        <f>Intv_BA!$G$1768</f>
        <v>RADIO</v>
      </c>
      <c r="J1868" s="8">
        <f ca="1">ROUND(Intv_Ann_TA!J971*Intv_BA!$J$1770*(1-Intv_BA!$J$1771),0)</f>
        <v>8</v>
      </c>
      <c r="K1868" s="8">
        <f ca="1">ROUND(Intv_Ann_TA!K971*Intv_BA!$J$1770*(1-Intv_BA!$J$1771),0)</f>
        <v>8</v>
      </c>
      <c r="L1868" s="8">
        <f ca="1">ROUND(Intv_Ann_TA!L971*Intv_BA!$J$1770*(1-Intv_BA!$J$1771),0)</f>
        <v>8</v>
      </c>
      <c r="M1868" s="8">
        <f ca="1">ROUND(Intv_Ann_TA!M971*Intv_BA!$J$1770*(1-Intv_BA!$J$1771),0)</f>
        <v>8</v>
      </c>
      <c r="N1868" s="8">
        <f ca="1">ROUND(Intv_Ann_TA!N971*Intv_BA!$J$1770*(1-Intv_BA!$J$1771),0)</f>
        <v>8</v>
      </c>
      <c r="O1868" s="8">
        <f ca="1">ROUND(Intv_Ann_TA!O971*Intv_BA!$J$1770*(1-Intv_BA!$J$1771),0)</f>
        <v>8</v>
      </c>
    </row>
    <row r="1869" spans="4:15" s="327" customFormat="1" outlineLevel="2" x14ac:dyDescent="0.2">
      <c r="D1869" s="521" t="str">
        <f>Intv_Ann_TA!D972</f>
        <v>North-Western</v>
      </c>
      <c r="H1869" s="521" t="str">
        <f>Intv_BA!$G$1768</f>
        <v>RADIO</v>
      </c>
      <c r="J1869" s="8">
        <f ca="1">ROUND(Intv_Ann_TA!J972*Intv_BA!$J$1770*(1-Intv_BA!$J$1771),0)</f>
        <v>9</v>
      </c>
      <c r="K1869" s="8">
        <f ca="1">ROUND(Intv_Ann_TA!K972*Intv_BA!$J$1770*(1-Intv_BA!$J$1771),0)</f>
        <v>9</v>
      </c>
      <c r="L1869" s="8">
        <f ca="1">ROUND(Intv_Ann_TA!L972*Intv_BA!$J$1770*(1-Intv_BA!$J$1771),0)</f>
        <v>9</v>
      </c>
      <c r="M1869" s="8">
        <f ca="1">ROUND(Intv_Ann_TA!M972*Intv_BA!$J$1770*(1-Intv_BA!$J$1771),0)</f>
        <v>9</v>
      </c>
      <c r="N1869" s="8">
        <f ca="1">ROUND(Intv_Ann_TA!N972*Intv_BA!$J$1770*(1-Intv_BA!$J$1771),0)</f>
        <v>9</v>
      </c>
      <c r="O1869" s="8">
        <f ca="1">ROUND(Intv_Ann_TA!O972*Intv_BA!$J$1770*(1-Intv_BA!$J$1771),0)</f>
        <v>9</v>
      </c>
    </row>
    <row r="1870" spans="4:15" s="327" customFormat="1" outlineLevel="2" x14ac:dyDescent="0.2">
      <c r="D1870" s="521" t="str">
        <f>Intv_Ann_TA!D973</f>
        <v>Southern</v>
      </c>
      <c r="H1870" s="521" t="str">
        <f>Intv_BA!$G$1768</f>
        <v>RADIO</v>
      </c>
      <c r="J1870" s="8">
        <f ca="1">ROUND(Intv_Ann_TA!J973*Intv_BA!$J$1770*(1-Intv_BA!$J$1771),0)</f>
        <v>22</v>
      </c>
      <c r="K1870" s="8">
        <f ca="1">ROUND(Intv_Ann_TA!K973*Intv_BA!$J$1770*(1-Intv_BA!$J$1771),0)</f>
        <v>22</v>
      </c>
      <c r="L1870" s="8">
        <f ca="1">ROUND(Intv_Ann_TA!L973*Intv_BA!$J$1770*(1-Intv_BA!$J$1771),0)</f>
        <v>22</v>
      </c>
      <c r="M1870" s="8">
        <f ca="1">ROUND(Intv_Ann_TA!M973*Intv_BA!$J$1770*(1-Intv_BA!$J$1771),0)</f>
        <v>22</v>
      </c>
      <c r="N1870" s="8">
        <f ca="1">ROUND(Intv_Ann_TA!N973*Intv_BA!$J$1770*(1-Intv_BA!$J$1771),0)</f>
        <v>22</v>
      </c>
      <c r="O1870" s="8">
        <f ca="1">ROUND(Intv_Ann_TA!O973*Intv_BA!$J$1770*(1-Intv_BA!$J$1771),0)</f>
        <v>22</v>
      </c>
    </row>
    <row r="1871" spans="4:15" s="327" customFormat="1" outlineLevel="2" x14ac:dyDescent="0.2">
      <c r="D1871" s="521" t="str">
        <f>Intv_Ann_TA!D974</f>
        <v>Western</v>
      </c>
      <c r="H1871" s="521" t="str">
        <f>Intv_BA!$G$1768</f>
        <v>RADIO</v>
      </c>
      <c r="J1871" s="9">
        <f ca="1">ROUND(Intv_Ann_TA!J974*Intv_BA!$J$1770*(1-Intv_BA!$J$1771),0)</f>
        <v>22</v>
      </c>
      <c r="K1871" s="9">
        <f ca="1">ROUND(Intv_Ann_TA!K974*Intv_BA!$J$1770*(1-Intv_BA!$J$1771),0)</f>
        <v>22</v>
      </c>
      <c r="L1871" s="9">
        <f ca="1">ROUND(Intv_Ann_TA!L974*Intv_BA!$J$1770*(1-Intv_BA!$J$1771),0)</f>
        <v>22</v>
      </c>
      <c r="M1871" s="9">
        <f ca="1">ROUND(Intv_Ann_TA!M974*Intv_BA!$J$1770*(1-Intv_BA!$J$1771),0)</f>
        <v>22</v>
      </c>
      <c r="N1871" s="9">
        <f ca="1">ROUND(Intv_Ann_TA!N974*Intv_BA!$J$1770*(1-Intv_BA!$J$1771),0)</f>
        <v>22</v>
      </c>
      <c r="O1871" s="9">
        <f ca="1">ROUND(Intv_Ann_TA!O974*Intv_BA!$J$1770*(1-Intv_BA!$J$1771),0)</f>
        <v>22</v>
      </c>
    </row>
    <row r="1872" spans="4:15" s="327" customFormat="1" outlineLevel="2" x14ac:dyDescent="0.2">
      <c r="D1872" s="520" t="str">
        <f>"Total "&amp;D1861</f>
        <v>Total Population Seeking Service (New)</v>
      </c>
      <c r="H1872" s="521" t="str">
        <f>Intv_BA!$G$1768</f>
        <v>RADIO</v>
      </c>
      <c r="J1872" s="5">
        <f t="shared" ref="J1872:O1872" ca="1" si="176">SUM(J1862:J1871)</f>
        <v>228</v>
      </c>
      <c r="K1872" s="5">
        <f t="shared" ca="1" si="176"/>
        <v>228</v>
      </c>
      <c r="L1872" s="5">
        <f t="shared" ca="1" si="176"/>
        <v>228</v>
      </c>
      <c r="M1872" s="5">
        <f t="shared" ca="1" si="176"/>
        <v>228</v>
      </c>
      <c r="N1872" s="5">
        <f t="shared" ca="1" si="176"/>
        <v>228</v>
      </c>
      <c r="O1872" s="5">
        <f t="shared" ca="1" si="176"/>
        <v>228</v>
      </c>
    </row>
    <row r="1873" spans="4:15" s="327" customFormat="1" outlineLevel="2" x14ac:dyDescent="0.2"/>
    <row r="1874" spans="4:15" s="327" customFormat="1" ht="15" outlineLevel="2" x14ac:dyDescent="0.2">
      <c r="D1874" s="519" t="s">
        <v>390</v>
      </c>
      <c r="J1874" s="322"/>
      <c r="K1874" s="322"/>
      <c r="L1874" s="322"/>
      <c r="M1874" s="322"/>
      <c r="N1874" s="322"/>
      <c r="O1874" s="322"/>
    </row>
    <row r="1875" spans="4:15" s="327" customFormat="1" outlineLevel="2" x14ac:dyDescent="0.2">
      <c r="D1875" s="521" t="str">
        <f>Intv_Ann_TA!D965</f>
        <v>Central</v>
      </c>
      <c r="H1875" s="521" t="str">
        <f>Intv_BA!$G$1768</f>
        <v>RADIO</v>
      </c>
      <c r="J1875" s="8">
        <f t="shared" ref="J1875:O1884" ca="1" si="177">I1875+J1862-I1902</f>
        <v>16</v>
      </c>
      <c r="K1875" s="8">
        <f t="shared" ca="1" si="177"/>
        <v>16</v>
      </c>
      <c r="L1875" s="8">
        <f t="shared" ca="1" si="177"/>
        <v>16</v>
      </c>
      <c r="M1875" s="8">
        <f t="shared" ca="1" si="177"/>
        <v>16</v>
      </c>
      <c r="N1875" s="8">
        <f t="shared" ca="1" si="177"/>
        <v>16</v>
      </c>
      <c r="O1875" s="8">
        <f t="shared" ca="1" si="177"/>
        <v>16</v>
      </c>
    </row>
    <row r="1876" spans="4:15" s="327" customFormat="1" outlineLevel="2" x14ac:dyDescent="0.2">
      <c r="D1876" s="521" t="str">
        <f>Intv_Ann_TA!D966</f>
        <v>Copperbelt</v>
      </c>
      <c r="H1876" s="521" t="str">
        <f>Intv_BA!$G$1768</f>
        <v>RADIO</v>
      </c>
      <c r="J1876" s="8">
        <f t="shared" ca="1" si="177"/>
        <v>22</v>
      </c>
      <c r="K1876" s="8">
        <f t="shared" ca="1" si="177"/>
        <v>22</v>
      </c>
      <c r="L1876" s="8">
        <f t="shared" ca="1" si="177"/>
        <v>22</v>
      </c>
      <c r="M1876" s="8">
        <f t="shared" ca="1" si="177"/>
        <v>22</v>
      </c>
      <c r="N1876" s="8">
        <f t="shared" ca="1" si="177"/>
        <v>22</v>
      </c>
      <c r="O1876" s="8">
        <f t="shared" ca="1" si="177"/>
        <v>22</v>
      </c>
    </row>
    <row r="1877" spans="4:15" s="327" customFormat="1" outlineLevel="2" x14ac:dyDescent="0.2">
      <c r="D1877" s="521" t="str">
        <f>Intv_Ann_TA!D967</f>
        <v>Eastern</v>
      </c>
      <c r="H1877" s="521" t="str">
        <f>Intv_BA!$G$1768</f>
        <v>RADIO</v>
      </c>
      <c r="J1877" s="8">
        <f t="shared" ca="1" si="177"/>
        <v>28</v>
      </c>
      <c r="K1877" s="8">
        <f t="shared" ca="1" si="177"/>
        <v>28</v>
      </c>
      <c r="L1877" s="8">
        <f t="shared" ca="1" si="177"/>
        <v>28</v>
      </c>
      <c r="M1877" s="8">
        <f t="shared" ca="1" si="177"/>
        <v>28</v>
      </c>
      <c r="N1877" s="8">
        <f t="shared" ca="1" si="177"/>
        <v>28</v>
      </c>
      <c r="O1877" s="8">
        <f t="shared" ca="1" si="177"/>
        <v>28</v>
      </c>
    </row>
    <row r="1878" spans="4:15" s="327" customFormat="1" outlineLevel="2" x14ac:dyDescent="0.2">
      <c r="D1878" s="521" t="str">
        <f>Intv_Ann_TA!D968</f>
        <v>Luapula</v>
      </c>
      <c r="H1878" s="521" t="str">
        <f>Intv_BA!$G$1768</f>
        <v>RADIO</v>
      </c>
      <c r="J1878" s="8">
        <f t="shared" ca="1" si="177"/>
        <v>22</v>
      </c>
      <c r="K1878" s="8">
        <f t="shared" ca="1" si="177"/>
        <v>22</v>
      </c>
      <c r="L1878" s="8">
        <f t="shared" ca="1" si="177"/>
        <v>22</v>
      </c>
      <c r="M1878" s="8">
        <f t="shared" ca="1" si="177"/>
        <v>22</v>
      </c>
      <c r="N1878" s="8">
        <f t="shared" ca="1" si="177"/>
        <v>22</v>
      </c>
      <c r="O1878" s="8">
        <f t="shared" ca="1" si="177"/>
        <v>22</v>
      </c>
    </row>
    <row r="1879" spans="4:15" s="327" customFormat="1" outlineLevel="2" x14ac:dyDescent="0.2">
      <c r="D1879" s="521" t="str">
        <f>Intv_Ann_TA!D969</f>
        <v>Lusaka</v>
      </c>
      <c r="H1879" s="521" t="str">
        <f>Intv_BA!$G$1768</f>
        <v>RADIO</v>
      </c>
      <c r="J1879" s="8">
        <f t="shared" ca="1" si="177"/>
        <v>78</v>
      </c>
      <c r="K1879" s="8">
        <f t="shared" ca="1" si="177"/>
        <v>78</v>
      </c>
      <c r="L1879" s="8">
        <f t="shared" ca="1" si="177"/>
        <v>78</v>
      </c>
      <c r="M1879" s="8">
        <f t="shared" ca="1" si="177"/>
        <v>78</v>
      </c>
      <c r="N1879" s="8">
        <f t="shared" ca="1" si="177"/>
        <v>78</v>
      </c>
      <c r="O1879" s="8">
        <f t="shared" ca="1" si="177"/>
        <v>78</v>
      </c>
    </row>
    <row r="1880" spans="4:15" s="327" customFormat="1" outlineLevel="2" x14ac:dyDescent="0.2">
      <c r="D1880" s="521" t="str">
        <f>Intv_Ann_TA!D970</f>
        <v>Muchinga</v>
      </c>
      <c r="H1880" s="521" t="str">
        <f>Intv_BA!$G$1768</f>
        <v>RADIO</v>
      </c>
      <c r="J1880" s="8">
        <f t="shared" ca="1" si="177"/>
        <v>1</v>
      </c>
      <c r="K1880" s="8">
        <f t="shared" ca="1" si="177"/>
        <v>1</v>
      </c>
      <c r="L1880" s="8">
        <f t="shared" ca="1" si="177"/>
        <v>1</v>
      </c>
      <c r="M1880" s="8">
        <f t="shared" ca="1" si="177"/>
        <v>1</v>
      </c>
      <c r="N1880" s="8">
        <f t="shared" ca="1" si="177"/>
        <v>1</v>
      </c>
      <c r="O1880" s="8">
        <f t="shared" ca="1" si="177"/>
        <v>1</v>
      </c>
    </row>
    <row r="1881" spans="4:15" s="327" customFormat="1" outlineLevel="2" x14ac:dyDescent="0.2">
      <c r="D1881" s="521" t="str">
        <f>Intv_Ann_TA!D971</f>
        <v>Northern</v>
      </c>
      <c r="H1881" s="521" t="str">
        <f>Intv_BA!$G$1768</f>
        <v>RADIO</v>
      </c>
      <c r="J1881" s="8">
        <f t="shared" ca="1" si="177"/>
        <v>8</v>
      </c>
      <c r="K1881" s="8">
        <f t="shared" ca="1" si="177"/>
        <v>8</v>
      </c>
      <c r="L1881" s="8">
        <f t="shared" ca="1" si="177"/>
        <v>8</v>
      </c>
      <c r="M1881" s="8">
        <f t="shared" ca="1" si="177"/>
        <v>8</v>
      </c>
      <c r="N1881" s="8">
        <f t="shared" ca="1" si="177"/>
        <v>8</v>
      </c>
      <c r="O1881" s="8">
        <f t="shared" ca="1" si="177"/>
        <v>8</v>
      </c>
    </row>
    <row r="1882" spans="4:15" s="327" customFormat="1" outlineLevel="2" x14ac:dyDescent="0.2">
      <c r="D1882" s="521" t="str">
        <f>Intv_Ann_TA!D972</f>
        <v>North-Western</v>
      </c>
      <c r="H1882" s="521" t="str">
        <f>Intv_BA!$G$1768</f>
        <v>RADIO</v>
      </c>
      <c r="J1882" s="8">
        <f t="shared" ca="1" si="177"/>
        <v>9</v>
      </c>
      <c r="K1882" s="8">
        <f t="shared" ca="1" si="177"/>
        <v>9</v>
      </c>
      <c r="L1882" s="8">
        <f t="shared" ca="1" si="177"/>
        <v>9</v>
      </c>
      <c r="M1882" s="8">
        <f t="shared" ca="1" si="177"/>
        <v>9</v>
      </c>
      <c r="N1882" s="8">
        <f t="shared" ca="1" si="177"/>
        <v>9</v>
      </c>
      <c r="O1882" s="8">
        <f t="shared" ca="1" si="177"/>
        <v>9</v>
      </c>
    </row>
    <row r="1883" spans="4:15" s="327" customFormat="1" outlineLevel="2" x14ac:dyDescent="0.2">
      <c r="D1883" s="521" t="str">
        <f>Intv_Ann_TA!D973</f>
        <v>Southern</v>
      </c>
      <c r="H1883" s="521" t="str">
        <f>Intv_BA!$G$1768</f>
        <v>RADIO</v>
      </c>
      <c r="J1883" s="8">
        <f t="shared" ca="1" si="177"/>
        <v>22</v>
      </c>
      <c r="K1883" s="8">
        <f t="shared" ca="1" si="177"/>
        <v>22</v>
      </c>
      <c r="L1883" s="8">
        <f t="shared" ca="1" si="177"/>
        <v>22</v>
      </c>
      <c r="M1883" s="8">
        <f t="shared" ca="1" si="177"/>
        <v>22</v>
      </c>
      <c r="N1883" s="8">
        <f t="shared" ca="1" si="177"/>
        <v>22</v>
      </c>
      <c r="O1883" s="8">
        <f t="shared" ca="1" si="177"/>
        <v>22</v>
      </c>
    </row>
    <row r="1884" spans="4:15" s="327" customFormat="1" outlineLevel="2" x14ac:dyDescent="0.2">
      <c r="D1884" s="521" t="str">
        <f>Intv_Ann_TA!D974</f>
        <v>Western</v>
      </c>
      <c r="H1884" s="521" t="str">
        <f>Intv_BA!$G$1768</f>
        <v>RADIO</v>
      </c>
      <c r="J1884" s="9">
        <f t="shared" ca="1" si="177"/>
        <v>22</v>
      </c>
      <c r="K1884" s="9">
        <f t="shared" ca="1" si="177"/>
        <v>22</v>
      </c>
      <c r="L1884" s="9">
        <f t="shared" ca="1" si="177"/>
        <v>22</v>
      </c>
      <c r="M1884" s="9">
        <f t="shared" ca="1" si="177"/>
        <v>22</v>
      </c>
      <c r="N1884" s="9">
        <f t="shared" ca="1" si="177"/>
        <v>22</v>
      </c>
      <c r="O1884" s="9">
        <f t="shared" ca="1" si="177"/>
        <v>22</v>
      </c>
    </row>
    <row r="1885" spans="4:15" s="327" customFormat="1" x14ac:dyDescent="0.2">
      <c r="D1885" s="520" t="str">
        <f>"Total "&amp;D1874</f>
        <v>Total Population Seeking Service (Cumulative)</v>
      </c>
      <c r="H1885" s="521" t="str">
        <f>Intv_BA!$G$1768</f>
        <v>RADIO</v>
      </c>
      <c r="J1885" s="5">
        <f t="shared" ref="J1885:O1885" ca="1" si="178">SUM(J1875:J1884)</f>
        <v>228</v>
      </c>
      <c r="K1885" s="5">
        <f t="shared" ca="1" si="178"/>
        <v>228</v>
      </c>
      <c r="L1885" s="5">
        <f t="shared" ca="1" si="178"/>
        <v>228</v>
      </c>
      <c r="M1885" s="5">
        <f t="shared" ca="1" si="178"/>
        <v>228</v>
      </c>
      <c r="N1885" s="5">
        <f t="shared" ca="1" si="178"/>
        <v>228</v>
      </c>
      <c r="O1885" s="5">
        <f t="shared" ca="1" si="178"/>
        <v>228</v>
      </c>
    </row>
    <row r="1886" spans="4:15" s="327" customFormat="1" x14ac:dyDescent="0.2"/>
    <row r="1887" spans="4:15" s="327" customFormat="1" outlineLevel="2" x14ac:dyDescent="0.2"/>
    <row r="1888" spans="4:15" s="327" customFormat="1" ht="15" outlineLevel="2" x14ac:dyDescent="0.2">
      <c r="D1888" s="519" t="s">
        <v>185</v>
      </c>
    </row>
    <row r="1889" spans="4:15" s="327" customFormat="1" outlineLevel="2" x14ac:dyDescent="0.2">
      <c r="D1889" s="521" t="str">
        <f t="shared" ref="D1889:D1898" si="179">D1848</f>
        <v>Central</v>
      </c>
      <c r="H1889" s="521" t="str">
        <f>Intv_BA!$G$1768</f>
        <v>RADIO</v>
      </c>
      <c r="J1889" s="8">
        <f t="shared" ref="J1889:O1898" ca="1" si="180">MAX(J1848-J1875,0)</f>
        <v>0</v>
      </c>
      <c r="K1889" s="8">
        <f t="shared" ca="1" si="180"/>
        <v>0</v>
      </c>
      <c r="L1889" s="8">
        <f t="shared" ca="1" si="180"/>
        <v>0</v>
      </c>
      <c r="M1889" s="8">
        <f t="shared" ca="1" si="180"/>
        <v>0</v>
      </c>
      <c r="N1889" s="8">
        <f t="shared" ca="1" si="180"/>
        <v>0</v>
      </c>
      <c r="O1889" s="8">
        <f t="shared" ca="1" si="180"/>
        <v>0</v>
      </c>
    </row>
    <row r="1890" spans="4:15" s="327" customFormat="1" outlineLevel="2" x14ac:dyDescent="0.2">
      <c r="D1890" s="521" t="str">
        <f t="shared" si="179"/>
        <v>Copperbelt</v>
      </c>
      <c r="H1890" s="521" t="str">
        <f>Intv_BA!$G$1768</f>
        <v>RADIO</v>
      </c>
      <c r="J1890" s="8">
        <f t="shared" ca="1" si="180"/>
        <v>0</v>
      </c>
      <c r="K1890" s="8">
        <f t="shared" ca="1" si="180"/>
        <v>0</v>
      </c>
      <c r="L1890" s="8">
        <f t="shared" ca="1" si="180"/>
        <v>0</v>
      </c>
      <c r="M1890" s="8">
        <f t="shared" ca="1" si="180"/>
        <v>0</v>
      </c>
      <c r="N1890" s="8">
        <f t="shared" ca="1" si="180"/>
        <v>2398</v>
      </c>
      <c r="O1890" s="8">
        <f t="shared" ca="1" si="180"/>
        <v>2398</v>
      </c>
    </row>
    <row r="1891" spans="4:15" s="327" customFormat="1" outlineLevel="2" x14ac:dyDescent="0.2">
      <c r="D1891" s="521" t="str">
        <f t="shared" si="179"/>
        <v>Eastern</v>
      </c>
      <c r="H1891" s="521" t="str">
        <f>Intv_BA!$G$1768</f>
        <v>RADIO</v>
      </c>
      <c r="J1891" s="8">
        <f t="shared" ca="1" si="180"/>
        <v>0</v>
      </c>
      <c r="K1891" s="8">
        <f t="shared" ca="1" si="180"/>
        <v>0</v>
      </c>
      <c r="L1891" s="8">
        <f t="shared" ca="1" si="180"/>
        <v>0</v>
      </c>
      <c r="M1891" s="8">
        <f t="shared" ca="1" si="180"/>
        <v>0</v>
      </c>
      <c r="N1891" s="8">
        <f t="shared" ca="1" si="180"/>
        <v>0</v>
      </c>
      <c r="O1891" s="8">
        <f t="shared" ca="1" si="180"/>
        <v>0</v>
      </c>
    </row>
    <row r="1892" spans="4:15" s="327" customFormat="1" outlineLevel="2" x14ac:dyDescent="0.2">
      <c r="D1892" s="521" t="str">
        <f t="shared" si="179"/>
        <v>Luapula</v>
      </c>
      <c r="H1892" s="521" t="str">
        <f>Intv_BA!$G$1768</f>
        <v>RADIO</v>
      </c>
      <c r="J1892" s="8">
        <f t="shared" ca="1" si="180"/>
        <v>0</v>
      </c>
      <c r="K1892" s="8">
        <f t="shared" ca="1" si="180"/>
        <v>0</v>
      </c>
      <c r="L1892" s="8">
        <f t="shared" ca="1" si="180"/>
        <v>0</v>
      </c>
      <c r="M1892" s="8">
        <f t="shared" ca="1" si="180"/>
        <v>0</v>
      </c>
      <c r="N1892" s="8">
        <f t="shared" ca="1" si="180"/>
        <v>0</v>
      </c>
      <c r="O1892" s="8">
        <f t="shared" ca="1" si="180"/>
        <v>0</v>
      </c>
    </row>
    <row r="1893" spans="4:15" s="327" customFormat="1" outlineLevel="2" x14ac:dyDescent="0.2">
      <c r="D1893" s="521" t="str">
        <f t="shared" si="179"/>
        <v>Lusaka</v>
      </c>
      <c r="H1893" s="521" t="str">
        <f>Intv_BA!$G$1768</f>
        <v>RADIO</v>
      </c>
      <c r="J1893" s="8">
        <f t="shared" ca="1" si="180"/>
        <v>2342</v>
      </c>
      <c r="K1893" s="8">
        <f t="shared" ca="1" si="180"/>
        <v>2342</v>
      </c>
      <c r="L1893" s="8">
        <f t="shared" ca="1" si="180"/>
        <v>2342</v>
      </c>
      <c r="M1893" s="8">
        <f t="shared" ca="1" si="180"/>
        <v>2342</v>
      </c>
      <c r="N1893" s="8">
        <f t="shared" ca="1" si="180"/>
        <v>2342</v>
      </c>
      <c r="O1893" s="8">
        <f t="shared" ca="1" si="180"/>
        <v>2342</v>
      </c>
    </row>
    <row r="1894" spans="4:15" s="327" customFormat="1" outlineLevel="2" x14ac:dyDescent="0.2">
      <c r="D1894" s="521" t="str">
        <f t="shared" si="179"/>
        <v>Muchinga</v>
      </c>
      <c r="H1894" s="521" t="str">
        <f>Intv_BA!$G$1768</f>
        <v>RADIO</v>
      </c>
      <c r="J1894" s="8">
        <f t="shared" ca="1" si="180"/>
        <v>0</v>
      </c>
      <c r="K1894" s="8">
        <f t="shared" ca="1" si="180"/>
        <v>0</v>
      </c>
      <c r="L1894" s="8">
        <f t="shared" ca="1" si="180"/>
        <v>0</v>
      </c>
      <c r="M1894" s="8">
        <f t="shared" ca="1" si="180"/>
        <v>0</v>
      </c>
      <c r="N1894" s="8">
        <f t="shared" ca="1" si="180"/>
        <v>0</v>
      </c>
      <c r="O1894" s="8">
        <f t="shared" ca="1" si="180"/>
        <v>0</v>
      </c>
    </row>
    <row r="1895" spans="4:15" s="327" customFormat="1" outlineLevel="2" x14ac:dyDescent="0.2">
      <c r="D1895" s="521" t="str">
        <f t="shared" si="179"/>
        <v>Northern</v>
      </c>
      <c r="H1895" s="521" t="str">
        <f>Intv_BA!$G$1768</f>
        <v>RADIO</v>
      </c>
      <c r="J1895" s="8">
        <f t="shared" ca="1" si="180"/>
        <v>0</v>
      </c>
      <c r="K1895" s="8">
        <f t="shared" ca="1" si="180"/>
        <v>0</v>
      </c>
      <c r="L1895" s="8">
        <f t="shared" ca="1" si="180"/>
        <v>0</v>
      </c>
      <c r="M1895" s="8">
        <f t="shared" ca="1" si="180"/>
        <v>0</v>
      </c>
      <c r="N1895" s="8">
        <f t="shared" ca="1" si="180"/>
        <v>0</v>
      </c>
      <c r="O1895" s="8">
        <f t="shared" ca="1" si="180"/>
        <v>0</v>
      </c>
    </row>
    <row r="1896" spans="4:15" s="327" customFormat="1" outlineLevel="2" x14ac:dyDescent="0.2">
      <c r="D1896" s="521" t="str">
        <f t="shared" si="179"/>
        <v>North-Western</v>
      </c>
      <c r="H1896" s="521" t="str">
        <f>Intv_BA!$G$1768</f>
        <v>RADIO</v>
      </c>
      <c r="J1896" s="8">
        <f t="shared" ca="1" si="180"/>
        <v>0</v>
      </c>
      <c r="K1896" s="8">
        <f t="shared" ca="1" si="180"/>
        <v>0</v>
      </c>
      <c r="L1896" s="8">
        <f t="shared" ca="1" si="180"/>
        <v>0</v>
      </c>
      <c r="M1896" s="8">
        <f t="shared" ca="1" si="180"/>
        <v>0</v>
      </c>
      <c r="N1896" s="8">
        <f t="shared" ca="1" si="180"/>
        <v>0</v>
      </c>
      <c r="O1896" s="8">
        <f t="shared" ca="1" si="180"/>
        <v>0</v>
      </c>
    </row>
    <row r="1897" spans="4:15" s="327" customFormat="1" outlineLevel="2" x14ac:dyDescent="0.2">
      <c r="D1897" s="521" t="str">
        <f t="shared" si="179"/>
        <v>Southern</v>
      </c>
      <c r="H1897" s="521" t="str">
        <f>Intv_BA!$G$1768</f>
        <v>RADIO</v>
      </c>
      <c r="J1897" s="8">
        <f t="shared" ca="1" si="180"/>
        <v>0</v>
      </c>
      <c r="K1897" s="8">
        <f t="shared" ca="1" si="180"/>
        <v>0</v>
      </c>
      <c r="L1897" s="8">
        <f t="shared" ca="1" si="180"/>
        <v>0</v>
      </c>
      <c r="M1897" s="8">
        <f t="shared" ca="1" si="180"/>
        <v>0</v>
      </c>
      <c r="N1897" s="8">
        <f t="shared" ca="1" si="180"/>
        <v>2398</v>
      </c>
      <c r="O1897" s="8">
        <f t="shared" ca="1" si="180"/>
        <v>2398</v>
      </c>
    </row>
    <row r="1898" spans="4:15" s="327" customFormat="1" outlineLevel="2" x14ac:dyDescent="0.2">
      <c r="D1898" s="521" t="str">
        <f t="shared" si="179"/>
        <v>Western</v>
      </c>
      <c r="H1898" s="521" t="str">
        <f>Intv_BA!$G$1768</f>
        <v>RADIO</v>
      </c>
      <c r="J1898" s="9">
        <f t="shared" ca="1" si="180"/>
        <v>0</v>
      </c>
      <c r="K1898" s="9">
        <f t="shared" ca="1" si="180"/>
        <v>0</v>
      </c>
      <c r="L1898" s="9">
        <f t="shared" ca="1" si="180"/>
        <v>0</v>
      </c>
      <c r="M1898" s="9">
        <f t="shared" ca="1" si="180"/>
        <v>0</v>
      </c>
      <c r="N1898" s="9">
        <f t="shared" ca="1" si="180"/>
        <v>0</v>
      </c>
      <c r="O1898" s="9">
        <f t="shared" ca="1" si="180"/>
        <v>0</v>
      </c>
    </row>
    <row r="1899" spans="4:15" s="327" customFormat="1" outlineLevel="2" x14ac:dyDescent="0.2">
      <c r="D1899" s="520" t="str">
        <f>"Total "&amp;D1888</f>
        <v>Total Excess Capacity</v>
      </c>
      <c r="H1899" s="521" t="str">
        <f>Intv_BA!$G$1768</f>
        <v>RADIO</v>
      </c>
      <c r="J1899" s="5">
        <f t="shared" ref="J1899:O1899" ca="1" si="181">SUM(J1889:J1898)</f>
        <v>2342</v>
      </c>
      <c r="K1899" s="5">
        <f t="shared" ca="1" si="181"/>
        <v>2342</v>
      </c>
      <c r="L1899" s="5">
        <f t="shared" ca="1" si="181"/>
        <v>2342</v>
      </c>
      <c r="M1899" s="5">
        <f t="shared" ca="1" si="181"/>
        <v>2342</v>
      </c>
      <c r="N1899" s="5">
        <f t="shared" ca="1" si="181"/>
        <v>7138</v>
      </c>
      <c r="O1899" s="5">
        <f t="shared" ca="1" si="181"/>
        <v>7138</v>
      </c>
    </row>
    <row r="1900" spans="4:15" s="327" customFormat="1" outlineLevel="2" x14ac:dyDescent="0.2"/>
    <row r="1901" spans="4:15" s="327" customFormat="1" ht="15" outlineLevel="2" x14ac:dyDescent="0.2">
      <c r="D1901" s="519" t="s">
        <v>384</v>
      </c>
    </row>
    <row r="1902" spans="4:15" s="327" customFormat="1" outlineLevel="2" x14ac:dyDescent="0.2">
      <c r="D1902" s="521" t="str">
        <f t="shared" ref="D1902:D1911" si="182">D1848</f>
        <v>Central</v>
      </c>
      <c r="H1902" s="521" t="str">
        <f>Intv_BA!$G$1768</f>
        <v>RADIO</v>
      </c>
      <c r="J1902" s="8">
        <f ca="1">ROUND(IF(Intv_Ann_TA!$H$962,IF(J1875&lt;=J1848,J1875,J1875-MAX((J$1885-J$1858),0)*IFERROR((J1875-J1848)/SUMPRODUCT((J$1875:J$1884&gt;J$1848:J$1857)*(J$1875:J$1884-J$1848:J$1857)),0)),J1915),0)</f>
        <v>16</v>
      </c>
      <c r="K1902" s="8">
        <f ca="1">ROUND(IF(Intv_Ann_TA!$H$962,IF(K1875&lt;=K1848,K1875,K1875-MAX((K$1885-K$1858),0)*IFERROR((K1875-K1848)/SUMPRODUCT((K$1875:K$1884&gt;K$1848:K$1857)*(K$1875:K$1884-K$1848:K$1857)),0)),K1915),0)</f>
        <v>16</v>
      </c>
      <c r="L1902" s="8">
        <f ca="1">ROUND(IF(Intv_Ann_TA!$H$962,IF(L1875&lt;=L1848,L1875,L1875-MAX((L$1885-L$1858),0)*IFERROR((L1875-L1848)/SUMPRODUCT((L$1875:L$1884&gt;L$1848:L$1857)*(L$1875:L$1884-L$1848:L$1857)),0)),L1915),0)</f>
        <v>16</v>
      </c>
      <c r="M1902" s="8">
        <f ca="1">ROUND(IF(Intv_Ann_TA!$H$962,IF(M1875&lt;=M1848,M1875,M1875-MAX((M$1885-M$1858),0)*IFERROR((M1875-M1848)/SUMPRODUCT((M$1875:M$1884&gt;M$1848:M$1857)*(M$1875:M$1884-M$1848:M$1857)),0)),M1915),0)</f>
        <v>16</v>
      </c>
      <c r="N1902" s="8">
        <f ca="1">ROUND(IF(Intv_Ann_TA!$H$962,IF(N1875&lt;=N1848,N1875,N1875-MAX((N$1885-N$1858),0)*IFERROR((N1875-N1848)/SUMPRODUCT((N$1875:N$1884&gt;N$1848:N$1857)*(N$1875:N$1884-N$1848:N$1857)),0)),N1915),0)</f>
        <v>16</v>
      </c>
      <c r="O1902" s="8">
        <f ca="1">ROUND(IF(Intv_Ann_TA!$H$962,IF(O1875&lt;=O1848,O1875,O1875-MAX((O$1885-O$1858),0)*IFERROR((O1875-O1848)/SUMPRODUCT((O$1875:O$1884&gt;O$1848:O$1857)*(O$1875:O$1884-O$1848:O$1857)),0)),O1915),0)</f>
        <v>16</v>
      </c>
    </row>
    <row r="1903" spans="4:15" s="327" customFormat="1" outlineLevel="2" x14ac:dyDescent="0.2">
      <c r="D1903" s="521" t="str">
        <f t="shared" si="182"/>
        <v>Copperbelt</v>
      </c>
      <c r="H1903" s="521" t="str">
        <f>Intv_BA!$G$1768</f>
        <v>RADIO</v>
      </c>
      <c r="J1903" s="8">
        <f ca="1">ROUND(IF(Intv_Ann_TA!$H$962,IF(J1876&lt;=J1849,J1876,J1876-MAX((J$1885-J$1858),0)*IFERROR((J1876-J1849)/SUMPRODUCT((J$1875:J$1884&gt;J$1848:J$1857)*(J$1875:J$1884-J$1848:J$1857)),0)),J1916),0)</f>
        <v>22</v>
      </c>
      <c r="K1903" s="8">
        <f ca="1">ROUND(IF(Intv_Ann_TA!$H$962,IF(K1876&lt;=K1849,K1876,K1876-MAX((K$1885-K$1858),0)*IFERROR((K1876-K1849)/SUMPRODUCT((K$1875:K$1884&gt;K$1848:K$1857)*(K$1875:K$1884-K$1848:K$1857)),0)),K1916),0)</f>
        <v>22</v>
      </c>
      <c r="L1903" s="8">
        <f ca="1">ROUND(IF(Intv_Ann_TA!$H$962,IF(L1876&lt;=L1849,L1876,L1876-MAX((L$1885-L$1858),0)*IFERROR((L1876-L1849)/SUMPRODUCT((L$1875:L$1884&gt;L$1848:L$1857)*(L$1875:L$1884-L$1848:L$1857)),0)),L1916),0)</f>
        <v>22</v>
      </c>
      <c r="M1903" s="8">
        <f ca="1">ROUND(IF(Intv_Ann_TA!$H$962,IF(M1876&lt;=M1849,M1876,M1876-MAX((M$1885-M$1858),0)*IFERROR((M1876-M1849)/SUMPRODUCT((M$1875:M$1884&gt;M$1848:M$1857)*(M$1875:M$1884-M$1848:M$1857)),0)),M1916),0)</f>
        <v>22</v>
      </c>
      <c r="N1903" s="8">
        <f ca="1">ROUND(IF(Intv_Ann_TA!$H$962,IF(N1876&lt;=N1849,N1876,N1876-MAX((N$1885-N$1858),0)*IFERROR((N1876-N1849)/SUMPRODUCT((N$1875:N$1884&gt;N$1848:N$1857)*(N$1875:N$1884-N$1848:N$1857)),0)),N1916),0)</f>
        <v>22</v>
      </c>
      <c r="O1903" s="8">
        <f ca="1">ROUND(IF(Intv_Ann_TA!$H$962,IF(O1876&lt;=O1849,O1876,O1876-MAX((O$1885-O$1858),0)*IFERROR((O1876-O1849)/SUMPRODUCT((O$1875:O$1884&gt;O$1848:O$1857)*(O$1875:O$1884-O$1848:O$1857)),0)),O1916),0)</f>
        <v>22</v>
      </c>
    </row>
    <row r="1904" spans="4:15" s="327" customFormat="1" outlineLevel="2" x14ac:dyDescent="0.2">
      <c r="D1904" s="521" t="str">
        <f t="shared" si="182"/>
        <v>Eastern</v>
      </c>
      <c r="H1904" s="521" t="str">
        <f>Intv_BA!$G$1768</f>
        <v>RADIO</v>
      </c>
      <c r="J1904" s="8">
        <f ca="1">ROUND(IF(Intv_Ann_TA!$H$962,IF(J1877&lt;=J1850,J1877,J1877-MAX((J$1885-J$1858),0)*IFERROR((J1877-J1850)/SUMPRODUCT((J$1875:J$1884&gt;J$1848:J$1857)*(J$1875:J$1884-J$1848:J$1857)),0)),J1917),0)</f>
        <v>28</v>
      </c>
      <c r="K1904" s="8">
        <f ca="1">ROUND(IF(Intv_Ann_TA!$H$962,IF(K1877&lt;=K1850,K1877,K1877-MAX((K$1885-K$1858),0)*IFERROR((K1877-K1850)/SUMPRODUCT((K$1875:K$1884&gt;K$1848:K$1857)*(K$1875:K$1884-K$1848:K$1857)),0)),K1917),0)</f>
        <v>28</v>
      </c>
      <c r="L1904" s="8">
        <f ca="1">ROUND(IF(Intv_Ann_TA!$H$962,IF(L1877&lt;=L1850,L1877,L1877-MAX((L$1885-L$1858),0)*IFERROR((L1877-L1850)/SUMPRODUCT((L$1875:L$1884&gt;L$1848:L$1857)*(L$1875:L$1884-L$1848:L$1857)),0)),L1917),0)</f>
        <v>28</v>
      </c>
      <c r="M1904" s="8">
        <f ca="1">ROUND(IF(Intv_Ann_TA!$H$962,IF(M1877&lt;=M1850,M1877,M1877-MAX((M$1885-M$1858),0)*IFERROR((M1877-M1850)/SUMPRODUCT((M$1875:M$1884&gt;M$1848:M$1857)*(M$1875:M$1884-M$1848:M$1857)),0)),M1917),0)</f>
        <v>28</v>
      </c>
      <c r="N1904" s="8">
        <f ca="1">ROUND(IF(Intv_Ann_TA!$H$962,IF(N1877&lt;=N1850,N1877,N1877-MAX((N$1885-N$1858),0)*IFERROR((N1877-N1850)/SUMPRODUCT((N$1875:N$1884&gt;N$1848:N$1857)*(N$1875:N$1884-N$1848:N$1857)),0)),N1917),0)</f>
        <v>28</v>
      </c>
      <c r="O1904" s="8">
        <f ca="1">ROUND(IF(Intv_Ann_TA!$H$962,IF(O1877&lt;=O1850,O1877,O1877-MAX((O$1885-O$1858),0)*IFERROR((O1877-O1850)/SUMPRODUCT((O$1875:O$1884&gt;O$1848:O$1857)*(O$1875:O$1884-O$1848:O$1857)),0)),O1917),0)</f>
        <v>28</v>
      </c>
    </row>
    <row r="1905" spans="4:15" s="327" customFormat="1" outlineLevel="2" x14ac:dyDescent="0.2">
      <c r="D1905" s="521" t="str">
        <f t="shared" si="182"/>
        <v>Luapula</v>
      </c>
      <c r="H1905" s="521" t="str">
        <f>Intv_BA!$G$1768</f>
        <v>RADIO</v>
      </c>
      <c r="J1905" s="8">
        <f ca="1">ROUND(IF(Intv_Ann_TA!$H$962,IF(J1878&lt;=J1851,J1878,J1878-MAX((J$1885-J$1858),0)*IFERROR((J1878-J1851)/SUMPRODUCT((J$1875:J$1884&gt;J$1848:J$1857)*(J$1875:J$1884-J$1848:J$1857)),0)),J1918),0)</f>
        <v>22</v>
      </c>
      <c r="K1905" s="8">
        <f ca="1">ROUND(IF(Intv_Ann_TA!$H$962,IF(K1878&lt;=K1851,K1878,K1878-MAX((K$1885-K$1858),0)*IFERROR((K1878-K1851)/SUMPRODUCT((K$1875:K$1884&gt;K$1848:K$1857)*(K$1875:K$1884-K$1848:K$1857)),0)),K1918),0)</f>
        <v>22</v>
      </c>
      <c r="L1905" s="8">
        <f ca="1">ROUND(IF(Intv_Ann_TA!$H$962,IF(L1878&lt;=L1851,L1878,L1878-MAX((L$1885-L$1858),0)*IFERROR((L1878-L1851)/SUMPRODUCT((L$1875:L$1884&gt;L$1848:L$1857)*(L$1875:L$1884-L$1848:L$1857)),0)),L1918),0)</f>
        <v>22</v>
      </c>
      <c r="M1905" s="8">
        <f ca="1">ROUND(IF(Intv_Ann_TA!$H$962,IF(M1878&lt;=M1851,M1878,M1878-MAX((M$1885-M$1858),0)*IFERROR((M1878-M1851)/SUMPRODUCT((M$1875:M$1884&gt;M$1848:M$1857)*(M$1875:M$1884-M$1848:M$1857)),0)),M1918),0)</f>
        <v>22</v>
      </c>
      <c r="N1905" s="8">
        <f ca="1">ROUND(IF(Intv_Ann_TA!$H$962,IF(N1878&lt;=N1851,N1878,N1878-MAX((N$1885-N$1858),0)*IFERROR((N1878-N1851)/SUMPRODUCT((N$1875:N$1884&gt;N$1848:N$1857)*(N$1875:N$1884-N$1848:N$1857)),0)),N1918),0)</f>
        <v>22</v>
      </c>
      <c r="O1905" s="8">
        <f ca="1">ROUND(IF(Intv_Ann_TA!$H$962,IF(O1878&lt;=O1851,O1878,O1878-MAX((O$1885-O$1858),0)*IFERROR((O1878-O1851)/SUMPRODUCT((O$1875:O$1884&gt;O$1848:O$1857)*(O$1875:O$1884-O$1848:O$1857)),0)),O1918),0)</f>
        <v>22</v>
      </c>
    </row>
    <row r="1906" spans="4:15" s="327" customFormat="1" outlineLevel="2" x14ac:dyDescent="0.2">
      <c r="D1906" s="521" t="str">
        <f t="shared" si="182"/>
        <v>Lusaka</v>
      </c>
      <c r="H1906" s="521" t="str">
        <f>Intv_BA!$G$1768</f>
        <v>RADIO</v>
      </c>
      <c r="J1906" s="8">
        <f ca="1">ROUND(IF(Intv_Ann_TA!$H$962,IF(J1879&lt;=J1852,J1879,J1879-MAX((J$1885-J$1858),0)*IFERROR((J1879-J1852)/SUMPRODUCT((J$1875:J$1884&gt;J$1848:J$1857)*(J$1875:J$1884-J$1848:J$1857)),0)),J1919),0)</f>
        <v>78</v>
      </c>
      <c r="K1906" s="8">
        <f ca="1">ROUND(IF(Intv_Ann_TA!$H$962,IF(K1879&lt;=K1852,K1879,K1879-MAX((K$1885-K$1858),0)*IFERROR((K1879-K1852)/SUMPRODUCT((K$1875:K$1884&gt;K$1848:K$1857)*(K$1875:K$1884-K$1848:K$1857)),0)),K1919),0)</f>
        <v>78</v>
      </c>
      <c r="L1906" s="8">
        <f ca="1">ROUND(IF(Intv_Ann_TA!$H$962,IF(L1879&lt;=L1852,L1879,L1879-MAX((L$1885-L$1858),0)*IFERROR((L1879-L1852)/SUMPRODUCT((L$1875:L$1884&gt;L$1848:L$1857)*(L$1875:L$1884-L$1848:L$1857)),0)),L1919),0)</f>
        <v>78</v>
      </c>
      <c r="M1906" s="8">
        <f ca="1">ROUND(IF(Intv_Ann_TA!$H$962,IF(M1879&lt;=M1852,M1879,M1879-MAX((M$1885-M$1858),0)*IFERROR((M1879-M1852)/SUMPRODUCT((M$1875:M$1884&gt;M$1848:M$1857)*(M$1875:M$1884-M$1848:M$1857)),0)),M1919),0)</f>
        <v>78</v>
      </c>
      <c r="N1906" s="8">
        <f ca="1">ROUND(IF(Intv_Ann_TA!$H$962,IF(N1879&lt;=N1852,N1879,N1879-MAX((N$1885-N$1858),0)*IFERROR((N1879-N1852)/SUMPRODUCT((N$1875:N$1884&gt;N$1848:N$1857)*(N$1875:N$1884-N$1848:N$1857)),0)),N1919),0)</f>
        <v>78</v>
      </c>
      <c r="O1906" s="8">
        <f ca="1">ROUND(IF(Intv_Ann_TA!$H$962,IF(O1879&lt;=O1852,O1879,O1879-MAX((O$1885-O$1858),0)*IFERROR((O1879-O1852)/SUMPRODUCT((O$1875:O$1884&gt;O$1848:O$1857)*(O$1875:O$1884-O$1848:O$1857)),0)),O1919),0)</f>
        <v>78</v>
      </c>
    </row>
    <row r="1907" spans="4:15" s="327" customFormat="1" outlineLevel="2" x14ac:dyDescent="0.2">
      <c r="D1907" s="521" t="str">
        <f t="shared" si="182"/>
        <v>Muchinga</v>
      </c>
      <c r="H1907" s="521" t="str">
        <f>Intv_BA!$G$1768</f>
        <v>RADIO</v>
      </c>
      <c r="J1907" s="8">
        <f ca="1">ROUND(IF(Intv_Ann_TA!$H$962,IF(J1880&lt;=J1853,J1880,J1880-MAX((J$1885-J$1858),0)*IFERROR((J1880-J1853)/SUMPRODUCT((J$1875:J$1884&gt;J$1848:J$1857)*(J$1875:J$1884-J$1848:J$1857)),0)),J1920),0)</f>
        <v>1</v>
      </c>
      <c r="K1907" s="8">
        <f ca="1">ROUND(IF(Intv_Ann_TA!$H$962,IF(K1880&lt;=K1853,K1880,K1880-MAX((K$1885-K$1858),0)*IFERROR((K1880-K1853)/SUMPRODUCT((K$1875:K$1884&gt;K$1848:K$1857)*(K$1875:K$1884-K$1848:K$1857)),0)),K1920),0)</f>
        <v>1</v>
      </c>
      <c r="L1907" s="8">
        <f ca="1">ROUND(IF(Intv_Ann_TA!$H$962,IF(L1880&lt;=L1853,L1880,L1880-MAX((L$1885-L$1858),0)*IFERROR((L1880-L1853)/SUMPRODUCT((L$1875:L$1884&gt;L$1848:L$1857)*(L$1875:L$1884-L$1848:L$1857)),0)),L1920),0)</f>
        <v>1</v>
      </c>
      <c r="M1907" s="8">
        <f ca="1">ROUND(IF(Intv_Ann_TA!$H$962,IF(M1880&lt;=M1853,M1880,M1880-MAX((M$1885-M$1858),0)*IFERROR((M1880-M1853)/SUMPRODUCT((M$1875:M$1884&gt;M$1848:M$1857)*(M$1875:M$1884-M$1848:M$1857)),0)),M1920),0)</f>
        <v>1</v>
      </c>
      <c r="N1907" s="8">
        <f ca="1">ROUND(IF(Intv_Ann_TA!$H$962,IF(N1880&lt;=N1853,N1880,N1880-MAX((N$1885-N$1858),0)*IFERROR((N1880-N1853)/SUMPRODUCT((N$1875:N$1884&gt;N$1848:N$1857)*(N$1875:N$1884-N$1848:N$1857)),0)),N1920),0)</f>
        <v>1</v>
      </c>
      <c r="O1907" s="8">
        <f ca="1">ROUND(IF(Intv_Ann_TA!$H$962,IF(O1880&lt;=O1853,O1880,O1880-MAX((O$1885-O$1858),0)*IFERROR((O1880-O1853)/SUMPRODUCT((O$1875:O$1884&gt;O$1848:O$1857)*(O$1875:O$1884-O$1848:O$1857)),0)),O1920),0)</f>
        <v>1</v>
      </c>
    </row>
    <row r="1908" spans="4:15" s="327" customFormat="1" outlineLevel="2" x14ac:dyDescent="0.2">
      <c r="D1908" s="521" t="str">
        <f t="shared" si="182"/>
        <v>Northern</v>
      </c>
      <c r="H1908" s="521" t="str">
        <f>Intv_BA!$G$1768</f>
        <v>RADIO</v>
      </c>
      <c r="J1908" s="8">
        <f ca="1">ROUND(IF(Intv_Ann_TA!$H$962,IF(J1881&lt;=J1854,J1881,J1881-MAX((J$1885-J$1858),0)*IFERROR((J1881-J1854)/SUMPRODUCT((J$1875:J$1884&gt;J$1848:J$1857)*(J$1875:J$1884-J$1848:J$1857)),0)),J1921),0)</f>
        <v>8</v>
      </c>
      <c r="K1908" s="8">
        <f ca="1">ROUND(IF(Intv_Ann_TA!$H$962,IF(K1881&lt;=K1854,K1881,K1881-MAX((K$1885-K$1858),0)*IFERROR((K1881-K1854)/SUMPRODUCT((K$1875:K$1884&gt;K$1848:K$1857)*(K$1875:K$1884-K$1848:K$1857)),0)),K1921),0)</f>
        <v>8</v>
      </c>
      <c r="L1908" s="8">
        <f ca="1">ROUND(IF(Intv_Ann_TA!$H$962,IF(L1881&lt;=L1854,L1881,L1881-MAX((L$1885-L$1858),0)*IFERROR((L1881-L1854)/SUMPRODUCT((L$1875:L$1884&gt;L$1848:L$1857)*(L$1875:L$1884-L$1848:L$1857)),0)),L1921),0)</f>
        <v>8</v>
      </c>
      <c r="M1908" s="8">
        <f ca="1">ROUND(IF(Intv_Ann_TA!$H$962,IF(M1881&lt;=M1854,M1881,M1881-MAX((M$1885-M$1858),0)*IFERROR((M1881-M1854)/SUMPRODUCT((M$1875:M$1884&gt;M$1848:M$1857)*(M$1875:M$1884-M$1848:M$1857)),0)),M1921),0)</f>
        <v>8</v>
      </c>
      <c r="N1908" s="8">
        <f ca="1">ROUND(IF(Intv_Ann_TA!$H$962,IF(N1881&lt;=N1854,N1881,N1881-MAX((N$1885-N$1858),0)*IFERROR((N1881-N1854)/SUMPRODUCT((N$1875:N$1884&gt;N$1848:N$1857)*(N$1875:N$1884-N$1848:N$1857)),0)),N1921),0)</f>
        <v>8</v>
      </c>
      <c r="O1908" s="8">
        <f ca="1">ROUND(IF(Intv_Ann_TA!$H$962,IF(O1881&lt;=O1854,O1881,O1881-MAX((O$1885-O$1858),0)*IFERROR((O1881-O1854)/SUMPRODUCT((O$1875:O$1884&gt;O$1848:O$1857)*(O$1875:O$1884-O$1848:O$1857)),0)),O1921),0)</f>
        <v>8</v>
      </c>
    </row>
    <row r="1909" spans="4:15" s="327" customFormat="1" outlineLevel="2" x14ac:dyDescent="0.2">
      <c r="D1909" s="521" t="str">
        <f t="shared" si="182"/>
        <v>North-Western</v>
      </c>
      <c r="H1909" s="521" t="str">
        <f>Intv_BA!$G$1768</f>
        <v>RADIO</v>
      </c>
      <c r="J1909" s="8">
        <f ca="1">ROUND(IF(Intv_Ann_TA!$H$962,IF(J1882&lt;=J1855,J1882,J1882-MAX((J$1885-J$1858),0)*IFERROR((J1882-J1855)/SUMPRODUCT((J$1875:J$1884&gt;J$1848:J$1857)*(J$1875:J$1884-J$1848:J$1857)),0)),J1922),0)</f>
        <v>9</v>
      </c>
      <c r="K1909" s="8">
        <f ca="1">ROUND(IF(Intv_Ann_TA!$H$962,IF(K1882&lt;=K1855,K1882,K1882-MAX((K$1885-K$1858),0)*IFERROR((K1882-K1855)/SUMPRODUCT((K$1875:K$1884&gt;K$1848:K$1857)*(K$1875:K$1884-K$1848:K$1857)),0)),K1922),0)</f>
        <v>9</v>
      </c>
      <c r="L1909" s="8">
        <f ca="1">ROUND(IF(Intv_Ann_TA!$H$962,IF(L1882&lt;=L1855,L1882,L1882-MAX((L$1885-L$1858),0)*IFERROR((L1882-L1855)/SUMPRODUCT((L$1875:L$1884&gt;L$1848:L$1857)*(L$1875:L$1884-L$1848:L$1857)),0)),L1922),0)</f>
        <v>9</v>
      </c>
      <c r="M1909" s="8">
        <f ca="1">ROUND(IF(Intv_Ann_TA!$H$962,IF(M1882&lt;=M1855,M1882,M1882-MAX((M$1885-M$1858),0)*IFERROR((M1882-M1855)/SUMPRODUCT((M$1875:M$1884&gt;M$1848:M$1857)*(M$1875:M$1884-M$1848:M$1857)),0)),M1922),0)</f>
        <v>9</v>
      </c>
      <c r="N1909" s="8">
        <f ca="1">ROUND(IF(Intv_Ann_TA!$H$962,IF(N1882&lt;=N1855,N1882,N1882-MAX((N$1885-N$1858),0)*IFERROR((N1882-N1855)/SUMPRODUCT((N$1875:N$1884&gt;N$1848:N$1857)*(N$1875:N$1884-N$1848:N$1857)),0)),N1922),0)</f>
        <v>9</v>
      </c>
      <c r="O1909" s="8">
        <f ca="1">ROUND(IF(Intv_Ann_TA!$H$962,IF(O1882&lt;=O1855,O1882,O1882-MAX((O$1885-O$1858),0)*IFERROR((O1882-O1855)/SUMPRODUCT((O$1875:O$1884&gt;O$1848:O$1857)*(O$1875:O$1884-O$1848:O$1857)),0)),O1922),0)</f>
        <v>9</v>
      </c>
    </row>
    <row r="1910" spans="4:15" s="327" customFormat="1" outlineLevel="2" x14ac:dyDescent="0.2">
      <c r="D1910" s="521" t="str">
        <f t="shared" si="182"/>
        <v>Southern</v>
      </c>
      <c r="H1910" s="521" t="str">
        <f>Intv_BA!$G$1768</f>
        <v>RADIO</v>
      </c>
      <c r="J1910" s="8">
        <f ca="1">ROUND(IF(Intv_Ann_TA!$H$962,IF(J1883&lt;=J1856,J1883,J1883-MAX((J$1885-J$1858),0)*IFERROR((J1883-J1856)/SUMPRODUCT((J$1875:J$1884&gt;J$1848:J$1857)*(J$1875:J$1884-J$1848:J$1857)),0)),J1923),0)</f>
        <v>22</v>
      </c>
      <c r="K1910" s="8">
        <f ca="1">ROUND(IF(Intv_Ann_TA!$H$962,IF(K1883&lt;=K1856,K1883,K1883-MAX((K$1885-K$1858),0)*IFERROR((K1883-K1856)/SUMPRODUCT((K$1875:K$1884&gt;K$1848:K$1857)*(K$1875:K$1884-K$1848:K$1857)),0)),K1923),0)</f>
        <v>22</v>
      </c>
      <c r="L1910" s="8">
        <f ca="1">ROUND(IF(Intv_Ann_TA!$H$962,IF(L1883&lt;=L1856,L1883,L1883-MAX((L$1885-L$1858),0)*IFERROR((L1883-L1856)/SUMPRODUCT((L$1875:L$1884&gt;L$1848:L$1857)*(L$1875:L$1884-L$1848:L$1857)),0)),L1923),0)</f>
        <v>22</v>
      </c>
      <c r="M1910" s="8">
        <f ca="1">ROUND(IF(Intv_Ann_TA!$H$962,IF(M1883&lt;=M1856,M1883,M1883-MAX((M$1885-M$1858),0)*IFERROR((M1883-M1856)/SUMPRODUCT((M$1875:M$1884&gt;M$1848:M$1857)*(M$1875:M$1884-M$1848:M$1857)),0)),M1923),0)</f>
        <v>22</v>
      </c>
      <c r="N1910" s="8">
        <f ca="1">ROUND(IF(Intv_Ann_TA!$H$962,IF(N1883&lt;=N1856,N1883,N1883-MAX((N$1885-N$1858),0)*IFERROR((N1883-N1856)/SUMPRODUCT((N$1875:N$1884&gt;N$1848:N$1857)*(N$1875:N$1884-N$1848:N$1857)),0)),N1923),0)</f>
        <v>22</v>
      </c>
      <c r="O1910" s="8">
        <f ca="1">ROUND(IF(Intv_Ann_TA!$H$962,IF(O1883&lt;=O1856,O1883,O1883-MAX((O$1885-O$1858),0)*IFERROR((O1883-O1856)/SUMPRODUCT((O$1875:O$1884&gt;O$1848:O$1857)*(O$1875:O$1884-O$1848:O$1857)),0)),O1923),0)</f>
        <v>22</v>
      </c>
    </row>
    <row r="1911" spans="4:15" s="327" customFormat="1" outlineLevel="2" x14ac:dyDescent="0.2">
      <c r="D1911" s="521" t="str">
        <f t="shared" si="182"/>
        <v>Western</v>
      </c>
      <c r="H1911" s="521" t="str">
        <f>Intv_BA!$G$1768</f>
        <v>RADIO</v>
      </c>
      <c r="J1911" s="9">
        <f ca="1">ROUND(IF(Intv_Ann_TA!$H$962,IF(J1884&lt;=J1857,J1884,J1884-MAX((J$1885-J$1858),0)*IFERROR((J1884-J1857)/SUMPRODUCT((J$1875:J$1884&gt;J$1848:J$1857)*(J$1875:J$1884-J$1848:J$1857)),0)),J1924),0)</f>
        <v>22</v>
      </c>
      <c r="K1911" s="9">
        <f ca="1">ROUND(IF(Intv_Ann_TA!$H$962,IF(K1884&lt;=K1857,K1884,K1884-MAX((K$1885-K$1858),0)*IFERROR((K1884-K1857)/SUMPRODUCT((K$1875:K$1884&gt;K$1848:K$1857)*(K$1875:K$1884-K$1848:K$1857)),0)),K1924),0)</f>
        <v>22</v>
      </c>
      <c r="L1911" s="9">
        <f ca="1">ROUND(IF(Intv_Ann_TA!$H$962,IF(L1884&lt;=L1857,L1884,L1884-MAX((L$1885-L$1858),0)*IFERROR((L1884-L1857)/SUMPRODUCT((L$1875:L$1884&gt;L$1848:L$1857)*(L$1875:L$1884-L$1848:L$1857)),0)),L1924),0)</f>
        <v>22</v>
      </c>
      <c r="M1911" s="9">
        <f ca="1">ROUND(IF(Intv_Ann_TA!$H$962,IF(M1884&lt;=M1857,M1884,M1884-MAX((M$1885-M$1858),0)*IFERROR((M1884-M1857)/SUMPRODUCT((M$1875:M$1884&gt;M$1848:M$1857)*(M$1875:M$1884-M$1848:M$1857)),0)),M1924),0)</f>
        <v>22</v>
      </c>
      <c r="N1911" s="9">
        <f ca="1">ROUND(IF(Intv_Ann_TA!$H$962,IF(N1884&lt;=N1857,N1884,N1884-MAX((N$1885-N$1858),0)*IFERROR((N1884-N1857)/SUMPRODUCT((N$1875:N$1884&gt;N$1848:N$1857)*(N$1875:N$1884-N$1848:N$1857)),0)),N1924),0)</f>
        <v>22</v>
      </c>
      <c r="O1911" s="9">
        <f ca="1">ROUND(IF(Intv_Ann_TA!$H$962,IF(O1884&lt;=O1857,O1884,O1884-MAX((O$1885-O$1858),0)*IFERROR((O1884-O1857)/SUMPRODUCT((O$1875:O$1884&gt;O$1848:O$1857)*(O$1875:O$1884-O$1848:O$1857)),0)),O1924),0)</f>
        <v>22</v>
      </c>
    </row>
    <row r="1912" spans="4:15" s="327" customFormat="1" outlineLevel="2" x14ac:dyDescent="0.2">
      <c r="D1912" s="520" t="str">
        <f>"Total "&amp;D1901</f>
        <v>Total Procedures Performed (According to Home Region)</v>
      </c>
      <c r="H1912" s="521" t="str">
        <f>Intv_BA!$G$1768</f>
        <v>RADIO</v>
      </c>
      <c r="J1912" s="5">
        <f t="shared" ref="J1912:O1912" ca="1" si="183">SUM(J1902:J1911)</f>
        <v>228</v>
      </c>
      <c r="K1912" s="5">
        <f t="shared" ca="1" si="183"/>
        <v>228</v>
      </c>
      <c r="L1912" s="5">
        <f t="shared" ca="1" si="183"/>
        <v>228</v>
      </c>
      <c r="M1912" s="5">
        <f t="shared" ca="1" si="183"/>
        <v>228</v>
      </c>
      <c r="N1912" s="5">
        <f t="shared" ca="1" si="183"/>
        <v>228</v>
      </c>
      <c r="O1912" s="5">
        <f t="shared" ca="1" si="183"/>
        <v>228</v>
      </c>
    </row>
    <row r="1913" spans="4:15" s="327" customFormat="1" outlineLevel="2" x14ac:dyDescent="0.2"/>
    <row r="1914" spans="4:15" s="327" customFormat="1" ht="15" outlineLevel="2" x14ac:dyDescent="0.2">
      <c r="D1914" s="519" t="s">
        <v>104</v>
      </c>
    </row>
    <row r="1915" spans="4:15" s="327" customFormat="1" outlineLevel="2" x14ac:dyDescent="0.2">
      <c r="D1915" s="521" t="str">
        <f>Intv_Ann_TA!D965</f>
        <v>Central</v>
      </c>
      <c r="J1915" s="8">
        <f ca="1">ROUND(MIN(J1848,IF(Intv_Ann_TA!$H$962,MAX(0,J1875+IFERROR((SUMPRODUCT((J$1848:J$1857=0)*J$1875:J$1884)+SUMPRODUCT((J$1848:J$1857&gt;0)*(J$1875:J$1884&gt;J$1848:J$1857)*(J$1875:J$1884-J$1848:J$1857)))*J1889/J$1899,0)),J1875)),0)</f>
        <v>0</v>
      </c>
      <c r="K1915" s="8">
        <f ca="1">ROUND(MIN(K1848,IF(Intv_Ann_TA!$H$962,MAX(0,K1875+IFERROR((SUMPRODUCT((K$1848:K$1857=0)*K$1875:K$1884)+SUMPRODUCT((K$1848:K$1857&gt;0)*(K$1875:K$1884&gt;K$1848:K$1857)*(K$1875:K$1884-K$1848:K$1857)))*K1889/K$1899,0)),K1875)),0)</f>
        <v>0</v>
      </c>
      <c r="L1915" s="8">
        <f ca="1">ROUND(MIN(L1848,IF(Intv_Ann_TA!$H$962,MAX(0,L1875+IFERROR((SUMPRODUCT((L$1848:L$1857=0)*L$1875:L$1884)+SUMPRODUCT((L$1848:L$1857&gt;0)*(L$1875:L$1884&gt;L$1848:L$1857)*(L$1875:L$1884-L$1848:L$1857)))*L1889/L$1899,0)),L1875)),0)</f>
        <v>0</v>
      </c>
      <c r="M1915" s="8">
        <f ca="1">ROUND(MIN(M1848,IF(Intv_Ann_TA!$H$962,MAX(0,M1875+IFERROR((SUMPRODUCT((M$1848:M$1857=0)*M$1875:M$1884)+SUMPRODUCT((M$1848:M$1857&gt;0)*(M$1875:M$1884&gt;M$1848:M$1857)*(M$1875:M$1884-M$1848:M$1857)))*M1889/M$1899,0)),M1875)),0)</f>
        <v>0</v>
      </c>
      <c r="N1915" s="8">
        <f ca="1">ROUND(MIN(N1848,IF(Intv_Ann_TA!$H$962,MAX(0,N1875+IFERROR((SUMPRODUCT((N$1848:N$1857=0)*N$1875:N$1884)+SUMPRODUCT((N$1848:N$1857&gt;0)*(N$1875:N$1884&gt;N$1848:N$1857)*(N$1875:N$1884-N$1848:N$1857)))*N1889/N$1899,0)),N1875)),0)</f>
        <v>0</v>
      </c>
      <c r="O1915" s="8">
        <f ca="1">ROUND(MIN(O1848,IF(Intv_Ann_TA!$H$962,MAX(0,O1875+IFERROR((SUMPRODUCT((O$1848:O$1857=0)*O$1875:O$1884)+SUMPRODUCT((O$1848:O$1857&gt;0)*(O$1875:O$1884&gt;O$1848:O$1857)*(O$1875:O$1884-O$1848:O$1857)))*O1889/O$1899,0)),O1875)),0)</f>
        <v>0</v>
      </c>
    </row>
    <row r="1916" spans="4:15" s="327" customFormat="1" outlineLevel="2" x14ac:dyDescent="0.2">
      <c r="D1916" s="521" t="str">
        <f>Intv_Ann_TA!D966</f>
        <v>Copperbelt</v>
      </c>
      <c r="J1916" s="8">
        <f ca="1">ROUND(MIN(J1849,IF(Intv_Ann_TA!$H$962,MAX(0,J1876+IFERROR((SUMPRODUCT((J$1848:J$1857=0)*J$1875:J$1884)+SUMPRODUCT((J$1848:J$1857&gt;0)*(J$1875:J$1884&gt;J$1848:J$1857)*(J$1875:J$1884-J$1848:J$1857)))*J1890/J$1899,0)),J1876)),0)</f>
        <v>0</v>
      </c>
      <c r="K1916" s="8">
        <f ca="1">ROUND(MIN(K1849,IF(Intv_Ann_TA!$H$962,MAX(0,K1876+IFERROR((SUMPRODUCT((K$1848:K$1857=0)*K$1875:K$1884)+SUMPRODUCT((K$1848:K$1857&gt;0)*(K$1875:K$1884&gt;K$1848:K$1857)*(K$1875:K$1884-K$1848:K$1857)))*K1890/K$1899,0)),K1876)),0)</f>
        <v>0</v>
      </c>
      <c r="L1916" s="8">
        <f ca="1">ROUND(MIN(L1849,IF(Intv_Ann_TA!$H$962,MAX(0,L1876+IFERROR((SUMPRODUCT((L$1848:L$1857=0)*L$1875:L$1884)+SUMPRODUCT((L$1848:L$1857&gt;0)*(L$1875:L$1884&gt;L$1848:L$1857)*(L$1875:L$1884-L$1848:L$1857)))*L1890/L$1899,0)),L1876)),0)</f>
        <v>0</v>
      </c>
      <c r="M1916" s="8">
        <f ca="1">ROUND(MIN(M1849,IF(Intv_Ann_TA!$H$962,MAX(0,M1876+IFERROR((SUMPRODUCT((M$1848:M$1857=0)*M$1875:M$1884)+SUMPRODUCT((M$1848:M$1857&gt;0)*(M$1875:M$1884&gt;M$1848:M$1857)*(M$1875:M$1884-M$1848:M$1857)))*M1890/M$1899,0)),M1876)),0)</f>
        <v>0</v>
      </c>
      <c r="N1916" s="8">
        <f ca="1">ROUND(MIN(N1849,IF(Intv_Ann_TA!$H$962,MAX(0,N1876+IFERROR((SUMPRODUCT((N$1848:N$1857=0)*N$1875:N$1884)+SUMPRODUCT((N$1848:N$1857&gt;0)*(N$1875:N$1884&gt;N$1848:N$1857)*(N$1875:N$1884-N$1848:N$1857)))*N1890/N$1899,0)),N1876)),0)</f>
        <v>58</v>
      </c>
      <c r="O1916" s="8">
        <f ca="1">ROUND(MIN(O1849,IF(Intv_Ann_TA!$H$962,MAX(0,O1876+IFERROR((SUMPRODUCT((O$1848:O$1857=0)*O$1875:O$1884)+SUMPRODUCT((O$1848:O$1857&gt;0)*(O$1875:O$1884&gt;O$1848:O$1857)*(O$1875:O$1884-O$1848:O$1857)))*O1890/O$1899,0)),O1876)),0)</f>
        <v>58</v>
      </c>
    </row>
    <row r="1917" spans="4:15" s="327" customFormat="1" outlineLevel="2" x14ac:dyDescent="0.2">
      <c r="D1917" s="521" t="str">
        <f>Intv_Ann_TA!D967</f>
        <v>Eastern</v>
      </c>
      <c r="J1917" s="8">
        <f ca="1">ROUND(MIN(J1850,IF(Intv_Ann_TA!$H$962,MAX(0,J1877+IFERROR((SUMPRODUCT((J$1848:J$1857=0)*J$1875:J$1884)+SUMPRODUCT((J$1848:J$1857&gt;0)*(J$1875:J$1884&gt;J$1848:J$1857)*(J$1875:J$1884-J$1848:J$1857)))*J1891/J$1899,0)),J1877)),0)</f>
        <v>0</v>
      </c>
      <c r="K1917" s="8">
        <f ca="1">ROUND(MIN(K1850,IF(Intv_Ann_TA!$H$962,MAX(0,K1877+IFERROR((SUMPRODUCT((K$1848:K$1857=0)*K$1875:K$1884)+SUMPRODUCT((K$1848:K$1857&gt;0)*(K$1875:K$1884&gt;K$1848:K$1857)*(K$1875:K$1884-K$1848:K$1857)))*K1891/K$1899,0)),K1877)),0)</f>
        <v>0</v>
      </c>
      <c r="L1917" s="8">
        <f ca="1">ROUND(MIN(L1850,IF(Intv_Ann_TA!$H$962,MAX(0,L1877+IFERROR((SUMPRODUCT((L$1848:L$1857=0)*L$1875:L$1884)+SUMPRODUCT((L$1848:L$1857&gt;0)*(L$1875:L$1884&gt;L$1848:L$1857)*(L$1875:L$1884-L$1848:L$1857)))*L1891/L$1899,0)),L1877)),0)</f>
        <v>0</v>
      </c>
      <c r="M1917" s="8">
        <f ca="1">ROUND(MIN(M1850,IF(Intv_Ann_TA!$H$962,MAX(0,M1877+IFERROR((SUMPRODUCT((M$1848:M$1857=0)*M$1875:M$1884)+SUMPRODUCT((M$1848:M$1857&gt;0)*(M$1875:M$1884&gt;M$1848:M$1857)*(M$1875:M$1884-M$1848:M$1857)))*M1891/M$1899,0)),M1877)),0)</f>
        <v>0</v>
      </c>
      <c r="N1917" s="8">
        <f ca="1">ROUND(MIN(N1850,IF(Intv_Ann_TA!$H$962,MAX(0,N1877+IFERROR((SUMPRODUCT((N$1848:N$1857=0)*N$1875:N$1884)+SUMPRODUCT((N$1848:N$1857&gt;0)*(N$1875:N$1884&gt;N$1848:N$1857)*(N$1875:N$1884-N$1848:N$1857)))*N1891/N$1899,0)),N1877)),0)</f>
        <v>0</v>
      </c>
      <c r="O1917" s="8">
        <f ca="1">ROUND(MIN(O1850,IF(Intv_Ann_TA!$H$962,MAX(0,O1877+IFERROR((SUMPRODUCT((O$1848:O$1857=0)*O$1875:O$1884)+SUMPRODUCT((O$1848:O$1857&gt;0)*(O$1875:O$1884&gt;O$1848:O$1857)*(O$1875:O$1884-O$1848:O$1857)))*O1891/O$1899,0)),O1877)),0)</f>
        <v>0</v>
      </c>
    </row>
    <row r="1918" spans="4:15" s="327" customFormat="1" outlineLevel="2" x14ac:dyDescent="0.2">
      <c r="D1918" s="521" t="str">
        <f>Intv_Ann_TA!D968</f>
        <v>Luapula</v>
      </c>
      <c r="J1918" s="8">
        <f ca="1">ROUND(MIN(J1851,IF(Intv_Ann_TA!$H$962,MAX(0,J1878+IFERROR((SUMPRODUCT((J$1848:J$1857=0)*J$1875:J$1884)+SUMPRODUCT((J$1848:J$1857&gt;0)*(J$1875:J$1884&gt;J$1848:J$1857)*(J$1875:J$1884-J$1848:J$1857)))*J1892/J$1899,0)),J1878)),0)</f>
        <v>0</v>
      </c>
      <c r="K1918" s="8">
        <f ca="1">ROUND(MIN(K1851,IF(Intv_Ann_TA!$H$962,MAX(0,K1878+IFERROR((SUMPRODUCT((K$1848:K$1857=0)*K$1875:K$1884)+SUMPRODUCT((K$1848:K$1857&gt;0)*(K$1875:K$1884&gt;K$1848:K$1857)*(K$1875:K$1884-K$1848:K$1857)))*K1892/K$1899,0)),K1878)),0)</f>
        <v>0</v>
      </c>
      <c r="L1918" s="8">
        <f ca="1">ROUND(MIN(L1851,IF(Intv_Ann_TA!$H$962,MAX(0,L1878+IFERROR((SUMPRODUCT((L$1848:L$1857=0)*L$1875:L$1884)+SUMPRODUCT((L$1848:L$1857&gt;0)*(L$1875:L$1884&gt;L$1848:L$1857)*(L$1875:L$1884-L$1848:L$1857)))*L1892/L$1899,0)),L1878)),0)</f>
        <v>0</v>
      </c>
      <c r="M1918" s="8">
        <f ca="1">ROUND(MIN(M1851,IF(Intv_Ann_TA!$H$962,MAX(0,M1878+IFERROR((SUMPRODUCT((M$1848:M$1857=0)*M$1875:M$1884)+SUMPRODUCT((M$1848:M$1857&gt;0)*(M$1875:M$1884&gt;M$1848:M$1857)*(M$1875:M$1884-M$1848:M$1857)))*M1892/M$1899,0)),M1878)),0)</f>
        <v>0</v>
      </c>
      <c r="N1918" s="8">
        <f ca="1">ROUND(MIN(N1851,IF(Intv_Ann_TA!$H$962,MAX(0,N1878+IFERROR((SUMPRODUCT((N$1848:N$1857=0)*N$1875:N$1884)+SUMPRODUCT((N$1848:N$1857&gt;0)*(N$1875:N$1884&gt;N$1848:N$1857)*(N$1875:N$1884-N$1848:N$1857)))*N1892/N$1899,0)),N1878)),0)</f>
        <v>0</v>
      </c>
      <c r="O1918" s="8">
        <f ca="1">ROUND(MIN(O1851,IF(Intv_Ann_TA!$H$962,MAX(0,O1878+IFERROR((SUMPRODUCT((O$1848:O$1857=0)*O$1875:O$1884)+SUMPRODUCT((O$1848:O$1857&gt;0)*(O$1875:O$1884&gt;O$1848:O$1857)*(O$1875:O$1884-O$1848:O$1857)))*O1892/O$1899,0)),O1878)),0)</f>
        <v>0</v>
      </c>
    </row>
    <row r="1919" spans="4:15" s="327" customFormat="1" outlineLevel="2" x14ac:dyDescent="0.2">
      <c r="D1919" s="521" t="str">
        <f>Intv_Ann_TA!D969</f>
        <v>Lusaka</v>
      </c>
      <c r="J1919" s="8">
        <f ca="1">ROUND(MIN(J1852,IF(Intv_Ann_TA!$H$962,MAX(0,J1879+IFERROR((SUMPRODUCT((J$1848:J$1857=0)*J$1875:J$1884)+SUMPRODUCT((J$1848:J$1857&gt;0)*(J$1875:J$1884&gt;J$1848:J$1857)*(J$1875:J$1884-J$1848:J$1857)))*J1893/J$1899,0)),J1879)),0)</f>
        <v>228</v>
      </c>
      <c r="K1919" s="8">
        <f ca="1">ROUND(MIN(K1852,IF(Intv_Ann_TA!$H$962,MAX(0,K1879+IFERROR((SUMPRODUCT((K$1848:K$1857=0)*K$1875:K$1884)+SUMPRODUCT((K$1848:K$1857&gt;0)*(K$1875:K$1884&gt;K$1848:K$1857)*(K$1875:K$1884-K$1848:K$1857)))*K1893/K$1899,0)),K1879)),0)</f>
        <v>228</v>
      </c>
      <c r="L1919" s="8">
        <f ca="1">ROUND(MIN(L1852,IF(Intv_Ann_TA!$H$962,MAX(0,L1879+IFERROR((SUMPRODUCT((L$1848:L$1857=0)*L$1875:L$1884)+SUMPRODUCT((L$1848:L$1857&gt;0)*(L$1875:L$1884&gt;L$1848:L$1857)*(L$1875:L$1884-L$1848:L$1857)))*L1893/L$1899,0)),L1879)),0)</f>
        <v>228</v>
      </c>
      <c r="M1919" s="8">
        <f ca="1">ROUND(MIN(M1852,IF(Intv_Ann_TA!$H$962,MAX(0,M1879+IFERROR((SUMPRODUCT((M$1848:M$1857=0)*M$1875:M$1884)+SUMPRODUCT((M$1848:M$1857&gt;0)*(M$1875:M$1884&gt;M$1848:M$1857)*(M$1875:M$1884-M$1848:M$1857)))*M1893/M$1899,0)),M1879)),0)</f>
        <v>228</v>
      </c>
      <c r="N1919" s="8">
        <f ca="1">ROUND(MIN(N1852,IF(Intv_Ann_TA!$H$962,MAX(0,N1879+IFERROR((SUMPRODUCT((N$1848:N$1857=0)*N$1875:N$1884)+SUMPRODUCT((N$1848:N$1857&gt;0)*(N$1875:N$1884&gt;N$1848:N$1857)*(N$1875:N$1884-N$1848:N$1857)))*N1893/N$1899,0)),N1879)),0)</f>
        <v>113</v>
      </c>
      <c r="O1919" s="8">
        <f ca="1">ROUND(MIN(O1852,IF(Intv_Ann_TA!$H$962,MAX(0,O1879+IFERROR((SUMPRODUCT((O$1848:O$1857=0)*O$1875:O$1884)+SUMPRODUCT((O$1848:O$1857&gt;0)*(O$1875:O$1884&gt;O$1848:O$1857)*(O$1875:O$1884-O$1848:O$1857)))*O1893/O$1899,0)),O1879)),0)</f>
        <v>113</v>
      </c>
    </row>
    <row r="1920" spans="4:15" s="327" customFormat="1" outlineLevel="2" x14ac:dyDescent="0.2">
      <c r="D1920" s="521" t="str">
        <f>Intv_Ann_TA!D970</f>
        <v>Muchinga</v>
      </c>
      <c r="J1920" s="8">
        <f ca="1">ROUND(MIN(J1853,IF(Intv_Ann_TA!$H$962,MAX(0,J1880+IFERROR((SUMPRODUCT((J$1848:J$1857=0)*J$1875:J$1884)+SUMPRODUCT((J$1848:J$1857&gt;0)*(J$1875:J$1884&gt;J$1848:J$1857)*(J$1875:J$1884-J$1848:J$1857)))*J1894/J$1899,0)),J1880)),0)</f>
        <v>0</v>
      </c>
      <c r="K1920" s="8">
        <f ca="1">ROUND(MIN(K1853,IF(Intv_Ann_TA!$H$962,MAX(0,K1880+IFERROR((SUMPRODUCT((K$1848:K$1857=0)*K$1875:K$1884)+SUMPRODUCT((K$1848:K$1857&gt;0)*(K$1875:K$1884&gt;K$1848:K$1857)*(K$1875:K$1884-K$1848:K$1857)))*K1894/K$1899,0)),K1880)),0)</f>
        <v>0</v>
      </c>
      <c r="L1920" s="8">
        <f ca="1">ROUND(MIN(L1853,IF(Intv_Ann_TA!$H$962,MAX(0,L1880+IFERROR((SUMPRODUCT((L$1848:L$1857=0)*L$1875:L$1884)+SUMPRODUCT((L$1848:L$1857&gt;0)*(L$1875:L$1884&gt;L$1848:L$1857)*(L$1875:L$1884-L$1848:L$1857)))*L1894/L$1899,0)),L1880)),0)</f>
        <v>0</v>
      </c>
      <c r="M1920" s="8">
        <f ca="1">ROUND(MIN(M1853,IF(Intv_Ann_TA!$H$962,MAX(0,M1880+IFERROR((SUMPRODUCT((M$1848:M$1857=0)*M$1875:M$1884)+SUMPRODUCT((M$1848:M$1857&gt;0)*(M$1875:M$1884&gt;M$1848:M$1857)*(M$1875:M$1884-M$1848:M$1857)))*M1894/M$1899,0)),M1880)),0)</f>
        <v>0</v>
      </c>
      <c r="N1920" s="8">
        <f ca="1">ROUND(MIN(N1853,IF(Intv_Ann_TA!$H$962,MAX(0,N1880+IFERROR((SUMPRODUCT((N$1848:N$1857=0)*N$1875:N$1884)+SUMPRODUCT((N$1848:N$1857&gt;0)*(N$1875:N$1884&gt;N$1848:N$1857)*(N$1875:N$1884-N$1848:N$1857)))*N1894/N$1899,0)),N1880)),0)</f>
        <v>0</v>
      </c>
      <c r="O1920" s="8">
        <f ca="1">ROUND(MIN(O1853,IF(Intv_Ann_TA!$H$962,MAX(0,O1880+IFERROR((SUMPRODUCT((O$1848:O$1857=0)*O$1875:O$1884)+SUMPRODUCT((O$1848:O$1857&gt;0)*(O$1875:O$1884&gt;O$1848:O$1857)*(O$1875:O$1884-O$1848:O$1857)))*O1894/O$1899,0)),O1880)),0)</f>
        <v>0</v>
      </c>
    </row>
    <row r="1921" spans="3:15" s="327" customFormat="1" outlineLevel="2" x14ac:dyDescent="0.2">
      <c r="D1921" s="521" t="str">
        <f>Intv_Ann_TA!D971</f>
        <v>Northern</v>
      </c>
      <c r="J1921" s="8">
        <f ca="1">ROUND(MIN(J1854,IF(Intv_Ann_TA!$H$962,MAX(0,J1881+IFERROR((SUMPRODUCT((J$1848:J$1857=0)*J$1875:J$1884)+SUMPRODUCT((J$1848:J$1857&gt;0)*(J$1875:J$1884&gt;J$1848:J$1857)*(J$1875:J$1884-J$1848:J$1857)))*J1895/J$1899,0)),J1881)),0)</f>
        <v>0</v>
      </c>
      <c r="K1921" s="8">
        <f ca="1">ROUND(MIN(K1854,IF(Intv_Ann_TA!$H$962,MAX(0,K1881+IFERROR((SUMPRODUCT((K$1848:K$1857=0)*K$1875:K$1884)+SUMPRODUCT((K$1848:K$1857&gt;0)*(K$1875:K$1884&gt;K$1848:K$1857)*(K$1875:K$1884-K$1848:K$1857)))*K1895/K$1899,0)),K1881)),0)</f>
        <v>0</v>
      </c>
      <c r="L1921" s="8">
        <f ca="1">ROUND(MIN(L1854,IF(Intv_Ann_TA!$H$962,MAX(0,L1881+IFERROR((SUMPRODUCT((L$1848:L$1857=0)*L$1875:L$1884)+SUMPRODUCT((L$1848:L$1857&gt;0)*(L$1875:L$1884&gt;L$1848:L$1857)*(L$1875:L$1884-L$1848:L$1857)))*L1895/L$1899,0)),L1881)),0)</f>
        <v>0</v>
      </c>
      <c r="M1921" s="8">
        <f ca="1">ROUND(MIN(M1854,IF(Intv_Ann_TA!$H$962,MAX(0,M1881+IFERROR((SUMPRODUCT((M$1848:M$1857=0)*M$1875:M$1884)+SUMPRODUCT((M$1848:M$1857&gt;0)*(M$1875:M$1884&gt;M$1848:M$1857)*(M$1875:M$1884-M$1848:M$1857)))*M1895/M$1899,0)),M1881)),0)</f>
        <v>0</v>
      </c>
      <c r="N1921" s="8">
        <f ca="1">ROUND(MIN(N1854,IF(Intv_Ann_TA!$H$962,MAX(0,N1881+IFERROR((SUMPRODUCT((N$1848:N$1857=0)*N$1875:N$1884)+SUMPRODUCT((N$1848:N$1857&gt;0)*(N$1875:N$1884&gt;N$1848:N$1857)*(N$1875:N$1884-N$1848:N$1857)))*N1895/N$1899,0)),N1881)),0)</f>
        <v>0</v>
      </c>
      <c r="O1921" s="8">
        <f ca="1">ROUND(MIN(O1854,IF(Intv_Ann_TA!$H$962,MAX(0,O1881+IFERROR((SUMPRODUCT((O$1848:O$1857=0)*O$1875:O$1884)+SUMPRODUCT((O$1848:O$1857&gt;0)*(O$1875:O$1884&gt;O$1848:O$1857)*(O$1875:O$1884-O$1848:O$1857)))*O1895/O$1899,0)),O1881)),0)</f>
        <v>0</v>
      </c>
    </row>
    <row r="1922" spans="3:15" s="327" customFormat="1" outlineLevel="2" x14ac:dyDescent="0.2">
      <c r="D1922" s="521" t="str">
        <f>Intv_Ann_TA!D972</f>
        <v>North-Western</v>
      </c>
      <c r="J1922" s="8">
        <f ca="1">ROUND(MIN(J1855,IF(Intv_Ann_TA!$H$962,MAX(0,J1882+IFERROR((SUMPRODUCT((J$1848:J$1857=0)*J$1875:J$1884)+SUMPRODUCT((J$1848:J$1857&gt;0)*(J$1875:J$1884&gt;J$1848:J$1857)*(J$1875:J$1884-J$1848:J$1857)))*J1896/J$1899,0)),J1882)),0)</f>
        <v>0</v>
      </c>
      <c r="K1922" s="8">
        <f ca="1">ROUND(MIN(K1855,IF(Intv_Ann_TA!$H$962,MAX(0,K1882+IFERROR((SUMPRODUCT((K$1848:K$1857=0)*K$1875:K$1884)+SUMPRODUCT((K$1848:K$1857&gt;0)*(K$1875:K$1884&gt;K$1848:K$1857)*(K$1875:K$1884-K$1848:K$1857)))*K1896/K$1899,0)),K1882)),0)</f>
        <v>0</v>
      </c>
      <c r="L1922" s="8">
        <f ca="1">ROUND(MIN(L1855,IF(Intv_Ann_TA!$H$962,MAX(0,L1882+IFERROR((SUMPRODUCT((L$1848:L$1857=0)*L$1875:L$1884)+SUMPRODUCT((L$1848:L$1857&gt;0)*(L$1875:L$1884&gt;L$1848:L$1857)*(L$1875:L$1884-L$1848:L$1857)))*L1896/L$1899,0)),L1882)),0)</f>
        <v>0</v>
      </c>
      <c r="M1922" s="8">
        <f ca="1">ROUND(MIN(M1855,IF(Intv_Ann_TA!$H$962,MAX(0,M1882+IFERROR((SUMPRODUCT((M$1848:M$1857=0)*M$1875:M$1884)+SUMPRODUCT((M$1848:M$1857&gt;0)*(M$1875:M$1884&gt;M$1848:M$1857)*(M$1875:M$1884-M$1848:M$1857)))*M1896/M$1899,0)),M1882)),0)</f>
        <v>0</v>
      </c>
      <c r="N1922" s="8">
        <f ca="1">ROUND(MIN(N1855,IF(Intv_Ann_TA!$H$962,MAX(0,N1882+IFERROR((SUMPRODUCT((N$1848:N$1857=0)*N$1875:N$1884)+SUMPRODUCT((N$1848:N$1857&gt;0)*(N$1875:N$1884&gt;N$1848:N$1857)*(N$1875:N$1884-N$1848:N$1857)))*N1896/N$1899,0)),N1882)),0)</f>
        <v>0</v>
      </c>
      <c r="O1922" s="8">
        <f ca="1">ROUND(MIN(O1855,IF(Intv_Ann_TA!$H$962,MAX(0,O1882+IFERROR((SUMPRODUCT((O$1848:O$1857=0)*O$1875:O$1884)+SUMPRODUCT((O$1848:O$1857&gt;0)*(O$1875:O$1884&gt;O$1848:O$1857)*(O$1875:O$1884-O$1848:O$1857)))*O1896/O$1899,0)),O1882)),0)</f>
        <v>0</v>
      </c>
    </row>
    <row r="1923" spans="3:15" s="327" customFormat="1" outlineLevel="2" x14ac:dyDescent="0.2">
      <c r="D1923" s="521" t="str">
        <f>Intv_Ann_TA!D973</f>
        <v>Southern</v>
      </c>
      <c r="J1923" s="8">
        <f ca="1">ROUND(MIN(J1856,IF(Intv_Ann_TA!$H$962,MAX(0,J1883+IFERROR((SUMPRODUCT((J$1848:J$1857=0)*J$1875:J$1884)+SUMPRODUCT((J$1848:J$1857&gt;0)*(J$1875:J$1884&gt;J$1848:J$1857)*(J$1875:J$1884-J$1848:J$1857)))*J1897/J$1899,0)),J1883)),0)</f>
        <v>0</v>
      </c>
      <c r="K1923" s="8">
        <f ca="1">ROUND(MIN(K1856,IF(Intv_Ann_TA!$H$962,MAX(0,K1883+IFERROR((SUMPRODUCT((K$1848:K$1857=0)*K$1875:K$1884)+SUMPRODUCT((K$1848:K$1857&gt;0)*(K$1875:K$1884&gt;K$1848:K$1857)*(K$1875:K$1884-K$1848:K$1857)))*K1897/K$1899,0)),K1883)),0)</f>
        <v>0</v>
      </c>
      <c r="L1923" s="8">
        <f ca="1">ROUND(MIN(L1856,IF(Intv_Ann_TA!$H$962,MAX(0,L1883+IFERROR((SUMPRODUCT((L$1848:L$1857=0)*L$1875:L$1884)+SUMPRODUCT((L$1848:L$1857&gt;0)*(L$1875:L$1884&gt;L$1848:L$1857)*(L$1875:L$1884-L$1848:L$1857)))*L1897/L$1899,0)),L1883)),0)</f>
        <v>0</v>
      </c>
      <c r="M1923" s="8">
        <f ca="1">ROUND(MIN(M1856,IF(Intv_Ann_TA!$H$962,MAX(0,M1883+IFERROR((SUMPRODUCT((M$1848:M$1857=0)*M$1875:M$1884)+SUMPRODUCT((M$1848:M$1857&gt;0)*(M$1875:M$1884&gt;M$1848:M$1857)*(M$1875:M$1884-M$1848:M$1857)))*M1897/M$1899,0)),M1883)),0)</f>
        <v>0</v>
      </c>
      <c r="N1923" s="8">
        <f ca="1">ROUND(MIN(N1856,IF(Intv_Ann_TA!$H$962,MAX(0,N1883+IFERROR((SUMPRODUCT((N$1848:N$1857=0)*N$1875:N$1884)+SUMPRODUCT((N$1848:N$1857&gt;0)*(N$1875:N$1884&gt;N$1848:N$1857)*(N$1875:N$1884-N$1848:N$1857)))*N1897/N$1899,0)),N1883)),0)</f>
        <v>58</v>
      </c>
      <c r="O1923" s="8">
        <f ca="1">ROUND(MIN(O1856,IF(Intv_Ann_TA!$H$962,MAX(0,O1883+IFERROR((SUMPRODUCT((O$1848:O$1857=0)*O$1875:O$1884)+SUMPRODUCT((O$1848:O$1857&gt;0)*(O$1875:O$1884&gt;O$1848:O$1857)*(O$1875:O$1884-O$1848:O$1857)))*O1897/O$1899,0)),O1883)),0)</f>
        <v>58</v>
      </c>
    </row>
    <row r="1924" spans="3:15" s="327" customFormat="1" outlineLevel="2" x14ac:dyDescent="0.2">
      <c r="D1924" s="521" t="str">
        <f>Intv_Ann_TA!D974</f>
        <v>Western</v>
      </c>
      <c r="J1924" s="9">
        <f ca="1">ROUND(MIN(J1857,IF(Intv_Ann_TA!$H$962,MAX(0,J1884+IFERROR((SUMPRODUCT((J$1848:J$1857=0)*J$1875:J$1884)+SUMPRODUCT((J$1848:J$1857&gt;0)*(J$1875:J$1884&gt;J$1848:J$1857)*(J$1875:J$1884-J$1848:J$1857)))*J1898/J$1899,0)),J1884)),0)</f>
        <v>0</v>
      </c>
      <c r="K1924" s="9">
        <f ca="1">ROUND(MIN(K1857,IF(Intv_Ann_TA!$H$962,MAX(0,K1884+IFERROR((SUMPRODUCT((K$1848:K$1857=0)*K$1875:K$1884)+SUMPRODUCT((K$1848:K$1857&gt;0)*(K$1875:K$1884&gt;K$1848:K$1857)*(K$1875:K$1884-K$1848:K$1857)))*K1898/K$1899,0)),K1884)),0)</f>
        <v>0</v>
      </c>
      <c r="L1924" s="9">
        <f ca="1">ROUND(MIN(L1857,IF(Intv_Ann_TA!$H$962,MAX(0,L1884+IFERROR((SUMPRODUCT((L$1848:L$1857=0)*L$1875:L$1884)+SUMPRODUCT((L$1848:L$1857&gt;0)*(L$1875:L$1884&gt;L$1848:L$1857)*(L$1875:L$1884-L$1848:L$1857)))*L1898/L$1899,0)),L1884)),0)</f>
        <v>0</v>
      </c>
      <c r="M1924" s="9">
        <f ca="1">ROUND(MIN(M1857,IF(Intv_Ann_TA!$H$962,MAX(0,M1884+IFERROR((SUMPRODUCT((M$1848:M$1857=0)*M$1875:M$1884)+SUMPRODUCT((M$1848:M$1857&gt;0)*(M$1875:M$1884&gt;M$1848:M$1857)*(M$1875:M$1884-M$1848:M$1857)))*M1898/M$1899,0)),M1884)),0)</f>
        <v>0</v>
      </c>
      <c r="N1924" s="9">
        <f ca="1">ROUND(MIN(N1857,IF(Intv_Ann_TA!$H$962,MAX(0,N1884+IFERROR((SUMPRODUCT((N$1848:N$1857=0)*N$1875:N$1884)+SUMPRODUCT((N$1848:N$1857&gt;0)*(N$1875:N$1884&gt;N$1848:N$1857)*(N$1875:N$1884-N$1848:N$1857)))*N1898/N$1899,0)),N1884)),0)</f>
        <v>0</v>
      </c>
      <c r="O1924" s="9">
        <f ca="1">ROUND(MIN(O1857,IF(Intv_Ann_TA!$H$962,MAX(0,O1884+IFERROR((SUMPRODUCT((O$1848:O$1857=0)*O$1875:O$1884)+SUMPRODUCT((O$1848:O$1857&gt;0)*(O$1875:O$1884&gt;O$1848:O$1857)*(O$1875:O$1884-O$1848:O$1857)))*O1898/O$1899,0)),O1884)),0)</f>
        <v>0</v>
      </c>
    </row>
    <row r="1925" spans="3:15" s="327" customFormat="1" x14ac:dyDescent="0.2">
      <c r="D1925" s="520" t="str">
        <f>"Total "&amp;D1914&amp;" ("&amp;Intv_BA!G1768&amp;")"</f>
        <v>Total Number of Procedures Performed (RADIO)</v>
      </c>
      <c r="H1925" s="521" t="str">
        <f>Intv_BA!G1768</f>
        <v>RADIO</v>
      </c>
      <c r="J1925" s="25">
        <f t="shared" ref="J1925:O1925" ca="1" si="184">SUM(J1915:J1924)</f>
        <v>228</v>
      </c>
      <c r="K1925" s="25">
        <f t="shared" ca="1" si="184"/>
        <v>228</v>
      </c>
      <c r="L1925" s="25">
        <f t="shared" ca="1" si="184"/>
        <v>228</v>
      </c>
      <c r="M1925" s="25">
        <f t="shared" ca="1" si="184"/>
        <v>228</v>
      </c>
      <c r="N1925" s="25">
        <f t="shared" ca="1" si="184"/>
        <v>229</v>
      </c>
      <c r="O1925" s="25">
        <f t="shared" ca="1" si="184"/>
        <v>229</v>
      </c>
    </row>
    <row r="1926" spans="3:15" s="327" customFormat="1" x14ac:dyDescent="0.2"/>
    <row r="1927" spans="3:15" s="327" customFormat="1" ht="15.75" x14ac:dyDescent="0.2">
      <c r="C1927" s="26" t="str">
        <f>"Expected Costs ("&amp;INDEX(LU_Intv_4_Denom,DD_TS_Denom)&amp;")"</f>
        <v>Expected Costs (USD)</v>
      </c>
    </row>
    <row r="1928" spans="3:15" s="327" customFormat="1" x14ac:dyDescent="0.2"/>
    <row r="1929" spans="3:15" s="327" customFormat="1" ht="15" outlineLevel="2" x14ac:dyDescent="0.2">
      <c r="D1929" s="519" t="s">
        <v>105</v>
      </c>
    </row>
    <row r="1930" spans="3:15" s="327" customFormat="1" ht="10.5" customHeight="1" outlineLevel="2" x14ac:dyDescent="0.2">
      <c r="D1930" s="521" t="str">
        <f>Intv_BA!D1937</f>
        <v>Central</v>
      </c>
      <c r="J1930" s="8">
        <f ca="1">J1915*Intv_BA!$M$1890/TS_Denom_Conv_Fact</f>
        <v>0</v>
      </c>
      <c r="K1930" s="8">
        <f ca="1">K1915*Intv_BA!$M$1890/TS_Denom_Conv_Fact</f>
        <v>0</v>
      </c>
      <c r="L1930" s="8">
        <f ca="1">L1915*Intv_BA!$M$1890/TS_Denom_Conv_Fact</f>
        <v>0</v>
      </c>
      <c r="M1930" s="8">
        <f ca="1">M1915*Intv_BA!$M$1890/TS_Denom_Conv_Fact</f>
        <v>0</v>
      </c>
      <c r="N1930" s="8">
        <f ca="1">N1915*Intv_BA!$M$1890/TS_Denom_Conv_Fact</f>
        <v>0</v>
      </c>
      <c r="O1930" s="8">
        <f ca="1">O1915*Intv_BA!$M$1890/TS_Denom_Conv_Fact</f>
        <v>0</v>
      </c>
    </row>
    <row r="1931" spans="3:15" s="327" customFormat="1" ht="12.95" customHeight="1" outlineLevel="2" x14ac:dyDescent="0.2">
      <c r="D1931" s="521" t="str">
        <f>Intv_BA!D1938</f>
        <v>Copperbelt</v>
      </c>
      <c r="J1931" s="8">
        <f ca="1">J1916*Intv_BA!$M$1890/TS_Denom_Conv_Fact</f>
        <v>0</v>
      </c>
      <c r="K1931" s="8">
        <f ca="1">K1916*Intv_BA!$M$1890/TS_Denom_Conv_Fact</f>
        <v>0</v>
      </c>
      <c r="L1931" s="8">
        <f ca="1">L1916*Intv_BA!$M$1890/TS_Denom_Conv_Fact</f>
        <v>0</v>
      </c>
      <c r="M1931" s="8">
        <f ca="1">M1916*Intv_BA!$M$1890/TS_Denom_Conv_Fact</f>
        <v>0</v>
      </c>
      <c r="N1931" s="8">
        <f ca="1">N1916*Intv_BA!$M$1890/TS_Denom_Conv_Fact</f>
        <v>882.7402800000001</v>
      </c>
      <c r="O1931" s="8">
        <f ca="1">O1916*Intv_BA!$M$1890/TS_Denom_Conv_Fact</f>
        <v>882.7402800000001</v>
      </c>
    </row>
    <row r="1932" spans="3:15" s="327" customFormat="1" ht="12.95" customHeight="1" outlineLevel="2" x14ac:dyDescent="0.2">
      <c r="D1932" s="521" t="str">
        <f>Intv_BA!D1939</f>
        <v>Eastern</v>
      </c>
      <c r="J1932" s="8">
        <f ca="1">J1917*Intv_BA!$M$1890/TS_Denom_Conv_Fact</f>
        <v>0</v>
      </c>
      <c r="K1932" s="8">
        <f ca="1">K1917*Intv_BA!$M$1890/TS_Denom_Conv_Fact</f>
        <v>0</v>
      </c>
      <c r="L1932" s="8">
        <f ca="1">L1917*Intv_BA!$M$1890/TS_Denom_Conv_Fact</f>
        <v>0</v>
      </c>
      <c r="M1932" s="8">
        <f ca="1">M1917*Intv_BA!$M$1890/TS_Denom_Conv_Fact</f>
        <v>0</v>
      </c>
      <c r="N1932" s="8">
        <f ca="1">N1917*Intv_BA!$M$1890/TS_Denom_Conv_Fact</f>
        <v>0</v>
      </c>
      <c r="O1932" s="8">
        <f ca="1">O1917*Intv_BA!$M$1890/TS_Denom_Conv_Fact</f>
        <v>0</v>
      </c>
    </row>
    <row r="1933" spans="3:15" s="327" customFormat="1" ht="10.5" customHeight="1" outlineLevel="2" x14ac:dyDescent="0.2">
      <c r="D1933" s="521" t="str">
        <f>Intv_BA!D1940</f>
        <v>Luapula</v>
      </c>
      <c r="J1933" s="8">
        <f ca="1">J1918*Intv_BA!$M$1890/TS_Denom_Conv_Fact</f>
        <v>0</v>
      </c>
      <c r="K1933" s="8">
        <f ca="1">K1918*Intv_BA!$M$1890/TS_Denom_Conv_Fact</f>
        <v>0</v>
      </c>
      <c r="L1933" s="8">
        <f ca="1">L1918*Intv_BA!$M$1890/TS_Denom_Conv_Fact</f>
        <v>0</v>
      </c>
      <c r="M1933" s="8">
        <f ca="1">M1918*Intv_BA!$M$1890/TS_Denom_Conv_Fact</f>
        <v>0</v>
      </c>
      <c r="N1933" s="8">
        <f ca="1">N1918*Intv_BA!$M$1890/TS_Denom_Conv_Fact</f>
        <v>0</v>
      </c>
      <c r="O1933" s="8">
        <f ca="1">O1918*Intv_BA!$M$1890/TS_Denom_Conv_Fact</f>
        <v>0</v>
      </c>
    </row>
    <row r="1934" spans="3:15" s="327" customFormat="1" ht="10.5" customHeight="1" outlineLevel="2" x14ac:dyDescent="0.2">
      <c r="D1934" s="521" t="str">
        <f>Intv_BA!D1941</f>
        <v>Lusaka</v>
      </c>
      <c r="J1934" s="8">
        <f ca="1">J1919*Intv_BA!$M$1890/TS_Denom_Conv_Fact</f>
        <v>3470.08248</v>
      </c>
      <c r="K1934" s="8">
        <f ca="1">K1919*Intv_BA!$M$1890/TS_Denom_Conv_Fact</f>
        <v>3470.08248</v>
      </c>
      <c r="L1934" s="8">
        <f ca="1">L1919*Intv_BA!$M$1890/TS_Denom_Conv_Fact</f>
        <v>3470.08248</v>
      </c>
      <c r="M1934" s="8">
        <f ca="1">M1919*Intv_BA!$M$1890/TS_Denom_Conv_Fact</f>
        <v>3470.08248</v>
      </c>
      <c r="N1934" s="8">
        <f ca="1">N1919*Intv_BA!$M$1890/TS_Denom_Conv_Fact</f>
        <v>1719.82158</v>
      </c>
      <c r="O1934" s="8">
        <f ca="1">O1919*Intv_BA!$M$1890/TS_Denom_Conv_Fact</f>
        <v>1719.82158</v>
      </c>
    </row>
    <row r="1935" spans="3:15" s="327" customFormat="1" ht="12.75" customHeight="1" outlineLevel="2" x14ac:dyDescent="0.2">
      <c r="D1935" s="521" t="str">
        <f>Intv_BA!D1942</f>
        <v>Muchinga</v>
      </c>
      <c r="J1935" s="8">
        <f ca="1">J1920*Intv_BA!$M$1890/TS_Denom_Conv_Fact</f>
        <v>0</v>
      </c>
      <c r="K1935" s="8">
        <f ca="1">K1920*Intv_BA!$M$1890/TS_Denom_Conv_Fact</f>
        <v>0</v>
      </c>
      <c r="L1935" s="8">
        <f ca="1">L1920*Intv_BA!$M$1890/TS_Denom_Conv_Fact</f>
        <v>0</v>
      </c>
      <c r="M1935" s="8">
        <f ca="1">M1920*Intv_BA!$M$1890/TS_Denom_Conv_Fact</f>
        <v>0</v>
      </c>
      <c r="N1935" s="8">
        <f ca="1">N1920*Intv_BA!$M$1890/TS_Denom_Conv_Fact</f>
        <v>0</v>
      </c>
      <c r="O1935" s="8">
        <f ca="1">O1920*Intv_BA!$M$1890/TS_Denom_Conv_Fact</f>
        <v>0</v>
      </c>
    </row>
    <row r="1936" spans="3:15" s="327" customFormat="1" ht="12.75" customHeight="1" outlineLevel="2" x14ac:dyDescent="0.2">
      <c r="D1936" s="521" t="str">
        <f>Intv_BA!D1943</f>
        <v>Northern</v>
      </c>
      <c r="J1936" s="8">
        <f ca="1">J1921*Intv_BA!$M$1890/TS_Denom_Conv_Fact</f>
        <v>0</v>
      </c>
      <c r="K1936" s="8">
        <f ca="1">K1921*Intv_BA!$M$1890/TS_Denom_Conv_Fact</f>
        <v>0</v>
      </c>
      <c r="L1936" s="8">
        <f ca="1">L1921*Intv_BA!$M$1890/TS_Denom_Conv_Fact</f>
        <v>0</v>
      </c>
      <c r="M1936" s="8">
        <f ca="1">M1921*Intv_BA!$M$1890/TS_Denom_Conv_Fact</f>
        <v>0</v>
      </c>
      <c r="N1936" s="8">
        <f ca="1">N1921*Intv_BA!$M$1890/TS_Denom_Conv_Fact</f>
        <v>0</v>
      </c>
      <c r="O1936" s="8">
        <f ca="1">O1921*Intv_BA!$M$1890/TS_Denom_Conv_Fact</f>
        <v>0</v>
      </c>
    </row>
    <row r="1937" spans="4:15" s="327" customFormat="1" ht="12.75" customHeight="1" outlineLevel="2" x14ac:dyDescent="0.2">
      <c r="D1937" s="521" t="str">
        <f>Intv_BA!D1944</f>
        <v>North-Western</v>
      </c>
      <c r="J1937" s="8">
        <f ca="1">J1922*Intv_BA!$M$1890/TS_Denom_Conv_Fact</f>
        <v>0</v>
      </c>
      <c r="K1937" s="8">
        <f ca="1">K1922*Intv_BA!$M$1890/TS_Denom_Conv_Fact</f>
        <v>0</v>
      </c>
      <c r="L1937" s="8">
        <f ca="1">L1922*Intv_BA!$M$1890/TS_Denom_Conv_Fact</f>
        <v>0</v>
      </c>
      <c r="M1937" s="8">
        <f ca="1">M1922*Intv_BA!$M$1890/TS_Denom_Conv_Fact</f>
        <v>0</v>
      </c>
      <c r="N1937" s="8">
        <f ca="1">N1922*Intv_BA!$M$1890/TS_Denom_Conv_Fact</f>
        <v>0</v>
      </c>
      <c r="O1937" s="8">
        <f ca="1">O1922*Intv_BA!$M$1890/TS_Denom_Conv_Fact</f>
        <v>0</v>
      </c>
    </row>
    <row r="1938" spans="4:15" s="327" customFormat="1" ht="12.75" customHeight="1" outlineLevel="2" x14ac:dyDescent="0.2">
      <c r="D1938" s="521" t="str">
        <f>Intv_BA!D1945</f>
        <v>Southern</v>
      </c>
      <c r="J1938" s="8">
        <f ca="1">J1923*Intv_BA!$M$1890/TS_Denom_Conv_Fact</f>
        <v>0</v>
      </c>
      <c r="K1938" s="8">
        <f ca="1">K1923*Intv_BA!$M$1890/TS_Denom_Conv_Fact</f>
        <v>0</v>
      </c>
      <c r="L1938" s="8">
        <f ca="1">L1923*Intv_BA!$M$1890/TS_Denom_Conv_Fact</f>
        <v>0</v>
      </c>
      <c r="M1938" s="8">
        <f ca="1">M1923*Intv_BA!$M$1890/TS_Denom_Conv_Fact</f>
        <v>0</v>
      </c>
      <c r="N1938" s="8">
        <f ca="1">N1923*Intv_BA!$M$1890/TS_Denom_Conv_Fact</f>
        <v>882.7402800000001</v>
      </c>
      <c r="O1938" s="8">
        <f ca="1">O1923*Intv_BA!$M$1890/TS_Denom_Conv_Fact</f>
        <v>882.7402800000001</v>
      </c>
    </row>
    <row r="1939" spans="4:15" s="327" customFormat="1" ht="12.75" customHeight="1" outlineLevel="2" x14ac:dyDescent="0.2">
      <c r="D1939" s="521" t="str">
        <f>Intv_BA!D1946</f>
        <v>Western</v>
      </c>
      <c r="J1939" s="9">
        <f ca="1">J1924*Intv_BA!$M$1890/TS_Denom_Conv_Fact</f>
        <v>0</v>
      </c>
      <c r="K1939" s="9">
        <f ca="1">K1924*Intv_BA!$M$1890/TS_Denom_Conv_Fact</f>
        <v>0</v>
      </c>
      <c r="L1939" s="9">
        <f ca="1">L1924*Intv_BA!$M$1890/TS_Denom_Conv_Fact</f>
        <v>0</v>
      </c>
      <c r="M1939" s="9">
        <f ca="1">M1924*Intv_BA!$M$1890/TS_Denom_Conv_Fact</f>
        <v>0</v>
      </c>
      <c r="N1939" s="9">
        <f ca="1">N1924*Intv_BA!$M$1890/TS_Denom_Conv_Fact</f>
        <v>0</v>
      </c>
      <c r="O1939" s="9">
        <f ca="1">O1924*Intv_BA!$M$1890/TS_Denom_Conv_Fact</f>
        <v>0</v>
      </c>
    </row>
    <row r="1940" spans="4:15" s="327" customFormat="1" x14ac:dyDescent="0.2">
      <c r="D1940" s="520" t="str">
        <f>"Total "&amp;D1929&amp;" ("&amp;INDEX(LU_Intv_4_Denom,DD_TS_Denom)&amp;")"</f>
        <v>Total Supply Costs (USD)</v>
      </c>
      <c r="J1940" s="5">
        <f t="shared" ref="J1940:O1940" ca="1" si="185">SUM(J1930:J1939)</f>
        <v>3470.08248</v>
      </c>
      <c r="K1940" s="5">
        <f t="shared" ca="1" si="185"/>
        <v>3470.08248</v>
      </c>
      <c r="L1940" s="5">
        <f t="shared" ca="1" si="185"/>
        <v>3470.08248</v>
      </c>
      <c r="M1940" s="5">
        <f t="shared" ca="1" si="185"/>
        <v>3470.08248</v>
      </c>
      <c r="N1940" s="5">
        <f t="shared" ca="1" si="185"/>
        <v>3485.3021400000002</v>
      </c>
      <c r="O1940" s="5">
        <f t="shared" ca="1" si="185"/>
        <v>3485.3021400000002</v>
      </c>
    </row>
    <row r="1941" spans="4:15" s="327" customFormat="1" outlineLevel="2" x14ac:dyDescent="0.2"/>
    <row r="1942" spans="4:15" s="327" customFormat="1" ht="15" outlineLevel="2" x14ac:dyDescent="0.2">
      <c r="D1942" s="519" t="s">
        <v>288</v>
      </c>
    </row>
    <row r="1943" spans="4:15" s="327" customFormat="1" outlineLevel="2" x14ac:dyDescent="0.2">
      <c r="D1943" s="521" t="str">
        <f>Intv_BA!D1937</f>
        <v>Central</v>
      </c>
      <c r="J1943" s="8">
        <f ca="1">Intv_BA!$O$1857*J1915*J1834/TS_Denom_Conv_Fact</f>
        <v>0</v>
      </c>
      <c r="K1943" s="8">
        <f ca="1">Intv_BA!$O$1857*K1915*K1834/TS_Denom_Conv_Fact</f>
        <v>0</v>
      </c>
      <c r="L1943" s="8">
        <f ca="1">Intv_BA!$O$1857*L1915*L1834/TS_Denom_Conv_Fact</f>
        <v>0</v>
      </c>
      <c r="M1943" s="8">
        <f ca="1">Intv_BA!$O$1857*M1915*M1834/TS_Denom_Conv_Fact</f>
        <v>0</v>
      </c>
      <c r="N1943" s="8">
        <f ca="1">Intv_BA!$O$1857*N1915*N1834/TS_Denom_Conv_Fact</f>
        <v>0</v>
      </c>
      <c r="O1943" s="8">
        <f ca="1">Intv_BA!$O$1857*O1915*O1834/TS_Denom_Conv_Fact</f>
        <v>0</v>
      </c>
    </row>
    <row r="1944" spans="4:15" s="327" customFormat="1" outlineLevel="2" x14ac:dyDescent="0.2">
      <c r="D1944" s="521" t="str">
        <f>Intv_BA!D1938</f>
        <v>Copperbelt</v>
      </c>
      <c r="J1944" s="8">
        <f ca="1">Intv_BA!$O$1857*J1916*J1835/TS_Denom_Conv_Fact</f>
        <v>0</v>
      </c>
      <c r="K1944" s="8">
        <f ca="1">Intv_BA!$O$1857*K1916*K1835/TS_Denom_Conv_Fact</f>
        <v>0</v>
      </c>
      <c r="L1944" s="8">
        <f ca="1">Intv_BA!$O$1857*L1916*L1835/TS_Denom_Conv_Fact</f>
        <v>0</v>
      </c>
      <c r="M1944" s="8">
        <f ca="1">Intv_BA!$O$1857*M1916*M1835/TS_Denom_Conv_Fact</f>
        <v>0</v>
      </c>
      <c r="N1944" s="8">
        <f ca="1">Intv_BA!$O$1857*N1916*N1835/TS_Denom_Conv_Fact</f>
        <v>13343.111734388591</v>
      </c>
      <c r="O1944" s="8">
        <f ca="1">Intv_BA!$O$1857*O1916*O1835/TS_Denom_Conv_Fact</f>
        <v>13343.111734388591</v>
      </c>
    </row>
    <row r="1945" spans="4:15" s="327" customFormat="1" outlineLevel="2" x14ac:dyDescent="0.2">
      <c r="D1945" s="521" t="str">
        <f>Intv_BA!D1939</f>
        <v>Eastern</v>
      </c>
      <c r="J1945" s="8">
        <f ca="1">Intv_BA!$O$1857*J1917*J1836/TS_Denom_Conv_Fact</f>
        <v>0</v>
      </c>
      <c r="K1945" s="8">
        <f ca="1">Intv_BA!$O$1857*K1917*K1836/TS_Denom_Conv_Fact</f>
        <v>0</v>
      </c>
      <c r="L1945" s="8">
        <f ca="1">Intv_BA!$O$1857*L1917*L1836/TS_Denom_Conv_Fact</f>
        <v>0</v>
      </c>
      <c r="M1945" s="8">
        <f ca="1">Intv_BA!$O$1857*M1917*M1836/TS_Denom_Conv_Fact</f>
        <v>0</v>
      </c>
      <c r="N1945" s="8">
        <f ca="1">Intv_BA!$O$1857*N1917*N1836/TS_Denom_Conv_Fact</f>
        <v>0</v>
      </c>
      <c r="O1945" s="8">
        <f ca="1">Intv_BA!$O$1857*O1917*O1836/TS_Denom_Conv_Fact</f>
        <v>0</v>
      </c>
    </row>
    <row r="1946" spans="4:15" s="327" customFormat="1" outlineLevel="2" x14ac:dyDescent="0.2">
      <c r="D1946" s="521" t="str">
        <f>Intv_BA!D1940</f>
        <v>Luapula</v>
      </c>
      <c r="J1946" s="8">
        <f ca="1">Intv_BA!$O$1857*J1918*J1837/TS_Denom_Conv_Fact</f>
        <v>0</v>
      </c>
      <c r="K1946" s="8">
        <f ca="1">Intv_BA!$O$1857*K1918*K1837/TS_Denom_Conv_Fact</f>
        <v>0</v>
      </c>
      <c r="L1946" s="8">
        <f ca="1">Intv_BA!$O$1857*L1918*L1837/TS_Denom_Conv_Fact</f>
        <v>0</v>
      </c>
      <c r="M1946" s="8">
        <f ca="1">Intv_BA!$O$1857*M1918*M1837/TS_Denom_Conv_Fact</f>
        <v>0</v>
      </c>
      <c r="N1946" s="8">
        <f ca="1">Intv_BA!$O$1857*N1918*N1837/TS_Denom_Conv_Fact</f>
        <v>0</v>
      </c>
      <c r="O1946" s="8">
        <f ca="1">Intv_BA!$O$1857*O1918*O1837/TS_Denom_Conv_Fact</f>
        <v>0</v>
      </c>
    </row>
    <row r="1947" spans="4:15" s="327" customFormat="1" outlineLevel="2" x14ac:dyDescent="0.2">
      <c r="D1947" s="521" t="str">
        <f>Intv_BA!D1941</f>
        <v>Lusaka</v>
      </c>
      <c r="J1947" s="8">
        <f ca="1">Intv_BA!$O$1857*J1919*J1838/TS_Denom_Conv_Fact</f>
        <v>52452.232335182736</v>
      </c>
      <c r="K1947" s="8">
        <f ca="1">Intv_BA!$O$1857*K1919*K1838/TS_Denom_Conv_Fact</f>
        <v>52452.232335182736</v>
      </c>
      <c r="L1947" s="8">
        <f ca="1">Intv_BA!$O$1857*L1919*L1838/TS_Denom_Conv_Fact</f>
        <v>52452.232335182736</v>
      </c>
      <c r="M1947" s="8">
        <f ca="1">Intv_BA!$O$1857*M1919*M1838/TS_Denom_Conv_Fact</f>
        <v>52452.232335182736</v>
      </c>
      <c r="N1947" s="8">
        <f ca="1">Intv_BA!$O$1857*N1919*N1838/TS_Denom_Conv_Fact</f>
        <v>25996.06251699846</v>
      </c>
      <c r="O1947" s="8">
        <f ca="1">Intv_BA!$O$1857*O1919*O1838/TS_Denom_Conv_Fact</f>
        <v>25996.06251699846</v>
      </c>
    </row>
    <row r="1948" spans="4:15" s="327" customFormat="1" outlineLevel="2" x14ac:dyDescent="0.2">
      <c r="D1948" s="521" t="str">
        <f>Intv_BA!D1942</f>
        <v>Muchinga</v>
      </c>
      <c r="J1948" s="8">
        <f ca="1">Intv_BA!$O$1857*J1920*J1839/TS_Denom_Conv_Fact</f>
        <v>0</v>
      </c>
      <c r="K1948" s="8">
        <f ca="1">Intv_BA!$O$1857*K1920*K1839/TS_Denom_Conv_Fact</f>
        <v>0</v>
      </c>
      <c r="L1948" s="8">
        <f ca="1">Intv_BA!$O$1857*L1920*L1839/TS_Denom_Conv_Fact</f>
        <v>0</v>
      </c>
      <c r="M1948" s="8">
        <f ca="1">Intv_BA!$O$1857*M1920*M1839/TS_Denom_Conv_Fact</f>
        <v>0</v>
      </c>
      <c r="N1948" s="8">
        <f ca="1">Intv_BA!$O$1857*N1920*N1839/TS_Denom_Conv_Fact</f>
        <v>0</v>
      </c>
      <c r="O1948" s="8">
        <f ca="1">Intv_BA!$O$1857*O1920*O1839/TS_Denom_Conv_Fact</f>
        <v>0</v>
      </c>
    </row>
    <row r="1949" spans="4:15" s="327" customFormat="1" outlineLevel="2" x14ac:dyDescent="0.2">
      <c r="D1949" s="521" t="str">
        <f>Intv_BA!D1943</f>
        <v>Northern</v>
      </c>
      <c r="J1949" s="8">
        <f ca="1">Intv_BA!$O$1857*J1921*J1840/TS_Denom_Conv_Fact</f>
        <v>0</v>
      </c>
      <c r="K1949" s="8">
        <f ca="1">Intv_BA!$O$1857*K1921*K1840/TS_Denom_Conv_Fact</f>
        <v>0</v>
      </c>
      <c r="L1949" s="8">
        <f ca="1">Intv_BA!$O$1857*L1921*L1840/TS_Denom_Conv_Fact</f>
        <v>0</v>
      </c>
      <c r="M1949" s="8">
        <f ca="1">Intv_BA!$O$1857*M1921*M1840/TS_Denom_Conv_Fact</f>
        <v>0</v>
      </c>
      <c r="N1949" s="8">
        <f ca="1">Intv_BA!$O$1857*N1921*N1840/TS_Denom_Conv_Fact</f>
        <v>0</v>
      </c>
      <c r="O1949" s="8">
        <f ca="1">Intv_BA!$O$1857*O1921*O1840/TS_Denom_Conv_Fact</f>
        <v>0</v>
      </c>
    </row>
    <row r="1950" spans="4:15" s="327" customFormat="1" outlineLevel="2" x14ac:dyDescent="0.2">
      <c r="D1950" s="521" t="str">
        <f>Intv_BA!D1944</f>
        <v>North-Western</v>
      </c>
      <c r="J1950" s="8">
        <f ca="1">Intv_BA!$O$1857*J1922*J1841/TS_Denom_Conv_Fact</f>
        <v>0</v>
      </c>
      <c r="K1950" s="8">
        <f ca="1">Intv_BA!$O$1857*K1922*K1841/TS_Denom_Conv_Fact</f>
        <v>0</v>
      </c>
      <c r="L1950" s="8">
        <f ca="1">Intv_BA!$O$1857*L1922*L1841/TS_Denom_Conv_Fact</f>
        <v>0</v>
      </c>
      <c r="M1950" s="8">
        <f ca="1">Intv_BA!$O$1857*M1922*M1841/TS_Denom_Conv_Fact</f>
        <v>0</v>
      </c>
      <c r="N1950" s="8">
        <f ca="1">Intv_BA!$O$1857*N1922*N1841/TS_Denom_Conv_Fact</f>
        <v>0</v>
      </c>
      <c r="O1950" s="8">
        <f ca="1">Intv_BA!$O$1857*O1922*O1841/TS_Denom_Conv_Fact</f>
        <v>0</v>
      </c>
    </row>
    <row r="1951" spans="4:15" s="327" customFormat="1" outlineLevel="2" x14ac:dyDescent="0.2">
      <c r="D1951" s="521" t="str">
        <f>Intv_BA!D1945</f>
        <v>Southern</v>
      </c>
      <c r="J1951" s="8">
        <f ca="1">Intv_BA!$O$1857*J1923*J1842/TS_Denom_Conv_Fact</f>
        <v>0</v>
      </c>
      <c r="K1951" s="8">
        <f ca="1">Intv_BA!$O$1857*K1923*K1842/TS_Denom_Conv_Fact</f>
        <v>0</v>
      </c>
      <c r="L1951" s="8">
        <f ca="1">Intv_BA!$O$1857*L1923*L1842/TS_Denom_Conv_Fact</f>
        <v>0</v>
      </c>
      <c r="M1951" s="8">
        <f ca="1">Intv_BA!$O$1857*M1923*M1842/TS_Denom_Conv_Fact</f>
        <v>0</v>
      </c>
      <c r="N1951" s="8">
        <f ca="1">Intv_BA!$O$1857*N1923*N1842/TS_Denom_Conv_Fact</f>
        <v>13343.111734388591</v>
      </c>
      <c r="O1951" s="8">
        <f ca="1">Intv_BA!$O$1857*O1923*O1842/TS_Denom_Conv_Fact</f>
        <v>13343.111734388591</v>
      </c>
    </row>
    <row r="1952" spans="4:15" s="327" customFormat="1" outlineLevel="2" x14ac:dyDescent="0.2">
      <c r="D1952" s="521" t="str">
        <f>Intv_BA!D1946</f>
        <v>Western</v>
      </c>
      <c r="J1952" s="9">
        <f ca="1">Intv_BA!$O$1857*J1924*J1843/TS_Denom_Conv_Fact</f>
        <v>0</v>
      </c>
      <c r="K1952" s="9">
        <f ca="1">Intv_BA!$O$1857*K1924*K1843/TS_Denom_Conv_Fact</f>
        <v>0</v>
      </c>
      <c r="L1952" s="9">
        <f ca="1">Intv_BA!$O$1857*L1924*L1843/TS_Denom_Conv_Fact</f>
        <v>0</v>
      </c>
      <c r="M1952" s="9">
        <f ca="1">Intv_BA!$O$1857*M1924*M1843/TS_Denom_Conv_Fact</f>
        <v>0</v>
      </c>
      <c r="N1952" s="9">
        <f ca="1">Intv_BA!$O$1857*N1924*N1843/TS_Denom_Conv_Fact</f>
        <v>0</v>
      </c>
      <c r="O1952" s="9">
        <f ca="1">Intv_BA!$O$1857*O1924*O1843/TS_Denom_Conv_Fact</f>
        <v>0</v>
      </c>
    </row>
    <row r="1953" spans="4:15" s="327" customFormat="1" x14ac:dyDescent="0.2">
      <c r="D1953" s="520" t="str">
        <f>"Total "&amp;D1942&amp;" ("&amp;INDEX(LU_Intv_4_Denom,DD_TS_Denom)&amp;")"</f>
        <v>Total Personnel Costs (Hospital) (USD)</v>
      </c>
      <c r="J1953" s="5">
        <f t="shared" ref="J1953:O1953" ca="1" si="186">SUM(J1943:J1952)</f>
        <v>52452.232335182736</v>
      </c>
      <c r="K1953" s="5">
        <f t="shared" ca="1" si="186"/>
        <v>52452.232335182736</v>
      </c>
      <c r="L1953" s="5">
        <f t="shared" ca="1" si="186"/>
        <v>52452.232335182736</v>
      </c>
      <c r="M1953" s="5">
        <f t="shared" ca="1" si="186"/>
        <v>52452.232335182736</v>
      </c>
      <c r="N1953" s="5">
        <f t="shared" ca="1" si="186"/>
        <v>52682.285985775641</v>
      </c>
      <c r="O1953" s="5">
        <f t="shared" ca="1" si="186"/>
        <v>52682.285985775641</v>
      </c>
    </row>
    <row r="1954" spans="4:15" s="327" customFormat="1" outlineLevel="2" x14ac:dyDescent="0.2"/>
    <row r="1955" spans="4:15" s="327" customFormat="1" ht="15" outlineLevel="2" x14ac:dyDescent="0.2">
      <c r="D1955" s="519" t="s">
        <v>115</v>
      </c>
    </row>
    <row r="1956" spans="4:15" s="327" customFormat="1" outlineLevel="2" x14ac:dyDescent="0.2">
      <c r="D1956" s="521" t="str">
        <f>Intv_BA!D1937</f>
        <v>Central</v>
      </c>
      <c r="J1956" s="8">
        <f ca="1">Intv_BA!$O$1871*J1915*(1-J1834)/TS_Denom_Conv_Fact</f>
        <v>0</v>
      </c>
      <c r="K1956" s="8">
        <f ca="1">Intv_BA!$O$1871*K1915*(1-K1834)/TS_Denom_Conv_Fact</f>
        <v>0</v>
      </c>
      <c r="L1956" s="8">
        <f ca="1">Intv_BA!$O$1871*L1915*(1-L1834)/TS_Denom_Conv_Fact</f>
        <v>0</v>
      </c>
      <c r="M1956" s="8">
        <f ca="1">Intv_BA!$O$1871*M1915*(1-M1834)/TS_Denom_Conv_Fact</f>
        <v>0</v>
      </c>
      <c r="N1956" s="8">
        <f ca="1">Intv_BA!$O$1871*N1915*(1-N1834)/TS_Denom_Conv_Fact</f>
        <v>0</v>
      </c>
      <c r="O1956" s="8">
        <f ca="1">Intv_BA!$O$1871*O1915*(1-O1834)/TS_Denom_Conv_Fact</f>
        <v>0</v>
      </c>
    </row>
    <row r="1957" spans="4:15" s="327" customFormat="1" outlineLevel="2" x14ac:dyDescent="0.2">
      <c r="D1957" s="521" t="str">
        <f>Intv_BA!D1938</f>
        <v>Copperbelt</v>
      </c>
      <c r="J1957" s="8">
        <f ca="1">Intv_BA!$O$1871*J1916*(1-J1835)/TS_Denom_Conv_Fact</f>
        <v>0</v>
      </c>
      <c r="K1957" s="8">
        <f ca="1">Intv_BA!$O$1871*K1916*(1-K1835)/TS_Denom_Conv_Fact</f>
        <v>0</v>
      </c>
      <c r="L1957" s="8">
        <f ca="1">Intv_BA!$O$1871*L1916*(1-L1835)/TS_Denom_Conv_Fact</f>
        <v>0</v>
      </c>
      <c r="M1957" s="8">
        <f ca="1">Intv_BA!$O$1871*M1916*(1-M1835)/TS_Denom_Conv_Fact</f>
        <v>0</v>
      </c>
      <c r="N1957" s="8">
        <f ca="1">Intv_BA!$O$1871*N1916*(1-N1835)/TS_Denom_Conv_Fact</f>
        <v>0</v>
      </c>
      <c r="O1957" s="8">
        <f ca="1">Intv_BA!$O$1871*O1916*(1-O1835)/TS_Denom_Conv_Fact</f>
        <v>0</v>
      </c>
    </row>
    <row r="1958" spans="4:15" s="327" customFormat="1" outlineLevel="2" x14ac:dyDescent="0.2">
      <c r="D1958" s="521" t="str">
        <f>Intv_BA!D1939</f>
        <v>Eastern</v>
      </c>
      <c r="J1958" s="8">
        <f ca="1">Intv_BA!$O$1871*J1917*(1-J1836)/TS_Denom_Conv_Fact</f>
        <v>0</v>
      </c>
      <c r="K1958" s="8">
        <f ca="1">Intv_BA!$O$1871*K1917*(1-K1836)/TS_Denom_Conv_Fact</f>
        <v>0</v>
      </c>
      <c r="L1958" s="8">
        <f ca="1">Intv_BA!$O$1871*L1917*(1-L1836)/TS_Denom_Conv_Fact</f>
        <v>0</v>
      </c>
      <c r="M1958" s="8">
        <f ca="1">Intv_BA!$O$1871*M1917*(1-M1836)/TS_Denom_Conv_Fact</f>
        <v>0</v>
      </c>
      <c r="N1958" s="8">
        <f ca="1">Intv_BA!$O$1871*N1917*(1-N1836)/TS_Denom_Conv_Fact</f>
        <v>0</v>
      </c>
      <c r="O1958" s="8">
        <f ca="1">Intv_BA!$O$1871*O1917*(1-O1836)/TS_Denom_Conv_Fact</f>
        <v>0</v>
      </c>
    </row>
    <row r="1959" spans="4:15" s="327" customFormat="1" outlineLevel="2" x14ac:dyDescent="0.2">
      <c r="D1959" s="521" t="str">
        <f>Intv_BA!D1940</f>
        <v>Luapula</v>
      </c>
      <c r="J1959" s="8">
        <f ca="1">Intv_BA!$O$1871*J1918*(1-J1837)/TS_Denom_Conv_Fact</f>
        <v>0</v>
      </c>
      <c r="K1959" s="8">
        <f ca="1">Intv_BA!$O$1871*K1918*(1-K1837)/TS_Denom_Conv_Fact</f>
        <v>0</v>
      </c>
      <c r="L1959" s="8">
        <f ca="1">Intv_BA!$O$1871*L1918*(1-L1837)/TS_Denom_Conv_Fact</f>
        <v>0</v>
      </c>
      <c r="M1959" s="8">
        <f ca="1">Intv_BA!$O$1871*M1918*(1-M1837)/TS_Denom_Conv_Fact</f>
        <v>0</v>
      </c>
      <c r="N1959" s="8">
        <f ca="1">Intv_BA!$O$1871*N1918*(1-N1837)/TS_Denom_Conv_Fact</f>
        <v>0</v>
      </c>
      <c r="O1959" s="8">
        <f ca="1">Intv_BA!$O$1871*O1918*(1-O1837)/TS_Denom_Conv_Fact</f>
        <v>0</v>
      </c>
    </row>
    <row r="1960" spans="4:15" s="327" customFormat="1" outlineLevel="2" x14ac:dyDescent="0.2">
      <c r="D1960" s="521" t="str">
        <f>Intv_BA!D1941</f>
        <v>Lusaka</v>
      </c>
      <c r="J1960" s="8">
        <f ca="1">Intv_BA!$O$1871*J1919*(1-J1838)/TS_Denom_Conv_Fact</f>
        <v>0</v>
      </c>
      <c r="K1960" s="8">
        <f ca="1">Intv_BA!$O$1871*K1919*(1-K1838)/TS_Denom_Conv_Fact</f>
        <v>0</v>
      </c>
      <c r="L1960" s="8">
        <f ca="1">Intv_BA!$O$1871*L1919*(1-L1838)/TS_Denom_Conv_Fact</f>
        <v>0</v>
      </c>
      <c r="M1960" s="8">
        <f ca="1">Intv_BA!$O$1871*M1919*(1-M1838)/TS_Denom_Conv_Fact</f>
        <v>0</v>
      </c>
      <c r="N1960" s="8">
        <f ca="1">Intv_BA!$O$1871*N1919*(1-N1838)/TS_Denom_Conv_Fact</f>
        <v>0</v>
      </c>
      <c r="O1960" s="8">
        <f ca="1">Intv_BA!$O$1871*O1919*(1-O1838)/TS_Denom_Conv_Fact</f>
        <v>0</v>
      </c>
    </row>
    <row r="1961" spans="4:15" s="327" customFormat="1" outlineLevel="2" x14ac:dyDescent="0.2">
      <c r="D1961" s="521" t="str">
        <f>Intv_BA!D1942</f>
        <v>Muchinga</v>
      </c>
      <c r="J1961" s="8">
        <f ca="1">Intv_BA!$O$1871*J1920*(1-J1839)/TS_Denom_Conv_Fact</f>
        <v>0</v>
      </c>
      <c r="K1961" s="8">
        <f ca="1">Intv_BA!$O$1871*K1920*(1-K1839)/TS_Denom_Conv_Fact</f>
        <v>0</v>
      </c>
      <c r="L1961" s="8">
        <f ca="1">Intv_BA!$O$1871*L1920*(1-L1839)/TS_Denom_Conv_Fact</f>
        <v>0</v>
      </c>
      <c r="M1961" s="8">
        <f ca="1">Intv_BA!$O$1871*M1920*(1-M1839)/TS_Denom_Conv_Fact</f>
        <v>0</v>
      </c>
      <c r="N1961" s="8">
        <f ca="1">Intv_BA!$O$1871*N1920*(1-N1839)/TS_Denom_Conv_Fact</f>
        <v>0</v>
      </c>
      <c r="O1961" s="8">
        <f ca="1">Intv_BA!$O$1871*O1920*(1-O1839)/TS_Denom_Conv_Fact</f>
        <v>0</v>
      </c>
    </row>
    <row r="1962" spans="4:15" s="327" customFormat="1" outlineLevel="2" x14ac:dyDescent="0.2">
      <c r="D1962" s="521" t="str">
        <f>Intv_BA!D1943</f>
        <v>Northern</v>
      </c>
      <c r="J1962" s="8">
        <f ca="1">Intv_BA!$O$1871*J1921*(1-J1840)/TS_Denom_Conv_Fact</f>
        <v>0</v>
      </c>
      <c r="K1962" s="8">
        <f ca="1">Intv_BA!$O$1871*K1921*(1-K1840)/TS_Denom_Conv_Fact</f>
        <v>0</v>
      </c>
      <c r="L1962" s="8">
        <f ca="1">Intv_BA!$O$1871*L1921*(1-L1840)/TS_Denom_Conv_Fact</f>
        <v>0</v>
      </c>
      <c r="M1962" s="8">
        <f ca="1">Intv_BA!$O$1871*M1921*(1-M1840)/TS_Denom_Conv_Fact</f>
        <v>0</v>
      </c>
      <c r="N1962" s="8">
        <f ca="1">Intv_BA!$O$1871*N1921*(1-N1840)/TS_Denom_Conv_Fact</f>
        <v>0</v>
      </c>
      <c r="O1962" s="8">
        <f ca="1">Intv_BA!$O$1871*O1921*(1-O1840)/TS_Denom_Conv_Fact</f>
        <v>0</v>
      </c>
    </row>
    <row r="1963" spans="4:15" s="327" customFormat="1" outlineLevel="2" x14ac:dyDescent="0.2">
      <c r="D1963" s="521" t="str">
        <f>Intv_BA!D1944</f>
        <v>North-Western</v>
      </c>
      <c r="J1963" s="8">
        <f ca="1">Intv_BA!$O$1871*J1922*(1-J1841)/TS_Denom_Conv_Fact</f>
        <v>0</v>
      </c>
      <c r="K1963" s="8">
        <f ca="1">Intv_BA!$O$1871*K1922*(1-K1841)/TS_Denom_Conv_Fact</f>
        <v>0</v>
      </c>
      <c r="L1963" s="8">
        <f ca="1">Intv_BA!$O$1871*L1922*(1-L1841)/TS_Denom_Conv_Fact</f>
        <v>0</v>
      </c>
      <c r="M1963" s="8">
        <f ca="1">Intv_BA!$O$1871*M1922*(1-M1841)/TS_Denom_Conv_Fact</f>
        <v>0</v>
      </c>
      <c r="N1963" s="8">
        <f ca="1">Intv_BA!$O$1871*N1922*(1-N1841)/TS_Denom_Conv_Fact</f>
        <v>0</v>
      </c>
      <c r="O1963" s="8">
        <f ca="1">Intv_BA!$O$1871*O1922*(1-O1841)/TS_Denom_Conv_Fact</f>
        <v>0</v>
      </c>
    </row>
    <row r="1964" spans="4:15" s="327" customFormat="1" outlineLevel="2" x14ac:dyDescent="0.2">
      <c r="D1964" s="521" t="str">
        <f>Intv_BA!D1945</f>
        <v>Southern</v>
      </c>
      <c r="J1964" s="8">
        <f ca="1">Intv_BA!$O$1871*J1923*(1-J1842)/TS_Denom_Conv_Fact</f>
        <v>0</v>
      </c>
      <c r="K1964" s="8">
        <f ca="1">Intv_BA!$O$1871*K1923*(1-K1842)/TS_Denom_Conv_Fact</f>
        <v>0</v>
      </c>
      <c r="L1964" s="8">
        <f ca="1">Intv_BA!$O$1871*L1923*(1-L1842)/TS_Denom_Conv_Fact</f>
        <v>0</v>
      </c>
      <c r="M1964" s="8">
        <f ca="1">Intv_BA!$O$1871*M1923*(1-M1842)/TS_Denom_Conv_Fact</f>
        <v>0</v>
      </c>
      <c r="N1964" s="8">
        <f ca="1">Intv_BA!$O$1871*N1923*(1-N1842)/TS_Denom_Conv_Fact</f>
        <v>0</v>
      </c>
      <c r="O1964" s="8">
        <f ca="1">Intv_BA!$O$1871*O1923*(1-O1842)/TS_Denom_Conv_Fact</f>
        <v>0</v>
      </c>
    </row>
    <row r="1965" spans="4:15" s="327" customFormat="1" outlineLevel="2" x14ac:dyDescent="0.2">
      <c r="D1965" s="521" t="str">
        <f>Intv_BA!D1946</f>
        <v>Western</v>
      </c>
      <c r="J1965" s="9">
        <f ca="1">Intv_BA!$O$1871*J1924*(1-J1843)/TS_Denom_Conv_Fact</f>
        <v>0</v>
      </c>
      <c r="K1965" s="9">
        <f ca="1">Intv_BA!$O$1871*K1924*(1-K1843)/TS_Denom_Conv_Fact</f>
        <v>0</v>
      </c>
      <c r="L1965" s="9">
        <f ca="1">Intv_BA!$O$1871*L1924*(1-L1843)/TS_Denom_Conv_Fact</f>
        <v>0</v>
      </c>
      <c r="M1965" s="9">
        <f ca="1">Intv_BA!$O$1871*M1924*(1-M1843)/TS_Denom_Conv_Fact</f>
        <v>0</v>
      </c>
      <c r="N1965" s="9">
        <f ca="1">Intv_BA!$O$1871*N1924*(1-N1843)/TS_Denom_Conv_Fact</f>
        <v>0</v>
      </c>
      <c r="O1965" s="9">
        <f ca="1">Intv_BA!$O$1871*O1924*(1-O1843)/TS_Denom_Conv_Fact</f>
        <v>0</v>
      </c>
    </row>
    <row r="1966" spans="4:15" s="327" customFormat="1" x14ac:dyDescent="0.2">
      <c r="D1966" s="520" t="str">
        <f>"Total "&amp;D1955&amp;" ("&amp;INDEX(LU_Intv_4_Denom,DD_TS_Denom)&amp;")"</f>
        <v>Total Personnel Costs (Other) (USD)</v>
      </c>
      <c r="J1966" s="5">
        <f t="shared" ref="J1966:O1966" ca="1" si="187">SUM(J1956:J1965)</f>
        <v>0</v>
      </c>
      <c r="K1966" s="5">
        <f t="shared" ca="1" si="187"/>
        <v>0</v>
      </c>
      <c r="L1966" s="5">
        <f t="shared" ca="1" si="187"/>
        <v>0</v>
      </c>
      <c r="M1966" s="5">
        <f t="shared" ca="1" si="187"/>
        <v>0</v>
      </c>
      <c r="N1966" s="5">
        <f t="shared" ca="1" si="187"/>
        <v>0</v>
      </c>
      <c r="O1966" s="5">
        <f t="shared" ca="1" si="187"/>
        <v>0</v>
      </c>
    </row>
    <row r="1967" spans="4:15" s="327" customFormat="1" outlineLevel="2" x14ac:dyDescent="0.2"/>
    <row r="1968" spans="4:15" s="327" customFormat="1" ht="15" outlineLevel="2" x14ac:dyDescent="0.2">
      <c r="D1968" s="519" t="s">
        <v>143</v>
      </c>
    </row>
    <row r="1969" spans="4:15" s="327" customFormat="1" outlineLevel="2" x14ac:dyDescent="0.2">
      <c r="D1969" s="521" t="str">
        <f>Intv_BA!D1937</f>
        <v>Central</v>
      </c>
      <c r="J1969" s="8">
        <f ca="1">J1915*Intv_BA!$M$1927/TS_Denom_Conv_Fact</f>
        <v>0</v>
      </c>
      <c r="K1969" s="8">
        <f ca="1">K1915*Intv_BA!$M$1927/TS_Denom_Conv_Fact</f>
        <v>0</v>
      </c>
      <c r="L1969" s="8">
        <f ca="1">L1915*Intv_BA!$M$1927/TS_Denom_Conv_Fact</f>
        <v>0</v>
      </c>
      <c r="M1969" s="8">
        <f ca="1">M1915*Intv_BA!$M$1927/TS_Denom_Conv_Fact</f>
        <v>0</v>
      </c>
      <c r="N1969" s="8">
        <f ca="1">N1915*Intv_BA!$M$1927/TS_Denom_Conv_Fact</f>
        <v>0</v>
      </c>
      <c r="O1969" s="8">
        <f ca="1">O1915*Intv_BA!$M$1927/TS_Denom_Conv_Fact</f>
        <v>0</v>
      </c>
    </row>
    <row r="1970" spans="4:15" s="327" customFormat="1" outlineLevel="2" x14ac:dyDescent="0.2">
      <c r="D1970" s="521" t="str">
        <f>Intv_BA!D1938</f>
        <v>Copperbelt</v>
      </c>
      <c r="J1970" s="8">
        <f ca="1">J1916*Intv_BA!$M$1927/TS_Denom_Conv_Fact</f>
        <v>0</v>
      </c>
      <c r="K1970" s="8">
        <f ca="1">K1916*Intv_BA!$M$1927/TS_Denom_Conv_Fact</f>
        <v>0</v>
      </c>
      <c r="L1970" s="8">
        <f ca="1">L1916*Intv_BA!$M$1927/TS_Denom_Conv_Fact</f>
        <v>0</v>
      </c>
      <c r="M1970" s="8">
        <f ca="1">M1916*Intv_BA!$M$1927/TS_Denom_Conv_Fact</f>
        <v>0</v>
      </c>
      <c r="N1970" s="8">
        <f ca="1">N1916*Intv_BA!$M$1927/TS_Denom_Conv_Fact</f>
        <v>314.36</v>
      </c>
      <c r="O1970" s="8">
        <f ca="1">O1916*Intv_BA!$M$1927/TS_Denom_Conv_Fact</f>
        <v>314.36</v>
      </c>
    </row>
    <row r="1971" spans="4:15" s="327" customFormat="1" outlineLevel="2" x14ac:dyDescent="0.2">
      <c r="D1971" s="521" t="str">
        <f>Intv_BA!D1939</f>
        <v>Eastern</v>
      </c>
      <c r="J1971" s="8">
        <f ca="1">J1917*Intv_BA!$M$1927/TS_Denom_Conv_Fact</f>
        <v>0</v>
      </c>
      <c r="K1971" s="8">
        <f ca="1">K1917*Intv_BA!$M$1927/TS_Denom_Conv_Fact</f>
        <v>0</v>
      </c>
      <c r="L1971" s="8">
        <f ca="1">L1917*Intv_BA!$M$1927/TS_Denom_Conv_Fact</f>
        <v>0</v>
      </c>
      <c r="M1971" s="8">
        <f ca="1">M1917*Intv_BA!$M$1927/TS_Denom_Conv_Fact</f>
        <v>0</v>
      </c>
      <c r="N1971" s="8">
        <f ca="1">N1917*Intv_BA!$M$1927/TS_Denom_Conv_Fact</f>
        <v>0</v>
      </c>
      <c r="O1971" s="8">
        <f ca="1">O1917*Intv_BA!$M$1927/TS_Denom_Conv_Fact</f>
        <v>0</v>
      </c>
    </row>
    <row r="1972" spans="4:15" s="327" customFormat="1" outlineLevel="2" x14ac:dyDescent="0.2">
      <c r="D1972" s="521" t="str">
        <f>Intv_BA!D1940</f>
        <v>Luapula</v>
      </c>
      <c r="J1972" s="8">
        <f ca="1">J1918*Intv_BA!$M$1927/TS_Denom_Conv_Fact</f>
        <v>0</v>
      </c>
      <c r="K1972" s="8">
        <f ca="1">K1918*Intv_BA!$M$1927/TS_Denom_Conv_Fact</f>
        <v>0</v>
      </c>
      <c r="L1972" s="8">
        <f ca="1">L1918*Intv_BA!$M$1927/TS_Denom_Conv_Fact</f>
        <v>0</v>
      </c>
      <c r="M1972" s="8">
        <f ca="1">M1918*Intv_BA!$M$1927/TS_Denom_Conv_Fact</f>
        <v>0</v>
      </c>
      <c r="N1972" s="8">
        <f ca="1">N1918*Intv_BA!$M$1927/TS_Denom_Conv_Fact</f>
        <v>0</v>
      </c>
      <c r="O1972" s="8">
        <f ca="1">O1918*Intv_BA!$M$1927/TS_Denom_Conv_Fact</f>
        <v>0</v>
      </c>
    </row>
    <row r="1973" spans="4:15" s="327" customFormat="1" outlineLevel="2" x14ac:dyDescent="0.2">
      <c r="D1973" s="521" t="str">
        <f>Intv_BA!D1941</f>
        <v>Lusaka</v>
      </c>
      <c r="J1973" s="8">
        <f ca="1">J1919*Intv_BA!$M$1927/TS_Denom_Conv_Fact</f>
        <v>1235.76</v>
      </c>
      <c r="K1973" s="8">
        <f ca="1">K1919*Intv_BA!$M$1927/TS_Denom_Conv_Fact</f>
        <v>1235.76</v>
      </c>
      <c r="L1973" s="8">
        <f ca="1">L1919*Intv_BA!$M$1927/TS_Denom_Conv_Fact</f>
        <v>1235.76</v>
      </c>
      <c r="M1973" s="8">
        <f ca="1">M1919*Intv_BA!$M$1927/TS_Denom_Conv_Fact</f>
        <v>1235.76</v>
      </c>
      <c r="N1973" s="8">
        <f ca="1">N1919*Intv_BA!$M$1927/TS_Denom_Conv_Fact</f>
        <v>612.46</v>
      </c>
      <c r="O1973" s="8">
        <f ca="1">O1919*Intv_BA!$M$1927/TS_Denom_Conv_Fact</f>
        <v>612.46</v>
      </c>
    </row>
    <row r="1974" spans="4:15" s="327" customFormat="1" outlineLevel="2" x14ac:dyDescent="0.2">
      <c r="D1974" s="521" t="str">
        <f>Intv_BA!D1942</f>
        <v>Muchinga</v>
      </c>
      <c r="J1974" s="8">
        <f ca="1">J1920*Intv_BA!$M$1927/TS_Denom_Conv_Fact</f>
        <v>0</v>
      </c>
      <c r="K1974" s="8">
        <f ca="1">K1920*Intv_BA!$M$1927/TS_Denom_Conv_Fact</f>
        <v>0</v>
      </c>
      <c r="L1974" s="8">
        <f ca="1">L1920*Intv_BA!$M$1927/TS_Denom_Conv_Fact</f>
        <v>0</v>
      </c>
      <c r="M1974" s="8">
        <f ca="1">M1920*Intv_BA!$M$1927/TS_Denom_Conv_Fact</f>
        <v>0</v>
      </c>
      <c r="N1974" s="8">
        <f ca="1">N1920*Intv_BA!$M$1927/TS_Denom_Conv_Fact</f>
        <v>0</v>
      </c>
      <c r="O1974" s="8">
        <f ca="1">O1920*Intv_BA!$M$1927/TS_Denom_Conv_Fact</f>
        <v>0</v>
      </c>
    </row>
    <row r="1975" spans="4:15" s="327" customFormat="1" outlineLevel="2" x14ac:dyDescent="0.2">
      <c r="D1975" s="521" t="str">
        <f>Intv_BA!D1943</f>
        <v>Northern</v>
      </c>
      <c r="J1975" s="8">
        <f ca="1">J1921*Intv_BA!$M$1927/TS_Denom_Conv_Fact</f>
        <v>0</v>
      </c>
      <c r="K1975" s="8">
        <f ca="1">K1921*Intv_BA!$M$1927/TS_Denom_Conv_Fact</f>
        <v>0</v>
      </c>
      <c r="L1975" s="8">
        <f ca="1">L1921*Intv_BA!$M$1927/TS_Denom_Conv_Fact</f>
        <v>0</v>
      </c>
      <c r="M1975" s="8">
        <f ca="1">M1921*Intv_BA!$M$1927/TS_Denom_Conv_Fact</f>
        <v>0</v>
      </c>
      <c r="N1975" s="8">
        <f ca="1">N1921*Intv_BA!$M$1927/TS_Denom_Conv_Fact</f>
        <v>0</v>
      </c>
      <c r="O1975" s="8">
        <f ca="1">O1921*Intv_BA!$M$1927/TS_Denom_Conv_Fact</f>
        <v>0</v>
      </c>
    </row>
    <row r="1976" spans="4:15" s="327" customFormat="1" outlineLevel="2" x14ac:dyDescent="0.2">
      <c r="D1976" s="521" t="str">
        <f>Intv_BA!D1944</f>
        <v>North-Western</v>
      </c>
      <c r="J1976" s="8">
        <f ca="1">J1922*Intv_BA!$M$1927/TS_Denom_Conv_Fact</f>
        <v>0</v>
      </c>
      <c r="K1976" s="8">
        <f ca="1">K1922*Intv_BA!$M$1927/TS_Denom_Conv_Fact</f>
        <v>0</v>
      </c>
      <c r="L1976" s="8">
        <f ca="1">L1922*Intv_BA!$M$1927/TS_Denom_Conv_Fact</f>
        <v>0</v>
      </c>
      <c r="M1976" s="8">
        <f ca="1">M1922*Intv_BA!$M$1927/TS_Denom_Conv_Fact</f>
        <v>0</v>
      </c>
      <c r="N1976" s="8">
        <f ca="1">N1922*Intv_BA!$M$1927/TS_Denom_Conv_Fact</f>
        <v>0</v>
      </c>
      <c r="O1976" s="8">
        <f ca="1">O1922*Intv_BA!$M$1927/TS_Denom_Conv_Fact</f>
        <v>0</v>
      </c>
    </row>
    <row r="1977" spans="4:15" s="327" customFormat="1" outlineLevel="2" x14ac:dyDescent="0.2">
      <c r="D1977" s="521" t="str">
        <f>Intv_BA!D1945</f>
        <v>Southern</v>
      </c>
      <c r="J1977" s="8">
        <f ca="1">J1923*Intv_BA!$M$1927/TS_Denom_Conv_Fact</f>
        <v>0</v>
      </c>
      <c r="K1977" s="8">
        <f ca="1">K1923*Intv_BA!$M$1927/TS_Denom_Conv_Fact</f>
        <v>0</v>
      </c>
      <c r="L1977" s="8">
        <f ca="1">L1923*Intv_BA!$M$1927/TS_Denom_Conv_Fact</f>
        <v>0</v>
      </c>
      <c r="M1977" s="8">
        <f ca="1">M1923*Intv_BA!$M$1927/TS_Denom_Conv_Fact</f>
        <v>0</v>
      </c>
      <c r="N1977" s="8">
        <f ca="1">N1923*Intv_BA!$M$1927/TS_Denom_Conv_Fact</f>
        <v>314.36</v>
      </c>
      <c r="O1977" s="8">
        <f ca="1">O1923*Intv_BA!$M$1927/TS_Denom_Conv_Fact</f>
        <v>314.36</v>
      </c>
    </row>
    <row r="1978" spans="4:15" s="327" customFormat="1" outlineLevel="2" x14ac:dyDescent="0.2">
      <c r="D1978" s="521" t="str">
        <f>Intv_BA!D1946</f>
        <v>Western</v>
      </c>
      <c r="J1978" s="9">
        <f ca="1">J1924*Intv_BA!$M$1927/TS_Denom_Conv_Fact</f>
        <v>0</v>
      </c>
      <c r="K1978" s="9">
        <f ca="1">K1924*Intv_BA!$M$1927/TS_Denom_Conv_Fact</f>
        <v>0</v>
      </c>
      <c r="L1978" s="9">
        <f ca="1">L1924*Intv_BA!$M$1927/TS_Denom_Conv_Fact</f>
        <v>0</v>
      </c>
      <c r="M1978" s="9">
        <f ca="1">M1924*Intv_BA!$M$1927/TS_Denom_Conv_Fact</f>
        <v>0</v>
      </c>
      <c r="N1978" s="9">
        <f ca="1">N1924*Intv_BA!$M$1927/TS_Denom_Conv_Fact</f>
        <v>0</v>
      </c>
      <c r="O1978" s="9">
        <f ca="1">O1924*Intv_BA!$M$1927/TS_Denom_Conv_Fact</f>
        <v>0</v>
      </c>
    </row>
    <row r="1979" spans="4:15" s="327" customFormat="1" x14ac:dyDescent="0.2">
      <c r="D1979" s="520" t="str">
        <f>"Total "&amp;D1968&amp;" ("&amp;INDEX(LU_Intv_4_Denom,DD_TS_Denom)&amp;")"</f>
        <v>Total Other Direct Costs (Lab Tests) (USD)</v>
      </c>
      <c r="J1979" s="5">
        <f t="shared" ref="J1979:O1979" ca="1" si="188">SUM(J1969:J1978)</f>
        <v>1235.76</v>
      </c>
      <c r="K1979" s="5">
        <f t="shared" ca="1" si="188"/>
        <v>1235.76</v>
      </c>
      <c r="L1979" s="5">
        <f t="shared" ca="1" si="188"/>
        <v>1235.76</v>
      </c>
      <c r="M1979" s="5">
        <f t="shared" ca="1" si="188"/>
        <v>1235.76</v>
      </c>
      <c r="N1979" s="5">
        <f t="shared" ca="1" si="188"/>
        <v>1241.18</v>
      </c>
      <c r="O1979" s="5">
        <f t="shared" ca="1" si="188"/>
        <v>1241.18</v>
      </c>
    </row>
    <row r="1980" spans="4:15" s="327" customFormat="1" x14ac:dyDescent="0.2"/>
    <row r="1981" spans="4:15" s="327" customFormat="1" x14ac:dyDescent="0.2">
      <c r="D1981" s="520" t="str">
        <f>"Financial Costs [excl. Capex] ("&amp;INDEX(LU_Intv_4_Denom,DD_TS_Denom)&amp;")"</f>
        <v>Financial Costs [excl. Capex] (USD)</v>
      </c>
      <c r="H1981" s="521" t="str">
        <f>Intv_BA!G1768</f>
        <v>RADIO</v>
      </c>
      <c r="J1981" s="5">
        <f t="shared" ref="J1981:O1981" ca="1" si="189">J1940+J1979</f>
        <v>4705.8424800000003</v>
      </c>
      <c r="K1981" s="5">
        <f t="shared" ca="1" si="189"/>
        <v>4705.8424800000003</v>
      </c>
      <c r="L1981" s="5">
        <f t="shared" ca="1" si="189"/>
        <v>4705.8424800000003</v>
      </c>
      <c r="M1981" s="5">
        <f t="shared" ca="1" si="189"/>
        <v>4705.8424800000003</v>
      </c>
      <c r="N1981" s="5">
        <f t="shared" ca="1" si="189"/>
        <v>4726.4821400000001</v>
      </c>
      <c r="O1981" s="5">
        <f t="shared" ca="1" si="189"/>
        <v>4726.4821400000001</v>
      </c>
    </row>
    <row r="1982" spans="4:15" s="327" customFormat="1" x14ac:dyDescent="0.2">
      <c r="D1982" s="520" t="str">
        <f>"Economic Costs [excl. Capex] ("&amp;INDEX(LU_Intv_4_Denom,DD_TS_Denom)&amp;")"</f>
        <v>Economic Costs [excl. Capex] (USD)</v>
      </c>
      <c r="H1982" s="521" t="str">
        <f>Intv_BA!G1768</f>
        <v>RADIO</v>
      </c>
      <c r="J1982" s="5">
        <f t="shared" ref="J1982:O1982" ca="1" si="190">J1940+J1953+J1966+J1979</f>
        <v>57158.074815182736</v>
      </c>
      <c r="K1982" s="5">
        <f t="shared" ca="1" si="190"/>
        <v>57158.074815182736</v>
      </c>
      <c r="L1982" s="5">
        <f t="shared" ca="1" si="190"/>
        <v>57158.074815182736</v>
      </c>
      <c r="M1982" s="5">
        <f t="shared" ca="1" si="190"/>
        <v>57158.074815182736</v>
      </c>
      <c r="N1982" s="5">
        <f t="shared" ca="1" si="190"/>
        <v>57408.768125775641</v>
      </c>
      <c r="O1982" s="5">
        <f t="shared" ca="1" si="190"/>
        <v>57408.768125775641</v>
      </c>
    </row>
    <row r="1983" spans="4:15" s="327" customFormat="1" x14ac:dyDescent="0.2"/>
    <row r="1984" spans="4:15" s="327" customFormat="1" ht="15" outlineLevel="1" x14ac:dyDescent="0.2">
      <c r="D1984" s="519" t="s">
        <v>1690</v>
      </c>
    </row>
    <row r="1985" spans="4:15" s="327" customFormat="1" outlineLevel="1" x14ac:dyDescent="0.2">
      <c r="D1985" s="521" t="str">
        <f>Intv_BA!D1937</f>
        <v>Central</v>
      </c>
      <c r="H1985" s="546" t="str">
        <f>Intv_BA!G$1768</f>
        <v>RADIO</v>
      </c>
      <c r="J1985" s="5">
        <f>(J1820-I1820)*Intv_BA!$L$1911/TS_Denom_Conv_Fact</f>
        <v>0</v>
      </c>
      <c r="K1985" s="5">
        <f>(K1820-J1820)*Intv_BA!$L$1911/TS_Denom_Conv_Fact</f>
        <v>0</v>
      </c>
      <c r="L1985" s="5">
        <f>(L1820-K1820)*Intv_BA!$L$1911/TS_Denom_Conv_Fact</f>
        <v>0</v>
      </c>
      <c r="M1985" s="5">
        <f>(M1820-L1820)*Intv_BA!$L$1911/TS_Denom_Conv_Fact</f>
        <v>0</v>
      </c>
      <c r="N1985" s="5">
        <f>(N1820-M1820)*Intv_BA!$L$1911/TS_Denom_Conv_Fact</f>
        <v>0</v>
      </c>
      <c r="O1985" s="5">
        <f>(O1820-N1820)*Intv_BA!$L$1911/TS_Denom_Conv_Fact</f>
        <v>0</v>
      </c>
    </row>
    <row r="1986" spans="4:15" s="327" customFormat="1" outlineLevel="1" x14ac:dyDescent="0.2">
      <c r="D1986" s="521" t="str">
        <f>Intv_BA!D1938</f>
        <v>Copperbelt</v>
      </c>
      <c r="H1986" s="546" t="str">
        <f>Intv_BA!G$1768</f>
        <v>RADIO</v>
      </c>
      <c r="J1986" s="5">
        <f>(J1821-I1821)*Intv_BA!$L$1911/TS_Denom_Conv_Fact</f>
        <v>0</v>
      </c>
      <c r="K1986" s="5">
        <f>(K1821-J1821)*Intv_BA!$L$1911/TS_Denom_Conv_Fact</f>
        <v>0</v>
      </c>
      <c r="L1986" s="5">
        <f>(L1821-K1821)*Intv_BA!$L$1911/TS_Denom_Conv_Fact</f>
        <v>0</v>
      </c>
      <c r="M1986" s="5">
        <f>(M1821-L1821)*Intv_BA!$L$1911/TS_Denom_Conv_Fact</f>
        <v>0</v>
      </c>
      <c r="N1986" s="5">
        <f>(N1821-M1821)*Intv_BA!$L$1911/TS_Denom_Conv_Fact</f>
        <v>750000</v>
      </c>
      <c r="O1986" s="5">
        <f>(O1821-N1821)*Intv_BA!$L$1911/TS_Denom_Conv_Fact</f>
        <v>0</v>
      </c>
    </row>
    <row r="1987" spans="4:15" s="327" customFormat="1" outlineLevel="1" x14ac:dyDescent="0.2">
      <c r="D1987" s="521" t="str">
        <f>Intv_BA!D1939</f>
        <v>Eastern</v>
      </c>
      <c r="H1987" s="546" t="str">
        <f>Intv_BA!G$1768</f>
        <v>RADIO</v>
      </c>
      <c r="J1987" s="5">
        <f>(J1822-I1822)*Intv_BA!$L$1911/TS_Denom_Conv_Fact</f>
        <v>0</v>
      </c>
      <c r="K1987" s="5">
        <f>(K1822-J1822)*Intv_BA!$L$1911/TS_Denom_Conv_Fact</f>
        <v>0</v>
      </c>
      <c r="L1987" s="5">
        <f>(L1822-K1822)*Intv_BA!$L$1911/TS_Denom_Conv_Fact</f>
        <v>0</v>
      </c>
      <c r="M1987" s="5">
        <f>(M1822-L1822)*Intv_BA!$L$1911/TS_Denom_Conv_Fact</f>
        <v>0</v>
      </c>
      <c r="N1987" s="5">
        <f>(N1822-M1822)*Intv_BA!$L$1911/TS_Denom_Conv_Fact</f>
        <v>0</v>
      </c>
      <c r="O1987" s="5">
        <f>(O1822-N1822)*Intv_BA!$L$1911/TS_Denom_Conv_Fact</f>
        <v>0</v>
      </c>
    </row>
    <row r="1988" spans="4:15" s="327" customFormat="1" outlineLevel="1" x14ac:dyDescent="0.2">
      <c r="D1988" s="521" t="str">
        <f>Intv_BA!D1940</f>
        <v>Luapula</v>
      </c>
      <c r="H1988" s="546" t="str">
        <f>Intv_BA!G$1768</f>
        <v>RADIO</v>
      </c>
      <c r="J1988" s="5">
        <f>(J1823-I1823)*Intv_BA!$L$1911/TS_Denom_Conv_Fact</f>
        <v>0</v>
      </c>
      <c r="K1988" s="5">
        <f>(K1823-J1823)*Intv_BA!$L$1911/TS_Denom_Conv_Fact</f>
        <v>0</v>
      </c>
      <c r="L1988" s="5">
        <f>(L1823-K1823)*Intv_BA!$L$1911/TS_Denom_Conv_Fact</f>
        <v>0</v>
      </c>
      <c r="M1988" s="5">
        <f>(M1823-L1823)*Intv_BA!$L$1911/TS_Denom_Conv_Fact</f>
        <v>0</v>
      </c>
      <c r="N1988" s="5">
        <f>(N1823-M1823)*Intv_BA!$L$1911/TS_Denom_Conv_Fact</f>
        <v>0</v>
      </c>
      <c r="O1988" s="5">
        <f>(O1823-N1823)*Intv_BA!$L$1911/TS_Denom_Conv_Fact</f>
        <v>0</v>
      </c>
    </row>
    <row r="1989" spans="4:15" s="327" customFormat="1" outlineLevel="1" x14ac:dyDescent="0.2">
      <c r="D1989" s="521" t="str">
        <f>Intv_BA!D1941</f>
        <v>Lusaka</v>
      </c>
      <c r="H1989" s="546" t="str">
        <f>Intv_BA!G$1768</f>
        <v>RADIO</v>
      </c>
      <c r="J1989" s="5">
        <f>(J1824-I1824)*Intv_BA!$L$1911/TS_Denom_Conv_Fact</f>
        <v>750000</v>
      </c>
      <c r="K1989" s="5">
        <f>(K1824-J1824)*Intv_BA!$L$1911/TS_Denom_Conv_Fact</f>
        <v>0</v>
      </c>
      <c r="L1989" s="5">
        <f>(L1824-K1824)*Intv_BA!$L$1911/TS_Denom_Conv_Fact</f>
        <v>0</v>
      </c>
      <c r="M1989" s="5">
        <f>(M1824-L1824)*Intv_BA!$L$1911/TS_Denom_Conv_Fact</f>
        <v>0</v>
      </c>
      <c r="N1989" s="5">
        <f>(N1824-M1824)*Intv_BA!$L$1911/TS_Denom_Conv_Fact</f>
        <v>0</v>
      </c>
      <c r="O1989" s="5">
        <f>(O1824-N1824)*Intv_BA!$L$1911/TS_Denom_Conv_Fact</f>
        <v>0</v>
      </c>
    </row>
    <row r="1990" spans="4:15" s="327" customFormat="1" outlineLevel="1" x14ac:dyDescent="0.2">
      <c r="D1990" s="521" t="str">
        <f>Intv_BA!D1942</f>
        <v>Muchinga</v>
      </c>
      <c r="H1990" s="546" t="str">
        <f>Intv_BA!G$1768</f>
        <v>RADIO</v>
      </c>
      <c r="J1990" s="5">
        <f>(J1825-I1825)*Intv_BA!$L$1911/TS_Denom_Conv_Fact</f>
        <v>0</v>
      </c>
      <c r="K1990" s="5">
        <f>(K1825-J1825)*Intv_BA!$L$1911/TS_Denom_Conv_Fact</f>
        <v>0</v>
      </c>
      <c r="L1990" s="5">
        <f>(L1825-K1825)*Intv_BA!$L$1911/TS_Denom_Conv_Fact</f>
        <v>0</v>
      </c>
      <c r="M1990" s="5">
        <f>(M1825-L1825)*Intv_BA!$L$1911/TS_Denom_Conv_Fact</f>
        <v>0</v>
      </c>
      <c r="N1990" s="5">
        <f>(N1825-M1825)*Intv_BA!$L$1911/TS_Denom_Conv_Fact</f>
        <v>0</v>
      </c>
      <c r="O1990" s="5">
        <f>(O1825-N1825)*Intv_BA!$L$1911/TS_Denom_Conv_Fact</f>
        <v>0</v>
      </c>
    </row>
    <row r="1991" spans="4:15" s="327" customFormat="1" outlineLevel="1" x14ac:dyDescent="0.2">
      <c r="D1991" s="521" t="str">
        <f>Intv_BA!D1943</f>
        <v>Northern</v>
      </c>
      <c r="H1991" s="546" t="str">
        <f>Intv_BA!G$1768</f>
        <v>RADIO</v>
      </c>
      <c r="J1991" s="5">
        <f>(J1826-I1826)*Intv_BA!$L$1911/TS_Denom_Conv_Fact</f>
        <v>0</v>
      </c>
      <c r="K1991" s="5">
        <f>(K1826-J1826)*Intv_BA!$L$1911/TS_Denom_Conv_Fact</f>
        <v>0</v>
      </c>
      <c r="L1991" s="5">
        <f>(L1826-K1826)*Intv_BA!$L$1911/TS_Denom_Conv_Fact</f>
        <v>0</v>
      </c>
      <c r="M1991" s="5">
        <f>(M1826-L1826)*Intv_BA!$L$1911/TS_Denom_Conv_Fact</f>
        <v>0</v>
      </c>
      <c r="N1991" s="5">
        <f>(N1826-M1826)*Intv_BA!$L$1911/TS_Denom_Conv_Fact</f>
        <v>0</v>
      </c>
      <c r="O1991" s="5">
        <f>(O1826-N1826)*Intv_BA!$L$1911/TS_Denom_Conv_Fact</f>
        <v>0</v>
      </c>
    </row>
    <row r="1992" spans="4:15" s="327" customFormat="1" outlineLevel="1" x14ac:dyDescent="0.2">
      <c r="D1992" s="521" t="str">
        <f>Intv_BA!D1944</f>
        <v>North-Western</v>
      </c>
      <c r="H1992" s="546" t="str">
        <f>Intv_BA!G$1768</f>
        <v>RADIO</v>
      </c>
      <c r="J1992" s="5">
        <f>(J1827-I1827)*Intv_BA!$L$1911/TS_Denom_Conv_Fact</f>
        <v>0</v>
      </c>
      <c r="K1992" s="5">
        <f>(K1827-J1827)*Intv_BA!$L$1911/TS_Denom_Conv_Fact</f>
        <v>0</v>
      </c>
      <c r="L1992" s="5">
        <f>(L1827-K1827)*Intv_BA!$L$1911/TS_Denom_Conv_Fact</f>
        <v>0</v>
      </c>
      <c r="M1992" s="5">
        <f>(M1827-L1827)*Intv_BA!$L$1911/TS_Denom_Conv_Fact</f>
        <v>0</v>
      </c>
      <c r="N1992" s="5">
        <f>(N1827-M1827)*Intv_BA!$L$1911/TS_Denom_Conv_Fact</f>
        <v>0</v>
      </c>
      <c r="O1992" s="5">
        <f>(O1827-N1827)*Intv_BA!$L$1911/TS_Denom_Conv_Fact</f>
        <v>0</v>
      </c>
    </row>
    <row r="1993" spans="4:15" s="327" customFormat="1" outlineLevel="1" x14ac:dyDescent="0.2">
      <c r="D1993" s="521" t="str">
        <f>Intv_BA!D1945</f>
        <v>Southern</v>
      </c>
      <c r="H1993" s="546" t="str">
        <f>Intv_BA!G$1768</f>
        <v>RADIO</v>
      </c>
      <c r="J1993" s="5">
        <f>(J1828-I1828)*Intv_BA!$L$1911/TS_Denom_Conv_Fact</f>
        <v>0</v>
      </c>
      <c r="K1993" s="5">
        <f>(K1828-J1828)*Intv_BA!$L$1911/TS_Denom_Conv_Fact</f>
        <v>0</v>
      </c>
      <c r="L1993" s="5">
        <f>(L1828-K1828)*Intv_BA!$L$1911/TS_Denom_Conv_Fact</f>
        <v>0</v>
      </c>
      <c r="M1993" s="5">
        <f>(M1828-L1828)*Intv_BA!$L$1911/TS_Denom_Conv_Fact</f>
        <v>0</v>
      </c>
      <c r="N1993" s="5">
        <f>(N1828-M1828)*Intv_BA!$L$1911/TS_Denom_Conv_Fact</f>
        <v>750000</v>
      </c>
      <c r="O1993" s="5">
        <f>(O1828-N1828)*Intv_BA!$L$1911/TS_Denom_Conv_Fact</f>
        <v>0</v>
      </c>
    </row>
    <row r="1994" spans="4:15" s="327" customFormat="1" outlineLevel="1" x14ac:dyDescent="0.2">
      <c r="D1994" s="521" t="str">
        <f>Intv_BA!D1946</f>
        <v>Western</v>
      </c>
      <c r="H1994" s="546" t="str">
        <f>Intv_BA!G$1768</f>
        <v>RADIO</v>
      </c>
      <c r="J1994" s="5">
        <f>(J1829-I1829)*Intv_BA!$L$1911/TS_Denom_Conv_Fact</f>
        <v>0</v>
      </c>
      <c r="K1994" s="5">
        <f>(K1829-J1829)*Intv_BA!$L$1911/TS_Denom_Conv_Fact</f>
        <v>0</v>
      </c>
      <c r="L1994" s="5">
        <f>(L1829-K1829)*Intv_BA!$L$1911/TS_Denom_Conv_Fact</f>
        <v>0</v>
      </c>
      <c r="M1994" s="5">
        <f>(M1829-L1829)*Intv_BA!$L$1911/TS_Denom_Conv_Fact</f>
        <v>0</v>
      </c>
      <c r="N1994" s="5">
        <f>(N1829-M1829)*Intv_BA!$L$1911/TS_Denom_Conv_Fact</f>
        <v>0</v>
      </c>
      <c r="O1994" s="5">
        <f>(O1829-N1829)*Intv_BA!$L$1911/TS_Denom_Conv_Fact</f>
        <v>0</v>
      </c>
    </row>
    <row r="1995" spans="4:15" s="327" customFormat="1" ht="15" x14ac:dyDescent="0.2">
      <c r="D1995" s="520" t="str">
        <f>D1984&amp;" ("&amp;INDEX(LU_Intv_4_Denom,DD_TS_Denom)&amp;")"</f>
        <v>Financial Capital Expenditures (Capex) (NonAnnualized) (USD)</v>
      </c>
      <c r="H1995" s="24" t="str">
        <f>Intv_BA!$G$1768</f>
        <v>RADIO</v>
      </c>
      <c r="J1995" s="5">
        <f t="shared" ref="J1995:O1995" si="191">SUM(J1985:J1994)</f>
        <v>750000</v>
      </c>
      <c r="K1995" s="5">
        <f t="shared" si="191"/>
        <v>0</v>
      </c>
      <c r="L1995" s="5">
        <f t="shared" si="191"/>
        <v>0</v>
      </c>
      <c r="M1995" s="5">
        <f t="shared" si="191"/>
        <v>0</v>
      </c>
      <c r="N1995" s="5">
        <f t="shared" si="191"/>
        <v>1500000</v>
      </c>
      <c r="O1995" s="5">
        <f t="shared" si="191"/>
        <v>0</v>
      </c>
    </row>
    <row r="1996" spans="4:15" s="327" customFormat="1" ht="15" outlineLevel="2" x14ac:dyDescent="0.2">
      <c r="D1996" s="519" t="s">
        <v>1691</v>
      </c>
    </row>
    <row r="1997" spans="4:15" s="327" customFormat="1" outlineLevel="2" x14ac:dyDescent="0.2">
      <c r="D1997" s="521" t="str">
        <f>Intv_BA!D1937</f>
        <v>Central</v>
      </c>
      <c r="H1997" s="546" t="str">
        <f>Intv_BA!G$1768</f>
        <v>RADIO</v>
      </c>
      <c r="J1997" s="8">
        <f>J1820*Intv_BA!$M$1913/TS_Denom_Conv_Fact</f>
        <v>0</v>
      </c>
      <c r="K1997" s="8">
        <f>K1820*Intv_BA!$M$1913/TS_Denom_Conv_Fact</f>
        <v>0</v>
      </c>
      <c r="L1997" s="8">
        <f>L1820*Intv_BA!$M$1913/TS_Denom_Conv_Fact</f>
        <v>0</v>
      </c>
      <c r="M1997" s="8">
        <f>M1820*Intv_BA!$M$1913/TS_Denom_Conv_Fact</f>
        <v>0</v>
      </c>
      <c r="N1997" s="8">
        <f>N1820*Intv_BA!$M$1913/TS_Denom_Conv_Fact</f>
        <v>0</v>
      </c>
      <c r="O1997" s="8">
        <f>O1820*Intv_BA!$M$1913/TS_Denom_Conv_Fact</f>
        <v>0</v>
      </c>
    </row>
    <row r="1998" spans="4:15" s="327" customFormat="1" outlineLevel="2" x14ac:dyDescent="0.2">
      <c r="D1998" s="521" t="str">
        <f>Intv_BA!D1938</f>
        <v>Copperbelt</v>
      </c>
      <c r="H1998" s="546" t="str">
        <f>Intv_BA!G$1768</f>
        <v>RADIO</v>
      </c>
      <c r="J1998" s="8">
        <f>J1821*Intv_BA!$M$1913/TS_Denom_Conv_Fact</f>
        <v>0</v>
      </c>
      <c r="K1998" s="8">
        <f>K1821*Intv_BA!$M$1913/TS_Denom_Conv_Fact</f>
        <v>0</v>
      </c>
      <c r="L1998" s="8">
        <f>L1821*Intv_BA!$M$1913/TS_Denom_Conv_Fact</f>
        <v>0</v>
      </c>
      <c r="M1998" s="8">
        <f>M1821*Intv_BA!$M$1913/TS_Denom_Conv_Fact</f>
        <v>0</v>
      </c>
      <c r="N1998" s="8">
        <f>N1821*Intv_BA!$M$1913/TS_Denom_Conv_Fact</f>
        <v>125781.25</v>
      </c>
      <c r="O1998" s="8">
        <f>O1821*Intv_BA!$M$1913/TS_Denom_Conv_Fact</f>
        <v>125781.25</v>
      </c>
    </row>
    <row r="1999" spans="4:15" s="327" customFormat="1" outlineLevel="2" x14ac:dyDescent="0.2">
      <c r="D1999" s="521" t="str">
        <f>Intv_BA!D1939</f>
        <v>Eastern</v>
      </c>
      <c r="H1999" s="546" t="str">
        <f>Intv_BA!G$1768</f>
        <v>RADIO</v>
      </c>
      <c r="J1999" s="8">
        <f>J1822*Intv_BA!$M$1913/TS_Denom_Conv_Fact</f>
        <v>0</v>
      </c>
      <c r="K1999" s="8">
        <f>K1822*Intv_BA!$M$1913/TS_Denom_Conv_Fact</f>
        <v>0</v>
      </c>
      <c r="L1999" s="8">
        <f>L1822*Intv_BA!$M$1913/TS_Denom_Conv_Fact</f>
        <v>0</v>
      </c>
      <c r="M1999" s="8">
        <f>M1822*Intv_BA!$M$1913/TS_Denom_Conv_Fact</f>
        <v>0</v>
      </c>
      <c r="N1999" s="8">
        <f>N1822*Intv_BA!$M$1913/TS_Denom_Conv_Fact</f>
        <v>0</v>
      </c>
      <c r="O1999" s="8">
        <f>O1822*Intv_BA!$M$1913/TS_Denom_Conv_Fact</f>
        <v>0</v>
      </c>
    </row>
    <row r="2000" spans="4:15" s="327" customFormat="1" outlineLevel="2" x14ac:dyDescent="0.2">
      <c r="D2000" s="521" t="str">
        <f>Intv_BA!D1940</f>
        <v>Luapula</v>
      </c>
      <c r="H2000" s="546" t="str">
        <f>Intv_BA!G$1768</f>
        <v>RADIO</v>
      </c>
      <c r="J2000" s="8">
        <f>J1823*Intv_BA!$M$1913/TS_Denom_Conv_Fact</f>
        <v>0</v>
      </c>
      <c r="K2000" s="8">
        <f>K1823*Intv_BA!$M$1913/TS_Denom_Conv_Fact</f>
        <v>0</v>
      </c>
      <c r="L2000" s="8">
        <f>L1823*Intv_BA!$M$1913/TS_Denom_Conv_Fact</f>
        <v>0</v>
      </c>
      <c r="M2000" s="8">
        <f>M1823*Intv_BA!$M$1913/TS_Denom_Conv_Fact</f>
        <v>0</v>
      </c>
      <c r="N2000" s="8">
        <f>N1823*Intv_BA!$M$1913/TS_Denom_Conv_Fact</f>
        <v>0</v>
      </c>
      <c r="O2000" s="8">
        <f>O1823*Intv_BA!$M$1913/TS_Denom_Conv_Fact</f>
        <v>0</v>
      </c>
    </row>
    <row r="2001" spans="4:15" s="327" customFormat="1" outlineLevel="2" x14ac:dyDescent="0.2">
      <c r="D2001" s="521" t="str">
        <f>Intv_BA!D1941</f>
        <v>Lusaka</v>
      </c>
      <c r="H2001" s="546" t="str">
        <f>Intv_BA!G$1768</f>
        <v>RADIO</v>
      </c>
      <c r="J2001" s="8">
        <f>J1824*Intv_BA!$M$1913/TS_Denom_Conv_Fact</f>
        <v>125781.25</v>
      </c>
      <c r="K2001" s="8">
        <f>K1824*Intv_BA!$M$1913/TS_Denom_Conv_Fact</f>
        <v>125781.25</v>
      </c>
      <c r="L2001" s="8">
        <f>L1824*Intv_BA!$M$1913/TS_Denom_Conv_Fact</f>
        <v>125781.25</v>
      </c>
      <c r="M2001" s="8">
        <f>M1824*Intv_BA!$M$1913/TS_Denom_Conv_Fact</f>
        <v>125781.25</v>
      </c>
      <c r="N2001" s="8">
        <f>N1824*Intv_BA!$M$1913/TS_Denom_Conv_Fact</f>
        <v>125781.25</v>
      </c>
      <c r="O2001" s="8">
        <f>O1824*Intv_BA!$M$1913/TS_Denom_Conv_Fact</f>
        <v>125781.25</v>
      </c>
    </row>
    <row r="2002" spans="4:15" s="327" customFormat="1" outlineLevel="2" x14ac:dyDescent="0.2">
      <c r="D2002" s="521" t="str">
        <f>Intv_BA!D1942</f>
        <v>Muchinga</v>
      </c>
      <c r="H2002" s="546" t="str">
        <f>Intv_BA!G$1768</f>
        <v>RADIO</v>
      </c>
      <c r="J2002" s="8">
        <f>J1825*Intv_BA!$M$1913/TS_Denom_Conv_Fact</f>
        <v>0</v>
      </c>
      <c r="K2002" s="8">
        <f>K1825*Intv_BA!$M$1913/TS_Denom_Conv_Fact</f>
        <v>0</v>
      </c>
      <c r="L2002" s="8">
        <f>L1825*Intv_BA!$M$1913/TS_Denom_Conv_Fact</f>
        <v>0</v>
      </c>
      <c r="M2002" s="8">
        <f>M1825*Intv_BA!$M$1913/TS_Denom_Conv_Fact</f>
        <v>0</v>
      </c>
      <c r="N2002" s="8">
        <f>N1825*Intv_BA!$M$1913/TS_Denom_Conv_Fact</f>
        <v>0</v>
      </c>
      <c r="O2002" s="8">
        <f>O1825*Intv_BA!$M$1913/TS_Denom_Conv_Fact</f>
        <v>0</v>
      </c>
    </row>
    <row r="2003" spans="4:15" s="327" customFormat="1" outlineLevel="2" x14ac:dyDescent="0.2">
      <c r="D2003" s="521" t="str">
        <f>Intv_BA!D1943</f>
        <v>Northern</v>
      </c>
      <c r="H2003" s="546" t="str">
        <f>Intv_BA!G$1768</f>
        <v>RADIO</v>
      </c>
      <c r="J2003" s="8">
        <f>J1826*Intv_BA!$M$1913/TS_Denom_Conv_Fact</f>
        <v>0</v>
      </c>
      <c r="K2003" s="8">
        <f>K1826*Intv_BA!$M$1913/TS_Denom_Conv_Fact</f>
        <v>0</v>
      </c>
      <c r="L2003" s="8">
        <f>L1826*Intv_BA!$M$1913/TS_Denom_Conv_Fact</f>
        <v>0</v>
      </c>
      <c r="M2003" s="8">
        <f>M1826*Intv_BA!$M$1913/TS_Denom_Conv_Fact</f>
        <v>0</v>
      </c>
      <c r="N2003" s="8">
        <f>N1826*Intv_BA!$M$1913/TS_Denom_Conv_Fact</f>
        <v>0</v>
      </c>
      <c r="O2003" s="8">
        <f>O1826*Intv_BA!$M$1913/TS_Denom_Conv_Fact</f>
        <v>0</v>
      </c>
    </row>
    <row r="2004" spans="4:15" s="327" customFormat="1" outlineLevel="2" x14ac:dyDescent="0.2">
      <c r="D2004" s="521" t="str">
        <f>Intv_BA!D1944</f>
        <v>North-Western</v>
      </c>
      <c r="H2004" s="546" t="str">
        <f>Intv_BA!G$1768</f>
        <v>RADIO</v>
      </c>
      <c r="J2004" s="8">
        <f>J1827*Intv_BA!$M$1913/TS_Denom_Conv_Fact</f>
        <v>0</v>
      </c>
      <c r="K2004" s="8">
        <f>K1827*Intv_BA!$M$1913/TS_Denom_Conv_Fact</f>
        <v>0</v>
      </c>
      <c r="L2004" s="8">
        <f>L1827*Intv_BA!$M$1913/TS_Denom_Conv_Fact</f>
        <v>0</v>
      </c>
      <c r="M2004" s="8">
        <f>M1827*Intv_BA!$M$1913/TS_Denom_Conv_Fact</f>
        <v>0</v>
      </c>
      <c r="N2004" s="8">
        <f>N1827*Intv_BA!$M$1913/TS_Denom_Conv_Fact</f>
        <v>0</v>
      </c>
      <c r="O2004" s="8">
        <f>O1827*Intv_BA!$M$1913/TS_Denom_Conv_Fact</f>
        <v>0</v>
      </c>
    </row>
    <row r="2005" spans="4:15" s="327" customFormat="1" outlineLevel="2" x14ac:dyDescent="0.2">
      <c r="D2005" s="521" t="str">
        <f>Intv_BA!D1945</f>
        <v>Southern</v>
      </c>
      <c r="H2005" s="546" t="str">
        <f>Intv_BA!G$1768</f>
        <v>RADIO</v>
      </c>
      <c r="J2005" s="8">
        <f>J1828*Intv_BA!$M$1913/TS_Denom_Conv_Fact</f>
        <v>0</v>
      </c>
      <c r="K2005" s="8">
        <f>K1828*Intv_BA!$M$1913/TS_Denom_Conv_Fact</f>
        <v>0</v>
      </c>
      <c r="L2005" s="8">
        <f>L1828*Intv_BA!$M$1913/TS_Denom_Conv_Fact</f>
        <v>0</v>
      </c>
      <c r="M2005" s="8">
        <f>M1828*Intv_BA!$M$1913/TS_Denom_Conv_Fact</f>
        <v>0</v>
      </c>
      <c r="N2005" s="8">
        <f>N1828*Intv_BA!$M$1913/TS_Denom_Conv_Fact</f>
        <v>125781.25</v>
      </c>
      <c r="O2005" s="8">
        <f>O1828*Intv_BA!$M$1913/TS_Denom_Conv_Fact</f>
        <v>125781.25</v>
      </c>
    </row>
    <row r="2006" spans="4:15" s="327" customFormat="1" outlineLevel="2" x14ac:dyDescent="0.2">
      <c r="D2006" s="521" t="str">
        <f>Intv_BA!D1946</f>
        <v>Western</v>
      </c>
      <c r="H2006" s="546" t="str">
        <f>Intv_BA!G$1768</f>
        <v>RADIO</v>
      </c>
      <c r="J2006" s="9">
        <f>J1829*Intv_BA!$M$1913/TS_Denom_Conv_Fact</f>
        <v>0</v>
      </c>
      <c r="K2006" s="9">
        <f>K1829*Intv_BA!$M$1913/TS_Denom_Conv_Fact</f>
        <v>0</v>
      </c>
      <c r="L2006" s="9">
        <f>L1829*Intv_BA!$M$1913/TS_Denom_Conv_Fact</f>
        <v>0</v>
      </c>
      <c r="M2006" s="9">
        <f>M1829*Intv_BA!$M$1913/TS_Denom_Conv_Fact</f>
        <v>0</v>
      </c>
      <c r="N2006" s="9">
        <f>N1829*Intv_BA!$M$1913/TS_Denom_Conv_Fact</f>
        <v>0</v>
      </c>
      <c r="O2006" s="9">
        <f>O1829*Intv_BA!$M$1913/TS_Denom_Conv_Fact</f>
        <v>0</v>
      </c>
    </row>
    <row r="2007" spans="4:15" s="327" customFormat="1" ht="15" x14ac:dyDescent="0.2">
      <c r="D2007" s="520" t="str">
        <f>D1996&amp;" ("&amp;INDEX(LU_Intv_4_Denom,DD_TS_Denom)&amp;")"</f>
        <v>Financial Capital Expenditures (Capex) (Annualized) (USD)</v>
      </c>
      <c r="H2007" s="24" t="str">
        <f>Intv_BA!$G$1768</f>
        <v>RADIO</v>
      </c>
      <c r="J2007" s="5">
        <f t="shared" ref="J2007:O2007" si="192">SUM(J1997:J2006)</f>
        <v>125781.25</v>
      </c>
      <c r="K2007" s="5">
        <f t="shared" si="192"/>
        <v>125781.25</v>
      </c>
      <c r="L2007" s="5">
        <f t="shared" si="192"/>
        <v>125781.25</v>
      </c>
      <c r="M2007" s="5">
        <f t="shared" si="192"/>
        <v>125781.25</v>
      </c>
      <c r="N2007" s="5">
        <f t="shared" si="192"/>
        <v>377343.75</v>
      </c>
      <c r="O2007" s="5">
        <f t="shared" si="192"/>
        <v>377343.75</v>
      </c>
    </row>
    <row r="2008" spans="4:15" s="327" customFormat="1" x14ac:dyDescent="0.2"/>
    <row r="2009" spans="4:15" s="327" customFormat="1" ht="15" outlineLevel="1" x14ac:dyDescent="0.2">
      <c r="D2009" s="519" t="s">
        <v>731</v>
      </c>
    </row>
    <row r="2010" spans="4:15" s="327" customFormat="1" outlineLevel="1" x14ac:dyDescent="0.2">
      <c r="D2010" s="521" t="str">
        <f>Intv_BA!D1937</f>
        <v>Central</v>
      </c>
      <c r="H2010" s="546" t="str">
        <f>Intv_BA!G$1768</f>
        <v>RADIO</v>
      </c>
      <c r="J2010" s="14">
        <f>(J1820-I1820)*Intv_BA!$L$1911/TS_Denom_Conv_Fact</f>
        <v>0</v>
      </c>
      <c r="K2010" s="14">
        <f>(K1820-J1820)*Intv_BA!$L$1911/TS_Denom_Conv_Fact</f>
        <v>0</v>
      </c>
      <c r="L2010" s="14">
        <f>(L1820-K1820)*Intv_BA!$L$1911/TS_Denom_Conv_Fact</f>
        <v>0</v>
      </c>
      <c r="M2010" s="14">
        <f>(M1820-L1820)*Intv_BA!$L$1911/TS_Denom_Conv_Fact</f>
        <v>0</v>
      </c>
      <c r="N2010" s="14">
        <f>(N1820-M1820)*Intv_BA!$L$1911/TS_Denom_Conv_Fact</f>
        <v>0</v>
      </c>
      <c r="O2010" s="14">
        <f>(O1820-N1820)*Intv_BA!$L$1911/TS_Denom_Conv_Fact</f>
        <v>0</v>
      </c>
    </row>
    <row r="2011" spans="4:15" s="327" customFormat="1" outlineLevel="1" x14ac:dyDescent="0.2">
      <c r="D2011" s="521" t="str">
        <f>Intv_BA!D1938</f>
        <v>Copperbelt</v>
      </c>
      <c r="H2011" s="546" t="str">
        <f>Intv_BA!G$1768</f>
        <v>RADIO</v>
      </c>
      <c r="J2011" s="14">
        <f>(J1821-I1821)*Intv_BA!$L$1911/TS_Denom_Conv_Fact</f>
        <v>0</v>
      </c>
      <c r="K2011" s="14">
        <f>(K1821-J1821)*Intv_BA!$L$1911/TS_Denom_Conv_Fact</f>
        <v>0</v>
      </c>
      <c r="L2011" s="14">
        <f>(L1821-K1821)*Intv_BA!$L$1911/TS_Denom_Conv_Fact</f>
        <v>0</v>
      </c>
      <c r="M2011" s="14">
        <f>(M1821-L1821)*Intv_BA!$L$1911/TS_Denom_Conv_Fact</f>
        <v>0</v>
      </c>
      <c r="N2011" s="14">
        <f>(N1821-M1821)*Intv_BA!$L$1911/TS_Denom_Conv_Fact</f>
        <v>750000</v>
      </c>
      <c r="O2011" s="14">
        <f>(O1821-N1821)*Intv_BA!$L$1911/TS_Denom_Conv_Fact</f>
        <v>0</v>
      </c>
    </row>
    <row r="2012" spans="4:15" s="327" customFormat="1" outlineLevel="1" x14ac:dyDescent="0.2">
      <c r="D2012" s="521" t="str">
        <f>Intv_BA!D1939</f>
        <v>Eastern</v>
      </c>
      <c r="H2012" s="546" t="str">
        <f>Intv_BA!G$1768</f>
        <v>RADIO</v>
      </c>
      <c r="J2012" s="14">
        <f>(J1822-I1822)*Intv_BA!$L$1911/TS_Denom_Conv_Fact</f>
        <v>0</v>
      </c>
      <c r="K2012" s="14">
        <f>(K1822-J1822)*Intv_BA!$L$1911/TS_Denom_Conv_Fact</f>
        <v>0</v>
      </c>
      <c r="L2012" s="14">
        <f>(L1822-K1822)*Intv_BA!$L$1911/TS_Denom_Conv_Fact</f>
        <v>0</v>
      </c>
      <c r="M2012" s="14">
        <f>(M1822-L1822)*Intv_BA!$L$1911/TS_Denom_Conv_Fact</f>
        <v>0</v>
      </c>
      <c r="N2012" s="14">
        <f>(N1822-M1822)*Intv_BA!$L$1911/TS_Denom_Conv_Fact</f>
        <v>0</v>
      </c>
      <c r="O2012" s="14">
        <f>(O1822-N1822)*Intv_BA!$L$1911/TS_Denom_Conv_Fact</f>
        <v>0</v>
      </c>
    </row>
    <row r="2013" spans="4:15" s="327" customFormat="1" outlineLevel="1" x14ac:dyDescent="0.2">
      <c r="D2013" s="521" t="str">
        <f>Intv_BA!D1940</f>
        <v>Luapula</v>
      </c>
      <c r="H2013" s="546" t="str">
        <f>Intv_BA!G$1768</f>
        <v>RADIO</v>
      </c>
      <c r="J2013" s="14">
        <f>(J1823-I1823)*Intv_BA!$L$1911/TS_Denom_Conv_Fact</f>
        <v>0</v>
      </c>
      <c r="K2013" s="14">
        <f>(K1823-J1823)*Intv_BA!$L$1911/TS_Denom_Conv_Fact</f>
        <v>0</v>
      </c>
      <c r="L2013" s="14">
        <f>(L1823-K1823)*Intv_BA!$L$1911/TS_Denom_Conv_Fact</f>
        <v>0</v>
      </c>
      <c r="M2013" s="14">
        <f>(M1823-L1823)*Intv_BA!$L$1911/TS_Denom_Conv_Fact</f>
        <v>0</v>
      </c>
      <c r="N2013" s="14">
        <f>(N1823-M1823)*Intv_BA!$L$1911/TS_Denom_Conv_Fact</f>
        <v>0</v>
      </c>
      <c r="O2013" s="14">
        <f>(O1823-N1823)*Intv_BA!$L$1911/TS_Denom_Conv_Fact</f>
        <v>0</v>
      </c>
    </row>
    <row r="2014" spans="4:15" s="327" customFormat="1" outlineLevel="1" x14ac:dyDescent="0.2">
      <c r="D2014" s="521" t="str">
        <f>Intv_BA!D1941</f>
        <v>Lusaka</v>
      </c>
      <c r="H2014" s="546" t="str">
        <f>Intv_BA!G$1768</f>
        <v>RADIO</v>
      </c>
      <c r="J2014" s="14">
        <f>(J1824-I1824)*Intv_BA!$L$1911/TS_Denom_Conv_Fact</f>
        <v>750000</v>
      </c>
      <c r="K2014" s="14">
        <f>(K1824-J1824)*Intv_BA!$L$1911/TS_Denom_Conv_Fact</f>
        <v>0</v>
      </c>
      <c r="L2014" s="14">
        <f>(L1824-K1824)*Intv_BA!$L$1911/TS_Denom_Conv_Fact</f>
        <v>0</v>
      </c>
      <c r="M2014" s="14">
        <f>(M1824-L1824)*Intv_BA!$L$1911/TS_Denom_Conv_Fact</f>
        <v>0</v>
      </c>
      <c r="N2014" s="14">
        <f>(N1824-M1824)*Intv_BA!$L$1911/TS_Denom_Conv_Fact</f>
        <v>0</v>
      </c>
      <c r="O2014" s="14">
        <f>(O1824-N1824)*Intv_BA!$L$1911/TS_Denom_Conv_Fact</f>
        <v>0</v>
      </c>
    </row>
    <row r="2015" spans="4:15" s="327" customFormat="1" outlineLevel="1" x14ac:dyDescent="0.2">
      <c r="D2015" s="521" t="str">
        <f>Intv_BA!D1942</f>
        <v>Muchinga</v>
      </c>
      <c r="H2015" s="546" t="str">
        <f>Intv_BA!G$1768</f>
        <v>RADIO</v>
      </c>
      <c r="J2015" s="14">
        <f>(J1825-I1825)*Intv_BA!$L$1911/TS_Denom_Conv_Fact</f>
        <v>0</v>
      </c>
      <c r="K2015" s="14">
        <f>(K1825-J1825)*Intv_BA!$L$1911/TS_Denom_Conv_Fact</f>
        <v>0</v>
      </c>
      <c r="L2015" s="14">
        <f>(L1825-K1825)*Intv_BA!$L$1911/TS_Denom_Conv_Fact</f>
        <v>0</v>
      </c>
      <c r="M2015" s="14">
        <f>(M1825-L1825)*Intv_BA!$L$1911/TS_Denom_Conv_Fact</f>
        <v>0</v>
      </c>
      <c r="N2015" s="14">
        <f>(N1825-M1825)*Intv_BA!$L$1911/TS_Denom_Conv_Fact</f>
        <v>0</v>
      </c>
      <c r="O2015" s="14">
        <f>(O1825-N1825)*Intv_BA!$L$1911/TS_Denom_Conv_Fact</f>
        <v>0</v>
      </c>
    </row>
    <row r="2016" spans="4:15" s="327" customFormat="1" outlineLevel="1" x14ac:dyDescent="0.2">
      <c r="D2016" s="521" t="str">
        <f>Intv_BA!D1943</f>
        <v>Northern</v>
      </c>
      <c r="H2016" s="546" t="str">
        <f>Intv_BA!G$1768</f>
        <v>RADIO</v>
      </c>
      <c r="J2016" s="14">
        <f>(J1826-I1826)*Intv_BA!$L$1911/TS_Denom_Conv_Fact</f>
        <v>0</v>
      </c>
      <c r="K2016" s="14">
        <f>(K1826-J1826)*Intv_BA!$L$1911/TS_Denom_Conv_Fact</f>
        <v>0</v>
      </c>
      <c r="L2016" s="14">
        <f>(L1826-K1826)*Intv_BA!$L$1911/TS_Denom_Conv_Fact</f>
        <v>0</v>
      </c>
      <c r="M2016" s="14">
        <f>(M1826-L1826)*Intv_BA!$L$1911/TS_Denom_Conv_Fact</f>
        <v>0</v>
      </c>
      <c r="N2016" s="14">
        <f>(N1826-M1826)*Intv_BA!$L$1911/TS_Denom_Conv_Fact</f>
        <v>0</v>
      </c>
      <c r="O2016" s="14">
        <f>(O1826-N1826)*Intv_BA!$L$1911/TS_Denom_Conv_Fact</f>
        <v>0</v>
      </c>
    </row>
    <row r="2017" spans="4:15" s="327" customFormat="1" outlineLevel="1" x14ac:dyDescent="0.2">
      <c r="D2017" s="521" t="str">
        <f>Intv_BA!D1944</f>
        <v>North-Western</v>
      </c>
      <c r="H2017" s="546" t="str">
        <f>Intv_BA!G$1768</f>
        <v>RADIO</v>
      </c>
      <c r="J2017" s="14">
        <f>(J1827-I1827)*Intv_BA!$L$1911/TS_Denom_Conv_Fact</f>
        <v>0</v>
      </c>
      <c r="K2017" s="14">
        <f>(K1827-J1827)*Intv_BA!$L$1911/TS_Denom_Conv_Fact</f>
        <v>0</v>
      </c>
      <c r="L2017" s="14">
        <f>(L1827-K1827)*Intv_BA!$L$1911/TS_Denom_Conv_Fact</f>
        <v>0</v>
      </c>
      <c r="M2017" s="14">
        <f>(M1827-L1827)*Intv_BA!$L$1911/TS_Denom_Conv_Fact</f>
        <v>0</v>
      </c>
      <c r="N2017" s="14">
        <f>(N1827-M1827)*Intv_BA!$L$1911/TS_Denom_Conv_Fact</f>
        <v>0</v>
      </c>
      <c r="O2017" s="14">
        <f>(O1827-N1827)*Intv_BA!$L$1911/TS_Denom_Conv_Fact</f>
        <v>0</v>
      </c>
    </row>
    <row r="2018" spans="4:15" s="327" customFormat="1" outlineLevel="1" x14ac:dyDescent="0.2">
      <c r="D2018" s="521" t="str">
        <f>Intv_BA!D1945</f>
        <v>Southern</v>
      </c>
      <c r="H2018" s="546" t="str">
        <f>Intv_BA!G$1768</f>
        <v>RADIO</v>
      </c>
      <c r="J2018" s="14">
        <f>(J1828-I1828)*Intv_BA!$L$1911/TS_Denom_Conv_Fact</f>
        <v>0</v>
      </c>
      <c r="K2018" s="14">
        <f>(K1828-J1828)*Intv_BA!$L$1911/TS_Denom_Conv_Fact</f>
        <v>0</v>
      </c>
      <c r="L2018" s="14">
        <f>(L1828-K1828)*Intv_BA!$L$1911/TS_Denom_Conv_Fact</f>
        <v>0</v>
      </c>
      <c r="M2018" s="14">
        <f>(M1828-L1828)*Intv_BA!$L$1911/TS_Denom_Conv_Fact</f>
        <v>0</v>
      </c>
      <c r="N2018" s="14">
        <f>(N1828-M1828)*Intv_BA!$L$1911/TS_Denom_Conv_Fact</f>
        <v>750000</v>
      </c>
      <c r="O2018" s="14">
        <f>(O1828-N1828)*Intv_BA!$L$1911/TS_Denom_Conv_Fact</f>
        <v>0</v>
      </c>
    </row>
    <row r="2019" spans="4:15" s="327" customFormat="1" outlineLevel="1" x14ac:dyDescent="0.2">
      <c r="D2019" s="521" t="str">
        <f>Intv_BA!D1946</f>
        <v>Western</v>
      </c>
      <c r="H2019" s="546" t="str">
        <f>Intv_BA!G$1768</f>
        <v>RADIO</v>
      </c>
      <c r="J2019" s="14">
        <f>(J1829-I1829)*Intv_BA!$L$1911/TS_Denom_Conv_Fact</f>
        <v>0</v>
      </c>
      <c r="K2019" s="14">
        <f>(K1829-J1829)*Intv_BA!$L$1911/TS_Denom_Conv_Fact</f>
        <v>0</v>
      </c>
      <c r="L2019" s="14">
        <f>(L1829-K1829)*Intv_BA!$L$1911/TS_Denom_Conv_Fact</f>
        <v>0</v>
      </c>
      <c r="M2019" s="14">
        <f>(M1829-L1829)*Intv_BA!$L$1911/TS_Denom_Conv_Fact</f>
        <v>0</v>
      </c>
      <c r="N2019" s="14">
        <f>(N1829-M1829)*Intv_BA!$L$1911/TS_Denom_Conv_Fact</f>
        <v>0</v>
      </c>
      <c r="O2019" s="14">
        <f>(O1829-N1829)*Intv_BA!$L$1911/TS_Denom_Conv_Fact</f>
        <v>0</v>
      </c>
    </row>
    <row r="2020" spans="4:15" s="327" customFormat="1" ht="15" x14ac:dyDescent="0.2">
      <c r="D2020" s="520" t="str">
        <f>D2009&amp;" ("&amp;INDEX(LU_Intv_4_Denom,DD_TS_Denom)&amp;")"</f>
        <v>Economic Capex (NonAnnualized) (USD)</v>
      </c>
      <c r="H2020" s="24" t="str">
        <f>Intv_BA!$G$1768</f>
        <v>RADIO</v>
      </c>
      <c r="J2020" s="5">
        <f t="shared" ref="J2020:O2020" si="193">SUM(J2010:J2019)</f>
        <v>750000</v>
      </c>
      <c r="K2020" s="5">
        <f t="shared" si="193"/>
        <v>0</v>
      </c>
      <c r="L2020" s="5">
        <f t="shared" si="193"/>
        <v>0</v>
      </c>
      <c r="M2020" s="5">
        <f t="shared" si="193"/>
        <v>0</v>
      </c>
      <c r="N2020" s="5">
        <f t="shared" si="193"/>
        <v>1500000</v>
      </c>
      <c r="O2020" s="5">
        <f t="shared" si="193"/>
        <v>0</v>
      </c>
    </row>
    <row r="2021" spans="4:15" s="327" customFormat="1" ht="15" outlineLevel="2" x14ac:dyDescent="0.2">
      <c r="D2021" s="519" t="s">
        <v>1692</v>
      </c>
    </row>
    <row r="2022" spans="4:15" s="327" customFormat="1" outlineLevel="2" x14ac:dyDescent="0.2">
      <c r="D2022" s="521" t="str">
        <f>Intv_BA!D1937</f>
        <v>Central</v>
      </c>
      <c r="H2022" s="546" t="str">
        <f>Intv_BA!G$1768</f>
        <v>RADIO</v>
      </c>
      <c r="J2022" s="8">
        <f>J1820*Intv_BA!$N$1913/TS_Denom_Conv_Fact</f>
        <v>0</v>
      </c>
      <c r="K2022" s="8">
        <f>K1820*Intv_BA!$N$1913/TS_Denom_Conv_Fact</f>
        <v>0</v>
      </c>
      <c r="L2022" s="8">
        <f>L1820*Intv_BA!$N$1913/TS_Denom_Conv_Fact</f>
        <v>0</v>
      </c>
      <c r="M2022" s="8">
        <f>M1820*Intv_BA!$N$1913/TS_Denom_Conv_Fact</f>
        <v>0</v>
      </c>
      <c r="N2022" s="8">
        <f>N1820*Intv_BA!$N$1913/TS_Denom_Conv_Fact</f>
        <v>0</v>
      </c>
      <c r="O2022" s="8">
        <f>O1820*Intv_BA!$N$1913/TS_Denom_Conv_Fact</f>
        <v>0</v>
      </c>
    </row>
    <row r="2023" spans="4:15" s="327" customFormat="1" outlineLevel="2" x14ac:dyDescent="0.2">
      <c r="D2023" s="521" t="str">
        <f>Intv_BA!D1938</f>
        <v>Copperbelt</v>
      </c>
      <c r="H2023" s="546" t="str">
        <f>Intv_BA!G$1768</f>
        <v>RADIO</v>
      </c>
      <c r="J2023" s="8">
        <f>J1821*Intv_BA!$N$1913/TS_Denom_Conv_Fact</f>
        <v>0</v>
      </c>
      <c r="K2023" s="8">
        <f>K1821*Intv_BA!$N$1913/TS_Denom_Conv_Fact</f>
        <v>0</v>
      </c>
      <c r="L2023" s="8">
        <f>L1821*Intv_BA!$N$1913/TS_Denom_Conv_Fact</f>
        <v>0</v>
      </c>
      <c r="M2023" s="8">
        <f>M1821*Intv_BA!$N$1913/TS_Denom_Conv_Fact</f>
        <v>0</v>
      </c>
      <c r="N2023" s="8">
        <f>N1821*Intv_BA!$N$1913/TS_Denom_Conv_Fact</f>
        <v>141063.16721608385</v>
      </c>
      <c r="O2023" s="8">
        <f>O1821*Intv_BA!$N$1913/TS_Denom_Conv_Fact</f>
        <v>141063.16721608385</v>
      </c>
    </row>
    <row r="2024" spans="4:15" s="327" customFormat="1" outlineLevel="2" x14ac:dyDescent="0.2">
      <c r="D2024" s="521" t="str">
        <f>Intv_BA!D1939</f>
        <v>Eastern</v>
      </c>
      <c r="H2024" s="546" t="str">
        <f>Intv_BA!G$1768</f>
        <v>RADIO</v>
      </c>
      <c r="J2024" s="8">
        <f>J1822*Intv_BA!$N$1913/TS_Denom_Conv_Fact</f>
        <v>0</v>
      </c>
      <c r="K2024" s="8">
        <f>K1822*Intv_BA!$N$1913/TS_Denom_Conv_Fact</f>
        <v>0</v>
      </c>
      <c r="L2024" s="8">
        <f>L1822*Intv_BA!$N$1913/TS_Denom_Conv_Fact</f>
        <v>0</v>
      </c>
      <c r="M2024" s="8">
        <f>M1822*Intv_BA!$N$1913/TS_Denom_Conv_Fact</f>
        <v>0</v>
      </c>
      <c r="N2024" s="8">
        <f>N1822*Intv_BA!$N$1913/TS_Denom_Conv_Fact</f>
        <v>0</v>
      </c>
      <c r="O2024" s="8">
        <f>O1822*Intv_BA!$N$1913/TS_Denom_Conv_Fact</f>
        <v>0</v>
      </c>
    </row>
    <row r="2025" spans="4:15" s="327" customFormat="1" outlineLevel="2" x14ac:dyDescent="0.2">
      <c r="D2025" s="521" t="str">
        <f>Intv_BA!D1940</f>
        <v>Luapula</v>
      </c>
      <c r="H2025" s="546" t="str">
        <f>Intv_BA!G$1768</f>
        <v>RADIO</v>
      </c>
      <c r="J2025" s="8">
        <f>J1823*Intv_BA!$N$1913/TS_Denom_Conv_Fact</f>
        <v>0</v>
      </c>
      <c r="K2025" s="8">
        <f>K1823*Intv_BA!$N$1913/TS_Denom_Conv_Fact</f>
        <v>0</v>
      </c>
      <c r="L2025" s="8">
        <f>L1823*Intv_BA!$N$1913/TS_Denom_Conv_Fact</f>
        <v>0</v>
      </c>
      <c r="M2025" s="8">
        <f>M1823*Intv_BA!$N$1913/TS_Denom_Conv_Fact</f>
        <v>0</v>
      </c>
      <c r="N2025" s="8">
        <f>N1823*Intv_BA!$N$1913/TS_Denom_Conv_Fact</f>
        <v>0</v>
      </c>
      <c r="O2025" s="8">
        <f>O1823*Intv_BA!$N$1913/TS_Denom_Conv_Fact</f>
        <v>0</v>
      </c>
    </row>
    <row r="2026" spans="4:15" s="327" customFormat="1" outlineLevel="2" x14ac:dyDescent="0.2">
      <c r="D2026" s="521" t="str">
        <f>Intv_BA!D1941</f>
        <v>Lusaka</v>
      </c>
      <c r="H2026" s="546" t="str">
        <f>Intv_BA!G$1768</f>
        <v>RADIO</v>
      </c>
      <c r="J2026" s="8">
        <f>J1824*Intv_BA!$N$1913/TS_Denom_Conv_Fact</f>
        <v>141063.16721608385</v>
      </c>
      <c r="K2026" s="8">
        <f>K1824*Intv_BA!$N$1913/TS_Denom_Conv_Fact</f>
        <v>141063.16721608385</v>
      </c>
      <c r="L2026" s="8">
        <f>L1824*Intv_BA!$N$1913/TS_Denom_Conv_Fact</f>
        <v>141063.16721608385</v>
      </c>
      <c r="M2026" s="8">
        <f>M1824*Intv_BA!$N$1913/TS_Denom_Conv_Fact</f>
        <v>141063.16721608385</v>
      </c>
      <c r="N2026" s="8">
        <f>N1824*Intv_BA!$N$1913/TS_Denom_Conv_Fact</f>
        <v>141063.16721608385</v>
      </c>
      <c r="O2026" s="8">
        <f>O1824*Intv_BA!$N$1913/TS_Denom_Conv_Fact</f>
        <v>141063.16721608385</v>
      </c>
    </row>
    <row r="2027" spans="4:15" s="327" customFormat="1" outlineLevel="2" x14ac:dyDescent="0.2">
      <c r="D2027" s="521" t="str">
        <f>Intv_BA!D1942</f>
        <v>Muchinga</v>
      </c>
      <c r="H2027" s="546" t="str">
        <f>Intv_BA!G$1768</f>
        <v>RADIO</v>
      </c>
      <c r="J2027" s="8">
        <f>J1825*Intv_BA!$N$1913/TS_Denom_Conv_Fact</f>
        <v>0</v>
      </c>
      <c r="K2027" s="8">
        <f>K1825*Intv_BA!$N$1913/TS_Denom_Conv_Fact</f>
        <v>0</v>
      </c>
      <c r="L2027" s="8">
        <f>L1825*Intv_BA!$N$1913/TS_Denom_Conv_Fact</f>
        <v>0</v>
      </c>
      <c r="M2027" s="8">
        <f>M1825*Intv_BA!$N$1913/TS_Denom_Conv_Fact</f>
        <v>0</v>
      </c>
      <c r="N2027" s="8">
        <f>N1825*Intv_BA!$N$1913/TS_Denom_Conv_Fact</f>
        <v>0</v>
      </c>
      <c r="O2027" s="8">
        <f>O1825*Intv_BA!$N$1913/TS_Denom_Conv_Fact</f>
        <v>0</v>
      </c>
    </row>
    <row r="2028" spans="4:15" s="327" customFormat="1" outlineLevel="2" x14ac:dyDescent="0.2">
      <c r="D2028" s="521" t="str">
        <f>Intv_BA!D1943</f>
        <v>Northern</v>
      </c>
      <c r="H2028" s="546" t="str">
        <f>Intv_BA!G$1768</f>
        <v>RADIO</v>
      </c>
      <c r="J2028" s="8">
        <f>J1826*Intv_BA!$N$1913/TS_Denom_Conv_Fact</f>
        <v>0</v>
      </c>
      <c r="K2028" s="8">
        <f>K1826*Intv_BA!$N$1913/TS_Denom_Conv_Fact</f>
        <v>0</v>
      </c>
      <c r="L2028" s="8">
        <f>L1826*Intv_BA!$N$1913/TS_Denom_Conv_Fact</f>
        <v>0</v>
      </c>
      <c r="M2028" s="8">
        <f>M1826*Intv_BA!$N$1913/TS_Denom_Conv_Fact</f>
        <v>0</v>
      </c>
      <c r="N2028" s="8">
        <f>N1826*Intv_BA!$N$1913/TS_Denom_Conv_Fact</f>
        <v>0</v>
      </c>
      <c r="O2028" s="8">
        <f>O1826*Intv_BA!$N$1913/TS_Denom_Conv_Fact</f>
        <v>0</v>
      </c>
    </row>
    <row r="2029" spans="4:15" s="327" customFormat="1" outlineLevel="2" x14ac:dyDescent="0.2">
      <c r="D2029" s="521" t="str">
        <f>Intv_BA!D1944</f>
        <v>North-Western</v>
      </c>
      <c r="H2029" s="546" t="str">
        <f>Intv_BA!G$1768</f>
        <v>RADIO</v>
      </c>
      <c r="J2029" s="8">
        <f>J1827*Intv_BA!$N$1913/TS_Denom_Conv_Fact</f>
        <v>0</v>
      </c>
      <c r="K2029" s="8">
        <f>K1827*Intv_BA!$N$1913/TS_Denom_Conv_Fact</f>
        <v>0</v>
      </c>
      <c r="L2029" s="8">
        <f>L1827*Intv_BA!$N$1913/TS_Denom_Conv_Fact</f>
        <v>0</v>
      </c>
      <c r="M2029" s="8">
        <f>M1827*Intv_BA!$N$1913/TS_Denom_Conv_Fact</f>
        <v>0</v>
      </c>
      <c r="N2029" s="8">
        <f>N1827*Intv_BA!$N$1913/TS_Denom_Conv_Fact</f>
        <v>0</v>
      </c>
      <c r="O2029" s="8">
        <f>O1827*Intv_BA!$N$1913/TS_Denom_Conv_Fact</f>
        <v>0</v>
      </c>
    </row>
    <row r="2030" spans="4:15" s="327" customFormat="1" outlineLevel="2" x14ac:dyDescent="0.2">
      <c r="D2030" s="521" t="str">
        <f>Intv_BA!D1945</f>
        <v>Southern</v>
      </c>
      <c r="H2030" s="546" t="str">
        <f>Intv_BA!G$1768</f>
        <v>RADIO</v>
      </c>
      <c r="J2030" s="8">
        <f>J1828*Intv_BA!$N$1913/TS_Denom_Conv_Fact</f>
        <v>0</v>
      </c>
      <c r="K2030" s="8">
        <f>K1828*Intv_BA!$N$1913/TS_Denom_Conv_Fact</f>
        <v>0</v>
      </c>
      <c r="L2030" s="8">
        <f>L1828*Intv_BA!$N$1913/TS_Denom_Conv_Fact</f>
        <v>0</v>
      </c>
      <c r="M2030" s="8">
        <f>M1828*Intv_BA!$N$1913/TS_Denom_Conv_Fact</f>
        <v>0</v>
      </c>
      <c r="N2030" s="8">
        <f>N1828*Intv_BA!$N$1913/TS_Denom_Conv_Fact</f>
        <v>141063.16721608385</v>
      </c>
      <c r="O2030" s="8">
        <f>O1828*Intv_BA!$N$1913/TS_Denom_Conv_Fact</f>
        <v>141063.16721608385</v>
      </c>
    </row>
    <row r="2031" spans="4:15" s="327" customFormat="1" outlineLevel="2" x14ac:dyDescent="0.2">
      <c r="D2031" s="521" t="str">
        <f>Intv_BA!D1946</f>
        <v>Western</v>
      </c>
      <c r="H2031" s="546" t="str">
        <f>Intv_BA!G$1768</f>
        <v>RADIO</v>
      </c>
      <c r="J2031" s="9">
        <f>J1829*Intv_BA!$N$1913/TS_Denom_Conv_Fact</f>
        <v>0</v>
      </c>
      <c r="K2031" s="9">
        <f>K1829*Intv_BA!$N$1913/TS_Denom_Conv_Fact</f>
        <v>0</v>
      </c>
      <c r="L2031" s="9">
        <f>L1829*Intv_BA!$N$1913/TS_Denom_Conv_Fact</f>
        <v>0</v>
      </c>
      <c r="M2031" s="9">
        <f>M1829*Intv_BA!$N$1913/TS_Denom_Conv_Fact</f>
        <v>0</v>
      </c>
      <c r="N2031" s="9">
        <f>N1829*Intv_BA!$N$1913/TS_Denom_Conv_Fact</f>
        <v>0</v>
      </c>
      <c r="O2031" s="9">
        <f>O1829*Intv_BA!$N$1913/TS_Denom_Conv_Fact</f>
        <v>0</v>
      </c>
    </row>
    <row r="2032" spans="4:15" s="327" customFormat="1" ht="15" x14ac:dyDescent="0.2">
      <c r="D2032" s="520" t="str">
        <f>D2021&amp;" ("&amp;INDEX(LU_Intv_4_Denom,DD_TS_Denom)&amp;")"</f>
        <v>Economic Capital Expenditures (Capex) (Annualized) (USD)</v>
      </c>
      <c r="H2032" s="24" t="str">
        <f>Intv_BA!$G$1768</f>
        <v>RADIO</v>
      </c>
      <c r="J2032" s="5">
        <f t="shared" ref="J2032:O2032" si="194">SUM(J2022:J2031)</f>
        <v>141063.16721608385</v>
      </c>
      <c r="K2032" s="5">
        <f t="shared" si="194"/>
        <v>141063.16721608385</v>
      </c>
      <c r="L2032" s="5">
        <f t="shared" si="194"/>
        <v>141063.16721608385</v>
      </c>
      <c r="M2032" s="5">
        <f t="shared" si="194"/>
        <v>141063.16721608385</v>
      </c>
      <c r="N2032" s="5">
        <f t="shared" si="194"/>
        <v>423189.50164825155</v>
      </c>
      <c r="O2032" s="5">
        <f t="shared" si="194"/>
        <v>423189.50164825155</v>
      </c>
    </row>
    <row r="2033" spans="2:15" s="327" customFormat="1" x14ac:dyDescent="0.2"/>
    <row r="2034" spans="2:15" s="327" customFormat="1" ht="15.75" x14ac:dyDescent="0.2">
      <c r="D2034" s="330" t="s">
        <v>732</v>
      </c>
    </row>
    <row r="2035" spans="2:15" s="327" customFormat="1" x14ac:dyDescent="0.2">
      <c r="D2035" s="930" t="str">
        <f>"Total Fin Costs [incl. Capex] (NonAnnualized) ("&amp;INDEX(LU_Intv_4_Denom,DD_TS_Denom)&amp;")"</f>
        <v>Total Fin Costs [incl. Capex] (NonAnnualized) (USD)</v>
      </c>
      <c r="E2035" s="930"/>
      <c r="F2035" s="930"/>
      <c r="G2035" s="930"/>
      <c r="H2035" s="521" t="str">
        <f>Intv_BA!$G$1768</f>
        <v>RADIO</v>
      </c>
      <c r="J2035" s="5">
        <f t="shared" ref="J2035:O2035" ca="1" si="195">J1981+J1995</f>
        <v>754705.84247999999</v>
      </c>
      <c r="K2035" s="5">
        <f t="shared" ca="1" si="195"/>
        <v>4705.8424800000003</v>
      </c>
      <c r="L2035" s="5">
        <f t="shared" ca="1" si="195"/>
        <v>4705.8424800000003</v>
      </c>
      <c r="M2035" s="5">
        <f t="shared" ca="1" si="195"/>
        <v>4705.8424800000003</v>
      </c>
      <c r="N2035" s="5">
        <f t="shared" ca="1" si="195"/>
        <v>1504726.48214</v>
      </c>
      <c r="O2035" s="5">
        <f t="shared" ca="1" si="195"/>
        <v>4726.4821400000001</v>
      </c>
    </row>
    <row r="2036" spans="2:15" s="327" customFormat="1" x14ac:dyDescent="0.2">
      <c r="D2036" s="930" t="str">
        <f>"Total Fin Costs [incl. Capex] (Annualized) ("&amp;INDEX(LU_Intv_4_Denom,DD_TS_Denom)&amp;")"</f>
        <v>Total Fin Costs [incl. Capex] (Annualized) (USD)</v>
      </c>
      <c r="E2036" s="930"/>
      <c r="F2036" s="930"/>
      <c r="G2036" s="930"/>
      <c r="H2036" s="521" t="str">
        <f>Intv_BA!$G$1768</f>
        <v>RADIO</v>
      </c>
      <c r="J2036" s="5">
        <f t="shared" ref="J2036:O2036" ca="1" si="196">J1981+J2007</f>
        <v>130487.09248000001</v>
      </c>
      <c r="K2036" s="5">
        <f t="shared" ca="1" si="196"/>
        <v>130487.09248000001</v>
      </c>
      <c r="L2036" s="5">
        <f t="shared" ca="1" si="196"/>
        <v>130487.09248000001</v>
      </c>
      <c r="M2036" s="5">
        <f t="shared" ca="1" si="196"/>
        <v>130487.09248000001</v>
      </c>
      <c r="N2036" s="5">
        <f t="shared" ca="1" si="196"/>
        <v>382070.23213999998</v>
      </c>
      <c r="O2036" s="5">
        <f t="shared" ca="1" si="196"/>
        <v>382070.23213999998</v>
      </c>
    </row>
    <row r="2037" spans="2:15" s="327" customFormat="1" x14ac:dyDescent="0.2"/>
    <row r="2038" spans="2:15" s="327" customFormat="1" ht="15.75" x14ac:dyDescent="0.2">
      <c r="D2038" s="330" t="s">
        <v>733</v>
      </c>
    </row>
    <row r="2039" spans="2:15" s="327" customFormat="1" x14ac:dyDescent="0.2">
      <c r="D2039" s="930" t="str">
        <f>"Total Econ Costs [incl. Capex] (NonAnnualized) ("&amp;INDEX(LU_Intv_4_Denom,DD_TS_Denom)&amp;")"</f>
        <v>Total Econ Costs [incl. Capex] (NonAnnualized) (USD)</v>
      </c>
      <c r="E2039" s="930"/>
      <c r="F2039" s="930"/>
      <c r="G2039" s="930"/>
      <c r="H2039" s="521" t="str">
        <f>Intv_BA!$G$1768</f>
        <v>RADIO</v>
      </c>
      <c r="J2039" s="5">
        <f t="shared" ref="J2039:O2039" ca="1" si="197">J1982+J2020</f>
        <v>807158.07481518271</v>
      </c>
      <c r="K2039" s="5">
        <f t="shared" ca="1" si="197"/>
        <v>57158.074815182736</v>
      </c>
      <c r="L2039" s="5">
        <f t="shared" ca="1" si="197"/>
        <v>57158.074815182736</v>
      </c>
      <c r="M2039" s="5">
        <f t="shared" ca="1" si="197"/>
        <v>57158.074815182736</v>
      </c>
      <c r="N2039" s="5">
        <f t="shared" ca="1" si="197"/>
        <v>1557408.7681257757</v>
      </c>
      <c r="O2039" s="5">
        <f t="shared" ca="1" si="197"/>
        <v>57408.768125775641</v>
      </c>
    </row>
    <row r="2040" spans="2:15" s="327" customFormat="1" x14ac:dyDescent="0.2">
      <c r="D2040" s="931" t="str">
        <f>"Econ Costs [incl. Capex] (Annualized) ("&amp;INDEX(LU_Intv_4_Denom,DD_TS_Denom)&amp;")"</f>
        <v>Econ Costs [incl. Capex] (Annualized) (USD)</v>
      </c>
      <c r="E2040" s="931"/>
      <c r="F2040" s="931"/>
      <c r="G2040" s="931"/>
      <c r="H2040" s="521" t="str">
        <f>Intv_BA!$G$1768</f>
        <v>RADIO</v>
      </c>
      <c r="J2040" s="5">
        <f t="shared" ref="J2040:O2040" ca="1" si="198">J1982+J2032</f>
        <v>198221.24203126659</v>
      </c>
      <c r="K2040" s="5">
        <f t="shared" ca="1" si="198"/>
        <v>198221.24203126659</v>
      </c>
      <c r="L2040" s="5">
        <f t="shared" ca="1" si="198"/>
        <v>198221.24203126659</v>
      </c>
      <c r="M2040" s="5">
        <f t="shared" ca="1" si="198"/>
        <v>198221.24203126659</v>
      </c>
      <c r="N2040" s="5">
        <f t="shared" ca="1" si="198"/>
        <v>480598.26977402717</v>
      </c>
      <c r="O2040" s="5">
        <f t="shared" ca="1" si="198"/>
        <v>480598.26977402717</v>
      </c>
    </row>
    <row r="2041" spans="2:15" s="327" customFormat="1" x14ac:dyDescent="0.2"/>
    <row r="2042" spans="2:15" s="327" customFormat="1" x14ac:dyDescent="0.2"/>
    <row r="2043" spans="2:15" s="327" customFormat="1" x14ac:dyDescent="0.2">
      <c r="C2043" s="716" t="str">
        <f>"Go to "&amp;HL_Intv_4_Ass</f>
        <v>Go to Radiotherapy</v>
      </c>
      <c r="D2043" s="716"/>
      <c r="E2043" s="716"/>
      <c r="F2043" s="716"/>
      <c r="G2043" s="716"/>
      <c r="H2043" s="716"/>
      <c r="I2043" s="716"/>
    </row>
    <row r="2044" spans="2:15" s="327" customFormat="1" x14ac:dyDescent="0.2">
      <c r="C2044" s="716" t="str">
        <f>"Go to "&amp;HL_Intv_4_Ann_Ass</f>
        <v>Go to Intervention Services - Annual Assumptions</v>
      </c>
      <c r="D2044" s="716"/>
      <c r="E2044" s="716"/>
      <c r="F2044" s="716"/>
      <c r="G2044" s="716"/>
      <c r="H2044" s="716"/>
      <c r="I2044" s="716"/>
    </row>
    <row r="2045" spans="2:15" s="327" customFormat="1" x14ac:dyDescent="0.2"/>
    <row r="2046" spans="2:15" s="327" customFormat="1" x14ac:dyDescent="0.2"/>
    <row r="2047" spans="2:15" s="327" customFormat="1" ht="18.75" x14ac:dyDescent="0.2">
      <c r="B2047" s="452" t="str">
        <f>Intv_6_Name</f>
        <v>Palliative Care</v>
      </c>
    </row>
    <row r="2048" spans="2:15" s="327" customFormat="1" x14ac:dyDescent="0.2"/>
    <row r="2049" spans="3:15" s="327" customFormat="1" ht="15.75" outlineLevel="2" x14ac:dyDescent="0.2">
      <c r="C2049" s="26" t="str">
        <f>"Active "&amp;Intv_BA!D2980&amp;"s"</f>
        <v>Active Central Referral Hospitals</v>
      </c>
    </row>
    <row r="2050" spans="3:15" s="327" customFormat="1" outlineLevel="2" x14ac:dyDescent="0.2"/>
    <row r="2051" spans="3:15" s="327" customFormat="1" outlineLevel="2" x14ac:dyDescent="0.2">
      <c r="D2051" s="590" t="s">
        <v>82</v>
      </c>
      <c r="H2051" s="27">
        <v>1</v>
      </c>
    </row>
    <row r="2052" spans="3:15" s="327" customFormat="1" outlineLevel="2" x14ac:dyDescent="0.2"/>
    <row r="2053" spans="3:15" s="327" customFormat="1" ht="15" outlineLevel="2" x14ac:dyDescent="0.2">
      <c r="D2053" s="24" t="str">
        <f>Labels_BA!G10</f>
        <v>Province</v>
      </c>
    </row>
    <row r="2054" spans="3:15" s="327" customFormat="1" outlineLevel="2" x14ac:dyDescent="0.2">
      <c r="D2054" s="594" t="str">
        <f>Intv_BA!D3114</f>
        <v>Central</v>
      </c>
      <c r="J2054" s="8">
        <f>Intv_Ann_TA!J996</f>
        <v>0</v>
      </c>
      <c r="K2054" s="8">
        <f>Intv_Ann_TA!K996</f>
        <v>0</v>
      </c>
      <c r="L2054" s="8">
        <f>Intv_Ann_TA!L996</f>
        <v>0</v>
      </c>
      <c r="M2054" s="8">
        <f>Intv_Ann_TA!M996</f>
        <v>0</v>
      </c>
      <c r="N2054" s="8">
        <f>Intv_Ann_TA!N996</f>
        <v>0</v>
      </c>
      <c r="O2054" s="8">
        <f>Intv_Ann_TA!O996</f>
        <v>0</v>
      </c>
    </row>
    <row r="2055" spans="3:15" s="327" customFormat="1" outlineLevel="2" x14ac:dyDescent="0.2">
      <c r="D2055" s="594" t="str">
        <f>Intv_BA!D3115</f>
        <v>Copperbelt</v>
      </c>
      <c r="J2055" s="8">
        <f>Intv_Ann_TA!J997</f>
        <v>1</v>
      </c>
      <c r="K2055" s="8">
        <f>Intv_Ann_TA!K997</f>
        <v>1</v>
      </c>
      <c r="L2055" s="8">
        <f>Intv_Ann_TA!L997</f>
        <v>1</v>
      </c>
      <c r="M2055" s="8">
        <f>Intv_Ann_TA!M997</f>
        <v>1</v>
      </c>
      <c r="N2055" s="8">
        <f>Intv_Ann_TA!N997</f>
        <v>1</v>
      </c>
      <c r="O2055" s="8">
        <f>Intv_Ann_TA!O997</f>
        <v>1</v>
      </c>
    </row>
    <row r="2056" spans="3:15" s="327" customFormat="1" outlineLevel="2" x14ac:dyDescent="0.2">
      <c r="D2056" s="594" t="str">
        <f>Intv_BA!D3116</f>
        <v>Eastern</v>
      </c>
      <c r="J2056" s="8">
        <f>Intv_Ann_TA!J998</f>
        <v>0</v>
      </c>
      <c r="K2056" s="8">
        <f>Intv_Ann_TA!K998</f>
        <v>0</v>
      </c>
      <c r="L2056" s="8">
        <f>Intv_Ann_TA!L998</f>
        <v>0</v>
      </c>
      <c r="M2056" s="8">
        <f>Intv_Ann_TA!M998</f>
        <v>0</v>
      </c>
      <c r="N2056" s="8">
        <f>Intv_Ann_TA!N998</f>
        <v>0</v>
      </c>
      <c r="O2056" s="8">
        <f>Intv_Ann_TA!O998</f>
        <v>0</v>
      </c>
    </row>
    <row r="2057" spans="3:15" s="327" customFormat="1" outlineLevel="2" x14ac:dyDescent="0.2">
      <c r="D2057" s="594" t="str">
        <f>Intv_BA!D3117</f>
        <v>Luapula</v>
      </c>
      <c r="J2057" s="8">
        <f>Intv_Ann_TA!J999</f>
        <v>0</v>
      </c>
      <c r="K2057" s="8">
        <f>Intv_Ann_TA!K999</f>
        <v>0</v>
      </c>
      <c r="L2057" s="8">
        <f>Intv_Ann_TA!L999</f>
        <v>0</v>
      </c>
      <c r="M2057" s="8">
        <f>Intv_Ann_TA!M999</f>
        <v>0</v>
      </c>
      <c r="N2057" s="8">
        <f>Intv_Ann_TA!N999</f>
        <v>0</v>
      </c>
      <c r="O2057" s="8">
        <f>Intv_Ann_TA!O999</f>
        <v>0</v>
      </c>
    </row>
    <row r="2058" spans="3:15" s="327" customFormat="1" outlineLevel="2" x14ac:dyDescent="0.2">
      <c r="D2058" s="594" t="str">
        <f>Intv_BA!D3118</f>
        <v>Lusaka</v>
      </c>
      <c r="J2058" s="8">
        <f>Intv_Ann_TA!J1000</f>
        <v>2</v>
      </c>
      <c r="K2058" s="8">
        <f>Intv_Ann_TA!K1000</f>
        <v>2</v>
      </c>
      <c r="L2058" s="8">
        <f>Intv_Ann_TA!L1000</f>
        <v>2</v>
      </c>
      <c r="M2058" s="8">
        <f>Intv_Ann_TA!M1000</f>
        <v>2</v>
      </c>
      <c r="N2058" s="8">
        <f>Intv_Ann_TA!N1000</f>
        <v>2</v>
      </c>
      <c r="O2058" s="8">
        <f>Intv_Ann_TA!O1000</f>
        <v>2</v>
      </c>
    </row>
    <row r="2059" spans="3:15" s="327" customFormat="1" outlineLevel="2" x14ac:dyDescent="0.2">
      <c r="D2059" s="594" t="str">
        <f>Intv_BA!D3119</f>
        <v>Muchinga</v>
      </c>
      <c r="J2059" s="8">
        <f>Intv_Ann_TA!J1001</f>
        <v>0</v>
      </c>
      <c r="K2059" s="8">
        <f>Intv_Ann_TA!K1001</f>
        <v>0</v>
      </c>
      <c r="L2059" s="8">
        <f>Intv_Ann_TA!L1001</f>
        <v>0</v>
      </c>
      <c r="M2059" s="8">
        <f>Intv_Ann_TA!M1001</f>
        <v>0</v>
      </c>
      <c r="N2059" s="8">
        <f>Intv_Ann_TA!N1001</f>
        <v>0</v>
      </c>
      <c r="O2059" s="8">
        <f>Intv_Ann_TA!O1001</f>
        <v>0</v>
      </c>
    </row>
    <row r="2060" spans="3:15" s="327" customFormat="1" outlineLevel="2" x14ac:dyDescent="0.2">
      <c r="D2060" s="594" t="str">
        <f>Intv_BA!D3120</f>
        <v>Northern</v>
      </c>
      <c r="J2060" s="8">
        <f>Intv_Ann_TA!J1002</f>
        <v>0</v>
      </c>
      <c r="K2060" s="8">
        <f>Intv_Ann_TA!K1002</f>
        <v>0</v>
      </c>
      <c r="L2060" s="8">
        <f>Intv_Ann_TA!L1002</f>
        <v>0</v>
      </c>
      <c r="M2060" s="8">
        <f>Intv_Ann_TA!M1002</f>
        <v>0</v>
      </c>
      <c r="N2060" s="8">
        <f>Intv_Ann_TA!N1002</f>
        <v>0</v>
      </c>
      <c r="O2060" s="8">
        <f>Intv_Ann_TA!O1002</f>
        <v>0</v>
      </c>
    </row>
    <row r="2061" spans="3:15" s="327" customFormat="1" outlineLevel="2" x14ac:dyDescent="0.2">
      <c r="D2061" s="594" t="str">
        <f>Intv_BA!D3121</f>
        <v>North-Western</v>
      </c>
      <c r="J2061" s="8">
        <f>Intv_Ann_TA!J1003</f>
        <v>0</v>
      </c>
      <c r="K2061" s="8">
        <f>Intv_Ann_TA!K1003</f>
        <v>0</v>
      </c>
      <c r="L2061" s="8">
        <f>Intv_Ann_TA!L1003</f>
        <v>0</v>
      </c>
      <c r="M2061" s="8">
        <f>Intv_Ann_TA!M1003</f>
        <v>0</v>
      </c>
      <c r="N2061" s="8">
        <f>Intv_Ann_TA!N1003</f>
        <v>0</v>
      </c>
      <c r="O2061" s="8">
        <f>Intv_Ann_TA!O1003</f>
        <v>0</v>
      </c>
    </row>
    <row r="2062" spans="3:15" s="327" customFormat="1" outlineLevel="2" x14ac:dyDescent="0.2">
      <c r="D2062" s="594" t="str">
        <f>Intv_BA!D3122</f>
        <v>Southern</v>
      </c>
      <c r="J2062" s="8">
        <f>Intv_Ann_TA!J1004</f>
        <v>1</v>
      </c>
      <c r="K2062" s="8">
        <f>Intv_Ann_TA!K1004</f>
        <v>1</v>
      </c>
      <c r="L2062" s="8">
        <f>Intv_Ann_TA!L1004</f>
        <v>1</v>
      </c>
      <c r="M2062" s="8">
        <f>Intv_Ann_TA!M1004</f>
        <v>1</v>
      </c>
      <c r="N2062" s="8">
        <f>Intv_Ann_TA!N1004</f>
        <v>1</v>
      </c>
      <c r="O2062" s="8">
        <f>Intv_Ann_TA!O1004</f>
        <v>1</v>
      </c>
    </row>
    <row r="2063" spans="3:15" s="327" customFormat="1" outlineLevel="2" x14ac:dyDescent="0.2">
      <c r="D2063" s="594" t="str">
        <f>Intv_BA!D3123</f>
        <v>Western</v>
      </c>
      <c r="J2063" s="9">
        <f>Intv_Ann_TA!J1005</f>
        <v>0</v>
      </c>
      <c r="K2063" s="9">
        <f>Intv_Ann_TA!K1005</f>
        <v>0</v>
      </c>
      <c r="L2063" s="9">
        <f>Intv_Ann_TA!L1005</f>
        <v>0</v>
      </c>
      <c r="M2063" s="9">
        <f>Intv_Ann_TA!M1005</f>
        <v>0</v>
      </c>
      <c r="N2063" s="9">
        <f>Intv_Ann_TA!N1005</f>
        <v>0</v>
      </c>
      <c r="O2063" s="9">
        <f>Intv_Ann_TA!O1005</f>
        <v>0</v>
      </c>
    </row>
    <row r="2064" spans="3:15" s="327" customFormat="1" x14ac:dyDescent="0.2">
      <c r="D2064" s="596" t="str">
        <f>"Total "&amp;C2049</f>
        <v>Total Active Central Referral Hospitals</v>
      </c>
      <c r="J2064" s="5">
        <f t="shared" ref="J2064:O2064" si="199">SUM(J2054:J2063)</f>
        <v>4</v>
      </c>
      <c r="K2064" s="5">
        <f t="shared" si="199"/>
        <v>4</v>
      </c>
      <c r="L2064" s="5">
        <f t="shared" si="199"/>
        <v>4</v>
      </c>
      <c r="M2064" s="5">
        <f t="shared" si="199"/>
        <v>4</v>
      </c>
      <c r="N2064" s="5">
        <f t="shared" si="199"/>
        <v>4</v>
      </c>
      <c r="O2064" s="5">
        <f t="shared" si="199"/>
        <v>4</v>
      </c>
    </row>
    <row r="2065" spans="3:15" s="327" customFormat="1" outlineLevel="2" x14ac:dyDescent="0.2"/>
    <row r="2066" spans="3:15" s="327" customFormat="1" ht="15.75" outlineLevel="2" x14ac:dyDescent="0.2">
      <c r="C2066" s="26" t="str">
        <f>"Active "&amp;Intv_BA!D2981&amp;"s"</f>
        <v>Active Provincial Hospitals</v>
      </c>
    </row>
    <row r="2067" spans="3:15" s="327" customFormat="1" outlineLevel="2" x14ac:dyDescent="0.2"/>
    <row r="2068" spans="3:15" s="327" customFormat="1" outlineLevel="2" x14ac:dyDescent="0.2">
      <c r="D2068" s="590" t="s">
        <v>82</v>
      </c>
      <c r="H2068" s="27">
        <v>2</v>
      </c>
    </row>
    <row r="2069" spans="3:15" s="327" customFormat="1" outlineLevel="2" x14ac:dyDescent="0.2"/>
    <row r="2070" spans="3:15" s="327" customFormat="1" ht="15" outlineLevel="2" x14ac:dyDescent="0.2">
      <c r="D2070" s="24" t="str">
        <f>Labels_BA!G10</f>
        <v>Province</v>
      </c>
    </row>
    <row r="2071" spans="3:15" s="327" customFormat="1" outlineLevel="2" x14ac:dyDescent="0.2">
      <c r="D2071" s="594" t="str">
        <f>Intv_BA!D3114</f>
        <v>Central</v>
      </c>
      <c r="J2071" s="8">
        <f>Intv_Ann_TA!J1012</f>
        <v>0</v>
      </c>
      <c r="K2071" s="8">
        <f>Intv_Ann_TA!K1012</f>
        <v>1</v>
      </c>
      <c r="L2071" s="8">
        <f>Intv_Ann_TA!L1012</f>
        <v>1</v>
      </c>
      <c r="M2071" s="8">
        <f>Intv_Ann_TA!M1012</f>
        <v>1</v>
      </c>
      <c r="N2071" s="8">
        <f>Intv_Ann_TA!N1012</f>
        <v>1</v>
      </c>
      <c r="O2071" s="8">
        <f>Intv_Ann_TA!O1012</f>
        <v>1</v>
      </c>
    </row>
    <row r="2072" spans="3:15" s="327" customFormat="1" outlineLevel="2" x14ac:dyDescent="0.2">
      <c r="D2072" s="594" t="str">
        <f>Intv_BA!D3115</f>
        <v>Copperbelt</v>
      </c>
      <c r="J2072" s="8">
        <f>Intv_Ann_TA!J1013</f>
        <v>0</v>
      </c>
      <c r="K2072" s="8">
        <f>Intv_Ann_TA!K1013</f>
        <v>1</v>
      </c>
      <c r="L2072" s="8">
        <f>Intv_Ann_TA!L1013</f>
        <v>1</v>
      </c>
      <c r="M2072" s="8">
        <f>Intv_Ann_TA!M1013</f>
        <v>1</v>
      </c>
      <c r="N2072" s="8">
        <f>Intv_Ann_TA!N1013</f>
        <v>1</v>
      </c>
      <c r="O2072" s="8">
        <f>Intv_Ann_TA!O1013</f>
        <v>1</v>
      </c>
    </row>
    <row r="2073" spans="3:15" s="327" customFormat="1" outlineLevel="2" x14ac:dyDescent="0.2">
      <c r="D2073" s="594" t="str">
        <f>Intv_BA!D3116</f>
        <v>Eastern</v>
      </c>
      <c r="J2073" s="8">
        <f>Intv_Ann_TA!J1014</f>
        <v>0</v>
      </c>
      <c r="K2073" s="8">
        <f>Intv_Ann_TA!K1014</f>
        <v>1</v>
      </c>
      <c r="L2073" s="8">
        <f>Intv_Ann_TA!L1014</f>
        <v>1</v>
      </c>
      <c r="M2073" s="8">
        <f>Intv_Ann_TA!M1014</f>
        <v>1</v>
      </c>
      <c r="N2073" s="8">
        <f>Intv_Ann_TA!N1014</f>
        <v>1</v>
      </c>
      <c r="O2073" s="8">
        <f>Intv_Ann_TA!O1014</f>
        <v>1</v>
      </c>
    </row>
    <row r="2074" spans="3:15" s="327" customFormat="1" outlineLevel="2" x14ac:dyDescent="0.2">
      <c r="D2074" s="594" t="str">
        <f>Intv_BA!D3117</f>
        <v>Luapula</v>
      </c>
      <c r="J2074" s="8">
        <f>Intv_Ann_TA!J1015</f>
        <v>0</v>
      </c>
      <c r="K2074" s="8">
        <f>Intv_Ann_TA!K1015</f>
        <v>1</v>
      </c>
      <c r="L2074" s="8">
        <f>Intv_Ann_TA!L1015</f>
        <v>1</v>
      </c>
      <c r="M2074" s="8">
        <f>Intv_Ann_TA!M1015</f>
        <v>1</v>
      </c>
      <c r="N2074" s="8">
        <f>Intv_Ann_TA!N1015</f>
        <v>1</v>
      </c>
      <c r="O2074" s="8">
        <f>Intv_Ann_TA!O1015</f>
        <v>1</v>
      </c>
    </row>
    <row r="2075" spans="3:15" s="327" customFormat="1" outlineLevel="2" x14ac:dyDescent="0.2">
      <c r="D2075" s="594" t="str">
        <f>Intv_BA!D3118</f>
        <v>Lusaka</v>
      </c>
      <c r="J2075" s="8">
        <f>Intv_Ann_TA!J1016</f>
        <v>0</v>
      </c>
      <c r="K2075" s="8">
        <f>Intv_Ann_TA!K1016</f>
        <v>1</v>
      </c>
      <c r="L2075" s="8">
        <f>Intv_Ann_TA!L1016</f>
        <v>1</v>
      </c>
      <c r="M2075" s="8">
        <f>Intv_Ann_TA!M1016</f>
        <v>1</v>
      </c>
      <c r="N2075" s="8">
        <f>Intv_Ann_TA!N1016</f>
        <v>1</v>
      </c>
      <c r="O2075" s="8">
        <f>Intv_Ann_TA!O1016</f>
        <v>1</v>
      </c>
    </row>
    <row r="2076" spans="3:15" s="327" customFormat="1" outlineLevel="2" x14ac:dyDescent="0.2">
      <c r="D2076" s="594" t="str">
        <f>Intv_BA!D3119</f>
        <v>Muchinga</v>
      </c>
      <c r="J2076" s="8">
        <f>Intv_Ann_TA!J1017</f>
        <v>0</v>
      </c>
      <c r="K2076" s="8">
        <f>Intv_Ann_TA!K1017</f>
        <v>1</v>
      </c>
      <c r="L2076" s="8">
        <f>Intv_Ann_TA!L1017</f>
        <v>1</v>
      </c>
      <c r="M2076" s="8">
        <f>Intv_Ann_TA!M1017</f>
        <v>1</v>
      </c>
      <c r="N2076" s="8">
        <f>Intv_Ann_TA!N1017</f>
        <v>1</v>
      </c>
      <c r="O2076" s="8">
        <f>Intv_Ann_TA!O1017</f>
        <v>1</v>
      </c>
    </row>
    <row r="2077" spans="3:15" s="327" customFormat="1" outlineLevel="2" x14ac:dyDescent="0.2">
      <c r="D2077" s="594" t="str">
        <f>Intv_BA!D3120</f>
        <v>Northern</v>
      </c>
      <c r="J2077" s="8">
        <f>Intv_Ann_TA!J1018</f>
        <v>0</v>
      </c>
      <c r="K2077" s="8">
        <f>Intv_Ann_TA!K1018</f>
        <v>1</v>
      </c>
      <c r="L2077" s="8">
        <f>Intv_Ann_TA!L1018</f>
        <v>1</v>
      </c>
      <c r="M2077" s="8">
        <f>Intv_Ann_TA!M1018</f>
        <v>1</v>
      </c>
      <c r="N2077" s="8">
        <f>Intv_Ann_TA!N1018</f>
        <v>1</v>
      </c>
      <c r="O2077" s="8">
        <f>Intv_Ann_TA!O1018</f>
        <v>1</v>
      </c>
    </row>
    <row r="2078" spans="3:15" s="327" customFormat="1" outlineLevel="2" x14ac:dyDescent="0.2">
      <c r="D2078" s="594" t="str">
        <f>Intv_BA!D3121</f>
        <v>North-Western</v>
      </c>
      <c r="J2078" s="8">
        <f>Intv_Ann_TA!J1019</f>
        <v>0</v>
      </c>
      <c r="K2078" s="8">
        <f>Intv_Ann_TA!K1019</f>
        <v>1</v>
      </c>
      <c r="L2078" s="8">
        <f>Intv_Ann_TA!L1019</f>
        <v>1</v>
      </c>
      <c r="M2078" s="8">
        <f>Intv_Ann_TA!M1019</f>
        <v>1</v>
      </c>
      <c r="N2078" s="8">
        <f>Intv_Ann_TA!N1019</f>
        <v>1</v>
      </c>
      <c r="O2078" s="8">
        <f>Intv_Ann_TA!O1019</f>
        <v>1</v>
      </c>
    </row>
    <row r="2079" spans="3:15" s="327" customFormat="1" outlineLevel="2" x14ac:dyDescent="0.2">
      <c r="D2079" s="594" t="str">
        <f>Intv_BA!D3122</f>
        <v>Southern</v>
      </c>
      <c r="J2079" s="8">
        <f>Intv_Ann_TA!J1020</f>
        <v>1</v>
      </c>
      <c r="K2079" s="8">
        <f>Intv_Ann_TA!K1020</f>
        <v>1</v>
      </c>
      <c r="L2079" s="8">
        <f>Intv_Ann_TA!L1020</f>
        <v>1</v>
      </c>
      <c r="M2079" s="8">
        <f>Intv_Ann_TA!M1020</f>
        <v>1</v>
      </c>
      <c r="N2079" s="8">
        <f>Intv_Ann_TA!N1020</f>
        <v>1</v>
      </c>
      <c r="O2079" s="8">
        <f>Intv_Ann_TA!O1020</f>
        <v>1</v>
      </c>
    </row>
    <row r="2080" spans="3:15" s="327" customFormat="1" outlineLevel="2" x14ac:dyDescent="0.2">
      <c r="D2080" s="594" t="str">
        <f>Intv_BA!D3123</f>
        <v>Western</v>
      </c>
      <c r="J2080" s="9">
        <f>Intv_Ann_TA!J1021</f>
        <v>0</v>
      </c>
      <c r="K2080" s="9">
        <f>Intv_Ann_TA!K1021</f>
        <v>1</v>
      </c>
      <c r="L2080" s="9">
        <f>Intv_Ann_TA!L1021</f>
        <v>1</v>
      </c>
      <c r="M2080" s="9">
        <f>Intv_Ann_TA!M1021</f>
        <v>1</v>
      </c>
      <c r="N2080" s="9">
        <f>Intv_Ann_TA!N1021</f>
        <v>1</v>
      </c>
      <c r="O2080" s="9">
        <f>Intv_Ann_TA!O1021</f>
        <v>1</v>
      </c>
    </row>
    <row r="2081" spans="3:15" s="327" customFormat="1" x14ac:dyDescent="0.2">
      <c r="D2081" s="596" t="str">
        <f>"Total "&amp;C2066</f>
        <v>Total Active Provincial Hospitals</v>
      </c>
      <c r="J2081" s="5">
        <f t="shared" ref="J2081:O2081" si="200">SUM(J2071:J2080)</f>
        <v>1</v>
      </c>
      <c r="K2081" s="5">
        <f t="shared" si="200"/>
        <v>10</v>
      </c>
      <c r="L2081" s="5">
        <f t="shared" si="200"/>
        <v>10</v>
      </c>
      <c r="M2081" s="5">
        <f t="shared" si="200"/>
        <v>10</v>
      </c>
      <c r="N2081" s="5">
        <f t="shared" si="200"/>
        <v>10</v>
      </c>
      <c r="O2081" s="5">
        <f t="shared" si="200"/>
        <v>10</v>
      </c>
    </row>
    <row r="2082" spans="3:15" s="327" customFormat="1" outlineLevel="2" x14ac:dyDescent="0.2"/>
    <row r="2083" spans="3:15" s="327" customFormat="1" ht="15.75" outlineLevel="2" x14ac:dyDescent="0.2">
      <c r="C2083" s="26" t="str">
        <f>"Active "&amp;Intv_BA!D2982&amp;"s"</f>
        <v>Active District Hospitals</v>
      </c>
    </row>
    <row r="2084" spans="3:15" s="327" customFormat="1" outlineLevel="2" x14ac:dyDescent="0.2"/>
    <row r="2085" spans="3:15" s="327" customFormat="1" outlineLevel="2" x14ac:dyDescent="0.2">
      <c r="D2085" s="590" t="s">
        <v>82</v>
      </c>
      <c r="H2085" s="27">
        <v>3</v>
      </c>
    </row>
    <row r="2086" spans="3:15" s="327" customFormat="1" outlineLevel="2" x14ac:dyDescent="0.2"/>
    <row r="2087" spans="3:15" s="327" customFormat="1" ht="15" outlineLevel="2" x14ac:dyDescent="0.2">
      <c r="D2087" s="24" t="str">
        <f>Labels_BA!G10</f>
        <v>Province</v>
      </c>
    </row>
    <row r="2088" spans="3:15" s="327" customFormat="1" outlineLevel="2" x14ac:dyDescent="0.2">
      <c r="D2088" s="594" t="str">
        <f>Intv_BA!D3114</f>
        <v>Central</v>
      </c>
      <c r="J2088" s="8">
        <f>Intv_Ann_TA!J1028</f>
        <v>0</v>
      </c>
      <c r="K2088" s="8">
        <f>Intv_Ann_TA!K1028</f>
        <v>0</v>
      </c>
      <c r="L2088" s="8">
        <f>Intv_Ann_TA!L1028</f>
        <v>1</v>
      </c>
      <c r="M2088" s="8">
        <f>Intv_Ann_TA!M1028</f>
        <v>2</v>
      </c>
      <c r="N2088" s="8">
        <f>Intv_Ann_TA!N1028</f>
        <v>3</v>
      </c>
      <c r="O2088" s="8">
        <f>Intv_Ann_TA!O1028</f>
        <v>4</v>
      </c>
    </row>
    <row r="2089" spans="3:15" s="327" customFormat="1" outlineLevel="2" x14ac:dyDescent="0.2">
      <c r="D2089" s="594" t="str">
        <f>Intv_BA!D3115</f>
        <v>Copperbelt</v>
      </c>
      <c r="J2089" s="8">
        <f>Intv_Ann_TA!J1029</f>
        <v>0</v>
      </c>
      <c r="K2089" s="8">
        <f>Intv_Ann_TA!K1029</f>
        <v>0</v>
      </c>
      <c r="L2089" s="8">
        <f>Intv_Ann_TA!L1029</f>
        <v>0</v>
      </c>
      <c r="M2089" s="8">
        <f>Intv_Ann_TA!M1029</f>
        <v>0</v>
      </c>
      <c r="N2089" s="8">
        <f>Intv_Ann_TA!N1029</f>
        <v>0</v>
      </c>
      <c r="O2089" s="8">
        <f>Intv_Ann_TA!O1029</f>
        <v>0</v>
      </c>
    </row>
    <row r="2090" spans="3:15" s="327" customFormat="1" outlineLevel="2" x14ac:dyDescent="0.2">
      <c r="D2090" s="594" t="str">
        <f>Intv_BA!D3116</f>
        <v>Eastern</v>
      </c>
      <c r="J2090" s="8">
        <f>Intv_Ann_TA!J1030</f>
        <v>0</v>
      </c>
      <c r="K2090" s="8">
        <f>Intv_Ann_TA!K1030</f>
        <v>0</v>
      </c>
      <c r="L2090" s="8">
        <f>Intv_Ann_TA!L1030</f>
        <v>1</v>
      </c>
      <c r="M2090" s="8">
        <f>Intv_Ann_TA!M1030</f>
        <v>2</v>
      </c>
      <c r="N2090" s="8">
        <f>Intv_Ann_TA!N1030</f>
        <v>3</v>
      </c>
      <c r="O2090" s="8">
        <f>Intv_Ann_TA!O1030</f>
        <v>4</v>
      </c>
    </row>
    <row r="2091" spans="3:15" s="327" customFormat="1" outlineLevel="2" x14ac:dyDescent="0.2">
      <c r="D2091" s="594" t="str">
        <f>Intv_BA!D3117</f>
        <v>Luapula</v>
      </c>
      <c r="J2091" s="8">
        <f>Intv_Ann_TA!J1031</f>
        <v>0</v>
      </c>
      <c r="K2091" s="8">
        <f>Intv_Ann_TA!K1031</f>
        <v>0</v>
      </c>
      <c r="L2091" s="8">
        <f>Intv_Ann_TA!L1031</f>
        <v>1</v>
      </c>
      <c r="M2091" s="8">
        <f>Intv_Ann_TA!M1031</f>
        <v>2</v>
      </c>
      <c r="N2091" s="8">
        <f>Intv_Ann_TA!N1031</f>
        <v>3</v>
      </c>
      <c r="O2091" s="8">
        <f>Intv_Ann_TA!O1031</f>
        <v>4</v>
      </c>
    </row>
    <row r="2092" spans="3:15" s="327" customFormat="1" outlineLevel="2" x14ac:dyDescent="0.2">
      <c r="D2092" s="594" t="str">
        <f>Intv_BA!D3118</f>
        <v>Lusaka</v>
      </c>
      <c r="J2092" s="8">
        <f>Intv_Ann_TA!J1032</f>
        <v>0</v>
      </c>
      <c r="K2092" s="8">
        <f>Intv_Ann_TA!K1032</f>
        <v>0</v>
      </c>
      <c r="L2092" s="8">
        <f>Intv_Ann_TA!L1032</f>
        <v>1</v>
      </c>
      <c r="M2092" s="8">
        <f>Intv_Ann_TA!M1032</f>
        <v>2</v>
      </c>
      <c r="N2092" s="8">
        <f>Intv_Ann_TA!N1032</f>
        <v>3</v>
      </c>
      <c r="O2092" s="8">
        <f>Intv_Ann_TA!O1032</f>
        <v>4</v>
      </c>
    </row>
    <row r="2093" spans="3:15" s="327" customFormat="1" outlineLevel="2" x14ac:dyDescent="0.2">
      <c r="D2093" s="594" t="str">
        <f>Intv_BA!D3119</f>
        <v>Muchinga</v>
      </c>
      <c r="J2093" s="8">
        <f>Intv_Ann_TA!J1033</f>
        <v>0</v>
      </c>
      <c r="K2093" s="8">
        <f>Intv_Ann_TA!K1033</f>
        <v>0</v>
      </c>
      <c r="L2093" s="8">
        <f>Intv_Ann_TA!L1033</f>
        <v>1</v>
      </c>
      <c r="M2093" s="8">
        <f>Intv_Ann_TA!M1033</f>
        <v>2</v>
      </c>
      <c r="N2093" s="8">
        <f>Intv_Ann_TA!N1033</f>
        <v>3</v>
      </c>
      <c r="O2093" s="8">
        <f>Intv_Ann_TA!O1033</f>
        <v>4</v>
      </c>
    </row>
    <row r="2094" spans="3:15" s="327" customFormat="1" outlineLevel="2" x14ac:dyDescent="0.2">
      <c r="D2094" s="594" t="str">
        <f>Intv_BA!D3120</f>
        <v>Northern</v>
      </c>
      <c r="J2094" s="8">
        <f>Intv_Ann_TA!J1034</f>
        <v>0</v>
      </c>
      <c r="K2094" s="8">
        <f>Intv_Ann_TA!K1034</f>
        <v>0</v>
      </c>
      <c r="L2094" s="8">
        <f>Intv_Ann_TA!L1034</f>
        <v>1</v>
      </c>
      <c r="M2094" s="8">
        <f>Intv_Ann_TA!M1034</f>
        <v>2</v>
      </c>
      <c r="N2094" s="8">
        <f>Intv_Ann_TA!N1034</f>
        <v>3</v>
      </c>
      <c r="O2094" s="8">
        <f>Intv_Ann_TA!O1034</f>
        <v>4</v>
      </c>
    </row>
    <row r="2095" spans="3:15" s="327" customFormat="1" outlineLevel="2" x14ac:dyDescent="0.2">
      <c r="D2095" s="594" t="str">
        <f>Intv_BA!D3121</f>
        <v>North-Western</v>
      </c>
      <c r="J2095" s="8">
        <f>Intv_Ann_TA!J1035</f>
        <v>0</v>
      </c>
      <c r="K2095" s="8">
        <f>Intv_Ann_TA!K1035</f>
        <v>0</v>
      </c>
      <c r="L2095" s="8">
        <f>Intv_Ann_TA!L1035</f>
        <v>1</v>
      </c>
      <c r="M2095" s="8">
        <f>Intv_Ann_TA!M1035</f>
        <v>2</v>
      </c>
      <c r="N2095" s="8">
        <f>Intv_Ann_TA!N1035</f>
        <v>3</v>
      </c>
      <c r="O2095" s="8">
        <f>Intv_Ann_TA!O1035</f>
        <v>4</v>
      </c>
    </row>
    <row r="2096" spans="3:15" s="327" customFormat="1" outlineLevel="2" x14ac:dyDescent="0.2">
      <c r="D2096" s="594" t="str">
        <f>Intv_BA!D3122</f>
        <v>Southern</v>
      </c>
      <c r="J2096" s="8">
        <f>Intv_Ann_TA!J1036</f>
        <v>0</v>
      </c>
      <c r="K2096" s="8">
        <f>Intv_Ann_TA!K1036</f>
        <v>1</v>
      </c>
      <c r="L2096" s="8">
        <f>Intv_Ann_TA!L1036</f>
        <v>2</v>
      </c>
      <c r="M2096" s="8">
        <f>Intv_Ann_TA!M1036</f>
        <v>3</v>
      </c>
      <c r="N2096" s="8">
        <f>Intv_Ann_TA!N1036</f>
        <v>4</v>
      </c>
      <c r="O2096" s="8">
        <f>Intv_Ann_TA!O1036</f>
        <v>5</v>
      </c>
    </row>
    <row r="2097" spans="3:15" s="327" customFormat="1" outlineLevel="2" x14ac:dyDescent="0.2">
      <c r="D2097" s="594" t="str">
        <f>Intv_BA!D3123</f>
        <v>Western</v>
      </c>
      <c r="J2097" s="9">
        <f>Intv_Ann_TA!J1037</f>
        <v>0</v>
      </c>
      <c r="K2097" s="9">
        <f>Intv_Ann_TA!K1037</f>
        <v>0</v>
      </c>
      <c r="L2097" s="9">
        <f>Intv_Ann_TA!L1037</f>
        <v>1</v>
      </c>
      <c r="M2097" s="9">
        <f>Intv_Ann_TA!M1037</f>
        <v>2</v>
      </c>
      <c r="N2097" s="9">
        <f>Intv_Ann_TA!N1037</f>
        <v>3</v>
      </c>
      <c r="O2097" s="9">
        <f>Intv_Ann_TA!O1037</f>
        <v>4</v>
      </c>
    </row>
    <row r="2098" spans="3:15" s="327" customFormat="1" x14ac:dyDescent="0.2">
      <c r="D2098" s="596" t="str">
        <f>"Total "&amp;C2083</f>
        <v>Total Active District Hospitals</v>
      </c>
      <c r="J2098" s="5">
        <f t="shared" ref="J2098:O2098" si="201">SUM(J2088:J2097)</f>
        <v>0</v>
      </c>
      <c r="K2098" s="5">
        <f t="shared" si="201"/>
        <v>1</v>
      </c>
      <c r="L2098" s="5">
        <f t="shared" si="201"/>
        <v>10</v>
      </c>
      <c r="M2098" s="5">
        <f t="shared" si="201"/>
        <v>19</v>
      </c>
      <c r="N2098" s="5">
        <f t="shared" si="201"/>
        <v>28</v>
      </c>
      <c r="O2098" s="5">
        <f t="shared" si="201"/>
        <v>37</v>
      </c>
    </row>
    <row r="2099" spans="3:15" s="327" customFormat="1" outlineLevel="2" x14ac:dyDescent="0.2"/>
    <row r="2100" spans="3:15" s="327" customFormat="1" ht="15.75" outlineLevel="2" x14ac:dyDescent="0.2">
      <c r="C2100" s="26" t="str">
        <f>"Active "&amp;Intv_BA!D2985&amp;"s"</f>
        <v>Active Fixed Health Clinics</v>
      </c>
    </row>
    <row r="2101" spans="3:15" s="327" customFormat="1" outlineLevel="2" x14ac:dyDescent="0.2"/>
    <row r="2102" spans="3:15" s="327" customFormat="1" outlineLevel="2" x14ac:dyDescent="0.2">
      <c r="D2102" s="590" t="s">
        <v>82</v>
      </c>
      <c r="H2102" s="27">
        <v>4</v>
      </c>
    </row>
    <row r="2103" spans="3:15" s="327" customFormat="1" outlineLevel="2" x14ac:dyDescent="0.2"/>
    <row r="2104" spans="3:15" s="327" customFormat="1" ht="15" outlineLevel="2" x14ac:dyDescent="0.2">
      <c r="D2104" s="24" t="str">
        <f>Labels_BA!G10</f>
        <v>Province</v>
      </c>
    </row>
    <row r="2105" spans="3:15" s="327" customFormat="1" outlineLevel="2" x14ac:dyDescent="0.2">
      <c r="D2105" s="594" t="str">
        <f>Intv_BA!D3114</f>
        <v>Central</v>
      </c>
      <c r="J2105" s="8">
        <f>Intv_Ann_TA!J1044</f>
        <v>0</v>
      </c>
      <c r="K2105" s="8">
        <f>Intv_Ann_TA!K1044</f>
        <v>0</v>
      </c>
      <c r="L2105" s="8">
        <f>Intv_Ann_TA!L1044</f>
        <v>0</v>
      </c>
      <c r="M2105" s="8">
        <f>Intv_Ann_TA!M1044</f>
        <v>0</v>
      </c>
      <c r="N2105" s="8">
        <f>Intv_Ann_TA!N1044</f>
        <v>0</v>
      </c>
      <c r="O2105" s="8">
        <f>Intv_Ann_TA!O1044</f>
        <v>0</v>
      </c>
    </row>
    <row r="2106" spans="3:15" s="327" customFormat="1" outlineLevel="2" x14ac:dyDescent="0.2">
      <c r="D2106" s="594" t="str">
        <f>Intv_BA!D3115</f>
        <v>Copperbelt</v>
      </c>
      <c r="J2106" s="8">
        <f>Intv_Ann_TA!J1045</f>
        <v>0</v>
      </c>
      <c r="K2106" s="8">
        <f>Intv_Ann_TA!K1045</f>
        <v>0</v>
      </c>
      <c r="L2106" s="8">
        <f>Intv_Ann_TA!L1045</f>
        <v>0</v>
      </c>
      <c r="M2106" s="8">
        <f>Intv_Ann_TA!M1045</f>
        <v>0</v>
      </c>
      <c r="N2106" s="8">
        <f>Intv_Ann_TA!N1045</f>
        <v>0</v>
      </c>
      <c r="O2106" s="8">
        <f>Intv_Ann_TA!O1045</f>
        <v>0</v>
      </c>
    </row>
    <row r="2107" spans="3:15" s="327" customFormat="1" outlineLevel="2" x14ac:dyDescent="0.2">
      <c r="D2107" s="594" t="str">
        <f>Intv_BA!D3116</f>
        <v>Eastern</v>
      </c>
      <c r="J2107" s="8">
        <f>Intv_Ann_TA!J1046</f>
        <v>0</v>
      </c>
      <c r="K2107" s="8">
        <f>Intv_Ann_TA!K1046</f>
        <v>0</v>
      </c>
      <c r="L2107" s="8">
        <f>Intv_Ann_TA!L1046</f>
        <v>0</v>
      </c>
      <c r="M2107" s="8">
        <f>Intv_Ann_TA!M1046</f>
        <v>0</v>
      </c>
      <c r="N2107" s="8">
        <f>Intv_Ann_TA!N1046</f>
        <v>0</v>
      </c>
      <c r="O2107" s="8">
        <f>Intv_Ann_TA!O1046</f>
        <v>0</v>
      </c>
    </row>
    <row r="2108" spans="3:15" s="327" customFormat="1" outlineLevel="2" x14ac:dyDescent="0.2">
      <c r="D2108" s="594" t="str">
        <f>Intv_BA!D3117</f>
        <v>Luapula</v>
      </c>
      <c r="J2108" s="8">
        <f>Intv_Ann_TA!J1047</f>
        <v>0</v>
      </c>
      <c r="K2108" s="8">
        <f>Intv_Ann_TA!K1047</f>
        <v>0</v>
      </c>
      <c r="L2108" s="8">
        <f>Intv_Ann_TA!L1047</f>
        <v>0</v>
      </c>
      <c r="M2108" s="8">
        <f>Intv_Ann_TA!M1047</f>
        <v>0</v>
      </c>
      <c r="N2108" s="8">
        <f>Intv_Ann_TA!N1047</f>
        <v>0</v>
      </c>
      <c r="O2108" s="8">
        <f>Intv_Ann_TA!O1047</f>
        <v>0</v>
      </c>
    </row>
    <row r="2109" spans="3:15" s="327" customFormat="1" outlineLevel="2" x14ac:dyDescent="0.2">
      <c r="D2109" s="594" t="str">
        <f>Intv_BA!D3118</f>
        <v>Lusaka</v>
      </c>
      <c r="J2109" s="8">
        <f>Intv_Ann_TA!J1048</f>
        <v>0</v>
      </c>
      <c r="K2109" s="8">
        <f>Intv_Ann_TA!K1048</f>
        <v>0</v>
      </c>
      <c r="L2109" s="8">
        <f>Intv_Ann_TA!L1048</f>
        <v>0</v>
      </c>
      <c r="M2109" s="8">
        <f>Intv_Ann_TA!M1048</f>
        <v>0</v>
      </c>
      <c r="N2109" s="8">
        <f>Intv_Ann_TA!N1048</f>
        <v>0</v>
      </c>
      <c r="O2109" s="8">
        <f>Intv_Ann_TA!O1048</f>
        <v>0</v>
      </c>
    </row>
    <row r="2110" spans="3:15" s="327" customFormat="1" outlineLevel="2" x14ac:dyDescent="0.2">
      <c r="D2110" s="594" t="str">
        <f>Intv_BA!D3119</f>
        <v>Muchinga</v>
      </c>
      <c r="J2110" s="8">
        <f>Intv_Ann_TA!J1049</f>
        <v>0</v>
      </c>
      <c r="K2110" s="8">
        <f>Intv_Ann_TA!K1049</f>
        <v>0</v>
      </c>
      <c r="L2110" s="8">
        <f>Intv_Ann_TA!L1049</f>
        <v>0</v>
      </c>
      <c r="M2110" s="8">
        <f>Intv_Ann_TA!M1049</f>
        <v>0</v>
      </c>
      <c r="N2110" s="8">
        <f>Intv_Ann_TA!N1049</f>
        <v>0</v>
      </c>
      <c r="O2110" s="8">
        <f>Intv_Ann_TA!O1049</f>
        <v>0</v>
      </c>
    </row>
    <row r="2111" spans="3:15" s="327" customFormat="1" outlineLevel="2" x14ac:dyDescent="0.2">
      <c r="D2111" s="594" t="str">
        <f>Intv_BA!D3120</f>
        <v>Northern</v>
      </c>
      <c r="J2111" s="8">
        <f>Intv_Ann_TA!J1050</f>
        <v>0</v>
      </c>
      <c r="K2111" s="8">
        <f>Intv_Ann_TA!K1050</f>
        <v>0</v>
      </c>
      <c r="L2111" s="8">
        <f>Intv_Ann_TA!L1050</f>
        <v>0</v>
      </c>
      <c r="M2111" s="8">
        <f>Intv_Ann_TA!M1050</f>
        <v>0</v>
      </c>
      <c r="N2111" s="8">
        <f>Intv_Ann_TA!N1050</f>
        <v>0</v>
      </c>
      <c r="O2111" s="8">
        <f>Intv_Ann_TA!O1050</f>
        <v>0</v>
      </c>
    </row>
    <row r="2112" spans="3:15" s="327" customFormat="1" outlineLevel="2" x14ac:dyDescent="0.2">
      <c r="D2112" s="594" t="str">
        <f>Intv_BA!D3121</f>
        <v>North-Western</v>
      </c>
      <c r="J2112" s="8">
        <f>Intv_Ann_TA!J1051</f>
        <v>0</v>
      </c>
      <c r="K2112" s="8">
        <f>Intv_Ann_TA!K1051</f>
        <v>0</v>
      </c>
      <c r="L2112" s="8">
        <f>Intv_Ann_TA!L1051</f>
        <v>0</v>
      </c>
      <c r="M2112" s="8">
        <f>Intv_Ann_TA!M1051</f>
        <v>0</v>
      </c>
      <c r="N2112" s="8">
        <f>Intv_Ann_TA!N1051</f>
        <v>0</v>
      </c>
      <c r="O2112" s="8">
        <f>Intv_Ann_TA!O1051</f>
        <v>0</v>
      </c>
    </row>
    <row r="2113" spans="3:15" s="327" customFormat="1" outlineLevel="2" x14ac:dyDescent="0.2">
      <c r="D2113" s="594" t="str">
        <f>Intv_BA!D3122</f>
        <v>Southern</v>
      </c>
      <c r="J2113" s="8">
        <f>Intv_Ann_TA!J1052</f>
        <v>0</v>
      </c>
      <c r="K2113" s="8">
        <f>Intv_Ann_TA!K1052</f>
        <v>0</v>
      </c>
      <c r="L2113" s="8">
        <f>Intv_Ann_TA!L1052</f>
        <v>0</v>
      </c>
      <c r="M2113" s="8">
        <f>Intv_Ann_TA!M1052</f>
        <v>0</v>
      </c>
      <c r="N2113" s="8">
        <f>Intv_Ann_TA!N1052</f>
        <v>0</v>
      </c>
      <c r="O2113" s="8">
        <f>Intv_Ann_TA!O1052</f>
        <v>0</v>
      </c>
    </row>
    <row r="2114" spans="3:15" s="327" customFormat="1" outlineLevel="2" x14ac:dyDescent="0.2">
      <c r="D2114" s="594" t="str">
        <f>Intv_BA!D3123</f>
        <v>Western</v>
      </c>
      <c r="J2114" s="9">
        <f>Intv_Ann_TA!J1053</f>
        <v>0</v>
      </c>
      <c r="K2114" s="9">
        <f>Intv_Ann_TA!K1053</f>
        <v>0</v>
      </c>
      <c r="L2114" s="9">
        <f>Intv_Ann_TA!L1053</f>
        <v>0</v>
      </c>
      <c r="M2114" s="9">
        <f>Intv_Ann_TA!M1053</f>
        <v>0</v>
      </c>
      <c r="N2114" s="9">
        <f>Intv_Ann_TA!N1053</f>
        <v>0</v>
      </c>
      <c r="O2114" s="9">
        <f>Intv_Ann_TA!O1053</f>
        <v>0</v>
      </c>
    </row>
    <row r="2115" spans="3:15" s="327" customFormat="1" x14ac:dyDescent="0.2">
      <c r="D2115" s="596" t="str">
        <f>"Total "&amp;C2100</f>
        <v>Total Active Fixed Health Clinics</v>
      </c>
      <c r="J2115" s="5">
        <f t="shared" ref="J2115:O2115" si="202">SUM(J2105:J2114)</f>
        <v>0</v>
      </c>
      <c r="K2115" s="5">
        <f t="shared" si="202"/>
        <v>0</v>
      </c>
      <c r="L2115" s="5">
        <f t="shared" si="202"/>
        <v>0</v>
      </c>
      <c r="M2115" s="5">
        <f t="shared" si="202"/>
        <v>0</v>
      </c>
      <c r="N2115" s="5">
        <f t="shared" si="202"/>
        <v>0</v>
      </c>
      <c r="O2115" s="5">
        <f t="shared" si="202"/>
        <v>0</v>
      </c>
    </row>
    <row r="2116" spans="3:15" s="327" customFormat="1" outlineLevel="2" x14ac:dyDescent="0.2"/>
    <row r="2117" spans="3:15" s="327" customFormat="1" ht="15.75" outlineLevel="2" x14ac:dyDescent="0.2">
      <c r="C2117" s="26" t="str">
        <f>"Active "&amp;Intv_BA!D2986&amp;"s"</f>
        <v>Active PCI Mobile Health Teams</v>
      </c>
    </row>
    <row r="2118" spans="3:15" s="327" customFormat="1" outlineLevel="2" x14ac:dyDescent="0.2"/>
    <row r="2119" spans="3:15" s="327" customFormat="1" outlineLevel="2" x14ac:dyDescent="0.2">
      <c r="D2119" s="590" t="s">
        <v>82</v>
      </c>
      <c r="H2119" s="27">
        <v>5</v>
      </c>
    </row>
    <row r="2120" spans="3:15" s="327" customFormat="1" outlineLevel="2" x14ac:dyDescent="0.2"/>
    <row r="2121" spans="3:15" s="327" customFormat="1" ht="15" outlineLevel="2" x14ac:dyDescent="0.2">
      <c r="D2121" s="24" t="str">
        <f>Labels_BA!G10</f>
        <v>Province</v>
      </c>
    </row>
    <row r="2122" spans="3:15" s="327" customFormat="1" outlineLevel="2" x14ac:dyDescent="0.2">
      <c r="D2122" s="594" t="str">
        <f>Intv_BA!D3114</f>
        <v>Central</v>
      </c>
      <c r="J2122" s="8">
        <f>Intv_Ann_TA!J1060</f>
        <v>0</v>
      </c>
      <c r="K2122" s="8">
        <f>Intv_Ann_TA!K1060</f>
        <v>0</v>
      </c>
      <c r="L2122" s="8">
        <f>Intv_Ann_TA!L1060</f>
        <v>0</v>
      </c>
      <c r="M2122" s="8">
        <f>Intv_Ann_TA!M1060</f>
        <v>0</v>
      </c>
      <c r="N2122" s="8">
        <f>Intv_Ann_TA!N1060</f>
        <v>0</v>
      </c>
      <c r="O2122" s="8">
        <f>Intv_Ann_TA!O1060</f>
        <v>0</v>
      </c>
    </row>
    <row r="2123" spans="3:15" s="327" customFormat="1" outlineLevel="2" x14ac:dyDescent="0.2">
      <c r="D2123" s="594" t="str">
        <f>Intv_BA!D3115</f>
        <v>Copperbelt</v>
      </c>
      <c r="J2123" s="8">
        <f>Intv_Ann_TA!J1061</f>
        <v>0</v>
      </c>
      <c r="K2123" s="8">
        <f>Intv_Ann_TA!K1061</f>
        <v>0</v>
      </c>
      <c r="L2123" s="8">
        <f>Intv_Ann_TA!L1061</f>
        <v>0</v>
      </c>
      <c r="M2123" s="8">
        <f>Intv_Ann_TA!M1061</f>
        <v>0</v>
      </c>
      <c r="N2123" s="8">
        <f>Intv_Ann_TA!N1061</f>
        <v>0</v>
      </c>
      <c r="O2123" s="8">
        <f>Intv_Ann_TA!O1061</f>
        <v>0</v>
      </c>
    </row>
    <row r="2124" spans="3:15" s="327" customFormat="1" outlineLevel="2" x14ac:dyDescent="0.2">
      <c r="D2124" s="594" t="str">
        <f>Intv_BA!D3116</f>
        <v>Eastern</v>
      </c>
      <c r="J2124" s="8">
        <f>Intv_Ann_TA!J1062</f>
        <v>0</v>
      </c>
      <c r="K2124" s="8">
        <f>Intv_Ann_TA!K1062</f>
        <v>0</v>
      </c>
      <c r="L2124" s="8">
        <f>Intv_Ann_TA!L1062</f>
        <v>0</v>
      </c>
      <c r="M2124" s="8">
        <f>Intv_Ann_TA!M1062</f>
        <v>0</v>
      </c>
      <c r="N2124" s="8">
        <f>Intv_Ann_TA!N1062</f>
        <v>0</v>
      </c>
      <c r="O2124" s="8">
        <f>Intv_Ann_TA!O1062</f>
        <v>0</v>
      </c>
    </row>
    <row r="2125" spans="3:15" s="327" customFormat="1" outlineLevel="2" x14ac:dyDescent="0.2">
      <c r="D2125" s="594" t="str">
        <f>Intv_BA!D3117</f>
        <v>Luapula</v>
      </c>
      <c r="J2125" s="8">
        <f>Intv_Ann_TA!J1063</f>
        <v>0</v>
      </c>
      <c r="K2125" s="8">
        <f>Intv_Ann_TA!K1063</f>
        <v>0</v>
      </c>
      <c r="L2125" s="8">
        <f>Intv_Ann_TA!L1063</f>
        <v>0</v>
      </c>
      <c r="M2125" s="8">
        <f>Intv_Ann_TA!M1063</f>
        <v>0</v>
      </c>
      <c r="N2125" s="8">
        <f>Intv_Ann_TA!N1063</f>
        <v>0</v>
      </c>
      <c r="O2125" s="8">
        <f>Intv_Ann_TA!O1063</f>
        <v>0</v>
      </c>
    </row>
    <row r="2126" spans="3:15" s="327" customFormat="1" outlineLevel="2" x14ac:dyDescent="0.2">
      <c r="D2126" s="594" t="str">
        <f>Intv_BA!D3118</f>
        <v>Lusaka</v>
      </c>
      <c r="J2126" s="8">
        <f>Intv_Ann_TA!J1064</f>
        <v>0</v>
      </c>
      <c r="K2126" s="8">
        <f>Intv_Ann_TA!K1064</f>
        <v>0</v>
      </c>
      <c r="L2126" s="8">
        <f>Intv_Ann_TA!L1064</f>
        <v>0</v>
      </c>
      <c r="M2126" s="8">
        <f>Intv_Ann_TA!M1064</f>
        <v>0</v>
      </c>
      <c r="N2126" s="8">
        <f>Intv_Ann_TA!N1064</f>
        <v>0</v>
      </c>
      <c r="O2126" s="8">
        <f>Intv_Ann_TA!O1064</f>
        <v>0</v>
      </c>
    </row>
    <row r="2127" spans="3:15" s="327" customFormat="1" outlineLevel="2" x14ac:dyDescent="0.2">
      <c r="D2127" s="594" t="str">
        <f>Intv_BA!D3119</f>
        <v>Muchinga</v>
      </c>
      <c r="J2127" s="8">
        <f>Intv_Ann_TA!J1065</f>
        <v>0</v>
      </c>
      <c r="K2127" s="8">
        <f>Intv_Ann_TA!K1065</f>
        <v>0</v>
      </c>
      <c r="L2127" s="8">
        <f>Intv_Ann_TA!L1065</f>
        <v>0</v>
      </c>
      <c r="M2127" s="8">
        <f>Intv_Ann_TA!M1065</f>
        <v>0</v>
      </c>
      <c r="N2127" s="8">
        <f>Intv_Ann_TA!N1065</f>
        <v>0</v>
      </c>
      <c r="O2127" s="8">
        <f>Intv_Ann_TA!O1065</f>
        <v>0</v>
      </c>
    </row>
    <row r="2128" spans="3:15" s="327" customFormat="1" outlineLevel="2" x14ac:dyDescent="0.2">
      <c r="D2128" s="594" t="str">
        <f>Intv_BA!D3120</f>
        <v>Northern</v>
      </c>
      <c r="J2128" s="8">
        <f>Intv_Ann_TA!J1066</f>
        <v>0</v>
      </c>
      <c r="K2128" s="8">
        <f>Intv_Ann_TA!K1066</f>
        <v>0</v>
      </c>
      <c r="L2128" s="8">
        <f>Intv_Ann_TA!L1066</f>
        <v>0</v>
      </c>
      <c r="M2128" s="8">
        <f>Intv_Ann_TA!M1066</f>
        <v>0</v>
      </c>
      <c r="N2128" s="8">
        <f>Intv_Ann_TA!N1066</f>
        <v>0</v>
      </c>
      <c r="O2128" s="8">
        <f>Intv_Ann_TA!O1066</f>
        <v>0</v>
      </c>
    </row>
    <row r="2129" spans="3:15" s="327" customFormat="1" outlineLevel="2" x14ac:dyDescent="0.2">
      <c r="D2129" s="594" t="str">
        <f>Intv_BA!D3121</f>
        <v>North-Western</v>
      </c>
      <c r="J2129" s="8">
        <f>Intv_Ann_TA!J1067</f>
        <v>0</v>
      </c>
      <c r="K2129" s="8">
        <f>Intv_Ann_TA!K1067</f>
        <v>0</v>
      </c>
      <c r="L2129" s="8">
        <f>Intv_Ann_TA!L1067</f>
        <v>0</v>
      </c>
      <c r="M2129" s="8">
        <f>Intv_Ann_TA!M1067</f>
        <v>0</v>
      </c>
      <c r="N2129" s="8">
        <f>Intv_Ann_TA!N1067</f>
        <v>0</v>
      </c>
      <c r="O2129" s="8">
        <f>Intv_Ann_TA!O1067</f>
        <v>0</v>
      </c>
    </row>
    <row r="2130" spans="3:15" s="327" customFormat="1" outlineLevel="2" x14ac:dyDescent="0.2">
      <c r="D2130" s="594" t="str">
        <f>Intv_BA!D3122</f>
        <v>Southern</v>
      </c>
      <c r="J2130" s="8">
        <f>Intv_Ann_TA!J1068</f>
        <v>0</v>
      </c>
      <c r="K2130" s="8">
        <f>Intv_Ann_TA!K1068</f>
        <v>0</v>
      </c>
      <c r="L2130" s="8">
        <f>Intv_Ann_TA!L1068</f>
        <v>0</v>
      </c>
      <c r="M2130" s="8">
        <f>Intv_Ann_TA!M1068</f>
        <v>0</v>
      </c>
      <c r="N2130" s="8">
        <f>Intv_Ann_TA!N1068</f>
        <v>0</v>
      </c>
      <c r="O2130" s="8">
        <f>Intv_Ann_TA!O1068</f>
        <v>0</v>
      </c>
    </row>
    <row r="2131" spans="3:15" s="327" customFormat="1" outlineLevel="2" x14ac:dyDescent="0.2">
      <c r="D2131" s="594" t="str">
        <f>Intv_BA!D3123</f>
        <v>Western</v>
      </c>
      <c r="J2131" s="9">
        <f>Intv_Ann_TA!J1069</f>
        <v>0</v>
      </c>
      <c r="K2131" s="9">
        <f>Intv_Ann_TA!K1069</f>
        <v>0</v>
      </c>
      <c r="L2131" s="9">
        <f>Intv_Ann_TA!L1069</f>
        <v>0</v>
      </c>
      <c r="M2131" s="9">
        <f>Intv_Ann_TA!M1069</f>
        <v>0</v>
      </c>
      <c r="N2131" s="9">
        <f>Intv_Ann_TA!N1069</f>
        <v>0</v>
      </c>
      <c r="O2131" s="9">
        <f>Intv_Ann_TA!O1069</f>
        <v>0</v>
      </c>
    </row>
    <row r="2132" spans="3:15" s="327" customFormat="1" x14ac:dyDescent="0.2">
      <c r="D2132" s="596" t="str">
        <f>"Total "&amp;C2117</f>
        <v>Total Active PCI Mobile Health Teams</v>
      </c>
      <c r="J2132" s="5">
        <f t="shared" ref="J2132:O2132" si="203">SUM(J2122:J2131)</f>
        <v>0</v>
      </c>
      <c r="K2132" s="5">
        <f t="shared" si="203"/>
        <v>0</v>
      </c>
      <c r="L2132" s="5">
        <f t="shared" si="203"/>
        <v>0</v>
      </c>
      <c r="M2132" s="5">
        <f t="shared" si="203"/>
        <v>0</v>
      </c>
      <c r="N2132" s="5">
        <f t="shared" si="203"/>
        <v>0</v>
      </c>
      <c r="O2132" s="5">
        <f t="shared" si="203"/>
        <v>0</v>
      </c>
    </row>
    <row r="2133" spans="3:15" s="327" customFormat="1" outlineLevel="2" x14ac:dyDescent="0.2"/>
    <row r="2134" spans="3:15" s="327" customFormat="1" ht="15.75" outlineLevel="2" x14ac:dyDescent="0.2">
      <c r="C2134" s="26" t="str">
        <f>"Active "&amp;Intv_BA!D2987&amp;"s"</f>
        <v>Active Gov't Mobile Health Team (Hospital)s</v>
      </c>
    </row>
    <row r="2135" spans="3:15" s="327" customFormat="1" outlineLevel="2" x14ac:dyDescent="0.2"/>
    <row r="2136" spans="3:15" s="327" customFormat="1" outlineLevel="2" x14ac:dyDescent="0.2">
      <c r="D2136" s="590" t="s">
        <v>82</v>
      </c>
      <c r="H2136" s="27">
        <v>6</v>
      </c>
    </row>
    <row r="2137" spans="3:15" s="327" customFormat="1" outlineLevel="2" x14ac:dyDescent="0.2"/>
    <row r="2138" spans="3:15" s="327" customFormat="1" ht="15" outlineLevel="2" x14ac:dyDescent="0.2">
      <c r="D2138" s="24" t="str">
        <f>Labels_BA!G10</f>
        <v>Province</v>
      </c>
    </row>
    <row r="2139" spans="3:15" s="327" customFormat="1" outlineLevel="2" x14ac:dyDescent="0.2">
      <c r="D2139" s="594" t="str">
        <f>Intv_BA!D3114</f>
        <v>Central</v>
      </c>
      <c r="J2139" s="8">
        <f>Intv_Ann_TA!J1076</f>
        <v>0</v>
      </c>
      <c r="K2139" s="8">
        <f>Intv_Ann_TA!K1076</f>
        <v>0</v>
      </c>
      <c r="L2139" s="8">
        <f>Intv_Ann_TA!L1076</f>
        <v>0</v>
      </c>
      <c r="M2139" s="8">
        <f>Intv_Ann_TA!M1076</f>
        <v>0</v>
      </c>
      <c r="N2139" s="8">
        <f>Intv_Ann_TA!N1076</f>
        <v>0</v>
      </c>
      <c r="O2139" s="8">
        <f>Intv_Ann_TA!O1076</f>
        <v>0</v>
      </c>
    </row>
    <row r="2140" spans="3:15" s="327" customFormat="1" outlineLevel="2" x14ac:dyDescent="0.2">
      <c r="D2140" s="594" t="str">
        <f>Intv_BA!D3115</f>
        <v>Copperbelt</v>
      </c>
      <c r="J2140" s="8">
        <f>Intv_Ann_TA!J1077</f>
        <v>0</v>
      </c>
      <c r="K2140" s="8">
        <f>Intv_Ann_TA!K1077</f>
        <v>0</v>
      </c>
      <c r="L2140" s="8">
        <f>Intv_Ann_TA!L1077</f>
        <v>0</v>
      </c>
      <c r="M2140" s="8">
        <f>Intv_Ann_TA!M1077</f>
        <v>0</v>
      </c>
      <c r="N2140" s="8">
        <f>Intv_Ann_TA!N1077</f>
        <v>0</v>
      </c>
      <c r="O2140" s="8">
        <f>Intv_Ann_TA!O1077</f>
        <v>0</v>
      </c>
    </row>
    <row r="2141" spans="3:15" s="327" customFormat="1" outlineLevel="2" x14ac:dyDescent="0.2">
      <c r="D2141" s="594" t="str">
        <f>Intv_BA!D3116</f>
        <v>Eastern</v>
      </c>
      <c r="J2141" s="8">
        <f>Intv_Ann_TA!J1078</f>
        <v>0</v>
      </c>
      <c r="K2141" s="8">
        <f>Intv_Ann_TA!K1078</f>
        <v>0</v>
      </c>
      <c r="L2141" s="8">
        <f>Intv_Ann_TA!L1078</f>
        <v>0</v>
      </c>
      <c r="M2141" s="8">
        <f>Intv_Ann_TA!M1078</f>
        <v>0</v>
      </c>
      <c r="N2141" s="8">
        <f>Intv_Ann_TA!N1078</f>
        <v>0</v>
      </c>
      <c r="O2141" s="8">
        <f>Intv_Ann_TA!O1078</f>
        <v>0</v>
      </c>
    </row>
    <row r="2142" spans="3:15" s="327" customFormat="1" outlineLevel="2" x14ac:dyDescent="0.2">
      <c r="D2142" s="594" t="str">
        <f>Intv_BA!D3117</f>
        <v>Luapula</v>
      </c>
      <c r="J2142" s="8">
        <f>Intv_Ann_TA!J1079</f>
        <v>0</v>
      </c>
      <c r="K2142" s="8">
        <f>Intv_Ann_TA!K1079</f>
        <v>0</v>
      </c>
      <c r="L2142" s="8">
        <f>Intv_Ann_TA!L1079</f>
        <v>0</v>
      </c>
      <c r="M2142" s="8">
        <f>Intv_Ann_TA!M1079</f>
        <v>0</v>
      </c>
      <c r="N2142" s="8">
        <f>Intv_Ann_TA!N1079</f>
        <v>0</v>
      </c>
      <c r="O2142" s="8">
        <f>Intv_Ann_TA!O1079</f>
        <v>0</v>
      </c>
    </row>
    <row r="2143" spans="3:15" s="327" customFormat="1" outlineLevel="2" x14ac:dyDescent="0.2">
      <c r="D2143" s="594" t="str">
        <f>Intv_BA!D3118</f>
        <v>Lusaka</v>
      </c>
      <c r="J2143" s="8">
        <f>Intv_Ann_TA!J1080</f>
        <v>0</v>
      </c>
      <c r="K2143" s="8">
        <f>Intv_Ann_TA!K1080</f>
        <v>0</v>
      </c>
      <c r="L2143" s="8">
        <f>Intv_Ann_TA!L1080</f>
        <v>0</v>
      </c>
      <c r="M2143" s="8">
        <f>Intv_Ann_TA!M1080</f>
        <v>0</v>
      </c>
      <c r="N2143" s="8">
        <f>Intv_Ann_TA!N1080</f>
        <v>0</v>
      </c>
      <c r="O2143" s="8">
        <f>Intv_Ann_TA!O1080</f>
        <v>0</v>
      </c>
    </row>
    <row r="2144" spans="3:15" s="327" customFormat="1" outlineLevel="2" x14ac:dyDescent="0.2">
      <c r="D2144" s="594" t="str">
        <f>Intv_BA!D3119</f>
        <v>Muchinga</v>
      </c>
      <c r="J2144" s="8">
        <f>Intv_Ann_TA!J1081</f>
        <v>0</v>
      </c>
      <c r="K2144" s="8">
        <f>Intv_Ann_TA!K1081</f>
        <v>0</v>
      </c>
      <c r="L2144" s="8">
        <f>Intv_Ann_TA!L1081</f>
        <v>0</v>
      </c>
      <c r="M2144" s="8">
        <f>Intv_Ann_TA!M1081</f>
        <v>0</v>
      </c>
      <c r="N2144" s="8">
        <f>Intv_Ann_TA!N1081</f>
        <v>0</v>
      </c>
      <c r="O2144" s="8">
        <f>Intv_Ann_TA!O1081</f>
        <v>0</v>
      </c>
    </row>
    <row r="2145" spans="3:15" s="327" customFormat="1" outlineLevel="2" x14ac:dyDescent="0.2">
      <c r="D2145" s="594" t="str">
        <f>Intv_BA!D3120</f>
        <v>Northern</v>
      </c>
      <c r="J2145" s="8">
        <f>Intv_Ann_TA!J1082</f>
        <v>0</v>
      </c>
      <c r="K2145" s="8">
        <f>Intv_Ann_TA!K1082</f>
        <v>0</v>
      </c>
      <c r="L2145" s="8">
        <f>Intv_Ann_TA!L1082</f>
        <v>0</v>
      </c>
      <c r="M2145" s="8">
        <f>Intv_Ann_TA!M1082</f>
        <v>0</v>
      </c>
      <c r="N2145" s="8">
        <f>Intv_Ann_TA!N1082</f>
        <v>0</v>
      </c>
      <c r="O2145" s="8">
        <f>Intv_Ann_TA!O1082</f>
        <v>0</v>
      </c>
    </row>
    <row r="2146" spans="3:15" s="327" customFormat="1" outlineLevel="2" x14ac:dyDescent="0.2">
      <c r="D2146" s="594" t="str">
        <f>Intv_BA!D3121</f>
        <v>North-Western</v>
      </c>
      <c r="J2146" s="8">
        <f>Intv_Ann_TA!J1083</f>
        <v>0</v>
      </c>
      <c r="K2146" s="8">
        <f>Intv_Ann_TA!K1083</f>
        <v>0</v>
      </c>
      <c r="L2146" s="8">
        <f>Intv_Ann_TA!L1083</f>
        <v>0</v>
      </c>
      <c r="M2146" s="8">
        <f>Intv_Ann_TA!M1083</f>
        <v>0</v>
      </c>
      <c r="N2146" s="8">
        <f>Intv_Ann_TA!N1083</f>
        <v>0</v>
      </c>
      <c r="O2146" s="8">
        <f>Intv_Ann_TA!O1083</f>
        <v>0</v>
      </c>
    </row>
    <row r="2147" spans="3:15" s="327" customFormat="1" outlineLevel="2" x14ac:dyDescent="0.2">
      <c r="D2147" s="594" t="str">
        <f>Intv_BA!D3122</f>
        <v>Southern</v>
      </c>
      <c r="J2147" s="8">
        <f>Intv_Ann_TA!J1084</f>
        <v>0</v>
      </c>
      <c r="K2147" s="8">
        <f>Intv_Ann_TA!K1084</f>
        <v>0</v>
      </c>
      <c r="L2147" s="8">
        <f>Intv_Ann_TA!L1084</f>
        <v>0</v>
      </c>
      <c r="M2147" s="8">
        <f>Intv_Ann_TA!M1084</f>
        <v>0</v>
      </c>
      <c r="N2147" s="8">
        <f>Intv_Ann_TA!N1084</f>
        <v>0</v>
      </c>
      <c r="O2147" s="8">
        <f>Intv_Ann_TA!O1084</f>
        <v>0</v>
      </c>
    </row>
    <row r="2148" spans="3:15" s="327" customFormat="1" outlineLevel="2" x14ac:dyDescent="0.2">
      <c r="D2148" s="594" t="str">
        <f>Intv_BA!D3123</f>
        <v>Western</v>
      </c>
      <c r="J2148" s="9">
        <f>Intv_Ann_TA!J1085</f>
        <v>0</v>
      </c>
      <c r="K2148" s="9">
        <f>Intv_Ann_TA!K1085</f>
        <v>0</v>
      </c>
      <c r="L2148" s="9">
        <f>Intv_Ann_TA!L1085</f>
        <v>0</v>
      </c>
      <c r="M2148" s="9">
        <f>Intv_Ann_TA!M1085</f>
        <v>0</v>
      </c>
      <c r="N2148" s="9">
        <f>Intv_Ann_TA!N1085</f>
        <v>0</v>
      </c>
      <c r="O2148" s="9">
        <f>Intv_Ann_TA!O1085</f>
        <v>0</v>
      </c>
    </row>
    <row r="2149" spans="3:15" s="327" customFormat="1" x14ac:dyDescent="0.2">
      <c r="D2149" s="596" t="str">
        <f>"Total "&amp;C2134</f>
        <v>Total Active Gov't Mobile Health Team (Hospital)s</v>
      </c>
      <c r="J2149" s="5">
        <f t="shared" ref="J2149:O2149" si="204">SUM(J2139:J2148)</f>
        <v>0</v>
      </c>
      <c r="K2149" s="5">
        <f t="shared" si="204"/>
        <v>0</v>
      </c>
      <c r="L2149" s="5">
        <f t="shared" si="204"/>
        <v>0</v>
      </c>
      <c r="M2149" s="5">
        <f t="shared" si="204"/>
        <v>0</v>
      </c>
      <c r="N2149" s="5">
        <f t="shared" si="204"/>
        <v>0</v>
      </c>
      <c r="O2149" s="5">
        <f t="shared" si="204"/>
        <v>0</v>
      </c>
    </row>
    <row r="2150" spans="3:15" s="327" customFormat="1" outlineLevel="1" x14ac:dyDescent="0.2"/>
    <row r="2151" spans="3:15" s="327" customFormat="1" ht="15.75" outlineLevel="1" x14ac:dyDescent="0.2">
      <c r="C2151" s="26" t="str">
        <f>"Active "&amp;Intv_BA!D2988&amp;"s"</f>
        <v>Active CIDRZ Mobile Health Teams</v>
      </c>
    </row>
    <row r="2152" spans="3:15" s="327" customFormat="1" outlineLevel="1" x14ac:dyDescent="0.2"/>
    <row r="2153" spans="3:15" s="327" customFormat="1" outlineLevel="1" x14ac:dyDescent="0.2">
      <c r="D2153" s="590" t="s">
        <v>82</v>
      </c>
      <c r="H2153" s="27">
        <v>7</v>
      </c>
    </row>
    <row r="2154" spans="3:15" s="327" customFormat="1" outlineLevel="1" x14ac:dyDescent="0.2"/>
    <row r="2155" spans="3:15" s="327" customFormat="1" ht="15" outlineLevel="1" x14ac:dyDescent="0.2">
      <c r="D2155" s="24" t="str">
        <f>Labels_BA!G10</f>
        <v>Province</v>
      </c>
    </row>
    <row r="2156" spans="3:15" s="327" customFormat="1" outlineLevel="1" x14ac:dyDescent="0.2">
      <c r="D2156" s="594" t="str">
        <f>Intv_BA!D3114</f>
        <v>Central</v>
      </c>
      <c r="J2156" s="8">
        <f>Intv_Ann_TA!J1092</f>
        <v>0</v>
      </c>
      <c r="K2156" s="8">
        <f>Intv_Ann_TA!K1092</f>
        <v>0</v>
      </c>
      <c r="L2156" s="8">
        <f>Intv_Ann_TA!L1092</f>
        <v>0</v>
      </c>
      <c r="M2156" s="8">
        <f>Intv_Ann_TA!M1092</f>
        <v>0</v>
      </c>
      <c r="N2156" s="8">
        <f>Intv_Ann_TA!N1092</f>
        <v>0</v>
      </c>
      <c r="O2156" s="8">
        <f>Intv_Ann_TA!O1092</f>
        <v>0</v>
      </c>
    </row>
    <row r="2157" spans="3:15" s="327" customFormat="1" outlineLevel="1" x14ac:dyDescent="0.2">
      <c r="D2157" s="594" t="str">
        <f>Intv_BA!D3115</f>
        <v>Copperbelt</v>
      </c>
      <c r="J2157" s="8">
        <f>Intv_Ann_TA!J1093</f>
        <v>0</v>
      </c>
      <c r="K2157" s="8">
        <f>Intv_Ann_TA!K1093</f>
        <v>0</v>
      </c>
      <c r="L2157" s="8">
        <f>Intv_Ann_TA!L1093</f>
        <v>0</v>
      </c>
      <c r="M2157" s="8">
        <f>Intv_Ann_TA!M1093</f>
        <v>0</v>
      </c>
      <c r="N2157" s="8">
        <f>Intv_Ann_TA!N1093</f>
        <v>0</v>
      </c>
      <c r="O2157" s="8">
        <f>Intv_Ann_TA!O1093</f>
        <v>0</v>
      </c>
    </row>
    <row r="2158" spans="3:15" s="327" customFormat="1" outlineLevel="1" x14ac:dyDescent="0.2">
      <c r="D2158" s="594" t="str">
        <f>Intv_BA!D3116</f>
        <v>Eastern</v>
      </c>
      <c r="J2158" s="8">
        <f>Intv_Ann_TA!J1094</f>
        <v>0</v>
      </c>
      <c r="K2158" s="8">
        <f>Intv_Ann_TA!K1094</f>
        <v>0</v>
      </c>
      <c r="L2158" s="8">
        <f>Intv_Ann_TA!L1094</f>
        <v>0</v>
      </c>
      <c r="M2158" s="8">
        <f>Intv_Ann_TA!M1094</f>
        <v>0</v>
      </c>
      <c r="N2158" s="8">
        <f>Intv_Ann_TA!N1094</f>
        <v>0</v>
      </c>
      <c r="O2158" s="8">
        <f>Intv_Ann_TA!O1094</f>
        <v>0</v>
      </c>
    </row>
    <row r="2159" spans="3:15" s="327" customFormat="1" outlineLevel="1" x14ac:dyDescent="0.2">
      <c r="D2159" s="594" t="str">
        <f>Intv_BA!D3117</f>
        <v>Luapula</v>
      </c>
      <c r="J2159" s="8">
        <f>Intv_Ann_TA!J1095</f>
        <v>0</v>
      </c>
      <c r="K2159" s="8">
        <f>Intv_Ann_TA!K1095</f>
        <v>0</v>
      </c>
      <c r="L2159" s="8">
        <f>Intv_Ann_TA!L1095</f>
        <v>0</v>
      </c>
      <c r="M2159" s="8">
        <f>Intv_Ann_TA!M1095</f>
        <v>0</v>
      </c>
      <c r="N2159" s="8">
        <f>Intv_Ann_TA!N1095</f>
        <v>0</v>
      </c>
      <c r="O2159" s="8">
        <f>Intv_Ann_TA!O1095</f>
        <v>0</v>
      </c>
    </row>
    <row r="2160" spans="3:15" s="327" customFormat="1" outlineLevel="1" x14ac:dyDescent="0.2">
      <c r="D2160" s="594" t="str">
        <f>Intv_BA!D3118</f>
        <v>Lusaka</v>
      </c>
      <c r="J2160" s="8">
        <f>Intv_Ann_TA!J1096</f>
        <v>0</v>
      </c>
      <c r="K2160" s="8">
        <f>Intv_Ann_TA!K1096</f>
        <v>0</v>
      </c>
      <c r="L2160" s="8">
        <f>Intv_Ann_TA!L1096</f>
        <v>0</v>
      </c>
      <c r="M2160" s="8">
        <f>Intv_Ann_TA!M1096</f>
        <v>0</v>
      </c>
      <c r="N2160" s="8">
        <f>Intv_Ann_TA!N1096</f>
        <v>0</v>
      </c>
      <c r="O2160" s="8">
        <f>Intv_Ann_TA!O1096</f>
        <v>0</v>
      </c>
    </row>
    <row r="2161" spans="3:15" s="327" customFormat="1" outlineLevel="1" x14ac:dyDescent="0.2">
      <c r="D2161" s="594" t="str">
        <f>Intv_BA!D3119</f>
        <v>Muchinga</v>
      </c>
      <c r="J2161" s="8">
        <f>Intv_Ann_TA!J1097</f>
        <v>0</v>
      </c>
      <c r="K2161" s="8">
        <f>Intv_Ann_TA!K1097</f>
        <v>0</v>
      </c>
      <c r="L2161" s="8">
        <f>Intv_Ann_TA!L1097</f>
        <v>0</v>
      </c>
      <c r="M2161" s="8">
        <f>Intv_Ann_TA!M1097</f>
        <v>0</v>
      </c>
      <c r="N2161" s="8">
        <f>Intv_Ann_TA!N1097</f>
        <v>0</v>
      </c>
      <c r="O2161" s="8">
        <f>Intv_Ann_TA!O1097</f>
        <v>0</v>
      </c>
    </row>
    <row r="2162" spans="3:15" s="327" customFormat="1" outlineLevel="1" x14ac:dyDescent="0.2">
      <c r="D2162" s="594" t="str">
        <f>Intv_BA!D3120</f>
        <v>Northern</v>
      </c>
      <c r="J2162" s="8">
        <f>Intv_Ann_TA!J1098</f>
        <v>0</v>
      </c>
      <c r="K2162" s="8">
        <f>Intv_Ann_TA!K1098</f>
        <v>0</v>
      </c>
      <c r="L2162" s="8">
        <f>Intv_Ann_TA!L1098</f>
        <v>0</v>
      </c>
      <c r="M2162" s="8">
        <f>Intv_Ann_TA!M1098</f>
        <v>0</v>
      </c>
      <c r="N2162" s="8">
        <f>Intv_Ann_TA!N1098</f>
        <v>0</v>
      </c>
      <c r="O2162" s="8">
        <f>Intv_Ann_TA!O1098</f>
        <v>0</v>
      </c>
    </row>
    <row r="2163" spans="3:15" s="327" customFormat="1" outlineLevel="1" x14ac:dyDescent="0.2">
      <c r="D2163" s="594" t="str">
        <f>Intv_BA!D3121</f>
        <v>North-Western</v>
      </c>
      <c r="J2163" s="8">
        <f>Intv_Ann_TA!J1099</f>
        <v>0</v>
      </c>
      <c r="K2163" s="8">
        <f>Intv_Ann_TA!K1099</f>
        <v>0</v>
      </c>
      <c r="L2163" s="8">
        <f>Intv_Ann_TA!L1099</f>
        <v>0</v>
      </c>
      <c r="M2163" s="8">
        <f>Intv_Ann_TA!M1099</f>
        <v>0</v>
      </c>
      <c r="N2163" s="8">
        <f>Intv_Ann_TA!N1099</f>
        <v>0</v>
      </c>
      <c r="O2163" s="8">
        <f>Intv_Ann_TA!O1099</f>
        <v>0</v>
      </c>
    </row>
    <row r="2164" spans="3:15" s="327" customFormat="1" outlineLevel="1" x14ac:dyDescent="0.2">
      <c r="D2164" s="594" t="str">
        <f>Intv_BA!D3122</f>
        <v>Southern</v>
      </c>
      <c r="J2164" s="8">
        <f>Intv_Ann_TA!J1100</f>
        <v>0</v>
      </c>
      <c r="K2164" s="8">
        <f>Intv_Ann_TA!K1100</f>
        <v>0</v>
      </c>
      <c r="L2164" s="8">
        <f>Intv_Ann_TA!L1100</f>
        <v>0</v>
      </c>
      <c r="M2164" s="8">
        <f>Intv_Ann_TA!M1100</f>
        <v>0</v>
      </c>
      <c r="N2164" s="8">
        <f>Intv_Ann_TA!N1100</f>
        <v>0</v>
      </c>
      <c r="O2164" s="8">
        <f>Intv_Ann_TA!O1100</f>
        <v>0</v>
      </c>
    </row>
    <row r="2165" spans="3:15" s="327" customFormat="1" outlineLevel="1" x14ac:dyDescent="0.2">
      <c r="D2165" s="594" t="str">
        <f>Intv_BA!D3123</f>
        <v>Western</v>
      </c>
      <c r="J2165" s="9">
        <f>Intv_Ann_TA!J1101</f>
        <v>0</v>
      </c>
      <c r="K2165" s="9">
        <f>Intv_Ann_TA!K1101</f>
        <v>0</v>
      </c>
      <c r="L2165" s="9">
        <f>Intv_Ann_TA!L1101</f>
        <v>0</v>
      </c>
      <c r="M2165" s="9">
        <f>Intv_Ann_TA!M1101</f>
        <v>0</v>
      </c>
      <c r="N2165" s="9">
        <f>Intv_Ann_TA!N1101</f>
        <v>0</v>
      </c>
      <c r="O2165" s="9">
        <f>Intv_Ann_TA!O1101</f>
        <v>0</v>
      </c>
    </row>
    <row r="2166" spans="3:15" s="327" customFormat="1" x14ac:dyDescent="0.2">
      <c r="D2166" s="596" t="str">
        <f>"Total "&amp;C2151</f>
        <v>Total Active CIDRZ Mobile Health Teams</v>
      </c>
      <c r="J2166" s="5">
        <f t="shared" ref="J2166:O2166" si="205">SUM(J2156:J2165)</f>
        <v>0</v>
      </c>
      <c r="K2166" s="5">
        <f t="shared" si="205"/>
        <v>0</v>
      </c>
      <c r="L2166" s="5">
        <f t="shared" si="205"/>
        <v>0</v>
      </c>
      <c r="M2166" s="5">
        <f t="shared" si="205"/>
        <v>0</v>
      </c>
      <c r="N2166" s="5">
        <f t="shared" si="205"/>
        <v>0</v>
      </c>
      <c r="O2166" s="5">
        <f t="shared" si="205"/>
        <v>0</v>
      </c>
    </row>
    <row r="2167" spans="3:15" s="327" customFormat="1" outlineLevel="1" x14ac:dyDescent="0.2"/>
    <row r="2168" spans="3:15" s="327" customFormat="1" ht="15.75" outlineLevel="1" x14ac:dyDescent="0.2">
      <c r="C2168" s="26" t="str">
        <f>"Active "&amp;Intv_BA!D2989&amp;"s"</f>
        <v>Active Facility Type 8s</v>
      </c>
    </row>
    <row r="2169" spans="3:15" s="327" customFormat="1" outlineLevel="1" x14ac:dyDescent="0.2"/>
    <row r="2170" spans="3:15" s="327" customFormat="1" outlineLevel="1" x14ac:dyDescent="0.2">
      <c r="D2170" s="590" t="s">
        <v>82</v>
      </c>
      <c r="H2170" s="27">
        <v>8</v>
      </c>
    </row>
    <row r="2171" spans="3:15" s="327" customFormat="1" outlineLevel="1" x14ac:dyDescent="0.2"/>
    <row r="2172" spans="3:15" s="327" customFormat="1" ht="15" outlineLevel="1" x14ac:dyDescent="0.2">
      <c r="D2172" s="24" t="str">
        <f>Labels_BA!G10</f>
        <v>Province</v>
      </c>
    </row>
    <row r="2173" spans="3:15" s="327" customFormat="1" outlineLevel="1" x14ac:dyDescent="0.2">
      <c r="D2173" s="594" t="str">
        <f>Intv_BA!D3114</f>
        <v>Central</v>
      </c>
      <c r="J2173" s="8">
        <f>Intv_Ann_TA!J1108</f>
        <v>0</v>
      </c>
      <c r="K2173" s="8">
        <f>Intv_Ann_TA!K1108</f>
        <v>0</v>
      </c>
      <c r="L2173" s="8">
        <f>Intv_Ann_TA!L1108</f>
        <v>0</v>
      </c>
      <c r="M2173" s="8">
        <f>Intv_Ann_TA!M1108</f>
        <v>0</v>
      </c>
      <c r="N2173" s="8">
        <f>Intv_Ann_TA!N1108</f>
        <v>0</v>
      </c>
      <c r="O2173" s="8">
        <f>Intv_Ann_TA!O1108</f>
        <v>0</v>
      </c>
    </row>
    <row r="2174" spans="3:15" s="327" customFormat="1" outlineLevel="1" x14ac:dyDescent="0.2">
      <c r="D2174" s="594" t="str">
        <f>Intv_BA!D3115</f>
        <v>Copperbelt</v>
      </c>
      <c r="J2174" s="8">
        <f>Intv_Ann_TA!J1109</f>
        <v>0</v>
      </c>
      <c r="K2174" s="8">
        <f>Intv_Ann_TA!K1109</f>
        <v>0</v>
      </c>
      <c r="L2174" s="8">
        <f>Intv_Ann_TA!L1109</f>
        <v>0</v>
      </c>
      <c r="M2174" s="8">
        <f>Intv_Ann_TA!M1109</f>
        <v>0</v>
      </c>
      <c r="N2174" s="8">
        <f>Intv_Ann_TA!N1109</f>
        <v>0</v>
      </c>
      <c r="O2174" s="8">
        <f>Intv_Ann_TA!O1109</f>
        <v>0</v>
      </c>
    </row>
    <row r="2175" spans="3:15" s="327" customFormat="1" outlineLevel="1" x14ac:dyDescent="0.2">
      <c r="D2175" s="594" t="str">
        <f>Intv_BA!D3116</f>
        <v>Eastern</v>
      </c>
      <c r="J2175" s="8">
        <f>Intv_Ann_TA!J1110</f>
        <v>0</v>
      </c>
      <c r="K2175" s="8">
        <f>Intv_Ann_TA!K1110</f>
        <v>0</v>
      </c>
      <c r="L2175" s="8">
        <f>Intv_Ann_TA!L1110</f>
        <v>0</v>
      </c>
      <c r="M2175" s="8">
        <f>Intv_Ann_TA!M1110</f>
        <v>0</v>
      </c>
      <c r="N2175" s="8">
        <f>Intv_Ann_TA!N1110</f>
        <v>0</v>
      </c>
      <c r="O2175" s="8">
        <f>Intv_Ann_TA!O1110</f>
        <v>0</v>
      </c>
    </row>
    <row r="2176" spans="3:15" s="327" customFormat="1" outlineLevel="1" x14ac:dyDescent="0.2">
      <c r="D2176" s="594" t="str">
        <f>Intv_BA!D3117</f>
        <v>Luapula</v>
      </c>
      <c r="J2176" s="8">
        <f>Intv_Ann_TA!J1111</f>
        <v>0</v>
      </c>
      <c r="K2176" s="8">
        <f>Intv_Ann_TA!K1111</f>
        <v>0</v>
      </c>
      <c r="L2176" s="8">
        <f>Intv_Ann_TA!L1111</f>
        <v>0</v>
      </c>
      <c r="M2176" s="8">
        <f>Intv_Ann_TA!M1111</f>
        <v>0</v>
      </c>
      <c r="N2176" s="8">
        <f>Intv_Ann_TA!N1111</f>
        <v>0</v>
      </c>
      <c r="O2176" s="8">
        <f>Intv_Ann_TA!O1111</f>
        <v>0</v>
      </c>
    </row>
    <row r="2177" spans="3:15" s="327" customFormat="1" outlineLevel="1" x14ac:dyDescent="0.2">
      <c r="D2177" s="594" t="str">
        <f>Intv_BA!D3118</f>
        <v>Lusaka</v>
      </c>
      <c r="J2177" s="8">
        <f>Intv_Ann_TA!J1112</f>
        <v>0</v>
      </c>
      <c r="K2177" s="8">
        <f>Intv_Ann_TA!K1112</f>
        <v>0</v>
      </c>
      <c r="L2177" s="8">
        <f>Intv_Ann_TA!L1112</f>
        <v>0</v>
      </c>
      <c r="M2177" s="8">
        <f>Intv_Ann_TA!M1112</f>
        <v>0</v>
      </c>
      <c r="N2177" s="8">
        <f>Intv_Ann_TA!N1112</f>
        <v>0</v>
      </c>
      <c r="O2177" s="8">
        <f>Intv_Ann_TA!O1112</f>
        <v>0</v>
      </c>
    </row>
    <row r="2178" spans="3:15" s="327" customFormat="1" outlineLevel="1" x14ac:dyDescent="0.2">
      <c r="D2178" s="594" t="str">
        <f>Intv_BA!D3119</f>
        <v>Muchinga</v>
      </c>
      <c r="J2178" s="8">
        <f>Intv_Ann_TA!J1113</f>
        <v>0</v>
      </c>
      <c r="K2178" s="8">
        <f>Intv_Ann_TA!K1113</f>
        <v>0</v>
      </c>
      <c r="L2178" s="8">
        <f>Intv_Ann_TA!L1113</f>
        <v>0</v>
      </c>
      <c r="M2178" s="8">
        <f>Intv_Ann_TA!M1113</f>
        <v>0</v>
      </c>
      <c r="N2178" s="8">
        <f>Intv_Ann_TA!N1113</f>
        <v>0</v>
      </c>
      <c r="O2178" s="8">
        <f>Intv_Ann_TA!O1113</f>
        <v>0</v>
      </c>
    </row>
    <row r="2179" spans="3:15" s="327" customFormat="1" outlineLevel="1" x14ac:dyDescent="0.2">
      <c r="D2179" s="594" t="str">
        <f>Intv_BA!D3120</f>
        <v>Northern</v>
      </c>
      <c r="J2179" s="8">
        <f>Intv_Ann_TA!J1114</f>
        <v>0</v>
      </c>
      <c r="K2179" s="8">
        <f>Intv_Ann_TA!K1114</f>
        <v>0</v>
      </c>
      <c r="L2179" s="8">
        <f>Intv_Ann_TA!L1114</f>
        <v>0</v>
      </c>
      <c r="M2179" s="8">
        <f>Intv_Ann_TA!M1114</f>
        <v>0</v>
      </c>
      <c r="N2179" s="8">
        <f>Intv_Ann_TA!N1114</f>
        <v>0</v>
      </c>
      <c r="O2179" s="8">
        <f>Intv_Ann_TA!O1114</f>
        <v>0</v>
      </c>
    </row>
    <row r="2180" spans="3:15" s="327" customFormat="1" outlineLevel="1" x14ac:dyDescent="0.2">
      <c r="D2180" s="594" t="str">
        <f>Intv_BA!D3121</f>
        <v>North-Western</v>
      </c>
      <c r="J2180" s="8">
        <f>Intv_Ann_TA!J1115</f>
        <v>0</v>
      </c>
      <c r="K2180" s="8">
        <f>Intv_Ann_TA!K1115</f>
        <v>0</v>
      </c>
      <c r="L2180" s="8">
        <f>Intv_Ann_TA!L1115</f>
        <v>0</v>
      </c>
      <c r="M2180" s="8">
        <f>Intv_Ann_TA!M1115</f>
        <v>0</v>
      </c>
      <c r="N2180" s="8">
        <f>Intv_Ann_TA!N1115</f>
        <v>0</v>
      </c>
      <c r="O2180" s="8">
        <f>Intv_Ann_TA!O1115</f>
        <v>0</v>
      </c>
    </row>
    <row r="2181" spans="3:15" s="327" customFormat="1" outlineLevel="1" x14ac:dyDescent="0.2">
      <c r="D2181" s="594" t="str">
        <f>Intv_BA!D3122</f>
        <v>Southern</v>
      </c>
      <c r="J2181" s="8">
        <f>Intv_Ann_TA!J1116</f>
        <v>0</v>
      </c>
      <c r="K2181" s="8">
        <f>Intv_Ann_TA!K1116</f>
        <v>0</v>
      </c>
      <c r="L2181" s="8">
        <f>Intv_Ann_TA!L1116</f>
        <v>0</v>
      </c>
      <c r="M2181" s="8">
        <f>Intv_Ann_TA!M1116</f>
        <v>0</v>
      </c>
      <c r="N2181" s="8">
        <f>Intv_Ann_TA!N1116</f>
        <v>0</v>
      </c>
      <c r="O2181" s="8">
        <f>Intv_Ann_TA!O1116</f>
        <v>0</v>
      </c>
    </row>
    <row r="2182" spans="3:15" s="327" customFormat="1" outlineLevel="1" x14ac:dyDescent="0.2">
      <c r="D2182" s="594" t="str">
        <f>Intv_BA!D3123</f>
        <v>Western</v>
      </c>
      <c r="J2182" s="9">
        <f>Intv_Ann_TA!J1117</f>
        <v>0</v>
      </c>
      <c r="K2182" s="9">
        <f>Intv_Ann_TA!K1117</f>
        <v>0</v>
      </c>
      <c r="L2182" s="9">
        <f>Intv_Ann_TA!L1117</f>
        <v>0</v>
      </c>
      <c r="M2182" s="9">
        <f>Intv_Ann_TA!M1117</f>
        <v>0</v>
      </c>
      <c r="N2182" s="9">
        <f>Intv_Ann_TA!N1117</f>
        <v>0</v>
      </c>
      <c r="O2182" s="9">
        <f>Intv_Ann_TA!O1117</f>
        <v>0</v>
      </c>
    </row>
    <row r="2183" spans="3:15" s="327" customFormat="1" x14ac:dyDescent="0.2">
      <c r="D2183" s="596" t="str">
        <f>"Total "&amp;C2168</f>
        <v>Total Active Facility Type 8s</v>
      </c>
      <c r="J2183" s="5">
        <f t="shared" ref="J2183:O2183" si="206">SUM(J2173:J2182)</f>
        <v>0</v>
      </c>
      <c r="K2183" s="5">
        <f t="shared" si="206"/>
        <v>0</v>
      </c>
      <c r="L2183" s="5">
        <f t="shared" si="206"/>
        <v>0</v>
      </c>
      <c r="M2183" s="5">
        <f t="shared" si="206"/>
        <v>0</v>
      </c>
      <c r="N2183" s="5">
        <f t="shared" si="206"/>
        <v>0</v>
      </c>
      <c r="O2183" s="5">
        <f t="shared" si="206"/>
        <v>0</v>
      </c>
    </row>
    <row r="2184" spans="3:15" s="327" customFormat="1" outlineLevel="1" x14ac:dyDescent="0.2"/>
    <row r="2185" spans="3:15" s="327" customFormat="1" ht="15.75" outlineLevel="1" x14ac:dyDescent="0.2">
      <c r="C2185" s="26" t="str">
        <f>"Active "&amp;Intv_BA!D2990&amp;"s"</f>
        <v>Active Facility Type 9s</v>
      </c>
    </row>
    <row r="2186" spans="3:15" s="327" customFormat="1" outlineLevel="1" x14ac:dyDescent="0.2"/>
    <row r="2187" spans="3:15" s="327" customFormat="1" outlineLevel="1" x14ac:dyDescent="0.2">
      <c r="D2187" s="590" t="s">
        <v>82</v>
      </c>
      <c r="H2187" s="27">
        <v>9</v>
      </c>
    </row>
    <row r="2188" spans="3:15" s="327" customFormat="1" outlineLevel="1" x14ac:dyDescent="0.2"/>
    <row r="2189" spans="3:15" s="327" customFormat="1" ht="15" outlineLevel="1" x14ac:dyDescent="0.2">
      <c r="D2189" s="24" t="str">
        <f>Labels_BA!G10</f>
        <v>Province</v>
      </c>
    </row>
    <row r="2190" spans="3:15" s="327" customFormat="1" outlineLevel="1" x14ac:dyDescent="0.2">
      <c r="D2190" s="594" t="str">
        <f>Intv_BA!D3114</f>
        <v>Central</v>
      </c>
      <c r="J2190" s="8">
        <f>Intv_Ann_TA!J1124</f>
        <v>0</v>
      </c>
      <c r="K2190" s="8">
        <f>Intv_Ann_TA!K1124</f>
        <v>0</v>
      </c>
      <c r="L2190" s="8">
        <f>Intv_Ann_TA!L1124</f>
        <v>0</v>
      </c>
      <c r="M2190" s="8">
        <f>Intv_Ann_TA!M1124</f>
        <v>0</v>
      </c>
      <c r="N2190" s="8">
        <f>Intv_Ann_TA!N1124</f>
        <v>0</v>
      </c>
      <c r="O2190" s="8">
        <f>Intv_Ann_TA!O1124</f>
        <v>0</v>
      </c>
    </row>
    <row r="2191" spans="3:15" s="327" customFormat="1" outlineLevel="1" x14ac:dyDescent="0.2">
      <c r="D2191" s="594" t="str">
        <f>Intv_BA!D3115</f>
        <v>Copperbelt</v>
      </c>
      <c r="J2191" s="8">
        <f>Intv_Ann_TA!J1125</f>
        <v>0</v>
      </c>
      <c r="K2191" s="8">
        <f>Intv_Ann_TA!K1125</f>
        <v>0</v>
      </c>
      <c r="L2191" s="8">
        <f>Intv_Ann_TA!L1125</f>
        <v>0</v>
      </c>
      <c r="M2191" s="8">
        <f>Intv_Ann_TA!M1125</f>
        <v>0</v>
      </c>
      <c r="N2191" s="8">
        <f>Intv_Ann_TA!N1125</f>
        <v>0</v>
      </c>
      <c r="O2191" s="8">
        <f>Intv_Ann_TA!O1125</f>
        <v>0</v>
      </c>
    </row>
    <row r="2192" spans="3:15" s="327" customFormat="1" outlineLevel="1" x14ac:dyDescent="0.2">
      <c r="D2192" s="594" t="str">
        <f>Intv_BA!D3116</f>
        <v>Eastern</v>
      </c>
      <c r="J2192" s="8">
        <f>Intv_Ann_TA!J1126</f>
        <v>0</v>
      </c>
      <c r="K2192" s="8">
        <f>Intv_Ann_TA!K1126</f>
        <v>0</v>
      </c>
      <c r="L2192" s="8">
        <f>Intv_Ann_TA!L1126</f>
        <v>0</v>
      </c>
      <c r="M2192" s="8">
        <f>Intv_Ann_TA!M1126</f>
        <v>0</v>
      </c>
      <c r="N2192" s="8">
        <f>Intv_Ann_TA!N1126</f>
        <v>0</v>
      </c>
      <c r="O2192" s="8">
        <f>Intv_Ann_TA!O1126</f>
        <v>0</v>
      </c>
    </row>
    <row r="2193" spans="3:15" s="327" customFormat="1" outlineLevel="1" x14ac:dyDescent="0.2">
      <c r="D2193" s="594" t="str">
        <f>Intv_BA!D3117</f>
        <v>Luapula</v>
      </c>
      <c r="J2193" s="8">
        <f>Intv_Ann_TA!J1127</f>
        <v>0</v>
      </c>
      <c r="K2193" s="8">
        <f>Intv_Ann_TA!K1127</f>
        <v>0</v>
      </c>
      <c r="L2193" s="8">
        <f>Intv_Ann_TA!L1127</f>
        <v>0</v>
      </c>
      <c r="M2193" s="8">
        <f>Intv_Ann_TA!M1127</f>
        <v>0</v>
      </c>
      <c r="N2193" s="8">
        <f>Intv_Ann_TA!N1127</f>
        <v>0</v>
      </c>
      <c r="O2193" s="8">
        <f>Intv_Ann_TA!O1127</f>
        <v>0</v>
      </c>
    </row>
    <row r="2194" spans="3:15" s="327" customFormat="1" outlineLevel="1" x14ac:dyDescent="0.2">
      <c r="D2194" s="594" t="str">
        <f>Intv_BA!D3118</f>
        <v>Lusaka</v>
      </c>
      <c r="J2194" s="8">
        <f>Intv_Ann_TA!J1128</f>
        <v>0</v>
      </c>
      <c r="K2194" s="8">
        <f>Intv_Ann_TA!K1128</f>
        <v>0</v>
      </c>
      <c r="L2194" s="8">
        <f>Intv_Ann_TA!L1128</f>
        <v>0</v>
      </c>
      <c r="M2194" s="8">
        <f>Intv_Ann_TA!M1128</f>
        <v>0</v>
      </c>
      <c r="N2194" s="8">
        <f>Intv_Ann_TA!N1128</f>
        <v>0</v>
      </c>
      <c r="O2194" s="8">
        <f>Intv_Ann_TA!O1128</f>
        <v>0</v>
      </c>
    </row>
    <row r="2195" spans="3:15" s="327" customFormat="1" outlineLevel="1" x14ac:dyDescent="0.2">
      <c r="D2195" s="594" t="str">
        <f>Intv_BA!D3119</f>
        <v>Muchinga</v>
      </c>
      <c r="J2195" s="8">
        <f>Intv_Ann_TA!J1129</f>
        <v>0</v>
      </c>
      <c r="K2195" s="8">
        <f>Intv_Ann_TA!K1129</f>
        <v>0</v>
      </c>
      <c r="L2195" s="8">
        <f>Intv_Ann_TA!L1129</f>
        <v>0</v>
      </c>
      <c r="M2195" s="8">
        <f>Intv_Ann_TA!M1129</f>
        <v>0</v>
      </c>
      <c r="N2195" s="8">
        <f>Intv_Ann_TA!N1129</f>
        <v>0</v>
      </c>
      <c r="O2195" s="8">
        <f>Intv_Ann_TA!O1129</f>
        <v>0</v>
      </c>
    </row>
    <row r="2196" spans="3:15" s="327" customFormat="1" outlineLevel="1" x14ac:dyDescent="0.2">
      <c r="D2196" s="594" t="str">
        <f>Intv_BA!D3120</f>
        <v>Northern</v>
      </c>
      <c r="J2196" s="8">
        <f>Intv_Ann_TA!J1130</f>
        <v>0</v>
      </c>
      <c r="K2196" s="8">
        <f>Intv_Ann_TA!K1130</f>
        <v>0</v>
      </c>
      <c r="L2196" s="8">
        <f>Intv_Ann_TA!L1130</f>
        <v>0</v>
      </c>
      <c r="M2196" s="8">
        <f>Intv_Ann_TA!M1130</f>
        <v>0</v>
      </c>
      <c r="N2196" s="8">
        <f>Intv_Ann_TA!N1130</f>
        <v>0</v>
      </c>
      <c r="O2196" s="8">
        <f>Intv_Ann_TA!O1130</f>
        <v>0</v>
      </c>
    </row>
    <row r="2197" spans="3:15" s="327" customFormat="1" outlineLevel="1" x14ac:dyDescent="0.2">
      <c r="D2197" s="594" t="str">
        <f>Intv_BA!D3121</f>
        <v>North-Western</v>
      </c>
      <c r="J2197" s="8">
        <f>Intv_Ann_TA!J1131</f>
        <v>0</v>
      </c>
      <c r="K2197" s="8">
        <f>Intv_Ann_TA!K1131</f>
        <v>0</v>
      </c>
      <c r="L2197" s="8">
        <f>Intv_Ann_TA!L1131</f>
        <v>0</v>
      </c>
      <c r="M2197" s="8">
        <f>Intv_Ann_TA!M1131</f>
        <v>0</v>
      </c>
      <c r="N2197" s="8">
        <f>Intv_Ann_TA!N1131</f>
        <v>0</v>
      </c>
      <c r="O2197" s="8">
        <f>Intv_Ann_TA!O1131</f>
        <v>0</v>
      </c>
    </row>
    <row r="2198" spans="3:15" s="327" customFormat="1" outlineLevel="1" x14ac:dyDescent="0.2">
      <c r="D2198" s="594" t="str">
        <f>Intv_BA!D3122</f>
        <v>Southern</v>
      </c>
      <c r="J2198" s="8">
        <f>Intv_Ann_TA!J1132</f>
        <v>0</v>
      </c>
      <c r="K2198" s="8">
        <f>Intv_Ann_TA!K1132</f>
        <v>0</v>
      </c>
      <c r="L2198" s="8">
        <f>Intv_Ann_TA!L1132</f>
        <v>0</v>
      </c>
      <c r="M2198" s="8">
        <f>Intv_Ann_TA!M1132</f>
        <v>0</v>
      </c>
      <c r="N2198" s="8">
        <f>Intv_Ann_TA!N1132</f>
        <v>0</v>
      </c>
      <c r="O2198" s="8">
        <f>Intv_Ann_TA!O1132</f>
        <v>0</v>
      </c>
    </row>
    <row r="2199" spans="3:15" s="327" customFormat="1" outlineLevel="1" x14ac:dyDescent="0.2">
      <c r="D2199" s="594" t="str">
        <f>Intv_BA!D3123</f>
        <v>Western</v>
      </c>
      <c r="J2199" s="9">
        <f>Intv_Ann_TA!J1133</f>
        <v>0</v>
      </c>
      <c r="K2199" s="9">
        <f>Intv_Ann_TA!K1133</f>
        <v>0</v>
      </c>
      <c r="L2199" s="9">
        <f>Intv_Ann_TA!L1133</f>
        <v>0</v>
      </c>
      <c r="M2199" s="9">
        <f>Intv_Ann_TA!M1133</f>
        <v>0</v>
      </c>
      <c r="N2199" s="9">
        <f>Intv_Ann_TA!N1133</f>
        <v>0</v>
      </c>
      <c r="O2199" s="9">
        <f>Intv_Ann_TA!O1133</f>
        <v>0</v>
      </c>
    </row>
    <row r="2200" spans="3:15" s="327" customFormat="1" x14ac:dyDescent="0.2">
      <c r="D2200" s="596" t="str">
        <f>"Total "&amp;C2185</f>
        <v>Total Active Facility Type 9s</v>
      </c>
      <c r="J2200" s="5">
        <f t="shared" ref="J2200:O2200" si="207">SUM(J2190:J2199)</f>
        <v>0</v>
      </c>
      <c r="K2200" s="5">
        <f t="shared" si="207"/>
        <v>0</v>
      </c>
      <c r="L2200" s="5">
        <f t="shared" si="207"/>
        <v>0</v>
      </c>
      <c r="M2200" s="5">
        <f t="shared" si="207"/>
        <v>0</v>
      </c>
      <c r="N2200" s="5">
        <f t="shared" si="207"/>
        <v>0</v>
      </c>
      <c r="O2200" s="5">
        <f t="shared" si="207"/>
        <v>0</v>
      </c>
    </row>
    <row r="2201" spans="3:15" s="327" customFormat="1" outlineLevel="1" x14ac:dyDescent="0.2"/>
    <row r="2202" spans="3:15" s="327" customFormat="1" ht="15.75" outlineLevel="2" x14ac:dyDescent="0.2">
      <c r="C2202" s="26" t="str">
        <f>"Active "&amp;Intv_BA!D2991&amp;"s"</f>
        <v>Active Facility Type 10s</v>
      </c>
    </row>
    <row r="2203" spans="3:15" s="327" customFormat="1" outlineLevel="2" x14ac:dyDescent="0.2"/>
    <row r="2204" spans="3:15" s="327" customFormat="1" outlineLevel="2" x14ac:dyDescent="0.2">
      <c r="D2204" s="590" t="s">
        <v>82</v>
      </c>
      <c r="H2204" s="27">
        <v>10</v>
      </c>
    </row>
    <row r="2205" spans="3:15" s="327" customFormat="1" outlineLevel="2" x14ac:dyDescent="0.2"/>
    <row r="2206" spans="3:15" s="327" customFormat="1" ht="15" outlineLevel="2" x14ac:dyDescent="0.2">
      <c r="D2206" s="24" t="str">
        <f>Labels_BA!G10</f>
        <v>Province</v>
      </c>
    </row>
    <row r="2207" spans="3:15" s="327" customFormat="1" outlineLevel="2" x14ac:dyDescent="0.2">
      <c r="D2207" s="594" t="str">
        <f>Intv_BA!D3114</f>
        <v>Central</v>
      </c>
      <c r="J2207" s="8">
        <f>Intv_Ann_TA!J1140</f>
        <v>0</v>
      </c>
      <c r="K2207" s="8">
        <f>Intv_Ann_TA!K1140</f>
        <v>0</v>
      </c>
      <c r="L2207" s="8">
        <f>Intv_Ann_TA!L1140</f>
        <v>0</v>
      </c>
      <c r="M2207" s="8">
        <f>Intv_Ann_TA!M1140</f>
        <v>0</v>
      </c>
      <c r="N2207" s="8">
        <f>Intv_Ann_TA!N1140</f>
        <v>0</v>
      </c>
      <c r="O2207" s="8">
        <f>Intv_Ann_TA!O1140</f>
        <v>0</v>
      </c>
    </row>
    <row r="2208" spans="3:15" s="327" customFormat="1" outlineLevel="2" x14ac:dyDescent="0.2">
      <c r="D2208" s="594" t="str">
        <f>Intv_BA!D3115</f>
        <v>Copperbelt</v>
      </c>
      <c r="J2208" s="8">
        <f>Intv_Ann_TA!J1141</f>
        <v>0</v>
      </c>
      <c r="K2208" s="8">
        <f>Intv_Ann_TA!K1141</f>
        <v>0</v>
      </c>
      <c r="L2208" s="8">
        <f>Intv_Ann_TA!L1141</f>
        <v>0</v>
      </c>
      <c r="M2208" s="8">
        <f>Intv_Ann_TA!M1141</f>
        <v>0</v>
      </c>
      <c r="N2208" s="8">
        <f>Intv_Ann_TA!N1141</f>
        <v>0</v>
      </c>
      <c r="O2208" s="8">
        <f>Intv_Ann_TA!O1141</f>
        <v>0</v>
      </c>
    </row>
    <row r="2209" spans="3:15" s="327" customFormat="1" outlineLevel="2" x14ac:dyDescent="0.2">
      <c r="D2209" s="594" t="str">
        <f>Intv_BA!D3116</f>
        <v>Eastern</v>
      </c>
      <c r="J2209" s="8">
        <f>Intv_Ann_TA!J1142</f>
        <v>0</v>
      </c>
      <c r="K2209" s="8">
        <f>Intv_Ann_TA!K1142</f>
        <v>0</v>
      </c>
      <c r="L2209" s="8">
        <f>Intv_Ann_TA!L1142</f>
        <v>0</v>
      </c>
      <c r="M2209" s="8">
        <f>Intv_Ann_TA!M1142</f>
        <v>0</v>
      </c>
      <c r="N2209" s="8">
        <f>Intv_Ann_TA!N1142</f>
        <v>0</v>
      </c>
      <c r="O2209" s="8">
        <f>Intv_Ann_TA!O1142</f>
        <v>0</v>
      </c>
    </row>
    <row r="2210" spans="3:15" s="327" customFormat="1" outlineLevel="2" x14ac:dyDescent="0.2">
      <c r="D2210" s="594" t="str">
        <f>Intv_BA!D3117</f>
        <v>Luapula</v>
      </c>
      <c r="J2210" s="8">
        <f>Intv_Ann_TA!J1143</f>
        <v>0</v>
      </c>
      <c r="K2210" s="8">
        <f>Intv_Ann_TA!K1143</f>
        <v>0</v>
      </c>
      <c r="L2210" s="8">
        <f>Intv_Ann_TA!L1143</f>
        <v>0</v>
      </c>
      <c r="M2210" s="8">
        <f>Intv_Ann_TA!M1143</f>
        <v>0</v>
      </c>
      <c r="N2210" s="8">
        <f>Intv_Ann_TA!N1143</f>
        <v>0</v>
      </c>
      <c r="O2210" s="8">
        <f>Intv_Ann_TA!O1143</f>
        <v>0</v>
      </c>
    </row>
    <row r="2211" spans="3:15" s="327" customFormat="1" outlineLevel="2" x14ac:dyDescent="0.2">
      <c r="D2211" s="594" t="str">
        <f>Intv_BA!D3118</f>
        <v>Lusaka</v>
      </c>
      <c r="J2211" s="8">
        <f>Intv_Ann_TA!J1144</f>
        <v>0</v>
      </c>
      <c r="K2211" s="8">
        <f>Intv_Ann_TA!K1144</f>
        <v>0</v>
      </c>
      <c r="L2211" s="8">
        <f>Intv_Ann_TA!L1144</f>
        <v>0</v>
      </c>
      <c r="M2211" s="8">
        <f>Intv_Ann_TA!M1144</f>
        <v>0</v>
      </c>
      <c r="N2211" s="8">
        <f>Intv_Ann_TA!N1144</f>
        <v>0</v>
      </c>
      <c r="O2211" s="8">
        <f>Intv_Ann_TA!O1144</f>
        <v>0</v>
      </c>
    </row>
    <row r="2212" spans="3:15" s="327" customFormat="1" outlineLevel="2" x14ac:dyDescent="0.2">
      <c r="D2212" s="594" t="str">
        <f>Intv_BA!D3119</f>
        <v>Muchinga</v>
      </c>
      <c r="J2212" s="8">
        <f>Intv_Ann_TA!J1145</f>
        <v>0</v>
      </c>
      <c r="K2212" s="8">
        <f>Intv_Ann_TA!K1145</f>
        <v>0</v>
      </c>
      <c r="L2212" s="8">
        <f>Intv_Ann_TA!L1145</f>
        <v>0</v>
      </c>
      <c r="M2212" s="8">
        <f>Intv_Ann_TA!M1145</f>
        <v>0</v>
      </c>
      <c r="N2212" s="8">
        <f>Intv_Ann_TA!N1145</f>
        <v>0</v>
      </c>
      <c r="O2212" s="8">
        <f>Intv_Ann_TA!O1145</f>
        <v>0</v>
      </c>
    </row>
    <row r="2213" spans="3:15" s="327" customFormat="1" outlineLevel="2" x14ac:dyDescent="0.2">
      <c r="D2213" s="594" t="str">
        <f>Intv_BA!D3120</f>
        <v>Northern</v>
      </c>
      <c r="J2213" s="8">
        <f>Intv_Ann_TA!J1146</f>
        <v>0</v>
      </c>
      <c r="K2213" s="8">
        <f>Intv_Ann_TA!K1146</f>
        <v>0</v>
      </c>
      <c r="L2213" s="8">
        <f>Intv_Ann_TA!L1146</f>
        <v>0</v>
      </c>
      <c r="M2213" s="8">
        <f>Intv_Ann_TA!M1146</f>
        <v>0</v>
      </c>
      <c r="N2213" s="8">
        <f>Intv_Ann_TA!N1146</f>
        <v>0</v>
      </c>
      <c r="O2213" s="8">
        <f>Intv_Ann_TA!O1146</f>
        <v>0</v>
      </c>
    </row>
    <row r="2214" spans="3:15" s="327" customFormat="1" outlineLevel="2" x14ac:dyDescent="0.2">
      <c r="D2214" s="594" t="str">
        <f>Intv_BA!D3121</f>
        <v>North-Western</v>
      </c>
      <c r="J2214" s="8">
        <f>Intv_Ann_TA!J1147</f>
        <v>0</v>
      </c>
      <c r="K2214" s="8">
        <f>Intv_Ann_TA!K1147</f>
        <v>0</v>
      </c>
      <c r="L2214" s="8">
        <f>Intv_Ann_TA!L1147</f>
        <v>0</v>
      </c>
      <c r="M2214" s="8">
        <f>Intv_Ann_TA!M1147</f>
        <v>0</v>
      </c>
      <c r="N2214" s="8">
        <f>Intv_Ann_TA!N1147</f>
        <v>0</v>
      </c>
      <c r="O2214" s="8">
        <f>Intv_Ann_TA!O1147</f>
        <v>0</v>
      </c>
    </row>
    <row r="2215" spans="3:15" s="327" customFormat="1" outlineLevel="2" x14ac:dyDescent="0.2">
      <c r="D2215" s="594" t="str">
        <f>Intv_BA!D3122</f>
        <v>Southern</v>
      </c>
      <c r="J2215" s="8">
        <f>Intv_Ann_TA!J1148</f>
        <v>0</v>
      </c>
      <c r="K2215" s="8">
        <f>Intv_Ann_TA!K1148</f>
        <v>0</v>
      </c>
      <c r="L2215" s="8">
        <f>Intv_Ann_TA!L1148</f>
        <v>0</v>
      </c>
      <c r="M2215" s="8">
        <f>Intv_Ann_TA!M1148</f>
        <v>0</v>
      </c>
      <c r="N2215" s="8">
        <f>Intv_Ann_TA!N1148</f>
        <v>0</v>
      </c>
      <c r="O2215" s="8">
        <f>Intv_Ann_TA!O1148</f>
        <v>0</v>
      </c>
    </row>
    <row r="2216" spans="3:15" s="327" customFormat="1" outlineLevel="2" x14ac:dyDescent="0.2">
      <c r="D2216" s="594" t="str">
        <f>Intv_BA!D3123</f>
        <v>Western</v>
      </c>
      <c r="J2216" s="9">
        <f>Intv_Ann_TA!J1149</f>
        <v>0</v>
      </c>
      <c r="K2216" s="9">
        <f>Intv_Ann_TA!K1149</f>
        <v>0</v>
      </c>
      <c r="L2216" s="9">
        <f>Intv_Ann_TA!L1149</f>
        <v>0</v>
      </c>
      <c r="M2216" s="9">
        <f>Intv_Ann_TA!M1149</f>
        <v>0</v>
      </c>
      <c r="N2216" s="9">
        <f>Intv_Ann_TA!N1149</f>
        <v>0</v>
      </c>
      <c r="O2216" s="9">
        <f>Intv_Ann_TA!O1149</f>
        <v>0</v>
      </c>
    </row>
    <row r="2217" spans="3:15" s="327" customFormat="1" x14ac:dyDescent="0.2">
      <c r="D2217" s="596" t="str">
        <f>"Total "&amp;C2202</f>
        <v>Total Active Facility Type 10s</v>
      </c>
      <c r="J2217" s="5">
        <f t="shared" ref="J2217:O2217" si="208">SUM(J2207:J2216)</f>
        <v>0</v>
      </c>
      <c r="K2217" s="5">
        <f t="shared" si="208"/>
        <v>0</v>
      </c>
      <c r="L2217" s="5">
        <f t="shared" si="208"/>
        <v>0</v>
      </c>
      <c r="M2217" s="5">
        <f t="shared" si="208"/>
        <v>0</v>
      </c>
      <c r="N2217" s="5">
        <f t="shared" si="208"/>
        <v>0</v>
      </c>
      <c r="O2217" s="5">
        <f t="shared" si="208"/>
        <v>0</v>
      </c>
    </row>
    <row r="2218" spans="3:15" s="327" customFormat="1" x14ac:dyDescent="0.2"/>
    <row r="2219" spans="3:15" s="327" customFormat="1" x14ac:dyDescent="0.2"/>
    <row r="2220" spans="3:15" s="327" customFormat="1" ht="15" x14ac:dyDescent="0.2">
      <c r="D2220" s="597" t="str">
        <f>"Total Active Facilities " &amp;Intv_BA!G2952</f>
        <v>Total Active Facilities PALL</v>
      </c>
      <c r="I2220" s="437"/>
      <c r="J2220" s="14">
        <f t="shared" ref="J2220:O2220" si="209">SUM(J2064,J2081,J2098,J2115,J2132,J2149,J2166,J2183,J2200,J2217)</f>
        <v>5</v>
      </c>
      <c r="K2220" s="14">
        <f t="shared" si="209"/>
        <v>15</v>
      </c>
      <c r="L2220" s="14">
        <f t="shared" si="209"/>
        <v>24</v>
      </c>
      <c r="M2220" s="14">
        <f t="shared" si="209"/>
        <v>33</v>
      </c>
      <c r="N2220" s="14">
        <f t="shared" si="209"/>
        <v>42</v>
      </c>
      <c r="O2220" s="14">
        <f t="shared" si="209"/>
        <v>51</v>
      </c>
    </row>
    <row r="2221" spans="3:15" s="327" customFormat="1" x14ac:dyDescent="0.2"/>
    <row r="2222" spans="3:15" s="327" customFormat="1" ht="15" x14ac:dyDescent="0.2">
      <c r="D2222" s="597" t="str">
        <f>"Total New Active Facilities " &amp;Intv_BA!$G$2952</f>
        <v>Total New Active Facilities PALL</v>
      </c>
      <c r="J2222" s="14">
        <f t="shared" ref="J2222:O2222" si="210">J2220-I2220</f>
        <v>5</v>
      </c>
      <c r="K2222" s="14">
        <f t="shared" si="210"/>
        <v>10</v>
      </c>
      <c r="L2222" s="14">
        <f t="shared" si="210"/>
        <v>9</v>
      </c>
      <c r="M2222" s="14">
        <f t="shared" si="210"/>
        <v>9</v>
      </c>
      <c r="N2222" s="14">
        <f t="shared" si="210"/>
        <v>9</v>
      </c>
      <c r="O2222" s="14">
        <f t="shared" si="210"/>
        <v>9</v>
      </c>
    </row>
    <row r="2223" spans="3:15" s="327" customFormat="1" x14ac:dyDescent="0.2"/>
    <row r="2224" spans="3:15" s="327" customFormat="1" ht="15.75" x14ac:dyDescent="0.2">
      <c r="C2224" s="330" t="s">
        <v>123</v>
      </c>
    </row>
    <row r="2225" spans="4:15" s="327" customFormat="1" outlineLevel="1" x14ac:dyDescent="0.2"/>
    <row r="2226" spans="4:15" s="327" customFormat="1" ht="15" outlineLevel="1" x14ac:dyDescent="0.2">
      <c r="D2226" s="597" t="str">
        <f>"Total Active Facilities Offering "&amp;Intv_BA!$G$2952</f>
        <v>Total Active Facilities Offering PALL</v>
      </c>
    </row>
    <row r="2227" spans="4:15" s="327" customFormat="1" outlineLevel="1" x14ac:dyDescent="0.2">
      <c r="D2227" s="594" t="str">
        <f>Intv_BA!D3114</f>
        <v>Central</v>
      </c>
      <c r="H2227" s="594" t="str">
        <f>Intv_BA!$G$2952</f>
        <v>PALL</v>
      </c>
      <c r="J2227" s="8">
        <f t="shared" ref="J2227:O2236" si="211">SUM(J2054,J2071,J2088,J2105,J2122,J2139,J2156,J2173,J2190,J2207)</f>
        <v>0</v>
      </c>
      <c r="K2227" s="8">
        <f t="shared" si="211"/>
        <v>1</v>
      </c>
      <c r="L2227" s="8">
        <f t="shared" si="211"/>
        <v>2</v>
      </c>
      <c r="M2227" s="8">
        <f t="shared" si="211"/>
        <v>3</v>
      </c>
      <c r="N2227" s="8">
        <f t="shared" si="211"/>
        <v>4</v>
      </c>
      <c r="O2227" s="8">
        <f t="shared" si="211"/>
        <v>5</v>
      </c>
    </row>
    <row r="2228" spans="4:15" s="327" customFormat="1" outlineLevel="1" x14ac:dyDescent="0.2">
      <c r="D2228" s="594" t="str">
        <f>Intv_BA!D3115</f>
        <v>Copperbelt</v>
      </c>
      <c r="H2228" s="594" t="str">
        <f>Intv_BA!$G$2952</f>
        <v>PALL</v>
      </c>
      <c r="J2228" s="8">
        <f t="shared" si="211"/>
        <v>1</v>
      </c>
      <c r="K2228" s="8">
        <f t="shared" si="211"/>
        <v>2</v>
      </c>
      <c r="L2228" s="8">
        <f t="shared" si="211"/>
        <v>2</v>
      </c>
      <c r="M2228" s="8">
        <f t="shared" si="211"/>
        <v>2</v>
      </c>
      <c r="N2228" s="8">
        <f t="shared" si="211"/>
        <v>2</v>
      </c>
      <c r="O2228" s="8">
        <f t="shared" si="211"/>
        <v>2</v>
      </c>
    </row>
    <row r="2229" spans="4:15" s="327" customFormat="1" outlineLevel="1" x14ac:dyDescent="0.2">
      <c r="D2229" s="594" t="str">
        <f>Intv_BA!D3116</f>
        <v>Eastern</v>
      </c>
      <c r="H2229" s="594" t="str">
        <f>Intv_BA!$G$2952</f>
        <v>PALL</v>
      </c>
      <c r="J2229" s="8">
        <f t="shared" si="211"/>
        <v>0</v>
      </c>
      <c r="K2229" s="8">
        <f t="shared" si="211"/>
        <v>1</v>
      </c>
      <c r="L2229" s="8">
        <f t="shared" si="211"/>
        <v>2</v>
      </c>
      <c r="M2229" s="8">
        <f t="shared" si="211"/>
        <v>3</v>
      </c>
      <c r="N2229" s="8">
        <f t="shared" si="211"/>
        <v>4</v>
      </c>
      <c r="O2229" s="8">
        <f t="shared" si="211"/>
        <v>5</v>
      </c>
    </row>
    <row r="2230" spans="4:15" s="327" customFormat="1" outlineLevel="1" x14ac:dyDescent="0.2">
      <c r="D2230" s="594" t="str">
        <f>Intv_BA!D3117</f>
        <v>Luapula</v>
      </c>
      <c r="H2230" s="594" t="str">
        <f>Intv_BA!$G$2952</f>
        <v>PALL</v>
      </c>
      <c r="J2230" s="8">
        <f t="shared" si="211"/>
        <v>0</v>
      </c>
      <c r="K2230" s="8">
        <f t="shared" si="211"/>
        <v>1</v>
      </c>
      <c r="L2230" s="8">
        <f t="shared" si="211"/>
        <v>2</v>
      </c>
      <c r="M2230" s="8">
        <f t="shared" si="211"/>
        <v>3</v>
      </c>
      <c r="N2230" s="8">
        <f t="shared" si="211"/>
        <v>4</v>
      </c>
      <c r="O2230" s="8">
        <f t="shared" si="211"/>
        <v>5</v>
      </c>
    </row>
    <row r="2231" spans="4:15" s="327" customFormat="1" outlineLevel="1" x14ac:dyDescent="0.2">
      <c r="D2231" s="594" t="str">
        <f>Intv_BA!D3118</f>
        <v>Lusaka</v>
      </c>
      <c r="H2231" s="594" t="str">
        <f>Intv_BA!$G$2952</f>
        <v>PALL</v>
      </c>
      <c r="J2231" s="8">
        <f t="shared" si="211"/>
        <v>2</v>
      </c>
      <c r="K2231" s="8">
        <f t="shared" si="211"/>
        <v>3</v>
      </c>
      <c r="L2231" s="8">
        <f t="shared" si="211"/>
        <v>4</v>
      </c>
      <c r="M2231" s="8">
        <f t="shared" si="211"/>
        <v>5</v>
      </c>
      <c r="N2231" s="8">
        <f t="shared" si="211"/>
        <v>6</v>
      </c>
      <c r="O2231" s="8">
        <f t="shared" si="211"/>
        <v>7</v>
      </c>
    </row>
    <row r="2232" spans="4:15" s="327" customFormat="1" outlineLevel="1" x14ac:dyDescent="0.2">
      <c r="D2232" s="594" t="str">
        <f>Intv_BA!D3119</f>
        <v>Muchinga</v>
      </c>
      <c r="H2232" s="594" t="str">
        <f>Intv_BA!$G$2952</f>
        <v>PALL</v>
      </c>
      <c r="J2232" s="8">
        <f t="shared" si="211"/>
        <v>0</v>
      </c>
      <c r="K2232" s="8">
        <f t="shared" si="211"/>
        <v>1</v>
      </c>
      <c r="L2232" s="8">
        <f t="shared" si="211"/>
        <v>2</v>
      </c>
      <c r="M2232" s="8">
        <f t="shared" si="211"/>
        <v>3</v>
      </c>
      <c r="N2232" s="8">
        <f t="shared" si="211"/>
        <v>4</v>
      </c>
      <c r="O2232" s="8">
        <f t="shared" si="211"/>
        <v>5</v>
      </c>
    </row>
    <row r="2233" spans="4:15" s="327" customFormat="1" outlineLevel="1" x14ac:dyDescent="0.2">
      <c r="D2233" s="594" t="str">
        <f>Intv_BA!D3120</f>
        <v>Northern</v>
      </c>
      <c r="H2233" s="594" t="str">
        <f>Intv_BA!$G$2952</f>
        <v>PALL</v>
      </c>
      <c r="J2233" s="8">
        <f t="shared" si="211"/>
        <v>0</v>
      </c>
      <c r="K2233" s="8">
        <f t="shared" si="211"/>
        <v>1</v>
      </c>
      <c r="L2233" s="8">
        <f t="shared" si="211"/>
        <v>2</v>
      </c>
      <c r="M2233" s="8">
        <f t="shared" si="211"/>
        <v>3</v>
      </c>
      <c r="N2233" s="8">
        <f t="shared" si="211"/>
        <v>4</v>
      </c>
      <c r="O2233" s="8">
        <f t="shared" si="211"/>
        <v>5</v>
      </c>
    </row>
    <row r="2234" spans="4:15" s="327" customFormat="1" outlineLevel="1" x14ac:dyDescent="0.2">
      <c r="D2234" s="594" t="str">
        <f>Intv_BA!D3121</f>
        <v>North-Western</v>
      </c>
      <c r="H2234" s="594" t="str">
        <f>Intv_BA!$G$2952</f>
        <v>PALL</v>
      </c>
      <c r="J2234" s="8">
        <f t="shared" si="211"/>
        <v>0</v>
      </c>
      <c r="K2234" s="8">
        <f t="shared" si="211"/>
        <v>1</v>
      </c>
      <c r="L2234" s="8">
        <f t="shared" si="211"/>
        <v>2</v>
      </c>
      <c r="M2234" s="8">
        <f t="shared" si="211"/>
        <v>3</v>
      </c>
      <c r="N2234" s="8">
        <f t="shared" si="211"/>
        <v>4</v>
      </c>
      <c r="O2234" s="8">
        <f t="shared" si="211"/>
        <v>5</v>
      </c>
    </row>
    <row r="2235" spans="4:15" s="327" customFormat="1" outlineLevel="1" x14ac:dyDescent="0.2">
      <c r="D2235" s="594" t="str">
        <f>Intv_BA!D3122</f>
        <v>Southern</v>
      </c>
      <c r="H2235" s="594" t="str">
        <f>Intv_BA!$G$2952</f>
        <v>PALL</v>
      </c>
      <c r="J2235" s="8">
        <f t="shared" si="211"/>
        <v>2</v>
      </c>
      <c r="K2235" s="8">
        <f t="shared" si="211"/>
        <v>3</v>
      </c>
      <c r="L2235" s="8">
        <f t="shared" si="211"/>
        <v>4</v>
      </c>
      <c r="M2235" s="8">
        <f t="shared" si="211"/>
        <v>5</v>
      </c>
      <c r="N2235" s="8">
        <f t="shared" si="211"/>
        <v>6</v>
      </c>
      <c r="O2235" s="8">
        <f t="shared" si="211"/>
        <v>7</v>
      </c>
    </row>
    <row r="2236" spans="4:15" s="327" customFormat="1" outlineLevel="1" x14ac:dyDescent="0.2">
      <c r="D2236" s="594" t="str">
        <f>Intv_BA!D3123</f>
        <v>Western</v>
      </c>
      <c r="H2236" s="594" t="str">
        <f>Intv_BA!$G$2952</f>
        <v>PALL</v>
      </c>
      <c r="J2236" s="9">
        <f t="shared" si="211"/>
        <v>0</v>
      </c>
      <c r="K2236" s="9">
        <f t="shared" si="211"/>
        <v>1</v>
      </c>
      <c r="L2236" s="9">
        <f t="shared" si="211"/>
        <v>2</v>
      </c>
      <c r="M2236" s="9">
        <f t="shared" si="211"/>
        <v>3</v>
      </c>
      <c r="N2236" s="9">
        <f t="shared" si="211"/>
        <v>4</v>
      </c>
      <c r="O2236" s="9">
        <f t="shared" si="211"/>
        <v>5</v>
      </c>
    </row>
    <row r="2237" spans="4:15" s="327" customFormat="1" ht="15" x14ac:dyDescent="0.2">
      <c r="D2237" s="597" t="str">
        <f>D2226&amp;" ("&amp;Intv_BA!$G$2952&amp;")"</f>
        <v>Total Active Facilities Offering PALL (PALL)</v>
      </c>
      <c r="J2237" s="5">
        <f t="shared" ref="J2237:O2237" si="212">SUM(J2227:J2236)</f>
        <v>5</v>
      </c>
      <c r="K2237" s="5">
        <f t="shared" si="212"/>
        <v>15</v>
      </c>
      <c r="L2237" s="5">
        <f t="shared" si="212"/>
        <v>24</v>
      </c>
      <c r="M2237" s="5">
        <f t="shared" si="212"/>
        <v>33</v>
      </c>
      <c r="N2237" s="5">
        <f t="shared" si="212"/>
        <v>42</v>
      </c>
      <c r="O2237" s="5">
        <f t="shared" si="212"/>
        <v>51</v>
      </c>
    </row>
    <row r="2238" spans="4:15" s="327" customFormat="1" x14ac:dyDescent="0.2"/>
    <row r="2239" spans="4:15" s="327" customFormat="1" x14ac:dyDescent="0.2"/>
    <row r="2240" spans="4:15" s="327" customFormat="1" ht="15" x14ac:dyDescent="0.2">
      <c r="D2240" s="595" t="s">
        <v>114</v>
      </c>
    </row>
    <row r="2241" spans="3:15" s="327" customFormat="1" outlineLevel="1" x14ac:dyDescent="0.2">
      <c r="D2241" s="594" t="str">
        <f>Intv_Ann_TA!D1160</f>
        <v>Central</v>
      </c>
      <c r="H2241" s="594" t="str">
        <f>Intv_BA!$G$2952</f>
        <v>PALL</v>
      </c>
      <c r="J2241" s="13">
        <f t="shared" ref="J2241:O2250" si="213">IFERROR((J2054+J2071+J2088)/J2227,0)</f>
        <v>0</v>
      </c>
      <c r="K2241" s="13">
        <f t="shared" si="213"/>
        <v>1</v>
      </c>
      <c r="L2241" s="13">
        <f t="shared" si="213"/>
        <v>1</v>
      </c>
      <c r="M2241" s="13">
        <f t="shared" si="213"/>
        <v>1</v>
      </c>
      <c r="N2241" s="13">
        <f t="shared" si="213"/>
        <v>1</v>
      </c>
      <c r="O2241" s="13">
        <f t="shared" si="213"/>
        <v>1</v>
      </c>
    </row>
    <row r="2242" spans="3:15" s="327" customFormat="1" outlineLevel="1" x14ac:dyDescent="0.2">
      <c r="D2242" s="594" t="str">
        <f>Intv_Ann_TA!D1161</f>
        <v>Copperbelt</v>
      </c>
      <c r="H2242" s="594" t="str">
        <f>Intv_BA!$G$2952</f>
        <v>PALL</v>
      </c>
      <c r="J2242" s="13">
        <f t="shared" si="213"/>
        <v>1</v>
      </c>
      <c r="K2242" s="13">
        <f t="shared" si="213"/>
        <v>1</v>
      </c>
      <c r="L2242" s="13">
        <f t="shared" si="213"/>
        <v>1</v>
      </c>
      <c r="M2242" s="13">
        <f t="shared" si="213"/>
        <v>1</v>
      </c>
      <c r="N2242" s="13">
        <f t="shared" si="213"/>
        <v>1</v>
      </c>
      <c r="O2242" s="13">
        <f t="shared" si="213"/>
        <v>1</v>
      </c>
    </row>
    <row r="2243" spans="3:15" s="327" customFormat="1" outlineLevel="1" x14ac:dyDescent="0.2">
      <c r="D2243" s="594" t="str">
        <f>Intv_Ann_TA!D1162</f>
        <v>Eastern</v>
      </c>
      <c r="H2243" s="594" t="str">
        <f>Intv_BA!$G$2952</f>
        <v>PALL</v>
      </c>
      <c r="J2243" s="13">
        <f t="shared" si="213"/>
        <v>0</v>
      </c>
      <c r="K2243" s="13">
        <f t="shared" si="213"/>
        <v>1</v>
      </c>
      <c r="L2243" s="13">
        <f t="shared" si="213"/>
        <v>1</v>
      </c>
      <c r="M2243" s="13">
        <f t="shared" si="213"/>
        <v>1</v>
      </c>
      <c r="N2243" s="13">
        <f t="shared" si="213"/>
        <v>1</v>
      </c>
      <c r="O2243" s="13">
        <f t="shared" si="213"/>
        <v>1</v>
      </c>
    </row>
    <row r="2244" spans="3:15" s="327" customFormat="1" outlineLevel="1" x14ac:dyDescent="0.2">
      <c r="D2244" s="594" t="str">
        <f>Intv_Ann_TA!D1163</f>
        <v>Luapula</v>
      </c>
      <c r="H2244" s="594" t="str">
        <f>Intv_BA!$G$2952</f>
        <v>PALL</v>
      </c>
      <c r="J2244" s="13">
        <f t="shared" si="213"/>
        <v>0</v>
      </c>
      <c r="K2244" s="13">
        <f t="shared" si="213"/>
        <v>1</v>
      </c>
      <c r="L2244" s="13">
        <f t="shared" si="213"/>
        <v>1</v>
      </c>
      <c r="M2244" s="13">
        <f t="shared" si="213"/>
        <v>1</v>
      </c>
      <c r="N2244" s="13">
        <f t="shared" si="213"/>
        <v>1</v>
      </c>
      <c r="O2244" s="13">
        <f t="shared" si="213"/>
        <v>1</v>
      </c>
    </row>
    <row r="2245" spans="3:15" s="327" customFormat="1" outlineLevel="1" x14ac:dyDescent="0.2">
      <c r="D2245" s="594" t="str">
        <f>Intv_Ann_TA!D1164</f>
        <v>Lusaka</v>
      </c>
      <c r="H2245" s="594" t="str">
        <f>Intv_BA!$G$2952</f>
        <v>PALL</v>
      </c>
      <c r="J2245" s="13">
        <f t="shared" si="213"/>
        <v>1</v>
      </c>
      <c r="K2245" s="13">
        <f t="shared" si="213"/>
        <v>1</v>
      </c>
      <c r="L2245" s="13">
        <f t="shared" si="213"/>
        <v>1</v>
      </c>
      <c r="M2245" s="13">
        <f t="shared" si="213"/>
        <v>1</v>
      </c>
      <c r="N2245" s="13">
        <f t="shared" si="213"/>
        <v>1</v>
      </c>
      <c r="O2245" s="13">
        <f t="shared" si="213"/>
        <v>1</v>
      </c>
    </row>
    <row r="2246" spans="3:15" s="327" customFormat="1" outlineLevel="1" x14ac:dyDescent="0.2">
      <c r="D2246" s="594" t="str">
        <f>Intv_Ann_TA!D1165</f>
        <v>Muchinga</v>
      </c>
      <c r="H2246" s="594" t="str">
        <f>Intv_BA!$G$2952</f>
        <v>PALL</v>
      </c>
      <c r="J2246" s="13">
        <f t="shared" si="213"/>
        <v>0</v>
      </c>
      <c r="K2246" s="13">
        <f t="shared" si="213"/>
        <v>1</v>
      </c>
      <c r="L2246" s="13">
        <f t="shared" si="213"/>
        <v>1</v>
      </c>
      <c r="M2246" s="13">
        <f t="shared" si="213"/>
        <v>1</v>
      </c>
      <c r="N2246" s="13">
        <f t="shared" si="213"/>
        <v>1</v>
      </c>
      <c r="O2246" s="13">
        <f t="shared" si="213"/>
        <v>1</v>
      </c>
    </row>
    <row r="2247" spans="3:15" s="327" customFormat="1" outlineLevel="1" x14ac:dyDescent="0.2">
      <c r="D2247" s="594" t="str">
        <f>Intv_Ann_TA!D1166</f>
        <v>Northern</v>
      </c>
      <c r="H2247" s="594" t="str">
        <f>Intv_BA!$G$2952</f>
        <v>PALL</v>
      </c>
      <c r="J2247" s="13">
        <f t="shared" si="213"/>
        <v>0</v>
      </c>
      <c r="K2247" s="13">
        <f t="shared" si="213"/>
        <v>1</v>
      </c>
      <c r="L2247" s="13">
        <f t="shared" si="213"/>
        <v>1</v>
      </c>
      <c r="M2247" s="13">
        <f t="shared" si="213"/>
        <v>1</v>
      </c>
      <c r="N2247" s="13">
        <f t="shared" si="213"/>
        <v>1</v>
      </c>
      <c r="O2247" s="13">
        <f t="shared" si="213"/>
        <v>1</v>
      </c>
    </row>
    <row r="2248" spans="3:15" s="327" customFormat="1" outlineLevel="1" x14ac:dyDescent="0.2">
      <c r="D2248" s="594" t="str">
        <f>Intv_Ann_TA!D1167</f>
        <v>North-Western</v>
      </c>
      <c r="H2248" s="594" t="str">
        <f>Intv_BA!$G$2952</f>
        <v>PALL</v>
      </c>
      <c r="J2248" s="13">
        <f t="shared" si="213"/>
        <v>0</v>
      </c>
      <c r="K2248" s="13">
        <f t="shared" si="213"/>
        <v>1</v>
      </c>
      <c r="L2248" s="13">
        <f t="shared" si="213"/>
        <v>1</v>
      </c>
      <c r="M2248" s="13">
        <f t="shared" si="213"/>
        <v>1</v>
      </c>
      <c r="N2248" s="13">
        <f t="shared" si="213"/>
        <v>1</v>
      </c>
      <c r="O2248" s="13">
        <f t="shared" si="213"/>
        <v>1</v>
      </c>
    </row>
    <row r="2249" spans="3:15" s="327" customFormat="1" outlineLevel="1" x14ac:dyDescent="0.2">
      <c r="D2249" s="594" t="str">
        <f>Intv_Ann_TA!D1168</f>
        <v>Southern</v>
      </c>
      <c r="H2249" s="594" t="str">
        <f>Intv_BA!$G$2952</f>
        <v>PALL</v>
      </c>
      <c r="J2249" s="13">
        <f t="shared" si="213"/>
        <v>1</v>
      </c>
      <c r="K2249" s="13">
        <f t="shared" si="213"/>
        <v>1</v>
      </c>
      <c r="L2249" s="13">
        <f t="shared" si="213"/>
        <v>1</v>
      </c>
      <c r="M2249" s="13">
        <f t="shared" si="213"/>
        <v>1</v>
      </c>
      <c r="N2249" s="13">
        <f t="shared" si="213"/>
        <v>1</v>
      </c>
      <c r="O2249" s="13">
        <f t="shared" si="213"/>
        <v>1</v>
      </c>
    </row>
    <row r="2250" spans="3:15" s="327" customFormat="1" outlineLevel="1" x14ac:dyDescent="0.2">
      <c r="D2250" s="594" t="str">
        <f>Intv_Ann_TA!D1169</f>
        <v>Western</v>
      </c>
      <c r="H2250" s="594" t="str">
        <f>Intv_BA!$G$2952</f>
        <v>PALL</v>
      </c>
      <c r="J2250" s="13">
        <f t="shared" si="213"/>
        <v>0</v>
      </c>
      <c r="K2250" s="13">
        <f t="shared" si="213"/>
        <v>1</v>
      </c>
      <c r="L2250" s="13">
        <f t="shared" si="213"/>
        <v>1</v>
      </c>
      <c r="M2250" s="13">
        <f t="shared" si="213"/>
        <v>1</v>
      </c>
      <c r="N2250" s="13">
        <f t="shared" si="213"/>
        <v>1</v>
      </c>
      <c r="O2250" s="13">
        <f t="shared" si="213"/>
        <v>1</v>
      </c>
    </row>
    <row r="2251" spans="3:15" s="327" customFormat="1" x14ac:dyDescent="0.2"/>
    <row r="2252" spans="3:15" s="327" customFormat="1" ht="15.75" x14ac:dyDescent="0.2">
      <c r="C2252" s="330" t="s">
        <v>102</v>
      </c>
    </row>
    <row r="2253" spans="3:15" s="327" customFormat="1" x14ac:dyDescent="0.2"/>
    <row r="2254" spans="3:15" s="327" customFormat="1" ht="15" outlineLevel="2" x14ac:dyDescent="0.2">
      <c r="D2254" s="595" t="s">
        <v>103</v>
      </c>
    </row>
    <row r="2255" spans="3:15" s="327" customFormat="1" outlineLevel="2" x14ac:dyDescent="0.2">
      <c r="D2255" s="594" t="str">
        <f>Intv_Ann_TA!D1160</f>
        <v>Central</v>
      </c>
      <c r="H2255" s="594" t="str">
        <f>Intv_BA!$G$2952</f>
        <v>PALL</v>
      </c>
      <c r="J2255" s="8">
        <f>ROUND(J2054*Intv_BA!$L$2980+J2071*Intv_BA!$L$2981+J2088*Intv_BA!$L$2982+J2105*Intv_BA!$L$2985+J2122*Intv_BA!$L$2985+J2139*Intv_BA!$L$2987+J2156*Intv_BA!$L$2988+J2173*Intv_BA!$L$2989+J2190*Intv_BA!$L$2990+J2207*Intv_BA!$L$2991,0)</f>
        <v>0</v>
      </c>
      <c r="K2255" s="8">
        <f>ROUND(K2054*Intv_BA!$L$2980+K2071*Intv_BA!$L$2981+K2088*Intv_BA!$L$2982+K2105*Intv_BA!$L$2985+K2122*Intv_BA!$L$2985+K2139*Intv_BA!$L$2987+K2156*Intv_BA!$L$2988+K2173*Intv_BA!$L$2989+K2190*Intv_BA!$L$2990+K2207*Intv_BA!$L$2991,0)</f>
        <v>0</v>
      </c>
      <c r="L2255" s="8">
        <f>ROUND(L2054*Intv_BA!$L$2980+L2071*Intv_BA!$L$2981+L2088*Intv_BA!$L$2982+L2105*Intv_BA!$L$2985+L2122*Intv_BA!$L$2985+L2139*Intv_BA!$L$2987+L2156*Intv_BA!$L$2988+L2173*Intv_BA!$L$2989+L2190*Intv_BA!$L$2990+L2207*Intv_BA!$L$2991,0)</f>
        <v>0</v>
      </c>
      <c r="M2255" s="8">
        <f>ROUND(M2054*Intv_BA!$L$2980+M2071*Intv_BA!$L$2981+M2088*Intv_BA!$L$2982+M2105*Intv_BA!$L$2985+M2122*Intv_BA!$L$2985+M2139*Intv_BA!$L$2987+M2156*Intv_BA!$L$2988+M2173*Intv_BA!$L$2989+M2190*Intv_BA!$L$2990+M2207*Intv_BA!$L$2991,0)</f>
        <v>0</v>
      </c>
      <c r="N2255" s="8">
        <f>ROUND(N2054*Intv_BA!$L$2980+N2071*Intv_BA!$L$2981+N2088*Intv_BA!$L$2982+N2105*Intv_BA!$L$2985+N2122*Intv_BA!$L$2985+N2139*Intv_BA!$L$2987+N2156*Intv_BA!$L$2988+N2173*Intv_BA!$L$2989+N2190*Intv_BA!$L$2990+N2207*Intv_BA!$L$2991,0)</f>
        <v>0</v>
      </c>
      <c r="O2255" s="8">
        <f>ROUND(O2054*Intv_BA!$L$2980+O2071*Intv_BA!$L$2981+O2088*Intv_BA!$L$2982+O2105*Intv_BA!$L$2985+O2122*Intv_BA!$L$2985+O2139*Intv_BA!$L$2987+O2156*Intv_BA!$L$2988+O2173*Intv_BA!$L$2989+O2190*Intv_BA!$L$2990+O2207*Intv_BA!$L$2991,0)</f>
        <v>0</v>
      </c>
    </row>
    <row r="2256" spans="3:15" s="327" customFormat="1" outlineLevel="2" x14ac:dyDescent="0.2">
      <c r="D2256" s="594" t="str">
        <f>Intv_Ann_TA!D1161</f>
        <v>Copperbelt</v>
      </c>
      <c r="H2256" s="594" t="str">
        <f>Intv_BA!$G$2952</f>
        <v>PALL</v>
      </c>
      <c r="J2256" s="8">
        <f>ROUND(J2055*Intv_BA!$L$2980+J2072*Intv_BA!$L$2981+J2089*Intv_BA!$L$2982+J2106*Intv_BA!$L$2985+J2123*Intv_BA!$L$2985+J2140*Intv_BA!$L$2987+J2157*Intv_BA!$L$2988+J2174*Intv_BA!$L$2989+J2191*Intv_BA!$L$2990+J2208*Intv_BA!$L$2991,0)</f>
        <v>704</v>
      </c>
      <c r="K2256" s="8">
        <f>ROUND(K2055*Intv_BA!$L$2980+K2072*Intv_BA!$L$2981+K2089*Intv_BA!$L$2982+K2106*Intv_BA!$L$2985+K2123*Intv_BA!$L$2985+K2140*Intv_BA!$L$2987+K2157*Intv_BA!$L$2988+K2174*Intv_BA!$L$2989+K2191*Intv_BA!$L$2990+K2208*Intv_BA!$L$2991,0)</f>
        <v>704</v>
      </c>
      <c r="L2256" s="8">
        <f>ROUND(L2055*Intv_BA!$L$2980+L2072*Intv_BA!$L$2981+L2089*Intv_BA!$L$2982+L2106*Intv_BA!$L$2985+L2123*Intv_BA!$L$2985+L2140*Intv_BA!$L$2987+L2157*Intv_BA!$L$2988+L2174*Intv_BA!$L$2989+L2191*Intv_BA!$L$2990+L2208*Intv_BA!$L$2991,0)</f>
        <v>704</v>
      </c>
      <c r="M2256" s="8">
        <f>ROUND(M2055*Intv_BA!$L$2980+M2072*Intv_BA!$L$2981+M2089*Intv_BA!$L$2982+M2106*Intv_BA!$L$2985+M2123*Intv_BA!$L$2985+M2140*Intv_BA!$L$2987+M2157*Intv_BA!$L$2988+M2174*Intv_BA!$L$2989+M2191*Intv_BA!$L$2990+M2208*Intv_BA!$L$2991,0)</f>
        <v>704</v>
      </c>
      <c r="N2256" s="8">
        <f>ROUND(N2055*Intv_BA!$L$2980+N2072*Intv_BA!$L$2981+N2089*Intv_BA!$L$2982+N2106*Intv_BA!$L$2985+N2123*Intv_BA!$L$2985+N2140*Intv_BA!$L$2987+N2157*Intv_BA!$L$2988+N2174*Intv_BA!$L$2989+N2191*Intv_BA!$L$2990+N2208*Intv_BA!$L$2991,0)</f>
        <v>704</v>
      </c>
      <c r="O2256" s="8">
        <f>ROUND(O2055*Intv_BA!$L$2980+O2072*Intv_BA!$L$2981+O2089*Intv_BA!$L$2982+O2106*Intv_BA!$L$2985+O2123*Intv_BA!$L$2985+O2140*Intv_BA!$L$2987+O2157*Intv_BA!$L$2988+O2174*Intv_BA!$L$2989+O2191*Intv_BA!$L$2990+O2208*Intv_BA!$L$2991,0)</f>
        <v>704</v>
      </c>
    </row>
    <row r="2257" spans="4:15" s="327" customFormat="1" outlineLevel="2" x14ac:dyDescent="0.2">
      <c r="D2257" s="594" t="str">
        <f>Intv_Ann_TA!D1162</f>
        <v>Eastern</v>
      </c>
      <c r="H2257" s="594" t="str">
        <f>Intv_BA!$G$2952</f>
        <v>PALL</v>
      </c>
      <c r="J2257" s="8">
        <f>ROUND(J2056*Intv_BA!$L$2980+J2073*Intv_BA!$L$2981+J2090*Intv_BA!$L$2982+J2107*Intv_BA!$L$2985+J2124*Intv_BA!$L$2985+J2141*Intv_BA!$L$2987+J2158*Intv_BA!$L$2988+J2175*Intv_BA!$L$2989+J2192*Intv_BA!$L$2990+J2209*Intv_BA!$L$2991,0)</f>
        <v>0</v>
      </c>
      <c r="K2257" s="8">
        <f>ROUND(K2056*Intv_BA!$L$2980+K2073*Intv_BA!$L$2981+K2090*Intv_BA!$L$2982+K2107*Intv_BA!$L$2985+K2124*Intv_BA!$L$2985+K2141*Intv_BA!$L$2987+K2158*Intv_BA!$L$2988+K2175*Intv_BA!$L$2989+K2192*Intv_BA!$L$2990+K2209*Intv_BA!$L$2991,0)</f>
        <v>0</v>
      </c>
      <c r="L2257" s="8">
        <f>ROUND(L2056*Intv_BA!$L$2980+L2073*Intv_BA!$L$2981+L2090*Intv_BA!$L$2982+L2107*Intv_BA!$L$2985+L2124*Intv_BA!$L$2985+L2141*Intv_BA!$L$2987+L2158*Intv_BA!$L$2988+L2175*Intv_BA!$L$2989+L2192*Intv_BA!$L$2990+L2209*Intv_BA!$L$2991,0)</f>
        <v>0</v>
      </c>
      <c r="M2257" s="8">
        <f>ROUND(M2056*Intv_BA!$L$2980+M2073*Intv_BA!$L$2981+M2090*Intv_BA!$L$2982+M2107*Intv_BA!$L$2985+M2124*Intv_BA!$L$2985+M2141*Intv_BA!$L$2987+M2158*Intv_BA!$L$2988+M2175*Intv_BA!$L$2989+M2192*Intv_BA!$L$2990+M2209*Intv_BA!$L$2991,0)</f>
        <v>0</v>
      </c>
      <c r="N2257" s="8">
        <f>ROUND(N2056*Intv_BA!$L$2980+N2073*Intv_BA!$L$2981+N2090*Intv_BA!$L$2982+N2107*Intv_BA!$L$2985+N2124*Intv_BA!$L$2985+N2141*Intv_BA!$L$2987+N2158*Intv_BA!$L$2988+N2175*Intv_BA!$L$2989+N2192*Intv_BA!$L$2990+N2209*Intv_BA!$L$2991,0)</f>
        <v>0</v>
      </c>
      <c r="O2257" s="8">
        <f>ROUND(O2056*Intv_BA!$L$2980+O2073*Intv_BA!$L$2981+O2090*Intv_BA!$L$2982+O2107*Intv_BA!$L$2985+O2124*Intv_BA!$L$2985+O2141*Intv_BA!$L$2987+O2158*Intv_BA!$L$2988+O2175*Intv_BA!$L$2989+O2192*Intv_BA!$L$2990+O2209*Intv_BA!$L$2991,0)</f>
        <v>0</v>
      </c>
    </row>
    <row r="2258" spans="4:15" s="327" customFormat="1" outlineLevel="2" x14ac:dyDescent="0.2">
      <c r="D2258" s="594" t="str">
        <f>Intv_Ann_TA!D1163</f>
        <v>Luapula</v>
      </c>
      <c r="H2258" s="594" t="str">
        <f>Intv_BA!$G$2952</f>
        <v>PALL</v>
      </c>
      <c r="J2258" s="8">
        <f>ROUND(J2057*Intv_BA!$L$2980+J2074*Intv_BA!$L$2981+J2091*Intv_BA!$L$2982+J2108*Intv_BA!$L$2985+J2125*Intv_BA!$L$2985+J2142*Intv_BA!$L$2987+J2159*Intv_BA!$L$2988+J2176*Intv_BA!$L$2989+J2193*Intv_BA!$L$2990+J2210*Intv_BA!$L$2991,0)</f>
        <v>0</v>
      </c>
      <c r="K2258" s="8">
        <f>ROUND(K2057*Intv_BA!$L$2980+K2074*Intv_BA!$L$2981+K2091*Intv_BA!$L$2982+K2108*Intv_BA!$L$2985+K2125*Intv_BA!$L$2985+K2142*Intv_BA!$L$2987+K2159*Intv_BA!$L$2988+K2176*Intv_BA!$L$2989+K2193*Intv_BA!$L$2990+K2210*Intv_BA!$L$2991,0)</f>
        <v>0</v>
      </c>
      <c r="L2258" s="8">
        <f>ROUND(L2057*Intv_BA!$L$2980+L2074*Intv_BA!$L$2981+L2091*Intv_BA!$L$2982+L2108*Intv_BA!$L$2985+L2125*Intv_BA!$L$2985+L2142*Intv_BA!$L$2987+L2159*Intv_BA!$L$2988+L2176*Intv_BA!$L$2989+L2193*Intv_BA!$L$2990+L2210*Intv_BA!$L$2991,0)</f>
        <v>0</v>
      </c>
      <c r="M2258" s="8">
        <f>ROUND(M2057*Intv_BA!$L$2980+M2074*Intv_BA!$L$2981+M2091*Intv_BA!$L$2982+M2108*Intv_BA!$L$2985+M2125*Intv_BA!$L$2985+M2142*Intv_BA!$L$2987+M2159*Intv_BA!$L$2988+M2176*Intv_BA!$L$2989+M2193*Intv_BA!$L$2990+M2210*Intv_BA!$L$2991,0)</f>
        <v>0</v>
      </c>
      <c r="N2258" s="8">
        <f>ROUND(N2057*Intv_BA!$L$2980+N2074*Intv_BA!$L$2981+N2091*Intv_BA!$L$2982+N2108*Intv_BA!$L$2985+N2125*Intv_BA!$L$2985+N2142*Intv_BA!$L$2987+N2159*Intv_BA!$L$2988+N2176*Intv_BA!$L$2989+N2193*Intv_BA!$L$2990+N2210*Intv_BA!$L$2991,0)</f>
        <v>0</v>
      </c>
      <c r="O2258" s="8">
        <f>ROUND(O2057*Intv_BA!$L$2980+O2074*Intv_BA!$L$2981+O2091*Intv_BA!$L$2982+O2108*Intv_BA!$L$2985+O2125*Intv_BA!$L$2985+O2142*Intv_BA!$L$2987+O2159*Intv_BA!$L$2988+O2176*Intv_BA!$L$2989+O2193*Intv_BA!$L$2990+O2210*Intv_BA!$L$2991,0)</f>
        <v>0</v>
      </c>
    </row>
    <row r="2259" spans="4:15" s="327" customFormat="1" outlineLevel="2" x14ac:dyDescent="0.2">
      <c r="D2259" s="594" t="str">
        <f>Intv_Ann_TA!D1164</f>
        <v>Lusaka</v>
      </c>
      <c r="H2259" s="594" t="str">
        <f>Intv_BA!$G$2952</f>
        <v>PALL</v>
      </c>
      <c r="J2259" s="8">
        <f>ROUND(J2058*Intv_BA!$L$2980+J2075*Intv_BA!$L$2981+J2092*Intv_BA!$L$2982+J2109*Intv_BA!$L$2985+J2126*Intv_BA!$L$2985+J2143*Intv_BA!$L$2987+J2160*Intv_BA!$L$2988+J2177*Intv_BA!$L$2989+J2194*Intv_BA!$L$2990+J2211*Intv_BA!$L$2991,0)</f>
        <v>1408</v>
      </c>
      <c r="K2259" s="8">
        <f>ROUND(K2058*Intv_BA!$L$2980+K2075*Intv_BA!$L$2981+K2092*Intv_BA!$L$2982+K2109*Intv_BA!$L$2985+K2126*Intv_BA!$L$2985+K2143*Intv_BA!$L$2987+K2160*Intv_BA!$L$2988+K2177*Intv_BA!$L$2989+K2194*Intv_BA!$L$2990+K2211*Intv_BA!$L$2991,0)</f>
        <v>1408</v>
      </c>
      <c r="L2259" s="8">
        <f>ROUND(L2058*Intv_BA!$L$2980+L2075*Intv_BA!$L$2981+L2092*Intv_BA!$L$2982+L2109*Intv_BA!$L$2985+L2126*Intv_BA!$L$2985+L2143*Intv_BA!$L$2987+L2160*Intv_BA!$L$2988+L2177*Intv_BA!$L$2989+L2194*Intv_BA!$L$2990+L2211*Intv_BA!$L$2991,0)</f>
        <v>1408</v>
      </c>
      <c r="M2259" s="8">
        <f>ROUND(M2058*Intv_BA!$L$2980+M2075*Intv_BA!$L$2981+M2092*Intv_BA!$L$2982+M2109*Intv_BA!$L$2985+M2126*Intv_BA!$L$2985+M2143*Intv_BA!$L$2987+M2160*Intv_BA!$L$2988+M2177*Intv_BA!$L$2989+M2194*Intv_BA!$L$2990+M2211*Intv_BA!$L$2991,0)</f>
        <v>1408</v>
      </c>
      <c r="N2259" s="8">
        <f>ROUND(N2058*Intv_BA!$L$2980+N2075*Intv_BA!$L$2981+N2092*Intv_BA!$L$2982+N2109*Intv_BA!$L$2985+N2126*Intv_BA!$L$2985+N2143*Intv_BA!$L$2987+N2160*Intv_BA!$L$2988+N2177*Intv_BA!$L$2989+N2194*Intv_BA!$L$2990+N2211*Intv_BA!$L$2991,0)</f>
        <v>1408</v>
      </c>
      <c r="O2259" s="8">
        <f>ROUND(O2058*Intv_BA!$L$2980+O2075*Intv_BA!$L$2981+O2092*Intv_BA!$L$2982+O2109*Intv_BA!$L$2985+O2126*Intv_BA!$L$2985+O2143*Intv_BA!$L$2987+O2160*Intv_BA!$L$2988+O2177*Intv_BA!$L$2989+O2194*Intv_BA!$L$2990+O2211*Intv_BA!$L$2991,0)</f>
        <v>1408</v>
      </c>
    </row>
    <row r="2260" spans="4:15" s="327" customFormat="1" outlineLevel="2" x14ac:dyDescent="0.2">
      <c r="D2260" s="594" t="str">
        <f>Intv_Ann_TA!D1165</f>
        <v>Muchinga</v>
      </c>
      <c r="H2260" s="594" t="str">
        <f>Intv_BA!$G$2952</f>
        <v>PALL</v>
      </c>
      <c r="J2260" s="8">
        <f>ROUND(J2059*Intv_BA!$L$2980+J2076*Intv_BA!$L$2981+J2093*Intv_BA!$L$2982+J2110*Intv_BA!$L$2985+J2127*Intv_BA!$L$2985+J2144*Intv_BA!$L$2987+J2161*Intv_BA!$L$2988+J2178*Intv_BA!$L$2989+J2195*Intv_BA!$L$2990+J2212*Intv_BA!$L$2991,0)</f>
        <v>0</v>
      </c>
      <c r="K2260" s="8">
        <f>ROUND(K2059*Intv_BA!$L$2980+K2076*Intv_BA!$L$2981+K2093*Intv_BA!$L$2982+K2110*Intv_BA!$L$2985+K2127*Intv_BA!$L$2985+K2144*Intv_BA!$L$2987+K2161*Intv_BA!$L$2988+K2178*Intv_BA!$L$2989+K2195*Intv_BA!$L$2990+K2212*Intv_BA!$L$2991,0)</f>
        <v>0</v>
      </c>
      <c r="L2260" s="8">
        <f>ROUND(L2059*Intv_BA!$L$2980+L2076*Intv_BA!$L$2981+L2093*Intv_BA!$L$2982+L2110*Intv_BA!$L$2985+L2127*Intv_BA!$L$2985+L2144*Intv_BA!$L$2987+L2161*Intv_BA!$L$2988+L2178*Intv_BA!$L$2989+L2195*Intv_BA!$L$2990+L2212*Intv_BA!$L$2991,0)</f>
        <v>0</v>
      </c>
      <c r="M2260" s="8">
        <f>ROUND(M2059*Intv_BA!$L$2980+M2076*Intv_BA!$L$2981+M2093*Intv_BA!$L$2982+M2110*Intv_BA!$L$2985+M2127*Intv_BA!$L$2985+M2144*Intv_BA!$L$2987+M2161*Intv_BA!$L$2988+M2178*Intv_BA!$L$2989+M2195*Intv_BA!$L$2990+M2212*Intv_BA!$L$2991,0)</f>
        <v>0</v>
      </c>
      <c r="N2260" s="8">
        <f>ROUND(N2059*Intv_BA!$L$2980+N2076*Intv_BA!$L$2981+N2093*Intv_BA!$L$2982+N2110*Intv_BA!$L$2985+N2127*Intv_BA!$L$2985+N2144*Intv_BA!$L$2987+N2161*Intv_BA!$L$2988+N2178*Intv_BA!$L$2989+N2195*Intv_BA!$L$2990+N2212*Intv_BA!$L$2991,0)</f>
        <v>0</v>
      </c>
      <c r="O2260" s="8">
        <f>ROUND(O2059*Intv_BA!$L$2980+O2076*Intv_BA!$L$2981+O2093*Intv_BA!$L$2982+O2110*Intv_BA!$L$2985+O2127*Intv_BA!$L$2985+O2144*Intv_BA!$L$2987+O2161*Intv_BA!$L$2988+O2178*Intv_BA!$L$2989+O2195*Intv_BA!$L$2990+O2212*Intv_BA!$L$2991,0)</f>
        <v>0</v>
      </c>
    </row>
    <row r="2261" spans="4:15" s="327" customFormat="1" outlineLevel="2" x14ac:dyDescent="0.2">
      <c r="D2261" s="594" t="str">
        <f>Intv_Ann_TA!D1166</f>
        <v>Northern</v>
      </c>
      <c r="H2261" s="594" t="str">
        <f>Intv_BA!$G$2952</f>
        <v>PALL</v>
      </c>
      <c r="J2261" s="8">
        <f>ROUND(J2060*Intv_BA!$L$2980+J2077*Intv_BA!$L$2981+J2094*Intv_BA!$L$2982+J2111*Intv_BA!$L$2985+J2128*Intv_BA!$L$2985+J2145*Intv_BA!$L$2987+J2162*Intv_BA!$L$2988+J2179*Intv_BA!$L$2989+J2196*Intv_BA!$L$2990+J2213*Intv_BA!$L$2991,0)</f>
        <v>0</v>
      </c>
      <c r="K2261" s="8">
        <f>ROUND(K2060*Intv_BA!$L$2980+K2077*Intv_BA!$L$2981+K2094*Intv_BA!$L$2982+K2111*Intv_BA!$L$2985+K2128*Intv_BA!$L$2985+K2145*Intv_BA!$L$2987+K2162*Intv_BA!$L$2988+K2179*Intv_BA!$L$2989+K2196*Intv_BA!$L$2990+K2213*Intv_BA!$L$2991,0)</f>
        <v>0</v>
      </c>
      <c r="L2261" s="8">
        <f>ROUND(L2060*Intv_BA!$L$2980+L2077*Intv_BA!$L$2981+L2094*Intv_BA!$L$2982+L2111*Intv_BA!$L$2985+L2128*Intv_BA!$L$2985+L2145*Intv_BA!$L$2987+L2162*Intv_BA!$L$2988+L2179*Intv_BA!$L$2989+L2196*Intv_BA!$L$2990+L2213*Intv_BA!$L$2991,0)</f>
        <v>0</v>
      </c>
      <c r="M2261" s="8">
        <f>ROUND(M2060*Intv_BA!$L$2980+M2077*Intv_BA!$L$2981+M2094*Intv_BA!$L$2982+M2111*Intv_BA!$L$2985+M2128*Intv_BA!$L$2985+M2145*Intv_BA!$L$2987+M2162*Intv_BA!$L$2988+M2179*Intv_BA!$L$2989+M2196*Intv_BA!$L$2990+M2213*Intv_BA!$L$2991,0)</f>
        <v>0</v>
      </c>
      <c r="N2261" s="8">
        <f>ROUND(N2060*Intv_BA!$L$2980+N2077*Intv_BA!$L$2981+N2094*Intv_BA!$L$2982+N2111*Intv_BA!$L$2985+N2128*Intv_BA!$L$2985+N2145*Intv_BA!$L$2987+N2162*Intv_BA!$L$2988+N2179*Intv_BA!$L$2989+N2196*Intv_BA!$L$2990+N2213*Intv_BA!$L$2991,0)</f>
        <v>0</v>
      </c>
      <c r="O2261" s="8">
        <f>ROUND(O2060*Intv_BA!$L$2980+O2077*Intv_BA!$L$2981+O2094*Intv_BA!$L$2982+O2111*Intv_BA!$L$2985+O2128*Intv_BA!$L$2985+O2145*Intv_BA!$L$2987+O2162*Intv_BA!$L$2988+O2179*Intv_BA!$L$2989+O2196*Intv_BA!$L$2990+O2213*Intv_BA!$L$2991,0)</f>
        <v>0</v>
      </c>
    </row>
    <row r="2262" spans="4:15" s="327" customFormat="1" outlineLevel="2" x14ac:dyDescent="0.2">
      <c r="D2262" s="594" t="str">
        <f>Intv_Ann_TA!D1167</f>
        <v>North-Western</v>
      </c>
      <c r="H2262" s="594" t="str">
        <f>Intv_BA!$G$2952</f>
        <v>PALL</v>
      </c>
      <c r="J2262" s="8">
        <f>ROUND(J2061*Intv_BA!$L$2980+J2078*Intv_BA!$L$2981+J2095*Intv_BA!$L$2982+J2112*Intv_BA!$L$2985+J2129*Intv_BA!$L$2985+J2146*Intv_BA!$L$2987+J2163*Intv_BA!$L$2988+J2180*Intv_BA!$L$2989+J2197*Intv_BA!$L$2990+J2214*Intv_BA!$L$2991,0)</f>
        <v>0</v>
      </c>
      <c r="K2262" s="8">
        <f>ROUND(K2061*Intv_BA!$L$2980+K2078*Intv_BA!$L$2981+K2095*Intv_BA!$L$2982+K2112*Intv_BA!$L$2985+K2129*Intv_BA!$L$2985+K2146*Intv_BA!$L$2987+K2163*Intv_BA!$L$2988+K2180*Intv_BA!$L$2989+K2197*Intv_BA!$L$2990+K2214*Intv_BA!$L$2991,0)</f>
        <v>0</v>
      </c>
      <c r="L2262" s="8">
        <f>ROUND(L2061*Intv_BA!$L$2980+L2078*Intv_BA!$L$2981+L2095*Intv_BA!$L$2982+L2112*Intv_BA!$L$2985+L2129*Intv_BA!$L$2985+L2146*Intv_BA!$L$2987+L2163*Intv_BA!$L$2988+L2180*Intv_BA!$L$2989+L2197*Intv_BA!$L$2990+L2214*Intv_BA!$L$2991,0)</f>
        <v>0</v>
      </c>
      <c r="M2262" s="8">
        <f>ROUND(M2061*Intv_BA!$L$2980+M2078*Intv_BA!$L$2981+M2095*Intv_BA!$L$2982+M2112*Intv_BA!$L$2985+M2129*Intv_BA!$L$2985+M2146*Intv_BA!$L$2987+M2163*Intv_BA!$L$2988+M2180*Intv_BA!$L$2989+M2197*Intv_BA!$L$2990+M2214*Intv_BA!$L$2991,0)</f>
        <v>0</v>
      </c>
      <c r="N2262" s="8">
        <f>ROUND(N2061*Intv_BA!$L$2980+N2078*Intv_BA!$L$2981+N2095*Intv_BA!$L$2982+N2112*Intv_BA!$L$2985+N2129*Intv_BA!$L$2985+N2146*Intv_BA!$L$2987+N2163*Intv_BA!$L$2988+N2180*Intv_BA!$L$2989+N2197*Intv_BA!$L$2990+N2214*Intv_BA!$L$2991,0)</f>
        <v>0</v>
      </c>
      <c r="O2262" s="8">
        <f>ROUND(O2061*Intv_BA!$L$2980+O2078*Intv_BA!$L$2981+O2095*Intv_BA!$L$2982+O2112*Intv_BA!$L$2985+O2129*Intv_BA!$L$2985+O2146*Intv_BA!$L$2987+O2163*Intv_BA!$L$2988+O2180*Intv_BA!$L$2989+O2197*Intv_BA!$L$2990+O2214*Intv_BA!$L$2991,0)</f>
        <v>0</v>
      </c>
    </row>
    <row r="2263" spans="4:15" s="327" customFormat="1" outlineLevel="2" x14ac:dyDescent="0.2">
      <c r="D2263" s="594" t="str">
        <f>Intv_Ann_TA!D1168</f>
        <v>Southern</v>
      </c>
      <c r="H2263" s="594" t="str">
        <f>Intv_BA!$G$2952</f>
        <v>PALL</v>
      </c>
      <c r="J2263" s="8">
        <f>ROUND(J2062*Intv_BA!$L$2980+J2079*Intv_BA!$L$2981+J2096*Intv_BA!$L$2982+J2113*Intv_BA!$L$2985+J2130*Intv_BA!$L$2985+J2147*Intv_BA!$L$2987+J2164*Intv_BA!$L$2988+J2181*Intv_BA!$L$2989+J2198*Intv_BA!$L$2990+J2215*Intv_BA!$L$2991,0)</f>
        <v>704</v>
      </c>
      <c r="K2263" s="8">
        <f>ROUND(K2062*Intv_BA!$L$2980+K2079*Intv_BA!$L$2981+K2096*Intv_BA!$L$2982+K2113*Intv_BA!$L$2985+K2130*Intv_BA!$L$2985+K2147*Intv_BA!$L$2987+K2164*Intv_BA!$L$2988+K2181*Intv_BA!$L$2989+K2198*Intv_BA!$L$2990+K2215*Intv_BA!$L$2991,0)</f>
        <v>704</v>
      </c>
      <c r="L2263" s="8">
        <f>ROUND(L2062*Intv_BA!$L$2980+L2079*Intv_BA!$L$2981+L2096*Intv_BA!$L$2982+L2113*Intv_BA!$L$2985+L2130*Intv_BA!$L$2985+L2147*Intv_BA!$L$2987+L2164*Intv_BA!$L$2988+L2181*Intv_BA!$L$2989+L2198*Intv_BA!$L$2990+L2215*Intv_BA!$L$2991,0)</f>
        <v>704</v>
      </c>
      <c r="M2263" s="8">
        <f>ROUND(M2062*Intv_BA!$L$2980+M2079*Intv_BA!$L$2981+M2096*Intv_BA!$L$2982+M2113*Intv_BA!$L$2985+M2130*Intv_BA!$L$2985+M2147*Intv_BA!$L$2987+M2164*Intv_BA!$L$2988+M2181*Intv_BA!$L$2989+M2198*Intv_BA!$L$2990+M2215*Intv_BA!$L$2991,0)</f>
        <v>704</v>
      </c>
      <c r="N2263" s="8">
        <f>ROUND(N2062*Intv_BA!$L$2980+N2079*Intv_BA!$L$2981+N2096*Intv_BA!$L$2982+N2113*Intv_BA!$L$2985+N2130*Intv_BA!$L$2985+N2147*Intv_BA!$L$2987+N2164*Intv_BA!$L$2988+N2181*Intv_BA!$L$2989+N2198*Intv_BA!$L$2990+N2215*Intv_BA!$L$2991,0)</f>
        <v>704</v>
      </c>
      <c r="O2263" s="8">
        <f>ROUND(O2062*Intv_BA!$L$2980+O2079*Intv_BA!$L$2981+O2096*Intv_BA!$L$2982+O2113*Intv_BA!$L$2985+O2130*Intv_BA!$L$2985+O2147*Intv_BA!$L$2987+O2164*Intv_BA!$L$2988+O2181*Intv_BA!$L$2989+O2198*Intv_BA!$L$2990+O2215*Intv_BA!$L$2991,0)</f>
        <v>704</v>
      </c>
    </row>
    <row r="2264" spans="4:15" s="327" customFormat="1" outlineLevel="2" x14ac:dyDescent="0.2">
      <c r="D2264" s="594" t="str">
        <f>Intv_Ann_TA!D1169</f>
        <v>Western</v>
      </c>
      <c r="H2264" s="594" t="str">
        <f>Intv_BA!$G$2952</f>
        <v>PALL</v>
      </c>
      <c r="J2264" s="9">
        <f>ROUND(J2063*Intv_BA!$L$2980+J2080*Intv_BA!$L$2981+J2097*Intv_BA!$L$2982+J2114*Intv_BA!$L$2985+J2131*Intv_BA!$L$2985+J2148*Intv_BA!$L$2987+J2165*Intv_BA!$L$2988+J2182*Intv_BA!$L$2989+J2199*Intv_BA!$L$2990+J2216*Intv_BA!$L$2991,0)</f>
        <v>0</v>
      </c>
      <c r="K2264" s="9">
        <f>ROUND(K2063*Intv_BA!$L$2980+K2080*Intv_BA!$L$2981+K2097*Intv_BA!$L$2982+K2114*Intv_BA!$L$2985+K2131*Intv_BA!$L$2985+K2148*Intv_BA!$L$2987+K2165*Intv_BA!$L$2988+K2182*Intv_BA!$L$2989+K2199*Intv_BA!$L$2990+K2216*Intv_BA!$L$2991,0)</f>
        <v>0</v>
      </c>
      <c r="L2264" s="9">
        <f>ROUND(L2063*Intv_BA!$L$2980+L2080*Intv_BA!$L$2981+L2097*Intv_BA!$L$2982+L2114*Intv_BA!$L$2985+L2131*Intv_BA!$L$2985+L2148*Intv_BA!$L$2987+L2165*Intv_BA!$L$2988+L2182*Intv_BA!$L$2989+L2199*Intv_BA!$L$2990+L2216*Intv_BA!$L$2991,0)</f>
        <v>0</v>
      </c>
      <c r="M2264" s="9">
        <f>ROUND(M2063*Intv_BA!$L$2980+M2080*Intv_BA!$L$2981+M2097*Intv_BA!$L$2982+M2114*Intv_BA!$L$2985+M2131*Intv_BA!$L$2985+M2148*Intv_BA!$L$2987+M2165*Intv_BA!$L$2988+M2182*Intv_BA!$L$2989+M2199*Intv_BA!$L$2990+M2216*Intv_BA!$L$2991,0)</f>
        <v>0</v>
      </c>
      <c r="N2264" s="9">
        <f>ROUND(N2063*Intv_BA!$L$2980+N2080*Intv_BA!$L$2981+N2097*Intv_BA!$L$2982+N2114*Intv_BA!$L$2985+N2131*Intv_BA!$L$2985+N2148*Intv_BA!$L$2987+N2165*Intv_BA!$L$2988+N2182*Intv_BA!$L$2989+N2199*Intv_BA!$L$2990+N2216*Intv_BA!$L$2991,0)</f>
        <v>0</v>
      </c>
      <c r="O2264" s="9">
        <f>ROUND(O2063*Intv_BA!$L$2980+O2080*Intv_BA!$L$2981+O2097*Intv_BA!$L$2982+O2114*Intv_BA!$L$2985+O2131*Intv_BA!$L$2985+O2148*Intv_BA!$L$2987+O2165*Intv_BA!$L$2988+O2182*Intv_BA!$L$2989+O2199*Intv_BA!$L$2990+O2216*Intv_BA!$L$2991,0)</f>
        <v>0</v>
      </c>
    </row>
    <row r="2265" spans="4:15" s="327" customFormat="1" x14ac:dyDescent="0.2">
      <c r="D2265" s="596" t="str">
        <f>"Total "&amp;D2254</f>
        <v>Total Maximum Procedures</v>
      </c>
      <c r="H2265" s="594" t="str">
        <f>Intv_BA!$G$2952</f>
        <v>PALL</v>
      </c>
      <c r="J2265" s="5">
        <f t="shared" ref="J2265:O2265" si="214">SUM(J2255:J2264)</f>
        <v>2816</v>
      </c>
      <c r="K2265" s="5">
        <f t="shared" si="214"/>
        <v>2816</v>
      </c>
      <c r="L2265" s="5">
        <f t="shared" si="214"/>
        <v>2816</v>
      </c>
      <c r="M2265" s="5">
        <f t="shared" si="214"/>
        <v>2816</v>
      </c>
      <c r="N2265" s="5">
        <f t="shared" si="214"/>
        <v>2816</v>
      </c>
      <c r="O2265" s="5">
        <f t="shared" si="214"/>
        <v>2816</v>
      </c>
    </row>
    <row r="2266" spans="4:15" s="327" customFormat="1" x14ac:dyDescent="0.2"/>
    <row r="2267" spans="4:15" s="327" customFormat="1" outlineLevel="2" x14ac:dyDescent="0.2"/>
    <row r="2268" spans="4:15" s="327" customFormat="1" ht="15" outlineLevel="2" x14ac:dyDescent="0.2">
      <c r="D2268" s="595" t="s">
        <v>383</v>
      </c>
    </row>
    <row r="2269" spans="4:15" s="327" customFormat="1" outlineLevel="2" x14ac:dyDescent="0.2">
      <c r="D2269" s="594" t="str">
        <f>Intv_Ann_TA!D1160</f>
        <v>Central</v>
      </c>
      <c r="H2269" s="594" t="str">
        <f>Intv_BA!$G$2952</f>
        <v>PALL</v>
      </c>
      <c r="J2269" s="8">
        <f ca="1">ROUND(Intv_Ann_TA!J1160*Intv_BA!$J$2954*(1-Intv_BA!$J$2955),0)</f>
        <v>16</v>
      </c>
      <c r="K2269" s="8">
        <f ca="1">ROUND(Intv_Ann_TA!K1160*Intv_BA!$J$2954*(1-Intv_BA!$J$2955),0)</f>
        <v>16</v>
      </c>
      <c r="L2269" s="8">
        <f ca="1">ROUND(Intv_Ann_TA!L1160*Intv_BA!$J$2954*(1-Intv_BA!$J$2955),0)</f>
        <v>16</v>
      </c>
      <c r="M2269" s="8">
        <f ca="1">ROUND(Intv_Ann_TA!M1160*Intv_BA!$J$2954*(1-Intv_BA!$J$2955),0)</f>
        <v>16</v>
      </c>
      <c r="N2269" s="8">
        <f ca="1">ROUND(Intv_Ann_TA!N1160*Intv_BA!$J$2954*(1-Intv_BA!$J$2955),0)</f>
        <v>16</v>
      </c>
      <c r="O2269" s="8">
        <f ca="1">ROUND(Intv_Ann_TA!O1160*Intv_BA!$J$2954*(1-Intv_BA!$J$2955),0)</f>
        <v>16</v>
      </c>
    </row>
    <row r="2270" spans="4:15" s="327" customFormat="1" outlineLevel="2" x14ac:dyDescent="0.2">
      <c r="D2270" s="594" t="str">
        <f>Intv_Ann_TA!D1161</f>
        <v>Copperbelt</v>
      </c>
      <c r="H2270" s="594" t="str">
        <f>Intv_BA!$G$2952</f>
        <v>PALL</v>
      </c>
      <c r="J2270" s="8">
        <f ca="1">ROUND(Intv_Ann_TA!J1161*Intv_BA!$J$2954*(1-Intv_BA!$J$2955),0)</f>
        <v>22</v>
      </c>
      <c r="K2270" s="8">
        <f ca="1">ROUND(Intv_Ann_TA!K1161*Intv_BA!$J$2954*(1-Intv_BA!$J$2955),0)</f>
        <v>22</v>
      </c>
      <c r="L2270" s="8">
        <f ca="1">ROUND(Intv_Ann_TA!L1161*Intv_BA!$J$2954*(1-Intv_BA!$J$2955),0)</f>
        <v>22</v>
      </c>
      <c r="M2270" s="8">
        <f ca="1">ROUND(Intv_Ann_TA!M1161*Intv_BA!$J$2954*(1-Intv_BA!$J$2955),0)</f>
        <v>22</v>
      </c>
      <c r="N2270" s="8">
        <f ca="1">ROUND(Intv_Ann_TA!N1161*Intv_BA!$J$2954*(1-Intv_BA!$J$2955),0)</f>
        <v>22</v>
      </c>
      <c r="O2270" s="8">
        <f ca="1">ROUND(Intv_Ann_TA!O1161*Intv_BA!$J$2954*(1-Intv_BA!$J$2955),0)</f>
        <v>22</v>
      </c>
    </row>
    <row r="2271" spans="4:15" s="327" customFormat="1" outlineLevel="2" x14ac:dyDescent="0.2">
      <c r="D2271" s="594" t="str">
        <f>Intv_Ann_TA!D1162</f>
        <v>Eastern</v>
      </c>
      <c r="H2271" s="594" t="str">
        <f>Intv_BA!$G$2952</f>
        <v>PALL</v>
      </c>
      <c r="J2271" s="8">
        <f ca="1">ROUND(Intv_Ann_TA!J1162*Intv_BA!$J$2954*(1-Intv_BA!$J$2955),0)</f>
        <v>28</v>
      </c>
      <c r="K2271" s="8">
        <f ca="1">ROUND(Intv_Ann_TA!K1162*Intv_BA!$J$2954*(1-Intv_BA!$J$2955),0)</f>
        <v>28</v>
      </c>
      <c r="L2271" s="8">
        <f ca="1">ROUND(Intv_Ann_TA!L1162*Intv_BA!$J$2954*(1-Intv_BA!$J$2955),0)</f>
        <v>28</v>
      </c>
      <c r="M2271" s="8">
        <f ca="1">ROUND(Intv_Ann_TA!M1162*Intv_BA!$J$2954*(1-Intv_BA!$J$2955),0)</f>
        <v>28</v>
      </c>
      <c r="N2271" s="8">
        <f ca="1">ROUND(Intv_Ann_TA!N1162*Intv_BA!$J$2954*(1-Intv_BA!$J$2955),0)</f>
        <v>28</v>
      </c>
      <c r="O2271" s="8">
        <f ca="1">ROUND(Intv_Ann_TA!O1162*Intv_BA!$J$2954*(1-Intv_BA!$J$2955),0)</f>
        <v>28</v>
      </c>
    </row>
    <row r="2272" spans="4:15" s="327" customFormat="1" outlineLevel="2" x14ac:dyDescent="0.2">
      <c r="D2272" s="594" t="str">
        <f>Intv_Ann_TA!D1163</f>
        <v>Luapula</v>
      </c>
      <c r="H2272" s="594" t="str">
        <f>Intv_BA!$G$2952</f>
        <v>PALL</v>
      </c>
      <c r="J2272" s="8">
        <f ca="1">ROUND(Intv_Ann_TA!J1163*Intv_BA!$J$2954*(1-Intv_BA!$J$2955),0)</f>
        <v>22</v>
      </c>
      <c r="K2272" s="8">
        <f ca="1">ROUND(Intv_Ann_TA!K1163*Intv_BA!$J$2954*(1-Intv_BA!$J$2955),0)</f>
        <v>22</v>
      </c>
      <c r="L2272" s="8">
        <f ca="1">ROUND(Intv_Ann_TA!L1163*Intv_BA!$J$2954*(1-Intv_BA!$J$2955),0)</f>
        <v>22</v>
      </c>
      <c r="M2272" s="8">
        <f ca="1">ROUND(Intv_Ann_TA!M1163*Intv_BA!$J$2954*(1-Intv_BA!$J$2955),0)</f>
        <v>22</v>
      </c>
      <c r="N2272" s="8">
        <f ca="1">ROUND(Intv_Ann_TA!N1163*Intv_BA!$J$2954*(1-Intv_BA!$J$2955),0)</f>
        <v>22</v>
      </c>
      <c r="O2272" s="8">
        <f ca="1">ROUND(Intv_Ann_TA!O1163*Intv_BA!$J$2954*(1-Intv_BA!$J$2955),0)</f>
        <v>22</v>
      </c>
    </row>
    <row r="2273" spans="4:15" s="327" customFormat="1" outlineLevel="2" x14ac:dyDescent="0.2">
      <c r="D2273" s="594" t="str">
        <f>Intv_Ann_TA!D1164</f>
        <v>Lusaka</v>
      </c>
      <c r="H2273" s="594" t="str">
        <f>Intv_BA!$G$2952</f>
        <v>PALL</v>
      </c>
      <c r="J2273" s="8">
        <f ca="1">ROUND(Intv_Ann_TA!J1164*Intv_BA!$J$2954*(1-Intv_BA!$J$2955),0)</f>
        <v>78</v>
      </c>
      <c r="K2273" s="8">
        <f ca="1">ROUND(Intv_Ann_TA!K1164*Intv_BA!$J$2954*(1-Intv_BA!$J$2955),0)</f>
        <v>78</v>
      </c>
      <c r="L2273" s="8">
        <f ca="1">ROUND(Intv_Ann_TA!L1164*Intv_BA!$J$2954*(1-Intv_BA!$J$2955),0)</f>
        <v>78</v>
      </c>
      <c r="M2273" s="8">
        <f ca="1">ROUND(Intv_Ann_TA!M1164*Intv_BA!$J$2954*(1-Intv_BA!$J$2955),0)</f>
        <v>78</v>
      </c>
      <c r="N2273" s="8">
        <f ca="1">ROUND(Intv_Ann_TA!N1164*Intv_BA!$J$2954*(1-Intv_BA!$J$2955),0)</f>
        <v>78</v>
      </c>
      <c r="O2273" s="8">
        <f ca="1">ROUND(Intv_Ann_TA!O1164*Intv_BA!$J$2954*(1-Intv_BA!$J$2955),0)</f>
        <v>78</v>
      </c>
    </row>
    <row r="2274" spans="4:15" s="327" customFormat="1" outlineLevel="2" x14ac:dyDescent="0.2">
      <c r="D2274" s="594" t="str">
        <f>Intv_Ann_TA!D1165</f>
        <v>Muchinga</v>
      </c>
      <c r="H2274" s="594" t="str">
        <f>Intv_BA!$G$2952</f>
        <v>PALL</v>
      </c>
      <c r="J2274" s="8">
        <f ca="1">ROUND(Intv_Ann_TA!J1165*Intv_BA!$J$2954*(1-Intv_BA!$J$2955),0)</f>
        <v>1</v>
      </c>
      <c r="K2274" s="8">
        <f ca="1">ROUND(Intv_Ann_TA!K1165*Intv_BA!$J$2954*(1-Intv_BA!$J$2955),0)</f>
        <v>1</v>
      </c>
      <c r="L2274" s="8">
        <f ca="1">ROUND(Intv_Ann_TA!L1165*Intv_BA!$J$2954*(1-Intv_BA!$J$2955),0)</f>
        <v>1</v>
      </c>
      <c r="M2274" s="8">
        <f ca="1">ROUND(Intv_Ann_TA!M1165*Intv_BA!$J$2954*(1-Intv_BA!$J$2955),0)</f>
        <v>1</v>
      </c>
      <c r="N2274" s="8">
        <f ca="1">ROUND(Intv_Ann_TA!N1165*Intv_BA!$J$2954*(1-Intv_BA!$J$2955),0)</f>
        <v>1</v>
      </c>
      <c r="O2274" s="8">
        <f ca="1">ROUND(Intv_Ann_TA!O1165*Intv_BA!$J$2954*(1-Intv_BA!$J$2955),0)</f>
        <v>1</v>
      </c>
    </row>
    <row r="2275" spans="4:15" s="327" customFormat="1" outlineLevel="2" x14ac:dyDescent="0.2">
      <c r="D2275" s="594" t="str">
        <f>Intv_Ann_TA!D1166</f>
        <v>Northern</v>
      </c>
      <c r="H2275" s="594" t="str">
        <f>Intv_BA!$G$2952</f>
        <v>PALL</v>
      </c>
      <c r="J2275" s="8">
        <f ca="1">ROUND(Intv_Ann_TA!J1166*Intv_BA!$J$2954*(1-Intv_BA!$J$2955),0)</f>
        <v>8</v>
      </c>
      <c r="K2275" s="8">
        <f ca="1">ROUND(Intv_Ann_TA!K1166*Intv_BA!$J$2954*(1-Intv_BA!$J$2955),0)</f>
        <v>8</v>
      </c>
      <c r="L2275" s="8">
        <f ca="1">ROUND(Intv_Ann_TA!L1166*Intv_BA!$J$2954*(1-Intv_BA!$J$2955),0)</f>
        <v>8</v>
      </c>
      <c r="M2275" s="8">
        <f ca="1">ROUND(Intv_Ann_TA!M1166*Intv_BA!$J$2954*(1-Intv_BA!$J$2955),0)</f>
        <v>8</v>
      </c>
      <c r="N2275" s="8">
        <f ca="1">ROUND(Intv_Ann_TA!N1166*Intv_BA!$J$2954*(1-Intv_BA!$J$2955),0)</f>
        <v>8</v>
      </c>
      <c r="O2275" s="8">
        <f ca="1">ROUND(Intv_Ann_TA!O1166*Intv_BA!$J$2954*(1-Intv_BA!$J$2955),0)</f>
        <v>8</v>
      </c>
    </row>
    <row r="2276" spans="4:15" s="327" customFormat="1" outlineLevel="2" x14ac:dyDescent="0.2">
      <c r="D2276" s="594" t="str">
        <f>Intv_Ann_TA!D1167</f>
        <v>North-Western</v>
      </c>
      <c r="H2276" s="594" t="str">
        <f>Intv_BA!$G$2952</f>
        <v>PALL</v>
      </c>
      <c r="J2276" s="8">
        <f ca="1">ROUND(Intv_Ann_TA!J1167*Intv_BA!$J$2954*(1-Intv_BA!$J$2955),0)</f>
        <v>9</v>
      </c>
      <c r="K2276" s="8">
        <f ca="1">ROUND(Intv_Ann_TA!K1167*Intv_BA!$J$2954*(1-Intv_BA!$J$2955),0)</f>
        <v>9</v>
      </c>
      <c r="L2276" s="8">
        <f ca="1">ROUND(Intv_Ann_TA!L1167*Intv_BA!$J$2954*(1-Intv_BA!$J$2955),0)</f>
        <v>9</v>
      </c>
      <c r="M2276" s="8">
        <f ca="1">ROUND(Intv_Ann_TA!M1167*Intv_BA!$J$2954*(1-Intv_BA!$J$2955),0)</f>
        <v>9</v>
      </c>
      <c r="N2276" s="8">
        <f ca="1">ROUND(Intv_Ann_TA!N1167*Intv_BA!$J$2954*(1-Intv_BA!$J$2955),0)</f>
        <v>9</v>
      </c>
      <c r="O2276" s="8">
        <f ca="1">ROUND(Intv_Ann_TA!O1167*Intv_BA!$J$2954*(1-Intv_BA!$J$2955),0)</f>
        <v>9</v>
      </c>
    </row>
    <row r="2277" spans="4:15" s="327" customFormat="1" outlineLevel="2" x14ac:dyDescent="0.2">
      <c r="D2277" s="594" t="str">
        <f>Intv_Ann_TA!D1168</f>
        <v>Southern</v>
      </c>
      <c r="H2277" s="594" t="str">
        <f>Intv_BA!$G$2952</f>
        <v>PALL</v>
      </c>
      <c r="J2277" s="8">
        <f ca="1">ROUND(Intv_Ann_TA!J1168*Intv_BA!$J$2954*(1-Intv_BA!$J$2955),0)</f>
        <v>22</v>
      </c>
      <c r="K2277" s="8">
        <f ca="1">ROUND(Intv_Ann_TA!K1168*Intv_BA!$J$2954*(1-Intv_BA!$J$2955),0)</f>
        <v>22</v>
      </c>
      <c r="L2277" s="8">
        <f ca="1">ROUND(Intv_Ann_TA!L1168*Intv_BA!$J$2954*(1-Intv_BA!$J$2955),0)</f>
        <v>22</v>
      </c>
      <c r="M2277" s="8">
        <f ca="1">ROUND(Intv_Ann_TA!M1168*Intv_BA!$J$2954*(1-Intv_BA!$J$2955),0)</f>
        <v>22</v>
      </c>
      <c r="N2277" s="8">
        <f ca="1">ROUND(Intv_Ann_TA!N1168*Intv_BA!$J$2954*(1-Intv_BA!$J$2955),0)</f>
        <v>22</v>
      </c>
      <c r="O2277" s="8">
        <f ca="1">ROUND(Intv_Ann_TA!O1168*Intv_BA!$J$2954*(1-Intv_BA!$J$2955),0)</f>
        <v>22</v>
      </c>
    </row>
    <row r="2278" spans="4:15" s="327" customFormat="1" outlineLevel="2" x14ac:dyDescent="0.2">
      <c r="D2278" s="594" t="str">
        <f>Intv_Ann_TA!D1169</f>
        <v>Western</v>
      </c>
      <c r="H2278" s="594" t="str">
        <f>Intv_BA!$G$2952</f>
        <v>PALL</v>
      </c>
      <c r="J2278" s="9">
        <f ca="1">ROUND(Intv_Ann_TA!J1169*Intv_BA!$J$2954*(1-Intv_BA!$J$2955),0)</f>
        <v>22</v>
      </c>
      <c r="K2278" s="9">
        <f ca="1">ROUND(Intv_Ann_TA!K1169*Intv_BA!$J$2954*(1-Intv_BA!$J$2955),0)</f>
        <v>22</v>
      </c>
      <c r="L2278" s="9">
        <f ca="1">ROUND(Intv_Ann_TA!L1169*Intv_BA!$J$2954*(1-Intv_BA!$J$2955),0)</f>
        <v>22</v>
      </c>
      <c r="M2278" s="9">
        <f ca="1">ROUND(Intv_Ann_TA!M1169*Intv_BA!$J$2954*(1-Intv_BA!$J$2955),0)</f>
        <v>22</v>
      </c>
      <c r="N2278" s="9">
        <f ca="1">ROUND(Intv_Ann_TA!N1169*Intv_BA!$J$2954*(1-Intv_BA!$J$2955),0)</f>
        <v>22</v>
      </c>
      <c r="O2278" s="9">
        <f ca="1">ROUND(Intv_Ann_TA!O1169*Intv_BA!$J$2954*(1-Intv_BA!$J$2955),0)</f>
        <v>22</v>
      </c>
    </row>
    <row r="2279" spans="4:15" s="327" customFormat="1" outlineLevel="2" x14ac:dyDescent="0.2">
      <c r="D2279" s="596" t="str">
        <f>"Total "&amp;D2268</f>
        <v>Total Population Seeking Service (New)</v>
      </c>
      <c r="H2279" s="594" t="str">
        <f>Intv_BA!$G$2952</f>
        <v>PALL</v>
      </c>
      <c r="J2279" s="5">
        <f t="shared" ref="J2279:O2279" ca="1" si="215">SUM(J2269:J2278)</f>
        <v>228</v>
      </c>
      <c r="K2279" s="5">
        <f t="shared" ca="1" si="215"/>
        <v>228</v>
      </c>
      <c r="L2279" s="5">
        <f t="shared" ca="1" si="215"/>
        <v>228</v>
      </c>
      <c r="M2279" s="5">
        <f t="shared" ca="1" si="215"/>
        <v>228</v>
      </c>
      <c r="N2279" s="5">
        <f t="shared" ca="1" si="215"/>
        <v>228</v>
      </c>
      <c r="O2279" s="5">
        <f t="shared" ca="1" si="215"/>
        <v>228</v>
      </c>
    </row>
    <row r="2280" spans="4:15" s="327" customFormat="1" outlineLevel="2" x14ac:dyDescent="0.2"/>
    <row r="2281" spans="4:15" s="327" customFormat="1" ht="15" outlineLevel="2" x14ac:dyDescent="0.2">
      <c r="D2281" s="595" t="s">
        <v>390</v>
      </c>
    </row>
    <row r="2282" spans="4:15" s="327" customFormat="1" outlineLevel="2" x14ac:dyDescent="0.2">
      <c r="D2282" s="594" t="str">
        <f>Intv_Ann_TA!D1160</f>
        <v>Central</v>
      </c>
      <c r="H2282" s="594" t="str">
        <f>Intv_BA!$G$2952</f>
        <v>PALL</v>
      </c>
      <c r="J2282" s="8">
        <f t="shared" ref="J2282:O2291" ca="1" si="216">I2282+J2269-I2309</f>
        <v>16</v>
      </c>
      <c r="K2282" s="8">
        <f t="shared" ca="1" si="216"/>
        <v>16</v>
      </c>
      <c r="L2282" s="8">
        <f t="shared" ca="1" si="216"/>
        <v>16</v>
      </c>
      <c r="M2282" s="8">
        <f t="shared" ca="1" si="216"/>
        <v>16</v>
      </c>
      <c r="N2282" s="8">
        <f t="shared" ca="1" si="216"/>
        <v>16</v>
      </c>
      <c r="O2282" s="8">
        <f t="shared" ca="1" si="216"/>
        <v>16</v>
      </c>
    </row>
    <row r="2283" spans="4:15" s="327" customFormat="1" outlineLevel="2" x14ac:dyDescent="0.2">
      <c r="D2283" s="594" t="str">
        <f>Intv_Ann_TA!D1161</f>
        <v>Copperbelt</v>
      </c>
      <c r="H2283" s="594" t="str">
        <f>Intv_BA!$G$2952</f>
        <v>PALL</v>
      </c>
      <c r="J2283" s="8">
        <f t="shared" ca="1" si="216"/>
        <v>22</v>
      </c>
      <c r="K2283" s="8">
        <f t="shared" ca="1" si="216"/>
        <v>22</v>
      </c>
      <c r="L2283" s="8">
        <f t="shared" ca="1" si="216"/>
        <v>22</v>
      </c>
      <c r="M2283" s="8">
        <f t="shared" ca="1" si="216"/>
        <v>22</v>
      </c>
      <c r="N2283" s="8">
        <f t="shared" ca="1" si="216"/>
        <v>22</v>
      </c>
      <c r="O2283" s="8">
        <f t="shared" ca="1" si="216"/>
        <v>22</v>
      </c>
    </row>
    <row r="2284" spans="4:15" s="327" customFormat="1" outlineLevel="2" x14ac:dyDescent="0.2">
      <c r="D2284" s="594" t="str">
        <f>Intv_Ann_TA!D1162</f>
        <v>Eastern</v>
      </c>
      <c r="H2284" s="594" t="str">
        <f>Intv_BA!$G$2952</f>
        <v>PALL</v>
      </c>
      <c r="J2284" s="8">
        <f t="shared" ca="1" si="216"/>
        <v>28</v>
      </c>
      <c r="K2284" s="8">
        <f t="shared" ca="1" si="216"/>
        <v>28</v>
      </c>
      <c r="L2284" s="8">
        <f t="shared" ca="1" si="216"/>
        <v>28</v>
      </c>
      <c r="M2284" s="8">
        <f t="shared" ca="1" si="216"/>
        <v>28</v>
      </c>
      <c r="N2284" s="8">
        <f t="shared" ca="1" si="216"/>
        <v>28</v>
      </c>
      <c r="O2284" s="8">
        <f t="shared" ca="1" si="216"/>
        <v>28</v>
      </c>
    </row>
    <row r="2285" spans="4:15" s="327" customFormat="1" outlineLevel="2" x14ac:dyDescent="0.2">
      <c r="D2285" s="594" t="str">
        <f>Intv_Ann_TA!D1163</f>
        <v>Luapula</v>
      </c>
      <c r="H2285" s="594" t="str">
        <f>Intv_BA!$G$2952</f>
        <v>PALL</v>
      </c>
      <c r="J2285" s="8">
        <f t="shared" ca="1" si="216"/>
        <v>22</v>
      </c>
      <c r="K2285" s="8">
        <f t="shared" ca="1" si="216"/>
        <v>22</v>
      </c>
      <c r="L2285" s="8">
        <f t="shared" ca="1" si="216"/>
        <v>22</v>
      </c>
      <c r="M2285" s="8">
        <f t="shared" ca="1" si="216"/>
        <v>22</v>
      </c>
      <c r="N2285" s="8">
        <f t="shared" ca="1" si="216"/>
        <v>22</v>
      </c>
      <c r="O2285" s="8">
        <f t="shared" ca="1" si="216"/>
        <v>22</v>
      </c>
    </row>
    <row r="2286" spans="4:15" s="327" customFormat="1" outlineLevel="2" x14ac:dyDescent="0.2">
      <c r="D2286" s="594" t="str">
        <f>Intv_Ann_TA!D1164</f>
        <v>Lusaka</v>
      </c>
      <c r="H2286" s="594" t="str">
        <f>Intv_BA!$G$2952</f>
        <v>PALL</v>
      </c>
      <c r="J2286" s="8">
        <f t="shared" ca="1" si="216"/>
        <v>78</v>
      </c>
      <c r="K2286" s="8">
        <f t="shared" ca="1" si="216"/>
        <v>78</v>
      </c>
      <c r="L2286" s="8">
        <f t="shared" ca="1" si="216"/>
        <v>78</v>
      </c>
      <c r="M2286" s="8">
        <f t="shared" ca="1" si="216"/>
        <v>78</v>
      </c>
      <c r="N2286" s="8">
        <f t="shared" ca="1" si="216"/>
        <v>78</v>
      </c>
      <c r="O2286" s="8">
        <f t="shared" ca="1" si="216"/>
        <v>78</v>
      </c>
    </row>
    <row r="2287" spans="4:15" s="327" customFormat="1" outlineLevel="2" x14ac:dyDescent="0.2">
      <c r="D2287" s="594" t="str">
        <f>Intv_Ann_TA!D1165</f>
        <v>Muchinga</v>
      </c>
      <c r="H2287" s="594" t="str">
        <f>Intv_BA!$G$2952</f>
        <v>PALL</v>
      </c>
      <c r="J2287" s="8">
        <f t="shared" ca="1" si="216"/>
        <v>1</v>
      </c>
      <c r="K2287" s="8">
        <f t="shared" ca="1" si="216"/>
        <v>1</v>
      </c>
      <c r="L2287" s="8">
        <f t="shared" ca="1" si="216"/>
        <v>1</v>
      </c>
      <c r="M2287" s="8">
        <f t="shared" ca="1" si="216"/>
        <v>1</v>
      </c>
      <c r="N2287" s="8">
        <f t="shared" ca="1" si="216"/>
        <v>1</v>
      </c>
      <c r="O2287" s="8">
        <f t="shared" ca="1" si="216"/>
        <v>1</v>
      </c>
    </row>
    <row r="2288" spans="4:15" s="327" customFormat="1" outlineLevel="2" x14ac:dyDescent="0.2">
      <c r="D2288" s="594" t="str">
        <f>Intv_Ann_TA!D1166</f>
        <v>Northern</v>
      </c>
      <c r="H2288" s="594" t="str">
        <f>Intv_BA!$G$2952</f>
        <v>PALL</v>
      </c>
      <c r="J2288" s="8">
        <f t="shared" ca="1" si="216"/>
        <v>8</v>
      </c>
      <c r="K2288" s="8">
        <f t="shared" ca="1" si="216"/>
        <v>8</v>
      </c>
      <c r="L2288" s="8">
        <f t="shared" ca="1" si="216"/>
        <v>8</v>
      </c>
      <c r="M2288" s="8">
        <f t="shared" ca="1" si="216"/>
        <v>8</v>
      </c>
      <c r="N2288" s="8">
        <f t="shared" ca="1" si="216"/>
        <v>8</v>
      </c>
      <c r="O2288" s="8">
        <f t="shared" ca="1" si="216"/>
        <v>8</v>
      </c>
    </row>
    <row r="2289" spans="4:15" s="327" customFormat="1" outlineLevel="2" x14ac:dyDescent="0.2">
      <c r="D2289" s="594" t="str">
        <f>Intv_Ann_TA!D1167</f>
        <v>North-Western</v>
      </c>
      <c r="H2289" s="594" t="str">
        <f>Intv_BA!$G$2952</f>
        <v>PALL</v>
      </c>
      <c r="J2289" s="8">
        <f t="shared" ca="1" si="216"/>
        <v>9</v>
      </c>
      <c r="K2289" s="8">
        <f t="shared" ca="1" si="216"/>
        <v>9</v>
      </c>
      <c r="L2289" s="8">
        <f t="shared" ca="1" si="216"/>
        <v>9</v>
      </c>
      <c r="M2289" s="8">
        <f t="shared" ca="1" si="216"/>
        <v>9</v>
      </c>
      <c r="N2289" s="8">
        <f t="shared" ca="1" si="216"/>
        <v>9</v>
      </c>
      <c r="O2289" s="8">
        <f t="shared" ca="1" si="216"/>
        <v>9</v>
      </c>
    </row>
    <row r="2290" spans="4:15" s="327" customFormat="1" outlineLevel="2" x14ac:dyDescent="0.2">
      <c r="D2290" s="594" t="str">
        <f>Intv_Ann_TA!D1168</f>
        <v>Southern</v>
      </c>
      <c r="H2290" s="594" t="str">
        <f>Intv_BA!$G$2952</f>
        <v>PALL</v>
      </c>
      <c r="J2290" s="8">
        <f t="shared" ca="1" si="216"/>
        <v>22</v>
      </c>
      <c r="K2290" s="8">
        <f t="shared" ca="1" si="216"/>
        <v>22</v>
      </c>
      <c r="L2290" s="8">
        <f t="shared" ca="1" si="216"/>
        <v>22</v>
      </c>
      <c r="M2290" s="8">
        <f t="shared" ca="1" si="216"/>
        <v>22</v>
      </c>
      <c r="N2290" s="8">
        <f t="shared" ca="1" si="216"/>
        <v>22</v>
      </c>
      <c r="O2290" s="8">
        <f t="shared" ca="1" si="216"/>
        <v>22</v>
      </c>
    </row>
    <row r="2291" spans="4:15" s="327" customFormat="1" outlineLevel="2" x14ac:dyDescent="0.2">
      <c r="D2291" s="594" t="str">
        <f>Intv_Ann_TA!D1169</f>
        <v>Western</v>
      </c>
      <c r="H2291" s="594" t="str">
        <f>Intv_BA!$G$2952</f>
        <v>PALL</v>
      </c>
      <c r="J2291" s="9">
        <f t="shared" ca="1" si="216"/>
        <v>22</v>
      </c>
      <c r="K2291" s="9">
        <f t="shared" ca="1" si="216"/>
        <v>22</v>
      </c>
      <c r="L2291" s="9">
        <f t="shared" ca="1" si="216"/>
        <v>22</v>
      </c>
      <c r="M2291" s="9">
        <f t="shared" ca="1" si="216"/>
        <v>22</v>
      </c>
      <c r="N2291" s="9">
        <f t="shared" ca="1" si="216"/>
        <v>22</v>
      </c>
      <c r="O2291" s="9">
        <f t="shared" ca="1" si="216"/>
        <v>22</v>
      </c>
    </row>
    <row r="2292" spans="4:15" s="327" customFormat="1" x14ac:dyDescent="0.2">
      <c r="D2292" s="596" t="str">
        <f>"Total "&amp;D2281</f>
        <v>Total Population Seeking Service (Cumulative)</v>
      </c>
      <c r="H2292" s="594" t="str">
        <f>Intv_BA!$G$2952</f>
        <v>PALL</v>
      </c>
      <c r="J2292" s="5">
        <f t="shared" ref="J2292:O2292" ca="1" si="217">SUM(J2282:J2291)</f>
        <v>228</v>
      </c>
      <c r="K2292" s="5">
        <f t="shared" ca="1" si="217"/>
        <v>228</v>
      </c>
      <c r="L2292" s="5">
        <f t="shared" ca="1" si="217"/>
        <v>228</v>
      </c>
      <c r="M2292" s="5">
        <f t="shared" ca="1" si="217"/>
        <v>228</v>
      </c>
      <c r="N2292" s="5">
        <f t="shared" ca="1" si="217"/>
        <v>228</v>
      </c>
      <c r="O2292" s="5">
        <f t="shared" ca="1" si="217"/>
        <v>228</v>
      </c>
    </row>
    <row r="2293" spans="4:15" s="327" customFormat="1" x14ac:dyDescent="0.2"/>
    <row r="2294" spans="4:15" s="327" customFormat="1" outlineLevel="2" x14ac:dyDescent="0.2"/>
    <row r="2295" spans="4:15" s="327" customFormat="1" ht="15" outlineLevel="2" x14ac:dyDescent="0.2">
      <c r="D2295" s="595" t="s">
        <v>185</v>
      </c>
    </row>
    <row r="2296" spans="4:15" s="327" customFormat="1" outlineLevel="2" x14ac:dyDescent="0.2">
      <c r="D2296" s="594" t="str">
        <f t="shared" ref="D2296:D2305" si="218">D2255</f>
        <v>Central</v>
      </c>
      <c r="H2296" s="594" t="str">
        <f>Intv_BA!$G$2952</f>
        <v>PALL</v>
      </c>
      <c r="J2296" s="8">
        <f t="shared" ref="J2296:O2305" ca="1" si="219">MAX(J2255-J2282,0)</f>
        <v>0</v>
      </c>
      <c r="K2296" s="8">
        <f t="shared" ca="1" si="219"/>
        <v>0</v>
      </c>
      <c r="L2296" s="8">
        <f t="shared" ca="1" si="219"/>
        <v>0</v>
      </c>
      <c r="M2296" s="8">
        <f t="shared" ca="1" si="219"/>
        <v>0</v>
      </c>
      <c r="N2296" s="8">
        <f t="shared" ca="1" si="219"/>
        <v>0</v>
      </c>
      <c r="O2296" s="8">
        <f t="shared" ca="1" si="219"/>
        <v>0</v>
      </c>
    </row>
    <row r="2297" spans="4:15" s="327" customFormat="1" outlineLevel="2" x14ac:dyDescent="0.2">
      <c r="D2297" s="594" t="str">
        <f t="shared" si="218"/>
        <v>Copperbelt</v>
      </c>
      <c r="H2297" s="594" t="str">
        <f>Intv_BA!$G$2952</f>
        <v>PALL</v>
      </c>
      <c r="J2297" s="8">
        <f t="shared" ca="1" si="219"/>
        <v>682</v>
      </c>
      <c r="K2297" s="8">
        <f t="shared" ca="1" si="219"/>
        <v>682</v>
      </c>
      <c r="L2297" s="8">
        <f t="shared" ca="1" si="219"/>
        <v>682</v>
      </c>
      <c r="M2297" s="8">
        <f t="shared" ca="1" si="219"/>
        <v>682</v>
      </c>
      <c r="N2297" s="8">
        <f t="shared" ca="1" si="219"/>
        <v>682</v>
      </c>
      <c r="O2297" s="8">
        <f t="shared" ca="1" si="219"/>
        <v>682</v>
      </c>
    </row>
    <row r="2298" spans="4:15" s="327" customFormat="1" outlineLevel="2" x14ac:dyDescent="0.2">
      <c r="D2298" s="594" t="str">
        <f t="shared" si="218"/>
        <v>Eastern</v>
      </c>
      <c r="H2298" s="594" t="str">
        <f>Intv_BA!$G$2952</f>
        <v>PALL</v>
      </c>
      <c r="J2298" s="8">
        <f t="shared" ca="1" si="219"/>
        <v>0</v>
      </c>
      <c r="K2298" s="8">
        <f t="shared" ca="1" si="219"/>
        <v>0</v>
      </c>
      <c r="L2298" s="8">
        <f t="shared" ca="1" si="219"/>
        <v>0</v>
      </c>
      <c r="M2298" s="8">
        <f t="shared" ca="1" si="219"/>
        <v>0</v>
      </c>
      <c r="N2298" s="8">
        <f t="shared" ca="1" si="219"/>
        <v>0</v>
      </c>
      <c r="O2298" s="8">
        <f t="shared" ca="1" si="219"/>
        <v>0</v>
      </c>
    </row>
    <row r="2299" spans="4:15" s="327" customFormat="1" outlineLevel="2" x14ac:dyDescent="0.2">
      <c r="D2299" s="594" t="str">
        <f t="shared" si="218"/>
        <v>Luapula</v>
      </c>
      <c r="H2299" s="594" t="str">
        <f>Intv_BA!$G$2952</f>
        <v>PALL</v>
      </c>
      <c r="J2299" s="8">
        <f t="shared" ca="1" si="219"/>
        <v>0</v>
      </c>
      <c r="K2299" s="8">
        <f t="shared" ca="1" si="219"/>
        <v>0</v>
      </c>
      <c r="L2299" s="8">
        <f t="shared" ca="1" si="219"/>
        <v>0</v>
      </c>
      <c r="M2299" s="8">
        <f t="shared" ca="1" si="219"/>
        <v>0</v>
      </c>
      <c r="N2299" s="8">
        <f t="shared" ca="1" si="219"/>
        <v>0</v>
      </c>
      <c r="O2299" s="8">
        <f t="shared" ca="1" si="219"/>
        <v>0</v>
      </c>
    </row>
    <row r="2300" spans="4:15" s="327" customFormat="1" outlineLevel="2" x14ac:dyDescent="0.2">
      <c r="D2300" s="594" t="str">
        <f t="shared" si="218"/>
        <v>Lusaka</v>
      </c>
      <c r="H2300" s="594" t="str">
        <f>Intv_BA!$G$2952</f>
        <v>PALL</v>
      </c>
      <c r="J2300" s="8">
        <f t="shared" ca="1" si="219"/>
        <v>1330</v>
      </c>
      <c r="K2300" s="8">
        <f t="shared" ca="1" si="219"/>
        <v>1330</v>
      </c>
      <c r="L2300" s="8">
        <f t="shared" ca="1" si="219"/>
        <v>1330</v>
      </c>
      <c r="M2300" s="8">
        <f t="shared" ca="1" si="219"/>
        <v>1330</v>
      </c>
      <c r="N2300" s="8">
        <f t="shared" ca="1" si="219"/>
        <v>1330</v>
      </c>
      <c r="O2300" s="8">
        <f t="shared" ca="1" si="219"/>
        <v>1330</v>
      </c>
    </row>
    <row r="2301" spans="4:15" s="327" customFormat="1" outlineLevel="2" x14ac:dyDescent="0.2">
      <c r="D2301" s="594" t="str">
        <f t="shared" si="218"/>
        <v>Muchinga</v>
      </c>
      <c r="H2301" s="594" t="str">
        <f>Intv_BA!$G$2952</f>
        <v>PALL</v>
      </c>
      <c r="J2301" s="8">
        <f t="shared" ca="1" si="219"/>
        <v>0</v>
      </c>
      <c r="K2301" s="8">
        <f t="shared" ca="1" si="219"/>
        <v>0</v>
      </c>
      <c r="L2301" s="8">
        <f t="shared" ca="1" si="219"/>
        <v>0</v>
      </c>
      <c r="M2301" s="8">
        <f t="shared" ca="1" si="219"/>
        <v>0</v>
      </c>
      <c r="N2301" s="8">
        <f t="shared" ca="1" si="219"/>
        <v>0</v>
      </c>
      <c r="O2301" s="8">
        <f t="shared" ca="1" si="219"/>
        <v>0</v>
      </c>
    </row>
    <row r="2302" spans="4:15" s="327" customFormat="1" outlineLevel="2" x14ac:dyDescent="0.2">
      <c r="D2302" s="594" t="str">
        <f t="shared" si="218"/>
        <v>Northern</v>
      </c>
      <c r="H2302" s="594" t="str">
        <f>Intv_BA!$G$2952</f>
        <v>PALL</v>
      </c>
      <c r="J2302" s="8">
        <f t="shared" ca="1" si="219"/>
        <v>0</v>
      </c>
      <c r="K2302" s="8">
        <f t="shared" ca="1" si="219"/>
        <v>0</v>
      </c>
      <c r="L2302" s="8">
        <f t="shared" ca="1" si="219"/>
        <v>0</v>
      </c>
      <c r="M2302" s="8">
        <f t="shared" ca="1" si="219"/>
        <v>0</v>
      </c>
      <c r="N2302" s="8">
        <f t="shared" ca="1" si="219"/>
        <v>0</v>
      </c>
      <c r="O2302" s="8">
        <f t="shared" ca="1" si="219"/>
        <v>0</v>
      </c>
    </row>
    <row r="2303" spans="4:15" s="327" customFormat="1" outlineLevel="2" x14ac:dyDescent="0.2">
      <c r="D2303" s="594" t="str">
        <f t="shared" si="218"/>
        <v>North-Western</v>
      </c>
      <c r="H2303" s="594" t="str">
        <f>Intv_BA!$G$2952</f>
        <v>PALL</v>
      </c>
      <c r="J2303" s="8">
        <f t="shared" ca="1" si="219"/>
        <v>0</v>
      </c>
      <c r="K2303" s="8">
        <f t="shared" ca="1" si="219"/>
        <v>0</v>
      </c>
      <c r="L2303" s="8">
        <f t="shared" ca="1" si="219"/>
        <v>0</v>
      </c>
      <c r="M2303" s="8">
        <f t="shared" ca="1" si="219"/>
        <v>0</v>
      </c>
      <c r="N2303" s="8">
        <f t="shared" ca="1" si="219"/>
        <v>0</v>
      </c>
      <c r="O2303" s="8">
        <f t="shared" ca="1" si="219"/>
        <v>0</v>
      </c>
    </row>
    <row r="2304" spans="4:15" s="327" customFormat="1" outlineLevel="2" x14ac:dyDescent="0.2">
      <c r="D2304" s="594" t="str">
        <f t="shared" si="218"/>
        <v>Southern</v>
      </c>
      <c r="H2304" s="594" t="str">
        <f>Intv_BA!$G$2952</f>
        <v>PALL</v>
      </c>
      <c r="J2304" s="8">
        <f t="shared" ca="1" si="219"/>
        <v>682</v>
      </c>
      <c r="K2304" s="8">
        <f t="shared" ca="1" si="219"/>
        <v>682</v>
      </c>
      <c r="L2304" s="8">
        <f t="shared" ca="1" si="219"/>
        <v>682</v>
      </c>
      <c r="M2304" s="8">
        <f t="shared" ca="1" si="219"/>
        <v>682</v>
      </c>
      <c r="N2304" s="8">
        <f t="shared" ca="1" si="219"/>
        <v>682</v>
      </c>
      <c r="O2304" s="8">
        <f t="shared" ca="1" si="219"/>
        <v>682</v>
      </c>
    </row>
    <row r="2305" spans="4:15" s="327" customFormat="1" outlineLevel="2" x14ac:dyDescent="0.2">
      <c r="D2305" s="594" t="str">
        <f t="shared" si="218"/>
        <v>Western</v>
      </c>
      <c r="H2305" s="594" t="str">
        <f>Intv_BA!$G$2952</f>
        <v>PALL</v>
      </c>
      <c r="J2305" s="9">
        <f t="shared" ca="1" si="219"/>
        <v>0</v>
      </c>
      <c r="K2305" s="9">
        <f t="shared" ca="1" si="219"/>
        <v>0</v>
      </c>
      <c r="L2305" s="9">
        <f t="shared" ca="1" si="219"/>
        <v>0</v>
      </c>
      <c r="M2305" s="9">
        <f t="shared" ca="1" si="219"/>
        <v>0</v>
      </c>
      <c r="N2305" s="9">
        <f t="shared" ca="1" si="219"/>
        <v>0</v>
      </c>
      <c r="O2305" s="9">
        <f t="shared" ca="1" si="219"/>
        <v>0</v>
      </c>
    </row>
    <row r="2306" spans="4:15" s="327" customFormat="1" outlineLevel="2" x14ac:dyDescent="0.2">
      <c r="D2306" s="596" t="str">
        <f>"Total "&amp;D2295</f>
        <v>Total Excess Capacity</v>
      </c>
      <c r="H2306" s="594" t="str">
        <f>Intv_BA!$G$2952</f>
        <v>PALL</v>
      </c>
      <c r="J2306" s="5">
        <f t="shared" ref="J2306:O2306" ca="1" si="220">SUM(J2296:J2305)</f>
        <v>2694</v>
      </c>
      <c r="K2306" s="5">
        <f t="shared" ca="1" si="220"/>
        <v>2694</v>
      </c>
      <c r="L2306" s="5">
        <f t="shared" ca="1" si="220"/>
        <v>2694</v>
      </c>
      <c r="M2306" s="5">
        <f t="shared" ca="1" si="220"/>
        <v>2694</v>
      </c>
      <c r="N2306" s="5">
        <f t="shared" ca="1" si="220"/>
        <v>2694</v>
      </c>
      <c r="O2306" s="5">
        <f t="shared" ca="1" si="220"/>
        <v>2694</v>
      </c>
    </row>
    <row r="2307" spans="4:15" s="327" customFormat="1" outlineLevel="2" x14ac:dyDescent="0.2"/>
    <row r="2308" spans="4:15" s="327" customFormat="1" ht="15" outlineLevel="2" x14ac:dyDescent="0.2">
      <c r="D2308" s="595" t="s">
        <v>384</v>
      </c>
    </row>
    <row r="2309" spans="4:15" s="327" customFormat="1" outlineLevel="2" x14ac:dyDescent="0.2">
      <c r="D2309" s="594" t="str">
        <f t="shared" ref="D2309:D2318" si="221">D2255</f>
        <v>Central</v>
      </c>
      <c r="H2309" s="594" t="str">
        <f>Intv_BA!$G$2952</f>
        <v>PALL</v>
      </c>
      <c r="J2309" s="8">
        <f ca="1">ROUND(IF(Intv_Ann_TA!$H$1157,IF(J2282&lt;=J2255,J2282,J2282-MAX((J$2292-J$2265),0)*IFERROR((J2282-J2255)/SUMPRODUCT((J$2282:J$2291&gt;J$2255:J$2264)*(J$2282:J$2291-J$2255:J$2264)),0)),J2322),0)</f>
        <v>16</v>
      </c>
      <c r="K2309" s="8">
        <f ca="1">ROUND(IF(Intv_Ann_TA!$H$1157,IF(K2282&lt;=K2255,K2282,K2282-MAX((K$2292-K$2265),0)*IFERROR((K2282-K2255)/SUMPRODUCT((K$2282:K$2291&gt;K$2255:K$2264)*(K$2282:K$2291-K$2255:K$2264)),0)),K2322),0)</f>
        <v>16</v>
      </c>
      <c r="L2309" s="8">
        <f ca="1">ROUND(IF(Intv_Ann_TA!$H$1157,IF(L2282&lt;=L2255,L2282,L2282-MAX((L$2292-L$2265),0)*IFERROR((L2282-L2255)/SUMPRODUCT((L$2282:L$2291&gt;L$2255:L$2264)*(L$2282:L$2291-L$2255:L$2264)),0)),L2322),0)</f>
        <v>16</v>
      </c>
      <c r="M2309" s="8">
        <f ca="1">ROUND(IF(Intv_Ann_TA!$H$1157,IF(M2282&lt;=M2255,M2282,M2282-MAX((M$2292-M$2265),0)*IFERROR((M2282-M2255)/SUMPRODUCT((M$2282:M$2291&gt;M$2255:M$2264)*(M$2282:M$2291-M$2255:M$2264)),0)),M2322),0)</f>
        <v>16</v>
      </c>
      <c r="N2309" s="8">
        <f ca="1">ROUND(IF(Intv_Ann_TA!$H$1157,IF(N2282&lt;=N2255,N2282,N2282-MAX((N$2292-N$2265),0)*IFERROR((N2282-N2255)/SUMPRODUCT((N$2282:N$2291&gt;N$2255:N$2264)*(N$2282:N$2291-N$2255:N$2264)),0)),N2322),0)</f>
        <v>16</v>
      </c>
      <c r="O2309" s="8">
        <f ca="1">ROUND(IF(Intv_Ann_TA!$H$1157,IF(O2282&lt;=O2255,O2282,O2282-MAX((O$2292-O$2265),0)*IFERROR((O2282-O2255)/SUMPRODUCT((O$2282:O$2291&gt;O$2255:O$2264)*(O$2282:O$2291-O$2255:O$2264)),0)),O2322),0)</f>
        <v>16</v>
      </c>
    </row>
    <row r="2310" spans="4:15" s="327" customFormat="1" outlineLevel="2" x14ac:dyDescent="0.2">
      <c r="D2310" s="594" t="str">
        <f t="shared" si="221"/>
        <v>Copperbelt</v>
      </c>
      <c r="H2310" s="594" t="str">
        <f>Intv_BA!$G$2952</f>
        <v>PALL</v>
      </c>
      <c r="J2310" s="8">
        <f ca="1">ROUND(IF(Intv_Ann_TA!$H$1157,IF(J2283&lt;=J2256,J2283,J2283-MAX((J$2292-J$2265),0)*IFERROR((J2283-J2256)/SUMPRODUCT((J$2282:J$2291&gt;J$2255:J$2264)*(J$2282:J$2291-J$2255:J$2264)),0)),J2323),0)</f>
        <v>22</v>
      </c>
      <c r="K2310" s="8">
        <f ca="1">ROUND(IF(Intv_Ann_TA!$H$1157,IF(K2283&lt;=K2256,K2283,K2283-MAX((K$2292-K$2265),0)*IFERROR((K2283-K2256)/SUMPRODUCT((K$2282:K$2291&gt;K$2255:K$2264)*(K$2282:K$2291-K$2255:K$2264)),0)),K2323),0)</f>
        <v>22</v>
      </c>
      <c r="L2310" s="8">
        <f ca="1">ROUND(IF(Intv_Ann_TA!$H$1157,IF(L2283&lt;=L2256,L2283,L2283-MAX((L$2292-L$2265),0)*IFERROR((L2283-L2256)/SUMPRODUCT((L$2282:L$2291&gt;L$2255:L$2264)*(L$2282:L$2291-L$2255:L$2264)),0)),L2323),0)</f>
        <v>22</v>
      </c>
      <c r="M2310" s="8">
        <f ca="1">ROUND(IF(Intv_Ann_TA!$H$1157,IF(M2283&lt;=M2256,M2283,M2283-MAX((M$2292-M$2265),0)*IFERROR((M2283-M2256)/SUMPRODUCT((M$2282:M$2291&gt;M$2255:M$2264)*(M$2282:M$2291-M$2255:M$2264)),0)),M2323),0)</f>
        <v>22</v>
      </c>
      <c r="N2310" s="8">
        <f ca="1">ROUND(IF(Intv_Ann_TA!$H$1157,IF(N2283&lt;=N2256,N2283,N2283-MAX((N$2292-N$2265),0)*IFERROR((N2283-N2256)/SUMPRODUCT((N$2282:N$2291&gt;N$2255:N$2264)*(N$2282:N$2291-N$2255:N$2264)),0)),N2323),0)</f>
        <v>22</v>
      </c>
      <c r="O2310" s="8">
        <f ca="1">ROUND(IF(Intv_Ann_TA!$H$1157,IF(O2283&lt;=O2256,O2283,O2283-MAX((O$2292-O$2265),0)*IFERROR((O2283-O2256)/SUMPRODUCT((O$2282:O$2291&gt;O$2255:O$2264)*(O$2282:O$2291-O$2255:O$2264)),0)),O2323),0)</f>
        <v>22</v>
      </c>
    </row>
    <row r="2311" spans="4:15" s="327" customFormat="1" outlineLevel="2" x14ac:dyDescent="0.2">
      <c r="D2311" s="594" t="str">
        <f t="shared" si="221"/>
        <v>Eastern</v>
      </c>
      <c r="H2311" s="594" t="str">
        <f>Intv_BA!$G$2952</f>
        <v>PALL</v>
      </c>
      <c r="J2311" s="8">
        <f ca="1">ROUND(IF(Intv_Ann_TA!$H$1157,IF(J2284&lt;=J2257,J2284,J2284-MAX((J$2292-J$2265),0)*IFERROR((J2284-J2257)/SUMPRODUCT((J$2282:J$2291&gt;J$2255:J$2264)*(J$2282:J$2291-J$2255:J$2264)),0)),J2324),0)</f>
        <v>28</v>
      </c>
      <c r="K2311" s="8">
        <f ca="1">ROUND(IF(Intv_Ann_TA!$H$1157,IF(K2284&lt;=K2257,K2284,K2284-MAX((K$2292-K$2265),0)*IFERROR((K2284-K2257)/SUMPRODUCT((K$2282:K$2291&gt;K$2255:K$2264)*(K$2282:K$2291-K$2255:K$2264)),0)),K2324),0)</f>
        <v>28</v>
      </c>
      <c r="L2311" s="8">
        <f ca="1">ROUND(IF(Intv_Ann_TA!$H$1157,IF(L2284&lt;=L2257,L2284,L2284-MAX((L$2292-L$2265),0)*IFERROR((L2284-L2257)/SUMPRODUCT((L$2282:L$2291&gt;L$2255:L$2264)*(L$2282:L$2291-L$2255:L$2264)),0)),L2324),0)</f>
        <v>28</v>
      </c>
      <c r="M2311" s="8">
        <f ca="1">ROUND(IF(Intv_Ann_TA!$H$1157,IF(M2284&lt;=M2257,M2284,M2284-MAX((M$2292-M$2265),0)*IFERROR((M2284-M2257)/SUMPRODUCT((M$2282:M$2291&gt;M$2255:M$2264)*(M$2282:M$2291-M$2255:M$2264)),0)),M2324),0)</f>
        <v>28</v>
      </c>
      <c r="N2311" s="8">
        <f ca="1">ROUND(IF(Intv_Ann_TA!$H$1157,IF(N2284&lt;=N2257,N2284,N2284-MAX((N$2292-N$2265),0)*IFERROR((N2284-N2257)/SUMPRODUCT((N$2282:N$2291&gt;N$2255:N$2264)*(N$2282:N$2291-N$2255:N$2264)),0)),N2324),0)</f>
        <v>28</v>
      </c>
      <c r="O2311" s="8">
        <f ca="1">ROUND(IF(Intv_Ann_TA!$H$1157,IF(O2284&lt;=O2257,O2284,O2284-MAX((O$2292-O$2265),0)*IFERROR((O2284-O2257)/SUMPRODUCT((O$2282:O$2291&gt;O$2255:O$2264)*(O$2282:O$2291-O$2255:O$2264)),0)),O2324),0)</f>
        <v>28</v>
      </c>
    </row>
    <row r="2312" spans="4:15" s="327" customFormat="1" outlineLevel="2" x14ac:dyDescent="0.2">
      <c r="D2312" s="594" t="str">
        <f t="shared" si="221"/>
        <v>Luapula</v>
      </c>
      <c r="H2312" s="594" t="str">
        <f>Intv_BA!$G$2952</f>
        <v>PALL</v>
      </c>
      <c r="J2312" s="8">
        <f ca="1">ROUND(IF(Intv_Ann_TA!$H$1157,IF(J2285&lt;=J2258,J2285,J2285-MAX((J$2292-J$2265),0)*IFERROR((J2285-J2258)/SUMPRODUCT((J$2282:J$2291&gt;J$2255:J$2264)*(J$2282:J$2291-J$2255:J$2264)),0)),J2325),0)</f>
        <v>22</v>
      </c>
      <c r="K2312" s="8">
        <f ca="1">ROUND(IF(Intv_Ann_TA!$H$1157,IF(K2285&lt;=K2258,K2285,K2285-MAX((K$2292-K$2265),0)*IFERROR((K2285-K2258)/SUMPRODUCT((K$2282:K$2291&gt;K$2255:K$2264)*(K$2282:K$2291-K$2255:K$2264)),0)),K2325),0)</f>
        <v>22</v>
      </c>
      <c r="L2312" s="8">
        <f ca="1">ROUND(IF(Intv_Ann_TA!$H$1157,IF(L2285&lt;=L2258,L2285,L2285-MAX((L$2292-L$2265),0)*IFERROR((L2285-L2258)/SUMPRODUCT((L$2282:L$2291&gt;L$2255:L$2264)*(L$2282:L$2291-L$2255:L$2264)),0)),L2325),0)</f>
        <v>22</v>
      </c>
      <c r="M2312" s="8">
        <f ca="1">ROUND(IF(Intv_Ann_TA!$H$1157,IF(M2285&lt;=M2258,M2285,M2285-MAX((M$2292-M$2265),0)*IFERROR((M2285-M2258)/SUMPRODUCT((M$2282:M$2291&gt;M$2255:M$2264)*(M$2282:M$2291-M$2255:M$2264)),0)),M2325),0)</f>
        <v>22</v>
      </c>
      <c r="N2312" s="8">
        <f ca="1">ROUND(IF(Intv_Ann_TA!$H$1157,IF(N2285&lt;=N2258,N2285,N2285-MAX((N$2292-N$2265),0)*IFERROR((N2285-N2258)/SUMPRODUCT((N$2282:N$2291&gt;N$2255:N$2264)*(N$2282:N$2291-N$2255:N$2264)),0)),N2325),0)</f>
        <v>22</v>
      </c>
      <c r="O2312" s="8">
        <f ca="1">ROUND(IF(Intv_Ann_TA!$H$1157,IF(O2285&lt;=O2258,O2285,O2285-MAX((O$2292-O$2265),0)*IFERROR((O2285-O2258)/SUMPRODUCT((O$2282:O$2291&gt;O$2255:O$2264)*(O$2282:O$2291-O$2255:O$2264)),0)),O2325),0)</f>
        <v>22</v>
      </c>
    </row>
    <row r="2313" spans="4:15" s="327" customFormat="1" outlineLevel="2" x14ac:dyDescent="0.2">
      <c r="D2313" s="594" t="str">
        <f t="shared" si="221"/>
        <v>Lusaka</v>
      </c>
      <c r="H2313" s="594" t="str">
        <f>Intv_BA!$G$2952</f>
        <v>PALL</v>
      </c>
      <c r="J2313" s="8">
        <f ca="1">ROUND(IF(Intv_Ann_TA!$H$1157,IF(J2286&lt;=J2259,J2286,J2286-MAX((J$2292-J$2265),0)*IFERROR((J2286-J2259)/SUMPRODUCT((J$2282:J$2291&gt;J$2255:J$2264)*(J$2282:J$2291-J$2255:J$2264)),0)),J2326),0)</f>
        <v>78</v>
      </c>
      <c r="K2313" s="8">
        <f ca="1">ROUND(IF(Intv_Ann_TA!$H$1157,IF(K2286&lt;=K2259,K2286,K2286-MAX((K$2292-K$2265),0)*IFERROR((K2286-K2259)/SUMPRODUCT((K$2282:K$2291&gt;K$2255:K$2264)*(K$2282:K$2291-K$2255:K$2264)),0)),K2326),0)</f>
        <v>78</v>
      </c>
      <c r="L2313" s="8">
        <f ca="1">ROUND(IF(Intv_Ann_TA!$H$1157,IF(L2286&lt;=L2259,L2286,L2286-MAX((L$2292-L$2265),0)*IFERROR((L2286-L2259)/SUMPRODUCT((L$2282:L$2291&gt;L$2255:L$2264)*(L$2282:L$2291-L$2255:L$2264)),0)),L2326),0)</f>
        <v>78</v>
      </c>
      <c r="M2313" s="8">
        <f ca="1">ROUND(IF(Intv_Ann_TA!$H$1157,IF(M2286&lt;=M2259,M2286,M2286-MAX((M$2292-M$2265),0)*IFERROR((M2286-M2259)/SUMPRODUCT((M$2282:M$2291&gt;M$2255:M$2264)*(M$2282:M$2291-M$2255:M$2264)),0)),M2326),0)</f>
        <v>78</v>
      </c>
      <c r="N2313" s="8">
        <f ca="1">ROUND(IF(Intv_Ann_TA!$H$1157,IF(N2286&lt;=N2259,N2286,N2286-MAX((N$2292-N$2265),0)*IFERROR((N2286-N2259)/SUMPRODUCT((N$2282:N$2291&gt;N$2255:N$2264)*(N$2282:N$2291-N$2255:N$2264)),0)),N2326),0)</f>
        <v>78</v>
      </c>
      <c r="O2313" s="8">
        <f ca="1">ROUND(IF(Intv_Ann_TA!$H$1157,IF(O2286&lt;=O2259,O2286,O2286-MAX((O$2292-O$2265),0)*IFERROR((O2286-O2259)/SUMPRODUCT((O$2282:O$2291&gt;O$2255:O$2264)*(O$2282:O$2291-O$2255:O$2264)),0)),O2326),0)</f>
        <v>78</v>
      </c>
    </row>
    <row r="2314" spans="4:15" s="327" customFormat="1" outlineLevel="2" x14ac:dyDescent="0.2">
      <c r="D2314" s="594" t="str">
        <f t="shared" si="221"/>
        <v>Muchinga</v>
      </c>
      <c r="H2314" s="594" t="str">
        <f>Intv_BA!$G$2952</f>
        <v>PALL</v>
      </c>
      <c r="J2314" s="8">
        <f ca="1">ROUND(IF(Intv_Ann_TA!$H$1157,IF(J2287&lt;=J2260,J2287,J2287-MAX((J$2292-J$2265),0)*IFERROR((J2287-J2260)/SUMPRODUCT((J$2282:J$2291&gt;J$2255:J$2264)*(J$2282:J$2291-J$2255:J$2264)),0)),J2327),0)</f>
        <v>1</v>
      </c>
      <c r="K2314" s="8">
        <f ca="1">ROUND(IF(Intv_Ann_TA!$H$1157,IF(K2287&lt;=K2260,K2287,K2287-MAX((K$2292-K$2265),0)*IFERROR((K2287-K2260)/SUMPRODUCT((K$2282:K$2291&gt;K$2255:K$2264)*(K$2282:K$2291-K$2255:K$2264)),0)),K2327),0)</f>
        <v>1</v>
      </c>
      <c r="L2314" s="8">
        <f ca="1">ROUND(IF(Intv_Ann_TA!$H$1157,IF(L2287&lt;=L2260,L2287,L2287-MAX((L$2292-L$2265),0)*IFERROR((L2287-L2260)/SUMPRODUCT((L$2282:L$2291&gt;L$2255:L$2264)*(L$2282:L$2291-L$2255:L$2264)),0)),L2327),0)</f>
        <v>1</v>
      </c>
      <c r="M2314" s="8">
        <f ca="1">ROUND(IF(Intv_Ann_TA!$H$1157,IF(M2287&lt;=M2260,M2287,M2287-MAX((M$2292-M$2265),0)*IFERROR((M2287-M2260)/SUMPRODUCT((M$2282:M$2291&gt;M$2255:M$2264)*(M$2282:M$2291-M$2255:M$2264)),0)),M2327),0)</f>
        <v>1</v>
      </c>
      <c r="N2314" s="8">
        <f ca="1">ROUND(IF(Intv_Ann_TA!$H$1157,IF(N2287&lt;=N2260,N2287,N2287-MAX((N$2292-N$2265),0)*IFERROR((N2287-N2260)/SUMPRODUCT((N$2282:N$2291&gt;N$2255:N$2264)*(N$2282:N$2291-N$2255:N$2264)),0)),N2327),0)</f>
        <v>1</v>
      </c>
      <c r="O2314" s="8">
        <f ca="1">ROUND(IF(Intv_Ann_TA!$H$1157,IF(O2287&lt;=O2260,O2287,O2287-MAX((O$2292-O$2265),0)*IFERROR((O2287-O2260)/SUMPRODUCT((O$2282:O$2291&gt;O$2255:O$2264)*(O$2282:O$2291-O$2255:O$2264)),0)),O2327),0)</f>
        <v>1</v>
      </c>
    </row>
    <row r="2315" spans="4:15" s="327" customFormat="1" outlineLevel="2" x14ac:dyDescent="0.2">
      <c r="D2315" s="594" t="str">
        <f t="shared" si="221"/>
        <v>Northern</v>
      </c>
      <c r="H2315" s="594" t="str">
        <f>Intv_BA!$G$2952</f>
        <v>PALL</v>
      </c>
      <c r="J2315" s="8">
        <f ca="1">ROUND(IF(Intv_Ann_TA!$H$1157,IF(J2288&lt;=J2261,J2288,J2288-MAX((J$2292-J$2265),0)*IFERROR((J2288-J2261)/SUMPRODUCT((J$2282:J$2291&gt;J$2255:J$2264)*(J$2282:J$2291-J$2255:J$2264)),0)),J2328),0)</f>
        <v>8</v>
      </c>
      <c r="K2315" s="8">
        <f ca="1">ROUND(IF(Intv_Ann_TA!$H$1157,IF(K2288&lt;=K2261,K2288,K2288-MAX((K$2292-K$2265),0)*IFERROR((K2288-K2261)/SUMPRODUCT((K$2282:K$2291&gt;K$2255:K$2264)*(K$2282:K$2291-K$2255:K$2264)),0)),K2328),0)</f>
        <v>8</v>
      </c>
      <c r="L2315" s="8">
        <f ca="1">ROUND(IF(Intv_Ann_TA!$H$1157,IF(L2288&lt;=L2261,L2288,L2288-MAX((L$2292-L$2265),0)*IFERROR((L2288-L2261)/SUMPRODUCT((L$2282:L$2291&gt;L$2255:L$2264)*(L$2282:L$2291-L$2255:L$2264)),0)),L2328),0)</f>
        <v>8</v>
      </c>
      <c r="M2315" s="8">
        <f ca="1">ROUND(IF(Intv_Ann_TA!$H$1157,IF(M2288&lt;=M2261,M2288,M2288-MAX((M$2292-M$2265),0)*IFERROR((M2288-M2261)/SUMPRODUCT((M$2282:M$2291&gt;M$2255:M$2264)*(M$2282:M$2291-M$2255:M$2264)),0)),M2328),0)</f>
        <v>8</v>
      </c>
      <c r="N2315" s="8">
        <f ca="1">ROUND(IF(Intv_Ann_TA!$H$1157,IF(N2288&lt;=N2261,N2288,N2288-MAX((N$2292-N$2265),0)*IFERROR((N2288-N2261)/SUMPRODUCT((N$2282:N$2291&gt;N$2255:N$2264)*(N$2282:N$2291-N$2255:N$2264)),0)),N2328),0)</f>
        <v>8</v>
      </c>
      <c r="O2315" s="8">
        <f ca="1">ROUND(IF(Intv_Ann_TA!$H$1157,IF(O2288&lt;=O2261,O2288,O2288-MAX((O$2292-O$2265),0)*IFERROR((O2288-O2261)/SUMPRODUCT((O$2282:O$2291&gt;O$2255:O$2264)*(O$2282:O$2291-O$2255:O$2264)),0)),O2328),0)</f>
        <v>8</v>
      </c>
    </row>
    <row r="2316" spans="4:15" s="327" customFormat="1" outlineLevel="2" x14ac:dyDescent="0.2">
      <c r="D2316" s="594" t="str">
        <f t="shared" si="221"/>
        <v>North-Western</v>
      </c>
      <c r="H2316" s="594" t="str">
        <f>Intv_BA!$G$2952</f>
        <v>PALL</v>
      </c>
      <c r="J2316" s="8">
        <f ca="1">ROUND(IF(Intv_Ann_TA!$H$1157,IF(J2289&lt;=J2262,J2289,J2289-MAX((J$2292-J$2265),0)*IFERROR((J2289-J2262)/SUMPRODUCT((J$2282:J$2291&gt;J$2255:J$2264)*(J$2282:J$2291-J$2255:J$2264)),0)),J2329),0)</f>
        <v>9</v>
      </c>
      <c r="K2316" s="8">
        <f ca="1">ROUND(IF(Intv_Ann_TA!$H$1157,IF(K2289&lt;=K2262,K2289,K2289-MAX((K$2292-K$2265),0)*IFERROR((K2289-K2262)/SUMPRODUCT((K$2282:K$2291&gt;K$2255:K$2264)*(K$2282:K$2291-K$2255:K$2264)),0)),K2329),0)</f>
        <v>9</v>
      </c>
      <c r="L2316" s="8">
        <f ca="1">ROUND(IF(Intv_Ann_TA!$H$1157,IF(L2289&lt;=L2262,L2289,L2289-MAX((L$2292-L$2265),0)*IFERROR((L2289-L2262)/SUMPRODUCT((L$2282:L$2291&gt;L$2255:L$2264)*(L$2282:L$2291-L$2255:L$2264)),0)),L2329),0)</f>
        <v>9</v>
      </c>
      <c r="M2316" s="8">
        <f ca="1">ROUND(IF(Intv_Ann_TA!$H$1157,IF(M2289&lt;=M2262,M2289,M2289-MAX((M$2292-M$2265),0)*IFERROR((M2289-M2262)/SUMPRODUCT((M$2282:M$2291&gt;M$2255:M$2264)*(M$2282:M$2291-M$2255:M$2264)),0)),M2329),0)</f>
        <v>9</v>
      </c>
      <c r="N2316" s="8">
        <f ca="1">ROUND(IF(Intv_Ann_TA!$H$1157,IF(N2289&lt;=N2262,N2289,N2289-MAX((N$2292-N$2265),0)*IFERROR((N2289-N2262)/SUMPRODUCT((N$2282:N$2291&gt;N$2255:N$2264)*(N$2282:N$2291-N$2255:N$2264)),0)),N2329),0)</f>
        <v>9</v>
      </c>
      <c r="O2316" s="8">
        <f ca="1">ROUND(IF(Intv_Ann_TA!$H$1157,IF(O2289&lt;=O2262,O2289,O2289-MAX((O$2292-O$2265),0)*IFERROR((O2289-O2262)/SUMPRODUCT((O$2282:O$2291&gt;O$2255:O$2264)*(O$2282:O$2291-O$2255:O$2264)),0)),O2329),0)</f>
        <v>9</v>
      </c>
    </row>
    <row r="2317" spans="4:15" s="327" customFormat="1" outlineLevel="2" x14ac:dyDescent="0.2">
      <c r="D2317" s="594" t="str">
        <f t="shared" si="221"/>
        <v>Southern</v>
      </c>
      <c r="H2317" s="594" t="str">
        <f>Intv_BA!$G$2952</f>
        <v>PALL</v>
      </c>
      <c r="J2317" s="8">
        <f ca="1">ROUND(IF(Intv_Ann_TA!$H$1157,IF(J2290&lt;=J2263,J2290,J2290-MAX((J$2292-J$2265),0)*IFERROR((J2290-J2263)/SUMPRODUCT((J$2282:J$2291&gt;J$2255:J$2264)*(J$2282:J$2291-J$2255:J$2264)),0)),J2330),0)</f>
        <v>22</v>
      </c>
      <c r="K2317" s="8">
        <f ca="1">ROUND(IF(Intv_Ann_TA!$H$1157,IF(K2290&lt;=K2263,K2290,K2290-MAX((K$2292-K$2265),0)*IFERROR((K2290-K2263)/SUMPRODUCT((K$2282:K$2291&gt;K$2255:K$2264)*(K$2282:K$2291-K$2255:K$2264)),0)),K2330),0)</f>
        <v>22</v>
      </c>
      <c r="L2317" s="8">
        <f ca="1">ROUND(IF(Intv_Ann_TA!$H$1157,IF(L2290&lt;=L2263,L2290,L2290-MAX((L$2292-L$2265),0)*IFERROR((L2290-L2263)/SUMPRODUCT((L$2282:L$2291&gt;L$2255:L$2264)*(L$2282:L$2291-L$2255:L$2264)),0)),L2330),0)</f>
        <v>22</v>
      </c>
      <c r="M2317" s="8">
        <f ca="1">ROUND(IF(Intv_Ann_TA!$H$1157,IF(M2290&lt;=M2263,M2290,M2290-MAX((M$2292-M$2265),0)*IFERROR((M2290-M2263)/SUMPRODUCT((M$2282:M$2291&gt;M$2255:M$2264)*(M$2282:M$2291-M$2255:M$2264)),0)),M2330),0)</f>
        <v>22</v>
      </c>
      <c r="N2317" s="8">
        <f ca="1">ROUND(IF(Intv_Ann_TA!$H$1157,IF(N2290&lt;=N2263,N2290,N2290-MAX((N$2292-N$2265),0)*IFERROR((N2290-N2263)/SUMPRODUCT((N$2282:N$2291&gt;N$2255:N$2264)*(N$2282:N$2291-N$2255:N$2264)),0)),N2330),0)</f>
        <v>22</v>
      </c>
      <c r="O2317" s="8">
        <f ca="1">ROUND(IF(Intv_Ann_TA!$H$1157,IF(O2290&lt;=O2263,O2290,O2290-MAX((O$2292-O$2265),0)*IFERROR((O2290-O2263)/SUMPRODUCT((O$2282:O$2291&gt;O$2255:O$2264)*(O$2282:O$2291-O$2255:O$2264)),0)),O2330),0)</f>
        <v>22</v>
      </c>
    </row>
    <row r="2318" spans="4:15" s="327" customFormat="1" outlineLevel="2" x14ac:dyDescent="0.2">
      <c r="D2318" s="594" t="str">
        <f t="shared" si="221"/>
        <v>Western</v>
      </c>
      <c r="H2318" s="594" t="str">
        <f>Intv_BA!$G$2952</f>
        <v>PALL</v>
      </c>
      <c r="J2318" s="9">
        <f ca="1">ROUND(IF(Intv_Ann_TA!$H$1157,IF(J2291&lt;=J2264,J2291,J2291-MAX((J$2292-J$2265),0)*IFERROR((J2291-J2264)/SUMPRODUCT((J$2282:J$2291&gt;J$2255:J$2264)*(J$2282:J$2291-J$2255:J$2264)),0)),J2331),0)</f>
        <v>22</v>
      </c>
      <c r="K2318" s="9">
        <f ca="1">ROUND(IF(Intv_Ann_TA!$H$1157,IF(K2291&lt;=K2264,K2291,K2291-MAX((K$2292-K$2265),0)*IFERROR((K2291-K2264)/SUMPRODUCT((K$2282:K$2291&gt;K$2255:K$2264)*(K$2282:K$2291-K$2255:K$2264)),0)),K2331),0)</f>
        <v>22</v>
      </c>
      <c r="L2318" s="9">
        <f ca="1">ROUND(IF(Intv_Ann_TA!$H$1157,IF(L2291&lt;=L2264,L2291,L2291-MAX((L$2292-L$2265),0)*IFERROR((L2291-L2264)/SUMPRODUCT((L$2282:L$2291&gt;L$2255:L$2264)*(L$2282:L$2291-L$2255:L$2264)),0)),L2331),0)</f>
        <v>22</v>
      </c>
      <c r="M2318" s="9">
        <f ca="1">ROUND(IF(Intv_Ann_TA!$H$1157,IF(M2291&lt;=M2264,M2291,M2291-MAX((M$2292-M$2265),0)*IFERROR((M2291-M2264)/SUMPRODUCT((M$2282:M$2291&gt;M$2255:M$2264)*(M$2282:M$2291-M$2255:M$2264)),0)),M2331),0)</f>
        <v>22</v>
      </c>
      <c r="N2318" s="9">
        <f ca="1">ROUND(IF(Intv_Ann_TA!$H$1157,IF(N2291&lt;=N2264,N2291,N2291-MAX((N$2292-N$2265),0)*IFERROR((N2291-N2264)/SUMPRODUCT((N$2282:N$2291&gt;N$2255:N$2264)*(N$2282:N$2291-N$2255:N$2264)),0)),N2331),0)</f>
        <v>22</v>
      </c>
      <c r="O2318" s="9">
        <f ca="1">ROUND(IF(Intv_Ann_TA!$H$1157,IF(O2291&lt;=O2264,O2291,O2291-MAX((O$2292-O$2265),0)*IFERROR((O2291-O2264)/SUMPRODUCT((O$2282:O$2291&gt;O$2255:O$2264)*(O$2282:O$2291-O$2255:O$2264)),0)),O2331),0)</f>
        <v>22</v>
      </c>
    </row>
    <row r="2319" spans="4:15" s="327" customFormat="1" outlineLevel="2" x14ac:dyDescent="0.2">
      <c r="D2319" s="596" t="str">
        <f>"Total "&amp;D2308</f>
        <v>Total Procedures Performed (According to Home Region)</v>
      </c>
      <c r="H2319" s="594" t="str">
        <f>Intv_BA!$G$2952</f>
        <v>PALL</v>
      </c>
      <c r="J2319" s="5">
        <f t="shared" ref="J2319:O2319" ca="1" si="222">SUM(J2309:J2318)</f>
        <v>228</v>
      </c>
      <c r="K2319" s="5">
        <f t="shared" ca="1" si="222"/>
        <v>228</v>
      </c>
      <c r="L2319" s="5">
        <f t="shared" ca="1" si="222"/>
        <v>228</v>
      </c>
      <c r="M2319" s="5">
        <f t="shared" ca="1" si="222"/>
        <v>228</v>
      </c>
      <c r="N2319" s="5">
        <f t="shared" ca="1" si="222"/>
        <v>228</v>
      </c>
      <c r="O2319" s="5">
        <f t="shared" ca="1" si="222"/>
        <v>228</v>
      </c>
    </row>
    <row r="2320" spans="4:15" s="327" customFormat="1" outlineLevel="2" x14ac:dyDescent="0.2"/>
    <row r="2321" spans="3:15" s="327" customFormat="1" ht="15" outlineLevel="2" x14ac:dyDescent="0.2">
      <c r="D2321" s="595" t="s">
        <v>104</v>
      </c>
    </row>
    <row r="2322" spans="3:15" s="327" customFormat="1" outlineLevel="2" x14ac:dyDescent="0.2">
      <c r="D2322" s="594" t="str">
        <f>Intv_Ann_TA!D1160</f>
        <v>Central</v>
      </c>
      <c r="J2322" s="8">
        <f ca="1">ROUND(MIN(J2255,IF(Intv_Ann_TA!$H$1157,MAX(0,J2282+IFERROR((SUMPRODUCT((J$2255:J$2264=0)*J$2282:J$2291)+SUMPRODUCT((J$2255:J$2264&gt;0)*(J$2282:J$2291&gt;J$2255:J$2264)*(J$2282:J$2291-J$2255:J$2264)))*J2296/J$2306,0)),J2282)),0)</f>
        <v>0</v>
      </c>
      <c r="K2322" s="8">
        <f ca="1">ROUND(MIN(K2255,IF(Intv_Ann_TA!$H$1157,MAX(0,K2282+IFERROR((SUMPRODUCT((K$2255:K$2264=0)*K$2282:K$2291)+SUMPRODUCT((K$2255:K$2264&gt;0)*(K$2282:K$2291&gt;K$2255:K$2264)*(K$2282:K$2291-K$2255:K$2264)))*K2296/K$2306,0)),K2282)),0)</f>
        <v>0</v>
      </c>
      <c r="L2322" s="8">
        <f ca="1">ROUND(MIN(L2255,IF(Intv_Ann_TA!$H$1157,MAX(0,L2282+IFERROR((SUMPRODUCT((L$2255:L$2264=0)*L$2282:L$2291)+SUMPRODUCT((L$2255:L$2264&gt;0)*(L$2282:L$2291&gt;L$2255:L$2264)*(L$2282:L$2291-L$2255:L$2264)))*L2296/L$2306,0)),L2282)),0)</f>
        <v>0</v>
      </c>
      <c r="M2322" s="8">
        <f ca="1">ROUND(MIN(M2255,IF(Intv_Ann_TA!$H$1157,MAX(0,M2282+IFERROR((SUMPRODUCT((M$2255:M$2264=0)*M$2282:M$2291)+SUMPRODUCT((M$2255:M$2264&gt;0)*(M$2282:M$2291&gt;M$2255:M$2264)*(M$2282:M$2291-M$2255:M$2264)))*M2296/M$2306,0)),M2282)),0)</f>
        <v>0</v>
      </c>
      <c r="N2322" s="8">
        <f ca="1">ROUND(MIN(N2255,IF(Intv_Ann_TA!$H$1157,MAX(0,N2282+IFERROR((SUMPRODUCT((N$2255:N$2264=0)*N$2282:N$2291)+SUMPRODUCT((N$2255:N$2264&gt;0)*(N$2282:N$2291&gt;N$2255:N$2264)*(N$2282:N$2291-N$2255:N$2264)))*N2296/N$2306,0)),N2282)),0)</f>
        <v>0</v>
      </c>
      <c r="O2322" s="8">
        <f ca="1">ROUND(MIN(O2255,IF(Intv_Ann_TA!$H$1157,MAX(0,O2282+IFERROR((SUMPRODUCT((O$2255:O$2264=0)*O$2282:O$2291)+SUMPRODUCT((O$2255:O$2264&gt;0)*(O$2282:O$2291&gt;O$2255:O$2264)*(O$2282:O$2291-O$2255:O$2264)))*O2296/O$2306,0)),O2282)),0)</f>
        <v>0</v>
      </c>
    </row>
    <row r="2323" spans="3:15" s="327" customFormat="1" outlineLevel="2" x14ac:dyDescent="0.2">
      <c r="D2323" s="594" t="str">
        <f>Intv_Ann_TA!D1161</f>
        <v>Copperbelt</v>
      </c>
      <c r="J2323" s="8">
        <f ca="1">ROUND(MIN(J2256,IF(Intv_Ann_TA!$H$1157,MAX(0,J2283+IFERROR((SUMPRODUCT((J$2255:J$2264=0)*J$2282:J$2291)+SUMPRODUCT((J$2255:J$2264&gt;0)*(J$2282:J$2291&gt;J$2255:J$2264)*(J$2282:J$2291-J$2255:J$2264)))*J2297/J$2306,0)),J2283)),0)</f>
        <v>49</v>
      </c>
      <c r="K2323" s="8">
        <f ca="1">ROUND(MIN(K2256,IF(Intv_Ann_TA!$H$1157,MAX(0,K2283+IFERROR((SUMPRODUCT((K$2255:K$2264=0)*K$2282:K$2291)+SUMPRODUCT((K$2255:K$2264&gt;0)*(K$2282:K$2291&gt;K$2255:K$2264)*(K$2282:K$2291-K$2255:K$2264)))*K2297/K$2306,0)),K2283)),0)</f>
        <v>49</v>
      </c>
      <c r="L2323" s="8">
        <f ca="1">ROUND(MIN(L2256,IF(Intv_Ann_TA!$H$1157,MAX(0,L2283+IFERROR((SUMPRODUCT((L$2255:L$2264=0)*L$2282:L$2291)+SUMPRODUCT((L$2255:L$2264&gt;0)*(L$2282:L$2291&gt;L$2255:L$2264)*(L$2282:L$2291-L$2255:L$2264)))*L2297/L$2306,0)),L2283)),0)</f>
        <v>49</v>
      </c>
      <c r="M2323" s="8">
        <f ca="1">ROUND(MIN(M2256,IF(Intv_Ann_TA!$H$1157,MAX(0,M2283+IFERROR((SUMPRODUCT((M$2255:M$2264=0)*M$2282:M$2291)+SUMPRODUCT((M$2255:M$2264&gt;0)*(M$2282:M$2291&gt;M$2255:M$2264)*(M$2282:M$2291-M$2255:M$2264)))*M2297/M$2306,0)),M2283)),0)</f>
        <v>49</v>
      </c>
      <c r="N2323" s="8">
        <f ca="1">ROUND(MIN(N2256,IF(Intv_Ann_TA!$H$1157,MAX(0,N2283+IFERROR((SUMPRODUCT((N$2255:N$2264=0)*N$2282:N$2291)+SUMPRODUCT((N$2255:N$2264&gt;0)*(N$2282:N$2291&gt;N$2255:N$2264)*(N$2282:N$2291-N$2255:N$2264)))*N2297/N$2306,0)),N2283)),0)</f>
        <v>49</v>
      </c>
      <c r="O2323" s="8">
        <f ca="1">ROUND(MIN(O2256,IF(Intv_Ann_TA!$H$1157,MAX(0,O2283+IFERROR((SUMPRODUCT((O$2255:O$2264=0)*O$2282:O$2291)+SUMPRODUCT((O$2255:O$2264&gt;0)*(O$2282:O$2291&gt;O$2255:O$2264)*(O$2282:O$2291-O$2255:O$2264)))*O2297/O$2306,0)),O2283)),0)</f>
        <v>49</v>
      </c>
    </row>
    <row r="2324" spans="3:15" s="327" customFormat="1" outlineLevel="2" x14ac:dyDescent="0.2">
      <c r="D2324" s="594" t="str">
        <f>Intv_Ann_TA!D1162</f>
        <v>Eastern</v>
      </c>
      <c r="J2324" s="8">
        <f ca="1">ROUND(MIN(J2257,IF(Intv_Ann_TA!$H$1157,MAX(0,J2284+IFERROR((SUMPRODUCT((J$2255:J$2264=0)*J$2282:J$2291)+SUMPRODUCT((J$2255:J$2264&gt;0)*(J$2282:J$2291&gt;J$2255:J$2264)*(J$2282:J$2291-J$2255:J$2264)))*J2298/J$2306,0)),J2284)),0)</f>
        <v>0</v>
      </c>
      <c r="K2324" s="8">
        <f ca="1">ROUND(MIN(K2257,IF(Intv_Ann_TA!$H$1157,MAX(0,K2284+IFERROR((SUMPRODUCT((K$2255:K$2264=0)*K$2282:K$2291)+SUMPRODUCT((K$2255:K$2264&gt;0)*(K$2282:K$2291&gt;K$2255:K$2264)*(K$2282:K$2291-K$2255:K$2264)))*K2298/K$2306,0)),K2284)),0)</f>
        <v>0</v>
      </c>
      <c r="L2324" s="8">
        <f ca="1">ROUND(MIN(L2257,IF(Intv_Ann_TA!$H$1157,MAX(0,L2284+IFERROR((SUMPRODUCT((L$2255:L$2264=0)*L$2282:L$2291)+SUMPRODUCT((L$2255:L$2264&gt;0)*(L$2282:L$2291&gt;L$2255:L$2264)*(L$2282:L$2291-L$2255:L$2264)))*L2298/L$2306,0)),L2284)),0)</f>
        <v>0</v>
      </c>
      <c r="M2324" s="8">
        <f ca="1">ROUND(MIN(M2257,IF(Intv_Ann_TA!$H$1157,MAX(0,M2284+IFERROR((SUMPRODUCT((M$2255:M$2264=0)*M$2282:M$2291)+SUMPRODUCT((M$2255:M$2264&gt;0)*(M$2282:M$2291&gt;M$2255:M$2264)*(M$2282:M$2291-M$2255:M$2264)))*M2298/M$2306,0)),M2284)),0)</f>
        <v>0</v>
      </c>
      <c r="N2324" s="8">
        <f ca="1">ROUND(MIN(N2257,IF(Intv_Ann_TA!$H$1157,MAX(0,N2284+IFERROR((SUMPRODUCT((N$2255:N$2264=0)*N$2282:N$2291)+SUMPRODUCT((N$2255:N$2264&gt;0)*(N$2282:N$2291&gt;N$2255:N$2264)*(N$2282:N$2291-N$2255:N$2264)))*N2298/N$2306,0)),N2284)),0)</f>
        <v>0</v>
      </c>
      <c r="O2324" s="8">
        <f ca="1">ROUND(MIN(O2257,IF(Intv_Ann_TA!$H$1157,MAX(0,O2284+IFERROR((SUMPRODUCT((O$2255:O$2264=0)*O$2282:O$2291)+SUMPRODUCT((O$2255:O$2264&gt;0)*(O$2282:O$2291&gt;O$2255:O$2264)*(O$2282:O$2291-O$2255:O$2264)))*O2298/O$2306,0)),O2284)),0)</f>
        <v>0</v>
      </c>
    </row>
    <row r="2325" spans="3:15" s="327" customFormat="1" outlineLevel="2" x14ac:dyDescent="0.2">
      <c r="D2325" s="594" t="str">
        <f>Intv_Ann_TA!D1163</f>
        <v>Luapula</v>
      </c>
      <c r="J2325" s="8">
        <f ca="1">ROUND(MIN(J2258,IF(Intv_Ann_TA!$H$1157,MAX(0,J2285+IFERROR((SUMPRODUCT((J$2255:J$2264=0)*J$2282:J$2291)+SUMPRODUCT((J$2255:J$2264&gt;0)*(J$2282:J$2291&gt;J$2255:J$2264)*(J$2282:J$2291-J$2255:J$2264)))*J2299/J$2306,0)),J2285)),0)</f>
        <v>0</v>
      </c>
      <c r="K2325" s="8">
        <f ca="1">ROUND(MIN(K2258,IF(Intv_Ann_TA!$H$1157,MAX(0,K2285+IFERROR((SUMPRODUCT((K$2255:K$2264=0)*K$2282:K$2291)+SUMPRODUCT((K$2255:K$2264&gt;0)*(K$2282:K$2291&gt;K$2255:K$2264)*(K$2282:K$2291-K$2255:K$2264)))*K2299/K$2306,0)),K2285)),0)</f>
        <v>0</v>
      </c>
      <c r="L2325" s="8">
        <f ca="1">ROUND(MIN(L2258,IF(Intv_Ann_TA!$H$1157,MAX(0,L2285+IFERROR((SUMPRODUCT((L$2255:L$2264=0)*L$2282:L$2291)+SUMPRODUCT((L$2255:L$2264&gt;0)*(L$2282:L$2291&gt;L$2255:L$2264)*(L$2282:L$2291-L$2255:L$2264)))*L2299/L$2306,0)),L2285)),0)</f>
        <v>0</v>
      </c>
      <c r="M2325" s="8">
        <f ca="1">ROUND(MIN(M2258,IF(Intv_Ann_TA!$H$1157,MAX(0,M2285+IFERROR((SUMPRODUCT((M$2255:M$2264=0)*M$2282:M$2291)+SUMPRODUCT((M$2255:M$2264&gt;0)*(M$2282:M$2291&gt;M$2255:M$2264)*(M$2282:M$2291-M$2255:M$2264)))*M2299/M$2306,0)),M2285)),0)</f>
        <v>0</v>
      </c>
      <c r="N2325" s="8">
        <f ca="1">ROUND(MIN(N2258,IF(Intv_Ann_TA!$H$1157,MAX(0,N2285+IFERROR((SUMPRODUCT((N$2255:N$2264=0)*N$2282:N$2291)+SUMPRODUCT((N$2255:N$2264&gt;0)*(N$2282:N$2291&gt;N$2255:N$2264)*(N$2282:N$2291-N$2255:N$2264)))*N2299/N$2306,0)),N2285)),0)</f>
        <v>0</v>
      </c>
      <c r="O2325" s="8">
        <f ca="1">ROUND(MIN(O2258,IF(Intv_Ann_TA!$H$1157,MAX(0,O2285+IFERROR((SUMPRODUCT((O$2255:O$2264=0)*O$2282:O$2291)+SUMPRODUCT((O$2255:O$2264&gt;0)*(O$2282:O$2291&gt;O$2255:O$2264)*(O$2282:O$2291-O$2255:O$2264)))*O2299/O$2306,0)),O2285)),0)</f>
        <v>0</v>
      </c>
    </row>
    <row r="2326" spans="3:15" s="327" customFormat="1" outlineLevel="2" x14ac:dyDescent="0.2">
      <c r="D2326" s="594" t="str">
        <f>Intv_Ann_TA!D1164</f>
        <v>Lusaka</v>
      </c>
      <c r="J2326" s="8">
        <f ca="1">ROUND(MIN(J2259,IF(Intv_Ann_TA!$H$1157,MAX(0,J2286+IFERROR((SUMPRODUCT((J$2255:J$2264=0)*J$2282:J$2291)+SUMPRODUCT((J$2255:J$2264&gt;0)*(J$2282:J$2291&gt;J$2255:J$2264)*(J$2282:J$2291-J$2255:J$2264)))*J2300/J$2306,0)),J2286)),0)</f>
        <v>130</v>
      </c>
      <c r="K2326" s="8">
        <f ca="1">ROUND(MIN(K2259,IF(Intv_Ann_TA!$H$1157,MAX(0,K2286+IFERROR((SUMPRODUCT((K$2255:K$2264=0)*K$2282:K$2291)+SUMPRODUCT((K$2255:K$2264&gt;0)*(K$2282:K$2291&gt;K$2255:K$2264)*(K$2282:K$2291-K$2255:K$2264)))*K2300/K$2306,0)),K2286)),0)</f>
        <v>130</v>
      </c>
      <c r="L2326" s="8">
        <f ca="1">ROUND(MIN(L2259,IF(Intv_Ann_TA!$H$1157,MAX(0,L2286+IFERROR((SUMPRODUCT((L$2255:L$2264=0)*L$2282:L$2291)+SUMPRODUCT((L$2255:L$2264&gt;0)*(L$2282:L$2291&gt;L$2255:L$2264)*(L$2282:L$2291-L$2255:L$2264)))*L2300/L$2306,0)),L2286)),0)</f>
        <v>130</v>
      </c>
      <c r="M2326" s="8">
        <f ca="1">ROUND(MIN(M2259,IF(Intv_Ann_TA!$H$1157,MAX(0,M2286+IFERROR((SUMPRODUCT((M$2255:M$2264=0)*M$2282:M$2291)+SUMPRODUCT((M$2255:M$2264&gt;0)*(M$2282:M$2291&gt;M$2255:M$2264)*(M$2282:M$2291-M$2255:M$2264)))*M2300/M$2306,0)),M2286)),0)</f>
        <v>130</v>
      </c>
      <c r="N2326" s="8">
        <f ca="1">ROUND(MIN(N2259,IF(Intv_Ann_TA!$H$1157,MAX(0,N2286+IFERROR((SUMPRODUCT((N$2255:N$2264=0)*N$2282:N$2291)+SUMPRODUCT((N$2255:N$2264&gt;0)*(N$2282:N$2291&gt;N$2255:N$2264)*(N$2282:N$2291-N$2255:N$2264)))*N2300/N$2306,0)),N2286)),0)</f>
        <v>130</v>
      </c>
      <c r="O2326" s="8">
        <f ca="1">ROUND(MIN(O2259,IF(Intv_Ann_TA!$H$1157,MAX(0,O2286+IFERROR((SUMPRODUCT((O$2255:O$2264=0)*O$2282:O$2291)+SUMPRODUCT((O$2255:O$2264&gt;0)*(O$2282:O$2291&gt;O$2255:O$2264)*(O$2282:O$2291-O$2255:O$2264)))*O2300/O$2306,0)),O2286)),0)</f>
        <v>130</v>
      </c>
    </row>
    <row r="2327" spans="3:15" s="327" customFormat="1" outlineLevel="2" x14ac:dyDescent="0.2">
      <c r="D2327" s="594" t="str">
        <f>Intv_Ann_TA!D1165</f>
        <v>Muchinga</v>
      </c>
      <c r="J2327" s="8">
        <f ca="1">ROUND(MIN(J2260,IF(Intv_Ann_TA!$H$1157,MAX(0,J2287+IFERROR((SUMPRODUCT((J$2255:J$2264=0)*J$2282:J$2291)+SUMPRODUCT((J$2255:J$2264&gt;0)*(J$2282:J$2291&gt;J$2255:J$2264)*(J$2282:J$2291-J$2255:J$2264)))*J2301/J$2306,0)),J2287)),0)</f>
        <v>0</v>
      </c>
      <c r="K2327" s="8">
        <f ca="1">ROUND(MIN(K2260,IF(Intv_Ann_TA!$H$1157,MAX(0,K2287+IFERROR((SUMPRODUCT((K$2255:K$2264=0)*K$2282:K$2291)+SUMPRODUCT((K$2255:K$2264&gt;0)*(K$2282:K$2291&gt;K$2255:K$2264)*(K$2282:K$2291-K$2255:K$2264)))*K2301/K$2306,0)),K2287)),0)</f>
        <v>0</v>
      </c>
      <c r="L2327" s="8">
        <f ca="1">ROUND(MIN(L2260,IF(Intv_Ann_TA!$H$1157,MAX(0,L2287+IFERROR((SUMPRODUCT((L$2255:L$2264=0)*L$2282:L$2291)+SUMPRODUCT((L$2255:L$2264&gt;0)*(L$2282:L$2291&gt;L$2255:L$2264)*(L$2282:L$2291-L$2255:L$2264)))*L2301/L$2306,0)),L2287)),0)</f>
        <v>0</v>
      </c>
      <c r="M2327" s="8">
        <f ca="1">ROUND(MIN(M2260,IF(Intv_Ann_TA!$H$1157,MAX(0,M2287+IFERROR((SUMPRODUCT((M$2255:M$2264=0)*M$2282:M$2291)+SUMPRODUCT((M$2255:M$2264&gt;0)*(M$2282:M$2291&gt;M$2255:M$2264)*(M$2282:M$2291-M$2255:M$2264)))*M2301/M$2306,0)),M2287)),0)</f>
        <v>0</v>
      </c>
      <c r="N2327" s="8">
        <f ca="1">ROUND(MIN(N2260,IF(Intv_Ann_TA!$H$1157,MAX(0,N2287+IFERROR((SUMPRODUCT((N$2255:N$2264=0)*N$2282:N$2291)+SUMPRODUCT((N$2255:N$2264&gt;0)*(N$2282:N$2291&gt;N$2255:N$2264)*(N$2282:N$2291-N$2255:N$2264)))*N2301/N$2306,0)),N2287)),0)</f>
        <v>0</v>
      </c>
      <c r="O2327" s="8">
        <f ca="1">ROUND(MIN(O2260,IF(Intv_Ann_TA!$H$1157,MAX(0,O2287+IFERROR((SUMPRODUCT((O$2255:O$2264=0)*O$2282:O$2291)+SUMPRODUCT((O$2255:O$2264&gt;0)*(O$2282:O$2291&gt;O$2255:O$2264)*(O$2282:O$2291-O$2255:O$2264)))*O2301/O$2306,0)),O2287)),0)</f>
        <v>0</v>
      </c>
    </row>
    <row r="2328" spans="3:15" s="327" customFormat="1" outlineLevel="2" x14ac:dyDescent="0.2">
      <c r="D2328" s="594" t="str">
        <f>Intv_Ann_TA!D1166</f>
        <v>Northern</v>
      </c>
      <c r="J2328" s="8">
        <f ca="1">ROUND(MIN(J2261,IF(Intv_Ann_TA!$H$1157,MAX(0,J2288+IFERROR((SUMPRODUCT((J$2255:J$2264=0)*J$2282:J$2291)+SUMPRODUCT((J$2255:J$2264&gt;0)*(J$2282:J$2291&gt;J$2255:J$2264)*(J$2282:J$2291-J$2255:J$2264)))*J2302/J$2306,0)),J2288)),0)</f>
        <v>0</v>
      </c>
      <c r="K2328" s="8">
        <f ca="1">ROUND(MIN(K2261,IF(Intv_Ann_TA!$H$1157,MAX(0,K2288+IFERROR((SUMPRODUCT((K$2255:K$2264=0)*K$2282:K$2291)+SUMPRODUCT((K$2255:K$2264&gt;0)*(K$2282:K$2291&gt;K$2255:K$2264)*(K$2282:K$2291-K$2255:K$2264)))*K2302/K$2306,0)),K2288)),0)</f>
        <v>0</v>
      </c>
      <c r="L2328" s="8">
        <f ca="1">ROUND(MIN(L2261,IF(Intv_Ann_TA!$H$1157,MAX(0,L2288+IFERROR((SUMPRODUCT((L$2255:L$2264=0)*L$2282:L$2291)+SUMPRODUCT((L$2255:L$2264&gt;0)*(L$2282:L$2291&gt;L$2255:L$2264)*(L$2282:L$2291-L$2255:L$2264)))*L2302/L$2306,0)),L2288)),0)</f>
        <v>0</v>
      </c>
      <c r="M2328" s="8">
        <f ca="1">ROUND(MIN(M2261,IF(Intv_Ann_TA!$H$1157,MAX(0,M2288+IFERROR((SUMPRODUCT((M$2255:M$2264=0)*M$2282:M$2291)+SUMPRODUCT((M$2255:M$2264&gt;0)*(M$2282:M$2291&gt;M$2255:M$2264)*(M$2282:M$2291-M$2255:M$2264)))*M2302/M$2306,0)),M2288)),0)</f>
        <v>0</v>
      </c>
      <c r="N2328" s="8">
        <f ca="1">ROUND(MIN(N2261,IF(Intv_Ann_TA!$H$1157,MAX(0,N2288+IFERROR((SUMPRODUCT((N$2255:N$2264=0)*N$2282:N$2291)+SUMPRODUCT((N$2255:N$2264&gt;0)*(N$2282:N$2291&gt;N$2255:N$2264)*(N$2282:N$2291-N$2255:N$2264)))*N2302/N$2306,0)),N2288)),0)</f>
        <v>0</v>
      </c>
      <c r="O2328" s="8">
        <f ca="1">ROUND(MIN(O2261,IF(Intv_Ann_TA!$H$1157,MAX(0,O2288+IFERROR((SUMPRODUCT((O$2255:O$2264=0)*O$2282:O$2291)+SUMPRODUCT((O$2255:O$2264&gt;0)*(O$2282:O$2291&gt;O$2255:O$2264)*(O$2282:O$2291-O$2255:O$2264)))*O2302/O$2306,0)),O2288)),0)</f>
        <v>0</v>
      </c>
    </row>
    <row r="2329" spans="3:15" s="327" customFormat="1" outlineLevel="2" x14ac:dyDescent="0.2">
      <c r="D2329" s="594" t="str">
        <f>Intv_Ann_TA!D1167</f>
        <v>North-Western</v>
      </c>
      <c r="J2329" s="8">
        <f ca="1">ROUND(MIN(J2262,IF(Intv_Ann_TA!$H$1157,MAX(0,J2289+IFERROR((SUMPRODUCT((J$2255:J$2264=0)*J$2282:J$2291)+SUMPRODUCT((J$2255:J$2264&gt;0)*(J$2282:J$2291&gt;J$2255:J$2264)*(J$2282:J$2291-J$2255:J$2264)))*J2303/J$2306,0)),J2289)),0)</f>
        <v>0</v>
      </c>
      <c r="K2329" s="8">
        <f ca="1">ROUND(MIN(K2262,IF(Intv_Ann_TA!$H$1157,MAX(0,K2289+IFERROR((SUMPRODUCT((K$2255:K$2264=0)*K$2282:K$2291)+SUMPRODUCT((K$2255:K$2264&gt;0)*(K$2282:K$2291&gt;K$2255:K$2264)*(K$2282:K$2291-K$2255:K$2264)))*K2303/K$2306,0)),K2289)),0)</f>
        <v>0</v>
      </c>
      <c r="L2329" s="8">
        <f ca="1">ROUND(MIN(L2262,IF(Intv_Ann_TA!$H$1157,MAX(0,L2289+IFERROR((SUMPRODUCT((L$2255:L$2264=0)*L$2282:L$2291)+SUMPRODUCT((L$2255:L$2264&gt;0)*(L$2282:L$2291&gt;L$2255:L$2264)*(L$2282:L$2291-L$2255:L$2264)))*L2303/L$2306,0)),L2289)),0)</f>
        <v>0</v>
      </c>
      <c r="M2329" s="8">
        <f ca="1">ROUND(MIN(M2262,IF(Intv_Ann_TA!$H$1157,MAX(0,M2289+IFERROR((SUMPRODUCT((M$2255:M$2264=0)*M$2282:M$2291)+SUMPRODUCT((M$2255:M$2264&gt;0)*(M$2282:M$2291&gt;M$2255:M$2264)*(M$2282:M$2291-M$2255:M$2264)))*M2303/M$2306,0)),M2289)),0)</f>
        <v>0</v>
      </c>
      <c r="N2329" s="8">
        <f ca="1">ROUND(MIN(N2262,IF(Intv_Ann_TA!$H$1157,MAX(0,N2289+IFERROR((SUMPRODUCT((N$2255:N$2264=0)*N$2282:N$2291)+SUMPRODUCT((N$2255:N$2264&gt;0)*(N$2282:N$2291&gt;N$2255:N$2264)*(N$2282:N$2291-N$2255:N$2264)))*N2303/N$2306,0)),N2289)),0)</f>
        <v>0</v>
      </c>
      <c r="O2329" s="8">
        <f ca="1">ROUND(MIN(O2262,IF(Intv_Ann_TA!$H$1157,MAX(0,O2289+IFERROR((SUMPRODUCT((O$2255:O$2264=0)*O$2282:O$2291)+SUMPRODUCT((O$2255:O$2264&gt;0)*(O$2282:O$2291&gt;O$2255:O$2264)*(O$2282:O$2291-O$2255:O$2264)))*O2303/O$2306,0)),O2289)),0)</f>
        <v>0</v>
      </c>
    </row>
    <row r="2330" spans="3:15" s="327" customFormat="1" outlineLevel="2" x14ac:dyDescent="0.2">
      <c r="D2330" s="594" t="str">
        <f>Intv_Ann_TA!D1168</f>
        <v>Southern</v>
      </c>
      <c r="J2330" s="8">
        <f ca="1">ROUND(MIN(J2263,IF(Intv_Ann_TA!$H$1157,MAX(0,J2290+IFERROR((SUMPRODUCT((J$2255:J$2264=0)*J$2282:J$2291)+SUMPRODUCT((J$2255:J$2264&gt;0)*(J$2282:J$2291&gt;J$2255:J$2264)*(J$2282:J$2291-J$2255:J$2264)))*J2304/J$2306,0)),J2290)),0)</f>
        <v>49</v>
      </c>
      <c r="K2330" s="8">
        <f ca="1">ROUND(MIN(K2263,IF(Intv_Ann_TA!$H$1157,MAX(0,K2290+IFERROR((SUMPRODUCT((K$2255:K$2264=0)*K$2282:K$2291)+SUMPRODUCT((K$2255:K$2264&gt;0)*(K$2282:K$2291&gt;K$2255:K$2264)*(K$2282:K$2291-K$2255:K$2264)))*K2304/K$2306,0)),K2290)),0)</f>
        <v>49</v>
      </c>
      <c r="L2330" s="8">
        <f ca="1">ROUND(MIN(L2263,IF(Intv_Ann_TA!$H$1157,MAX(0,L2290+IFERROR((SUMPRODUCT((L$2255:L$2264=0)*L$2282:L$2291)+SUMPRODUCT((L$2255:L$2264&gt;0)*(L$2282:L$2291&gt;L$2255:L$2264)*(L$2282:L$2291-L$2255:L$2264)))*L2304/L$2306,0)),L2290)),0)</f>
        <v>49</v>
      </c>
      <c r="M2330" s="8">
        <f ca="1">ROUND(MIN(M2263,IF(Intv_Ann_TA!$H$1157,MAX(0,M2290+IFERROR((SUMPRODUCT((M$2255:M$2264=0)*M$2282:M$2291)+SUMPRODUCT((M$2255:M$2264&gt;0)*(M$2282:M$2291&gt;M$2255:M$2264)*(M$2282:M$2291-M$2255:M$2264)))*M2304/M$2306,0)),M2290)),0)</f>
        <v>49</v>
      </c>
      <c r="N2330" s="8">
        <f ca="1">ROUND(MIN(N2263,IF(Intv_Ann_TA!$H$1157,MAX(0,N2290+IFERROR((SUMPRODUCT((N$2255:N$2264=0)*N$2282:N$2291)+SUMPRODUCT((N$2255:N$2264&gt;0)*(N$2282:N$2291&gt;N$2255:N$2264)*(N$2282:N$2291-N$2255:N$2264)))*N2304/N$2306,0)),N2290)),0)</f>
        <v>49</v>
      </c>
      <c r="O2330" s="8">
        <f ca="1">ROUND(MIN(O2263,IF(Intv_Ann_TA!$H$1157,MAX(0,O2290+IFERROR((SUMPRODUCT((O$2255:O$2264=0)*O$2282:O$2291)+SUMPRODUCT((O$2255:O$2264&gt;0)*(O$2282:O$2291&gt;O$2255:O$2264)*(O$2282:O$2291-O$2255:O$2264)))*O2304/O$2306,0)),O2290)),0)</f>
        <v>49</v>
      </c>
    </row>
    <row r="2331" spans="3:15" s="327" customFormat="1" outlineLevel="2" x14ac:dyDescent="0.2">
      <c r="D2331" s="594" t="str">
        <f>Intv_Ann_TA!D1169</f>
        <v>Western</v>
      </c>
      <c r="J2331" s="9">
        <f ca="1">ROUND(MIN(J2264,IF(Intv_Ann_TA!$H$1157,MAX(0,J2291+IFERROR((SUMPRODUCT((J$2255:J$2264=0)*J$2282:J$2291)+SUMPRODUCT((J$2255:J$2264&gt;0)*(J$2282:J$2291&gt;J$2255:J$2264)*(J$2282:J$2291-J$2255:J$2264)))*J2305/J$2306,0)),J2291)),0)</f>
        <v>0</v>
      </c>
      <c r="K2331" s="9">
        <f ca="1">ROUND(MIN(K2264,IF(Intv_Ann_TA!$H$1157,MAX(0,K2291+IFERROR((SUMPRODUCT((K$2255:K$2264=0)*K$2282:K$2291)+SUMPRODUCT((K$2255:K$2264&gt;0)*(K$2282:K$2291&gt;K$2255:K$2264)*(K$2282:K$2291-K$2255:K$2264)))*K2305/K$2306,0)),K2291)),0)</f>
        <v>0</v>
      </c>
      <c r="L2331" s="9">
        <f ca="1">ROUND(MIN(L2264,IF(Intv_Ann_TA!$H$1157,MAX(0,L2291+IFERROR((SUMPRODUCT((L$2255:L$2264=0)*L$2282:L$2291)+SUMPRODUCT((L$2255:L$2264&gt;0)*(L$2282:L$2291&gt;L$2255:L$2264)*(L$2282:L$2291-L$2255:L$2264)))*L2305/L$2306,0)),L2291)),0)</f>
        <v>0</v>
      </c>
      <c r="M2331" s="9">
        <f ca="1">ROUND(MIN(M2264,IF(Intv_Ann_TA!$H$1157,MAX(0,M2291+IFERROR((SUMPRODUCT((M$2255:M$2264=0)*M$2282:M$2291)+SUMPRODUCT((M$2255:M$2264&gt;0)*(M$2282:M$2291&gt;M$2255:M$2264)*(M$2282:M$2291-M$2255:M$2264)))*M2305/M$2306,0)),M2291)),0)</f>
        <v>0</v>
      </c>
      <c r="N2331" s="9">
        <f ca="1">ROUND(MIN(N2264,IF(Intv_Ann_TA!$H$1157,MAX(0,N2291+IFERROR((SUMPRODUCT((N$2255:N$2264=0)*N$2282:N$2291)+SUMPRODUCT((N$2255:N$2264&gt;0)*(N$2282:N$2291&gt;N$2255:N$2264)*(N$2282:N$2291-N$2255:N$2264)))*N2305/N$2306,0)),N2291)),0)</f>
        <v>0</v>
      </c>
      <c r="O2331" s="9">
        <f ca="1">ROUND(MIN(O2264,IF(Intv_Ann_TA!$H$1157,MAX(0,O2291+IFERROR((SUMPRODUCT((O$2255:O$2264=0)*O$2282:O$2291)+SUMPRODUCT((O$2255:O$2264&gt;0)*(O$2282:O$2291&gt;O$2255:O$2264)*(O$2282:O$2291-O$2255:O$2264)))*O2305/O$2306,0)),O2291)),0)</f>
        <v>0</v>
      </c>
    </row>
    <row r="2332" spans="3:15" s="327" customFormat="1" x14ac:dyDescent="0.2">
      <c r="D2332" s="596" t="str">
        <f>"Total "&amp;D2321&amp;" ("&amp;Intv_BA!G2952&amp;")"</f>
        <v>Total Number of Procedures Performed (PALL)</v>
      </c>
      <c r="H2332" s="594" t="str">
        <f>Intv_BA!G2952</f>
        <v>PALL</v>
      </c>
      <c r="J2332" s="25">
        <f t="shared" ref="J2332:O2332" ca="1" si="223">SUM(J2322:J2331)</f>
        <v>228</v>
      </c>
      <c r="K2332" s="25">
        <f t="shared" ca="1" si="223"/>
        <v>228</v>
      </c>
      <c r="L2332" s="25">
        <f t="shared" ca="1" si="223"/>
        <v>228</v>
      </c>
      <c r="M2332" s="25">
        <f t="shared" ca="1" si="223"/>
        <v>228</v>
      </c>
      <c r="N2332" s="25">
        <f t="shared" ca="1" si="223"/>
        <v>228</v>
      </c>
      <c r="O2332" s="25">
        <f t="shared" ca="1" si="223"/>
        <v>228</v>
      </c>
    </row>
    <row r="2333" spans="3:15" s="327" customFormat="1" x14ac:dyDescent="0.2"/>
    <row r="2334" spans="3:15" s="327" customFormat="1" ht="15.75" x14ac:dyDescent="0.2">
      <c r="C2334" s="26" t="str">
        <f>"Expected Costs ("&amp;INDEX(LU_Intv_6_Denom,DD_TS_Denom)&amp;")"</f>
        <v>Expected Costs (USD)</v>
      </c>
    </row>
    <row r="2335" spans="3:15" s="327" customFormat="1" x14ac:dyDescent="0.2"/>
    <row r="2336" spans="3:15" s="327" customFormat="1" ht="15" outlineLevel="2" x14ac:dyDescent="0.2">
      <c r="D2336" s="595" t="s">
        <v>105</v>
      </c>
    </row>
    <row r="2337" spans="4:15" s="327" customFormat="1" ht="10.5" customHeight="1" outlineLevel="2" x14ac:dyDescent="0.2">
      <c r="D2337" s="594" t="str">
        <f>Intv_BA!D3114</f>
        <v>Central</v>
      </c>
      <c r="J2337" s="8">
        <f ca="1">J2322*Intv_BA!$M$3066/TS_Denom_Conv_Fact</f>
        <v>0</v>
      </c>
      <c r="K2337" s="8">
        <f ca="1">K2322*Intv_BA!$M$3066/TS_Denom_Conv_Fact</f>
        <v>0</v>
      </c>
      <c r="L2337" s="8">
        <f ca="1">L2322*Intv_BA!$M$3066/TS_Denom_Conv_Fact</f>
        <v>0</v>
      </c>
      <c r="M2337" s="8">
        <f ca="1">M2322*Intv_BA!$M$3066/TS_Denom_Conv_Fact</f>
        <v>0</v>
      </c>
      <c r="N2337" s="8">
        <f ca="1">N2322*Intv_BA!$M$3066/TS_Denom_Conv_Fact</f>
        <v>0</v>
      </c>
      <c r="O2337" s="8">
        <f ca="1">O2322*Intv_BA!$M$3066/TS_Denom_Conv_Fact</f>
        <v>0</v>
      </c>
    </row>
    <row r="2338" spans="4:15" s="327" customFormat="1" ht="12.95" customHeight="1" outlineLevel="2" x14ac:dyDescent="0.2">
      <c r="D2338" s="594" t="str">
        <f>Intv_BA!D3115</f>
        <v>Copperbelt</v>
      </c>
      <c r="J2338" s="8">
        <f ca="1">J2323*Intv_BA!$M$3066/TS_Denom_Conv_Fact</f>
        <v>12105.739296</v>
      </c>
      <c r="K2338" s="8">
        <f ca="1">K2323*Intv_BA!$M$3066/TS_Denom_Conv_Fact</f>
        <v>12105.739296</v>
      </c>
      <c r="L2338" s="8">
        <f ca="1">L2323*Intv_BA!$M$3066/TS_Denom_Conv_Fact</f>
        <v>12105.739296</v>
      </c>
      <c r="M2338" s="8">
        <f ca="1">M2323*Intv_BA!$M$3066/TS_Denom_Conv_Fact</f>
        <v>12105.739296</v>
      </c>
      <c r="N2338" s="8">
        <f ca="1">N2323*Intv_BA!$M$3066/TS_Denom_Conv_Fact</f>
        <v>12105.739296</v>
      </c>
      <c r="O2338" s="8">
        <f ca="1">O2323*Intv_BA!$M$3066/TS_Denom_Conv_Fact</f>
        <v>12105.739296</v>
      </c>
    </row>
    <row r="2339" spans="4:15" s="327" customFormat="1" ht="12.95" customHeight="1" outlineLevel="2" x14ac:dyDescent="0.2">
      <c r="D2339" s="594" t="str">
        <f>Intv_BA!D3116</f>
        <v>Eastern</v>
      </c>
      <c r="J2339" s="8">
        <f ca="1">J2324*Intv_BA!$M$3066/TS_Denom_Conv_Fact</f>
        <v>0</v>
      </c>
      <c r="K2339" s="8">
        <f ca="1">K2324*Intv_BA!$M$3066/TS_Denom_Conv_Fact</f>
        <v>0</v>
      </c>
      <c r="L2339" s="8">
        <f ca="1">L2324*Intv_BA!$M$3066/TS_Denom_Conv_Fact</f>
        <v>0</v>
      </c>
      <c r="M2339" s="8">
        <f ca="1">M2324*Intv_BA!$M$3066/TS_Denom_Conv_Fact</f>
        <v>0</v>
      </c>
      <c r="N2339" s="8">
        <f ca="1">N2324*Intv_BA!$M$3066/TS_Denom_Conv_Fact</f>
        <v>0</v>
      </c>
      <c r="O2339" s="8">
        <f ca="1">O2324*Intv_BA!$M$3066/TS_Denom_Conv_Fact</f>
        <v>0</v>
      </c>
    </row>
    <row r="2340" spans="4:15" s="327" customFormat="1" ht="10.5" customHeight="1" outlineLevel="2" x14ac:dyDescent="0.2">
      <c r="D2340" s="594" t="str">
        <f>Intv_BA!D3117</f>
        <v>Luapula</v>
      </c>
      <c r="J2340" s="8">
        <f ca="1">J2325*Intv_BA!$M$3066/TS_Denom_Conv_Fact</f>
        <v>0</v>
      </c>
      <c r="K2340" s="8">
        <f ca="1">K2325*Intv_BA!$M$3066/TS_Denom_Conv_Fact</f>
        <v>0</v>
      </c>
      <c r="L2340" s="8">
        <f ca="1">L2325*Intv_BA!$M$3066/TS_Denom_Conv_Fact</f>
        <v>0</v>
      </c>
      <c r="M2340" s="8">
        <f ca="1">M2325*Intv_BA!$M$3066/TS_Denom_Conv_Fact</f>
        <v>0</v>
      </c>
      <c r="N2340" s="8">
        <f ca="1">N2325*Intv_BA!$M$3066/TS_Denom_Conv_Fact</f>
        <v>0</v>
      </c>
      <c r="O2340" s="8">
        <f ca="1">O2325*Intv_BA!$M$3066/TS_Denom_Conv_Fact</f>
        <v>0</v>
      </c>
    </row>
    <row r="2341" spans="4:15" s="327" customFormat="1" ht="10.5" customHeight="1" outlineLevel="2" x14ac:dyDescent="0.2">
      <c r="D2341" s="594" t="str">
        <f>Intv_BA!D3118</f>
        <v>Lusaka</v>
      </c>
      <c r="J2341" s="8">
        <f ca="1">J2326*Intv_BA!$M$3066/TS_Denom_Conv_Fact</f>
        <v>32117.267520000001</v>
      </c>
      <c r="K2341" s="8">
        <f ca="1">K2326*Intv_BA!$M$3066/TS_Denom_Conv_Fact</f>
        <v>32117.267520000001</v>
      </c>
      <c r="L2341" s="8">
        <f ca="1">L2326*Intv_BA!$M$3066/TS_Denom_Conv_Fact</f>
        <v>32117.267520000001</v>
      </c>
      <c r="M2341" s="8">
        <f ca="1">M2326*Intv_BA!$M$3066/TS_Denom_Conv_Fact</f>
        <v>32117.267520000001</v>
      </c>
      <c r="N2341" s="8">
        <f ca="1">N2326*Intv_BA!$M$3066/TS_Denom_Conv_Fact</f>
        <v>32117.267520000001</v>
      </c>
      <c r="O2341" s="8">
        <f ca="1">O2326*Intv_BA!$M$3066/TS_Denom_Conv_Fact</f>
        <v>32117.267520000001</v>
      </c>
    </row>
    <row r="2342" spans="4:15" s="327" customFormat="1" ht="12.75" customHeight="1" outlineLevel="2" x14ac:dyDescent="0.2">
      <c r="D2342" s="594" t="str">
        <f>Intv_BA!D3119</f>
        <v>Muchinga</v>
      </c>
      <c r="J2342" s="8">
        <f ca="1">J2327*Intv_BA!$M$3066/TS_Denom_Conv_Fact</f>
        <v>0</v>
      </c>
      <c r="K2342" s="8">
        <f ca="1">K2327*Intv_BA!$M$3066/TS_Denom_Conv_Fact</f>
        <v>0</v>
      </c>
      <c r="L2342" s="8">
        <f ca="1">L2327*Intv_BA!$M$3066/TS_Denom_Conv_Fact</f>
        <v>0</v>
      </c>
      <c r="M2342" s="8">
        <f ca="1">M2327*Intv_BA!$M$3066/TS_Denom_Conv_Fact</f>
        <v>0</v>
      </c>
      <c r="N2342" s="8">
        <f ca="1">N2327*Intv_BA!$M$3066/TS_Denom_Conv_Fact</f>
        <v>0</v>
      </c>
      <c r="O2342" s="8">
        <f ca="1">O2327*Intv_BA!$M$3066/TS_Denom_Conv_Fact</f>
        <v>0</v>
      </c>
    </row>
    <row r="2343" spans="4:15" s="327" customFormat="1" ht="12.75" customHeight="1" outlineLevel="2" x14ac:dyDescent="0.2">
      <c r="D2343" s="594" t="str">
        <f>Intv_BA!D3120</f>
        <v>Northern</v>
      </c>
      <c r="J2343" s="8">
        <f ca="1">J2328*Intv_BA!$M$3066/TS_Denom_Conv_Fact</f>
        <v>0</v>
      </c>
      <c r="K2343" s="8">
        <f ca="1">K2328*Intv_BA!$M$3066/TS_Denom_Conv_Fact</f>
        <v>0</v>
      </c>
      <c r="L2343" s="8">
        <f ca="1">L2328*Intv_BA!$M$3066/TS_Denom_Conv_Fact</f>
        <v>0</v>
      </c>
      <c r="M2343" s="8">
        <f ca="1">M2328*Intv_BA!$M$3066/TS_Denom_Conv_Fact</f>
        <v>0</v>
      </c>
      <c r="N2343" s="8">
        <f ca="1">N2328*Intv_BA!$M$3066/TS_Denom_Conv_Fact</f>
        <v>0</v>
      </c>
      <c r="O2343" s="8">
        <f ca="1">O2328*Intv_BA!$M$3066/TS_Denom_Conv_Fact</f>
        <v>0</v>
      </c>
    </row>
    <row r="2344" spans="4:15" s="327" customFormat="1" ht="12.75" customHeight="1" outlineLevel="2" x14ac:dyDescent="0.2">
      <c r="D2344" s="594" t="str">
        <f>Intv_BA!D3121</f>
        <v>North-Western</v>
      </c>
      <c r="J2344" s="8">
        <f ca="1">J2329*Intv_BA!$M$3066/TS_Denom_Conv_Fact</f>
        <v>0</v>
      </c>
      <c r="K2344" s="8">
        <f ca="1">K2329*Intv_BA!$M$3066/TS_Denom_Conv_Fact</f>
        <v>0</v>
      </c>
      <c r="L2344" s="8">
        <f ca="1">L2329*Intv_BA!$M$3066/TS_Denom_Conv_Fact</f>
        <v>0</v>
      </c>
      <c r="M2344" s="8">
        <f ca="1">M2329*Intv_BA!$M$3066/TS_Denom_Conv_Fact</f>
        <v>0</v>
      </c>
      <c r="N2344" s="8">
        <f ca="1">N2329*Intv_BA!$M$3066/TS_Denom_Conv_Fact</f>
        <v>0</v>
      </c>
      <c r="O2344" s="8">
        <f ca="1">O2329*Intv_BA!$M$3066/TS_Denom_Conv_Fact</f>
        <v>0</v>
      </c>
    </row>
    <row r="2345" spans="4:15" s="327" customFormat="1" ht="12.75" customHeight="1" outlineLevel="2" x14ac:dyDescent="0.2">
      <c r="D2345" s="594" t="str">
        <f>Intv_BA!D3122</f>
        <v>Southern</v>
      </c>
      <c r="J2345" s="8">
        <f ca="1">J2330*Intv_BA!$M$3066/TS_Denom_Conv_Fact</f>
        <v>12105.739296</v>
      </c>
      <c r="K2345" s="8">
        <f ca="1">K2330*Intv_BA!$M$3066/TS_Denom_Conv_Fact</f>
        <v>12105.739296</v>
      </c>
      <c r="L2345" s="8">
        <f ca="1">L2330*Intv_BA!$M$3066/TS_Denom_Conv_Fact</f>
        <v>12105.739296</v>
      </c>
      <c r="M2345" s="8">
        <f ca="1">M2330*Intv_BA!$M$3066/TS_Denom_Conv_Fact</f>
        <v>12105.739296</v>
      </c>
      <c r="N2345" s="8">
        <f ca="1">N2330*Intv_BA!$M$3066/TS_Denom_Conv_Fact</f>
        <v>12105.739296</v>
      </c>
      <c r="O2345" s="8">
        <f ca="1">O2330*Intv_BA!$M$3066/TS_Denom_Conv_Fact</f>
        <v>12105.739296</v>
      </c>
    </row>
    <row r="2346" spans="4:15" s="327" customFormat="1" ht="12.75" customHeight="1" outlineLevel="2" x14ac:dyDescent="0.2">
      <c r="D2346" s="594" t="str">
        <f>Intv_BA!D3123</f>
        <v>Western</v>
      </c>
      <c r="J2346" s="9">
        <f ca="1">J2331*Intv_BA!$M$3066/TS_Denom_Conv_Fact</f>
        <v>0</v>
      </c>
      <c r="K2346" s="9">
        <f ca="1">K2331*Intv_BA!$M$3066/TS_Denom_Conv_Fact</f>
        <v>0</v>
      </c>
      <c r="L2346" s="9">
        <f ca="1">L2331*Intv_BA!$M$3066/TS_Denom_Conv_Fact</f>
        <v>0</v>
      </c>
      <c r="M2346" s="9">
        <f ca="1">M2331*Intv_BA!$M$3066/TS_Denom_Conv_Fact</f>
        <v>0</v>
      </c>
      <c r="N2346" s="9">
        <f ca="1">N2331*Intv_BA!$M$3066/TS_Denom_Conv_Fact</f>
        <v>0</v>
      </c>
      <c r="O2346" s="9">
        <f ca="1">O2331*Intv_BA!$M$3066/TS_Denom_Conv_Fact</f>
        <v>0</v>
      </c>
    </row>
    <row r="2347" spans="4:15" s="327" customFormat="1" x14ac:dyDescent="0.2">
      <c r="D2347" s="596" t="str">
        <f>"Total "&amp;D2336&amp;" ("&amp;INDEX(LU_Intv_6_Denom,DD_TS_Denom)&amp;")"</f>
        <v>Total Supply Costs (USD)</v>
      </c>
      <c r="J2347" s="5">
        <f t="shared" ref="J2347:O2347" ca="1" si="224">SUM(J2337:J2346)</f>
        <v>56328.746112000001</v>
      </c>
      <c r="K2347" s="5">
        <f t="shared" ca="1" si="224"/>
        <v>56328.746112000001</v>
      </c>
      <c r="L2347" s="5">
        <f t="shared" ca="1" si="224"/>
        <v>56328.746112000001</v>
      </c>
      <c r="M2347" s="5">
        <f t="shared" ca="1" si="224"/>
        <v>56328.746112000001</v>
      </c>
      <c r="N2347" s="5">
        <f t="shared" ca="1" si="224"/>
        <v>56328.746112000001</v>
      </c>
      <c r="O2347" s="5">
        <f t="shared" ca="1" si="224"/>
        <v>56328.746112000001</v>
      </c>
    </row>
    <row r="2348" spans="4:15" s="327" customFormat="1" outlineLevel="2" x14ac:dyDescent="0.2"/>
    <row r="2349" spans="4:15" s="327" customFormat="1" ht="15" outlineLevel="2" x14ac:dyDescent="0.2">
      <c r="D2349" s="595" t="s">
        <v>288</v>
      </c>
    </row>
    <row r="2350" spans="4:15" s="327" customFormat="1" outlineLevel="2" x14ac:dyDescent="0.2">
      <c r="D2350" s="594" t="str">
        <f>Intv_BA!D3114</f>
        <v>Central</v>
      </c>
      <c r="J2350" s="8">
        <f ca="1">Intv_BA!$O$3037*J2322*J2241/TS_Denom_Conv_Fact</f>
        <v>0</v>
      </c>
      <c r="K2350" s="8">
        <f ca="1">Intv_BA!$O$3037*K2322*K2241/TS_Denom_Conv_Fact</f>
        <v>0</v>
      </c>
      <c r="L2350" s="8">
        <f ca="1">Intv_BA!$O$3037*L2322*L2241/TS_Denom_Conv_Fact</f>
        <v>0</v>
      </c>
      <c r="M2350" s="8">
        <f ca="1">Intv_BA!$O$3037*M2322*M2241/TS_Denom_Conv_Fact</f>
        <v>0</v>
      </c>
      <c r="N2350" s="8">
        <f ca="1">Intv_BA!$O$3037*N2322*N2241/TS_Denom_Conv_Fact</f>
        <v>0</v>
      </c>
      <c r="O2350" s="8">
        <f ca="1">Intv_BA!$O$3037*O2322*O2241/TS_Denom_Conv_Fact</f>
        <v>0</v>
      </c>
    </row>
    <row r="2351" spans="4:15" s="327" customFormat="1" outlineLevel="2" x14ac:dyDescent="0.2">
      <c r="D2351" s="594" t="str">
        <f>Intv_BA!D3115</f>
        <v>Copperbelt</v>
      </c>
      <c r="J2351" s="8">
        <f ca="1">Intv_BA!$O$3037*J2323*J2242/TS_Denom_Conv_Fact</f>
        <v>6483.8919939440057</v>
      </c>
      <c r="K2351" s="8">
        <f ca="1">Intv_BA!$O$3037*K2323*K2242/TS_Denom_Conv_Fact</f>
        <v>6483.8919939440057</v>
      </c>
      <c r="L2351" s="8">
        <f ca="1">Intv_BA!$O$3037*L2323*L2242/TS_Denom_Conv_Fact</f>
        <v>6483.8919939440057</v>
      </c>
      <c r="M2351" s="8">
        <f ca="1">Intv_BA!$O$3037*M2323*M2242/TS_Denom_Conv_Fact</f>
        <v>6483.8919939440057</v>
      </c>
      <c r="N2351" s="8">
        <f ca="1">Intv_BA!$O$3037*N2323*N2242/TS_Denom_Conv_Fact</f>
        <v>6483.8919939440057</v>
      </c>
      <c r="O2351" s="8">
        <f ca="1">Intv_BA!$O$3037*O2323*O2242/TS_Denom_Conv_Fact</f>
        <v>6483.8919939440057</v>
      </c>
    </row>
    <row r="2352" spans="4:15" s="327" customFormat="1" outlineLevel="2" x14ac:dyDescent="0.2">
      <c r="D2352" s="594" t="str">
        <f>Intv_BA!D3116</f>
        <v>Eastern</v>
      </c>
      <c r="J2352" s="8">
        <f ca="1">Intv_BA!$O$3037*J2324*J2243/TS_Denom_Conv_Fact</f>
        <v>0</v>
      </c>
      <c r="K2352" s="8">
        <f ca="1">Intv_BA!$O$3037*K2324*K2243/TS_Denom_Conv_Fact</f>
        <v>0</v>
      </c>
      <c r="L2352" s="8">
        <f ca="1">Intv_BA!$O$3037*L2324*L2243/TS_Denom_Conv_Fact</f>
        <v>0</v>
      </c>
      <c r="M2352" s="8">
        <f ca="1">Intv_BA!$O$3037*M2324*M2243/TS_Denom_Conv_Fact</f>
        <v>0</v>
      </c>
      <c r="N2352" s="8">
        <f ca="1">Intv_BA!$O$3037*N2324*N2243/TS_Denom_Conv_Fact</f>
        <v>0</v>
      </c>
      <c r="O2352" s="8">
        <f ca="1">Intv_BA!$O$3037*O2324*O2243/TS_Denom_Conv_Fact</f>
        <v>0</v>
      </c>
    </row>
    <row r="2353" spans="4:15" s="327" customFormat="1" outlineLevel="2" x14ac:dyDescent="0.2">
      <c r="D2353" s="594" t="str">
        <f>Intv_BA!D3117</f>
        <v>Luapula</v>
      </c>
      <c r="J2353" s="8">
        <f ca="1">Intv_BA!$O$3037*J2325*J2244/TS_Denom_Conv_Fact</f>
        <v>0</v>
      </c>
      <c r="K2353" s="8">
        <f ca="1">Intv_BA!$O$3037*K2325*K2244/TS_Denom_Conv_Fact</f>
        <v>0</v>
      </c>
      <c r="L2353" s="8">
        <f ca="1">Intv_BA!$O$3037*L2325*L2244/TS_Denom_Conv_Fact</f>
        <v>0</v>
      </c>
      <c r="M2353" s="8">
        <f ca="1">Intv_BA!$O$3037*M2325*M2244/TS_Denom_Conv_Fact</f>
        <v>0</v>
      </c>
      <c r="N2353" s="8">
        <f ca="1">Intv_BA!$O$3037*N2325*N2244/TS_Denom_Conv_Fact</f>
        <v>0</v>
      </c>
      <c r="O2353" s="8">
        <f ca="1">Intv_BA!$O$3037*O2325*O2244/TS_Denom_Conv_Fact</f>
        <v>0</v>
      </c>
    </row>
    <row r="2354" spans="4:15" s="327" customFormat="1" outlineLevel="2" x14ac:dyDescent="0.2">
      <c r="D2354" s="594" t="str">
        <f>Intv_BA!D3118</f>
        <v>Lusaka</v>
      </c>
      <c r="J2354" s="8">
        <f ca="1">Intv_BA!$O$3037*J2326*J2245/TS_Denom_Conv_Fact</f>
        <v>17202.162432912668</v>
      </c>
      <c r="K2354" s="8">
        <f ca="1">Intv_BA!$O$3037*K2326*K2245/TS_Denom_Conv_Fact</f>
        <v>17202.162432912668</v>
      </c>
      <c r="L2354" s="8">
        <f ca="1">Intv_BA!$O$3037*L2326*L2245/TS_Denom_Conv_Fact</f>
        <v>17202.162432912668</v>
      </c>
      <c r="M2354" s="8">
        <f ca="1">Intv_BA!$O$3037*M2326*M2245/TS_Denom_Conv_Fact</f>
        <v>17202.162432912668</v>
      </c>
      <c r="N2354" s="8">
        <f ca="1">Intv_BA!$O$3037*N2326*N2245/TS_Denom_Conv_Fact</f>
        <v>17202.162432912668</v>
      </c>
      <c r="O2354" s="8">
        <f ca="1">Intv_BA!$O$3037*O2326*O2245/TS_Denom_Conv_Fact</f>
        <v>17202.162432912668</v>
      </c>
    </row>
    <row r="2355" spans="4:15" s="327" customFormat="1" outlineLevel="2" x14ac:dyDescent="0.2">
      <c r="D2355" s="594" t="str">
        <f>Intv_BA!D3119</f>
        <v>Muchinga</v>
      </c>
      <c r="J2355" s="8">
        <f ca="1">Intv_BA!$O$3037*J2327*J2246/TS_Denom_Conv_Fact</f>
        <v>0</v>
      </c>
      <c r="K2355" s="8">
        <f ca="1">Intv_BA!$O$3037*K2327*K2246/TS_Denom_Conv_Fact</f>
        <v>0</v>
      </c>
      <c r="L2355" s="8">
        <f ca="1">Intv_BA!$O$3037*L2327*L2246/TS_Denom_Conv_Fact</f>
        <v>0</v>
      </c>
      <c r="M2355" s="8">
        <f ca="1">Intv_BA!$O$3037*M2327*M2246/TS_Denom_Conv_Fact</f>
        <v>0</v>
      </c>
      <c r="N2355" s="8">
        <f ca="1">Intv_BA!$O$3037*N2327*N2246/TS_Denom_Conv_Fact</f>
        <v>0</v>
      </c>
      <c r="O2355" s="8">
        <f ca="1">Intv_BA!$O$3037*O2327*O2246/TS_Denom_Conv_Fact</f>
        <v>0</v>
      </c>
    </row>
    <row r="2356" spans="4:15" s="327" customFormat="1" outlineLevel="2" x14ac:dyDescent="0.2">
      <c r="D2356" s="594" t="str">
        <f>Intv_BA!D3120</f>
        <v>Northern</v>
      </c>
      <c r="J2356" s="8">
        <f ca="1">Intv_BA!$O$3037*J2328*J2247/TS_Denom_Conv_Fact</f>
        <v>0</v>
      </c>
      <c r="K2356" s="8">
        <f ca="1">Intv_BA!$O$3037*K2328*K2247/TS_Denom_Conv_Fact</f>
        <v>0</v>
      </c>
      <c r="L2356" s="8">
        <f ca="1">Intv_BA!$O$3037*L2328*L2247/TS_Denom_Conv_Fact</f>
        <v>0</v>
      </c>
      <c r="M2356" s="8">
        <f ca="1">Intv_BA!$O$3037*M2328*M2247/TS_Denom_Conv_Fact</f>
        <v>0</v>
      </c>
      <c r="N2356" s="8">
        <f ca="1">Intv_BA!$O$3037*N2328*N2247/TS_Denom_Conv_Fact</f>
        <v>0</v>
      </c>
      <c r="O2356" s="8">
        <f ca="1">Intv_BA!$O$3037*O2328*O2247/TS_Denom_Conv_Fact</f>
        <v>0</v>
      </c>
    </row>
    <row r="2357" spans="4:15" s="327" customFormat="1" outlineLevel="2" x14ac:dyDescent="0.2">
      <c r="D2357" s="594" t="str">
        <f>Intv_BA!D3121</f>
        <v>North-Western</v>
      </c>
      <c r="J2357" s="8">
        <f ca="1">Intv_BA!$O$3037*J2329*J2248/TS_Denom_Conv_Fact</f>
        <v>0</v>
      </c>
      <c r="K2357" s="8">
        <f ca="1">Intv_BA!$O$3037*K2329*K2248/TS_Denom_Conv_Fact</f>
        <v>0</v>
      </c>
      <c r="L2357" s="8">
        <f ca="1">Intv_BA!$O$3037*L2329*L2248/TS_Denom_Conv_Fact</f>
        <v>0</v>
      </c>
      <c r="M2357" s="8">
        <f ca="1">Intv_BA!$O$3037*M2329*M2248/TS_Denom_Conv_Fact</f>
        <v>0</v>
      </c>
      <c r="N2357" s="8">
        <f ca="1">Intv_BA!$O$3037*N2329*N2248/TS_Denom_Conv_Fact</f>
        <v>0</v>
      </c>
      <c r="O2357" s="8">
        <f ca="1">Intv_BA!$O$3037*O2329*O2248/TS_Denom_Conv_Fact</f>
        <v>0</v>
      </c>
    </row>
    <row r="2358" spans="4:15" s="327" customFormat="1" outlineLevel="2" x14ac:dyDescent="0.2">
      <c r="D2358" s="594" t="str">
        <f>Intv_BA!D3122</f>
        <v>Southern</v>
      </c>
      <c r="J2358" s="8">
        <f ca="1">Intv_BA!$O$3037*J2330*J2249/TS_Denom_Conv_Fact</f>
        <v>6483.8919939440057</v>
      </c>
      <c r="K2358" s="8">
        <f ca="1">Intv_BA!$O$3037*K2330*K2249/TS_Denom_Conv_Fact</f>
        <v>6483.8919939440057</v>
      </c>
      <c r="L2358" s="8">
        <f ca="1">Intv_BA!$O$3037*L2330*L2249/TS_Denom_Conv_Fact</f>
        <v>6483.8919939440057</v>
      </c>
      <c r="M2358" s="8">
        <f ca="1">Intv_BA!$O$3037*M2330*M2249/TS_Denom_Conv_Fact</f>
        <v>6483.8919939440057</v>
      </c>
      <c r="N2358" s="8">
        <f ca="1">Intv_BA!$O$3037*N2330*N2249/TS_Denom_Conv_Fact</f>
        <v>6483.8919939440057</v>
      </c>
      <c r="O2358" s="8">
        <f ca="1">Intv_BA!$O$3037*O2330*O2249/TS_Denom_Conv_Fact</f>
        <v>6483.8919939440057</v>
      </c>
    </row>
    <row r="2359" spans="4:15" s="327" customFormat="1" outlineLevel="2" x14ac:dyDescent="0.2">
      <c r="D2359" s="594" t="str">
        <f>Intv_BA!D3123</f>
        <v>Western</v>
      </c>
      <c r="J2359" s="9">
        <f ca="1">Intv_BA!$O$3037*J2331*J2250/TS_Denom_Conv_Fact</f>
        <v>0</v>
      </c>
      <c r="K2359" s="9">
        <f ca="1">Intv_BA!$O$3037*K2331*K2250/TS_Denom_Conv_Fact</f>
        <v>0</v>
      </c>
      <c r="L2359" s="9">
        <f ca="1">Intv_BA!$O$3037*L2331*L2250/TS_Denom_Conv_Fact</f>
        <v>0</v>
      </c>
      <c r="M2359" s="9">
        <f ca="1">Intv_BA!$O$3037*M2331*M2250/TS_Denom_Conv_Fact</f>
        <v>0</v>
      </c>
      <c r="N2359" s="9">
        <f ca="1">Intv_BA!$O$3037*N2331*N2250/TS_Denom_Conv_Fact</f>
        <v>0</v>
      </c>
      <c r="O2359" s="9">
        <f ca="1">Intv_BA!$O$3037*O2331*O2250/TS_Denom_Conv_Fact</f>
        <v>0</v>
      </c>
    </row>
    <row r="2360" spans="4:15" s="327" customFormat="1" x14ac:dyDescent="0.2">
      <c r="D2360" s="596" t="str">
        <f>"Total "&amp;D2349&amp;" ("&amp;INDEX(LU_Intv_6_Denom,DD_TS_Denom)&amp;")"</f>
        <v>Total Personnel Costs (Hospital) (USD)</v>
      </c>
      <c r="J2360" s="5">
        <f t="shared" ref="J2360:O2360" ca="1" si="225">SUM(J2350:J2359)</f>
        <v>30169.946420800679</v>
      </c>
      <c r="K2360" s="5">
        <f t="shared" ca="1" si="225"/>
        <v>30169.946420800679</v>
      </c>
      <c r="L2360" s="5">
        <f t="shared" ca="1" si="225"/>
        <v>30169.946420800679</v>
      </c>
      <c r="M2360" s="5">
        <f t="shared" ca="1" si="225"/>
        <v>30169.946420800679</v>
      </c>
      <c r="N2360" s="5">
        <f t="shared" ca="1" si="225"/>
        <v>30169.946420800679</v>
      </c>
      <c r="O2360" s="5">
        <f t="shared" ca="1" si="225"/>
        <v>30169.946420800679</v>
      </c>
    </row>
    <row r="2361" spans="4:15" s="327" customFormat="1" outlineLevel="2" x14ac:dyDescent="0.2"/>
    <row r="2362" spans="4:15" s="327" customFormat="1" ht="15" outlineLevel="2" x14ac:dyDescent="0.2">
      <c r="D2362" s="595" t="s">
        <v>115</v>
      </c>
    </row>
    <row r="2363" spans="4:15" s="327" customFormat="1" outlineLevel="2" x14ac:dyDescent="0.2">
      <c r="D2363" s="594" t="str">
        <f>Intv_BA!D3114</f>
        <v>Central</v>
      </c>
      <c r="J2363" s="8">
        <f ca="1">Intv_BA!$O$3051*J2322*(1-J2241)/TS_Denom_Conv_Fact</f>
        <v>0</v>
      </c>
      <c r="K2363" s="8">
        <f ca="1">Intv_BA!$O$3051*K2322*(1-K2241)/TS_Denom_Conv_Fact</f>
        <v>0</v>
      </c>
      <c r="L2363" s="8">
        <f ca="1">Intv_BA!$O$3051*L2322*(1-L2241)/TS_Denom_Conv_Fact</f>
        <v>0</v>
      </c>
      <c r="M2363" s="8">
        <f ca="1">Intv_BA!$O$3051*M2322*(1-M2241)/TS_Denom_Conv_Fact</f>
        <v>0</v>
      </c>
      <c r="N2363" s="8">
        <f ca="1">Intv_BA!$O$3051*N2322*(1-N2241)/TS_Denom_Conv_Fact</f>
        <v>0</v>
      </c>
      <c r="O2363" s="8">
        <f ca="1">Intv_BA!$O$3051*O2322*(1-O2241)/TS_Denom_Conv_Fact</f>
        <v>0</v>
      </c>
    </row>
    <row r="2364" spans="4:15" s="327" customFormat="1" outlineLevel="2" x14ac:dyDescent="0.2">
      <c r="D2364" s="594" t="str">
        <f>Intv_BA!D3115</f>
        <v>Copperbelt</v>
      </c>
      <c r="J2364" s="8">
        <f ca="1">Intv_BA!$O$3051*J2323*(1-J2242)/TS_Denom_Conv_Fact</f>
        <v>0</v>
      </c>
      <c r="K2364" s="8">
        <f ca="1">Intv_BA!$O$3051*K2323*(1-K2242)/TS_Denom_Conv_Fact</f>
        <v>0</v>
      </c>
      <c r="L2364" s="8">
        <f ca="1">Intv_BA!$O$3051*L2323*(1-L2242)/TS_Denom_Conv_Fact</f>
        <v>0</v>
      </c>
      <c r="M2364" s="8">
        <f ca="1">Intv_BA!$O$3051*M2323*(1-M2242)/TS_Denom_Conv_Fact</f>
        <v>0</v>
      </c>
      <c r="N2364" s="8">
        <f ca="1">Intv_BA!$O$3051*N2323*(1-N2242)/TS_Denom_Conv_Fact</f>
        <v>0</v>
      </c>
      <c r="O2364" s="8">
        <f ca="1">Intv_BA!$O$3051*O2323*(1-O2242)/TS_Denom_Conv_Fact</f>
        <v>0</v>
      </c>
    </row>
    <row r="2365" spans="4:15" s="327" customFormat="1" outlineLevel="2" x14ac:dyDescent="0.2">
      <c r="D2365" s="594" t="str">
        <f>Intv_BA!D3116</f>
        <v>Eastern</v>
      </c>
      <c r="J2365" s="8">
        <f ca="1">Intv_BA!$O$3051*J2324*(1-J2243)/TS_Denom_Conv_Fact</f>
        <v>0</v>
      </c>
      <c r="K2365" s="8">
        <f ca="1">Intv_BA!$O$3051*K2324*(1-K2243)/TS_Denom_Conv_Fact</f>
        <v>0</v>
      </c>
      <c r="L2365" s="8">
        <f ca="1">Intv_BA!$O$3051*L2324*(1-L2243)/TS_Denom_Conv_Fact</f>
        <v>0</v>
      </c>
      <c r="M2365" s="8">
        <f ca="1">Intv_BA!$O$3051*M2324*(1-M2243)/TS_Denom_Conv_Fact</f>
        <v>0</v>
      </c>
      <c r="N2365" s="8">
        <f ca="1">Intv_BA!$O$3051*N2324*(1-N2243)/TS_Denom_Conv_Fact</f>
        <v>0</v>
      </c>
      <c r="O2365" s="8">
        <f ca="1">Intv_BA!$O$3051*O2324*(1-O2243)/TS_Denom_Conv_Fact</f>
        <v>0</v>
      </c>
    </row>
    <row r="2366" spans="4:15" s="327" customFormat="1" outlineLevel="2" x14ac:dyDescent="0.2">
      <c r="D2366" s="594" t="str">
        <f>Intv_BA!D3117</f>
        <v>Luapula</v>
      </c>
      <c r="J2366" s="8">
        <f ca="1">Intv_BA!$O$3051*J2325*(1-J2244)/TS_Denom_Conv_Fact</f>
        <v>0</v>
      </c>
      <c r="K2366" s="8">
        <f ca="1">Intv_BA!$O$3051*K2325*(1-K2244)/TS_Denom_Conv_Fact</f>
        <v>0</v>
      </c>
      <c r="L2366" s="8">
        <f ca="1">Intv_BA!$O$3051*L2325*(1-L2244)/TS_Denom_Conv_Fact</f>
        <v>0</v>
      </c>
      <c r="M2366" s="8">
        <f ca="1">Intv_BA!$O$3051*M2325*(1-M2244)/TS_Denom_Conv_Fact</f>
        <v>0</v>
      </c>
      <c r="N2366" s="8">
        <f ca="1">Intv_BA!$O$3051*N2325*(1-N2244)/TS_Denom_Conv_Fact</f>
        <v>0</v>
      </c>
      <c r="O2366" s="8">
        <f ca="1">Intv_BA!$O$3051*O2325*(1-O2244)/TS_Denom_Conv_Fact</f>
        <v>0</v>
      </c>
    </row>
    <row r="2367" spans="4:15" s="327" customFormat="1" outlineLevel="2" x14ac:dyDescent="0.2">
      <c r="D2367" s="594" t="str">
        <f>Intv_BA!D3118</f>
        <v>Lusaka</v>
      </c>
      <c r="J2367" s="8">
        <f ca="1">Intv_BA!$O$3051*J2326*(1-J2245)/TS_Denom_Conv_Fact</f>
        <v>0</v>
      </c>
      <c r="K2367" s="8">
        <f ca="1">Intv_BA!$O$3051*K2326*(1-K2245)/TS_Denom_Conv_Fact</f>
        <v>0</v>
      </c>
      <c r="L2367" s="8">
        <f ca="1">Intv_BA!$O$3051*L2326*(1-L2245)/TS_Denom_Conv_Fact</f>
        <v>0</v>
      </c>
      <c r="M2367" s="8">
        <f ca="1">Intv_BA!$O$3051*M2326*(1-M2245)/TS_Denom_Conv_Fact</f>
        <v>0</v>
      </c>
      <c r="N2367" s="8">
        <f ca="1">Intv_BA!$O$3051*N2326*(1-N2245)/TS_Denom_Conv_Fact</f>
        <v>0</v>
      </c>
      <c r="O2367" s="8">
        <f ca="1">Intv_BA!$O$3051*O2326*(1-O2245)/TS_Denom_Conv_Fact</f>
        <v>0</v>
      </c>
    </row>
    <row r="2368" spans="4:15" s="327" customFormat="1" outlineLevel="2" x14ac:dyDescent="0.2">
      <c r="D2368" s="594" t="str">
        <f>Intv_BA!D3119</f>
        <v>Muchinga</v>
      </c>
      <c r="J2368" s="8">
        <f ca="1">Intv_BA!$O$3051*J2327*(1-J2246)/TS_Denom_Conv_Fact</f>
        <v>0</v>
      </c>
      <c r="K2368" s="8">
        <f ca="1">Intv_BA!$O$3051*K2327*(1-K2246)/TS_Denom_Conv_Fact</f>
        <v>0</v>
      </c>
      <c r="L2368" s="8">
        <f ca="1">Intv_BA!$O$3051*L2327*(1-L2246)/TS_Denom_Conv_Fact</f>
        <v>0</v>
      </c>
      <c r="M2368" s="8">
        <f ca="1">Intv_BA!$O$3051*M2327*(1-M2246)/TS_Denom_Conv_Fact</f>
        <v>0</v>
      </c>
      <c r="N2368" s="8">
        <f ca="1">Intv_BA!$O$3051*N2327*(1-N2246)/TS_Denom_Conv_Fact</f>
        <v>0</v>
      </c>
      <c r="O2368" s="8">
        <f ca="1">Intv_BA!$O$3051*O2327*(1-O2246)/TS_Denom_Conv_Fact</f>
        <v>0</v>
      </c>
    </row>
    <row r="2369" spans="4:15" s="327" customFormat="1" outlineLevel="2" x14ac:dyDescent="0.2">
      <c r="D2369" s="594" t="str">
        <f>Intv_BA!D3120</f>
        <v>Northern</v>
      </c>
      <c r="J2369" s="8">
        <f ca="1">Intv_BA!$O$3051*J2328*(1-J2247)/TS_Denom_Conv_Fact</f>
        <v>0</v>
      </c>
      <c r="K2369" s="8">
        <f ca="1">Intv_BA!$O$3051*K2328*(1-K2247)/TS_Denom_Conv_Fact</f>
        <v>0</v>
      </c>
      <c r="L2369" s="8">
        <f ca="1">Intv_BA!$O$3051*L2328*(1-L2247)/TS_Denom_Conv_Fact</f>
        <v>0</v>
      </c>
      <c r="M2369" s="8">
        <f ca="1">Intv_BA!$O$3051*M2328*(1-M2247)/TS_Denom_Conv_Fact</f>
        <v>0</v>
      </c>
      <c r="N2369" s="8">
        <f ca="1">Intv_BA!$O$3051*N2328*(1-N2247)/TS_Denom_Conv_Fact</f>
        <v>0</v>
      </c>
      <c r="O2369" s="8">
        <f ca="1">Intv_BA!$O$3051*O2328*(1-O2247)/TS_Denom_Conv_Fact</f>
        <v>0</v>
      </c>
    </row>
    <row r="2370" spans="4:15" s="327" customFormat="1" outlineLevel="2" x14ac:dyDescent="0.2">
      <c r="D2370" s="594" t="str">
        <f>Intv_BA!D3121</f>
        <v>North-Western</v>
      </c>
      <c r="J2370" s="8">
        <f ca="1">Intv_BA!$O$3051*J2329*(1-J2248)/TS_Denom_Conv_Fact</f>
        <v>0</v>
      </c>
      <c r="K2370" s="8">
        <f ca="1">Intv_BA!$O$3051*K2329*(1-K2248)/TS_Denom_Conv_Fact</f>
        <v>0</v>
      </c>
      <c r="L2370" s="8">
        <f ca="1">Intv_BA!$O$3051*L2329*(1-L2248)/TS_Denom_Conv_Fact</f>
        <v>0</v>
      </c>
      <c r="M2370" s="8">
        <f ca="1">Intv_BA!$O$3051*M2329*(1-M2248)/TS_Denom_Conv_Fact</f>
        <v>0</v>
      </c>
      <c r="N2370" s="8">
        <f ca="1">Intv_BA!$O$3051*N2329*(1-N2248)/TS_Denom_Conv_Fact</f>
        <v>0</v>
      </c>
      <c r="O2370" s="8">
        <f ca="1">Intv_BA!$O$3051*O2329*(1-O2248)/TS_Denom_Conv_Fact</f>
        <v>0</v>
      </c>
    </row>
    <row r="2371" spans="4:15" s="327" customFormat="1" outlineLevel="2" x14ac:dyDescent="0.2">
      <c r="D2371" s="594" t="str">
        <f>Intv_BA!D3122</f>
        <v>Southern</v>
      </c>
      <c r="J2371" s="8">
        <f ca="1">Intv_BA!$O$3051*J2330*(1-J2249)/TS_Denom_Conv_Fact</f>
        <v>0</v>
      </c>
      <c r="K2371" s="8">
        <f ca="1">Intv_BA!$O$3051*K2330*(1-K2249)/TS_Denom_Conv_Fact</f>
        <v>0</v>
      </c>
      <c r="L2371" s="8">
        <f ca="1">Intv_BA!$O$3051*L2330*(1-L2249)/TS_Denom_Conv_Fact</f>
        <v>0</v>
      </c>
      <c r="M2371" s="8">
        <f ca="1">Intv_BA!$O$3051*M2330*(1-M2249)/TS_Denom_Conv_Fact</f>
        <v>0</v>
      </c>
      <c r="N2371" s="8">
        <f ca="1">Intv_BA!$O$3051*N2330*(1-N2249)/TS_Denom_Conv_Fact</f>
        <v>0</v>
      </c>
      <c r="O2371" s="8">
        <f ca="1">Intv_BA!$O$3051*O2330*(1-O2249)/TS_Denom_Conv_Fact</f>
        <v>0</v>
      </c>
    </row>
    <row r="2372" spans="4:15" s="327" customFormat="1" outlineLevel="2" x14ac:dyDescent="0.2">
      <c r="D2372" s="594" t="str">
        <f>Intv_BA!D3123</f>
        <v>Western</v>
      </c>
      <c r="J2372" s="9">
        <f ca="1">Intv_BA!$O$3051*J2331*(1-J2250)/TS_Denom_Conv_Fact</f>
        <v>0</v>
      </c>
      <c r="K2372" s="9">
        <f ca="1">Intv_BA!$O$3051*K2331*(1-K2250)/TS_Denom_Conv_Fact</f>
        <v>0</v>
      </c>
      <c r="L2372" s="9">
        <f ca="1">Intv_BA!$O$3051*L2331*(1-L2250)/TS_Denom_Conv_Fact</f>
        <v>0</v>
      </c>
      <c r="M2372" s="9">
        <f ca="1">Intv_BA!$O$3051*M2331*(1-M2250)/TS_Denom_Conv_Fact</f>
        <v>0</v>
      </c>
      <c r="N2372" s="9">
        <f ca="1">Intv_BA!$O$3051*N2331*(1-N2250)/TS_Denom_Conv_Fact</f>
        <v>0</v>
      </c>
      <c r="O2372" s="9">
        <f ca="1">Intv_BA!$O$3051*O2331*(1-O2250)/TS_Denom_Conv_Fact</f>
        <v>0</v>
      </c>
    </row>
    <row r="2373" spans="4:15" s="327" customFormat="1" x14ac:dyDescent="0.2">
      <c r="D2373" s="596" t="str">
        <f>"Total "&amp;D2362&amp;" ("&amp;INDEX(LU_Intv_6_Denom,DD_TS_Denom)&amp;")"</f>
        <v>Total Personnel Costs (Other) (USD)</v>
      </c>
      <c r="J2373" s="5">
        <f t="shared" ref="J2373:O2373" ca="1" si="226">SUM(J2363:J2372)</f>
        <v>0</v>
      </c>
      <c r="K2373" s="5">
        <f t="shared" ca="1" si="226"/>
        <v>0</v>
      </c>
      <c r="L2373" s="5">
        <f t="shared" ca="1" si="226"/>
        <v>0</v>
      </c>
      <c r="M2373" s="5">
        <f t="shared" ca="1" si="226"/>
        <v>0</v>
      </c>
      <c r="N2373" s="5">
        <f t="shared" ca="1" si="226"/>
        <v>0</v>
      </c>
      <c r="O2373" s="5">
        <f t="shared" ca="1" si="226"/>
        <v>0</v>
      </c>
    </row>
    <row r="2374" spans="4:15" s="327" customFormat="1" outlineLevel="2" x14ac:dyDescent="0.2"/>
    <row r="2375" spans="4:15" s="327" customFormat="1" ht="15" outlineLevel="2" x14ac:dyDescent="0.2">
      <c r="D2375" s="595" t="s">
        <v>143</v>
      </c>
    </row>
    <row r="2376" spans="4:15" s="327" customFormat="1" outlineLevel="2" x14ac:dyDescent="0.2">
      <c r="D2376" s="594" t="str">
        <f>Intv_BA!D3114</f>
        <v>Central</v>
      </c>
      <c r="J2376" s="8">
        <f ca="1">J2322*Intv_BA!$M$3104/TS_Denom_Conv_Fact</f>
        <v>0</v>
      </c>
      <c r="K2376" s="8">
        <f ca="1">K2322*Intv_BA!$M$3104/TS_Denom_Conv_Fact</f>
        <v>0</v>
      </c>
      <c r="L2376" s="8">
        <f ca="1">L2322*Intv_BA!$M$3104/TS_Denom_Conv_Fact</f>
        <v>0</v>
      </c>
      <c r="M2376" s="8">
        <f ca="1">M2322*Intv_BA!$M$3104/TS_Denom_Conv_Fact</f>
        <v>0</v>
      </c>
      <c r="N2376" s="8">
        <f ca="1">N2322*Intv_BA!$M$3104/TS_Denom_Conv_Fact</f>
        <v>0</v>
      </c>
      <c r="O2376" s="8">
        <f ca="1">O2322*Intv_BA!$M$3104/TS_Denom_Conv_Fact</f>
        <v>0</v>
      </c>
    </row>
    <row r="2377" spans="4:15" s="327" customFormat="1" outlineLevel="2" x14ac:dyDescent="0.2">
      <c r="D2377" s="594" t="str">
        <f>Intv_BA!D3115</f>
        <v>Copperbelt</v>
      </c>
      <c r="J2377" s="8">
        <f ca="1">J2323*Intv_BA!$M$3104/TS_Denom_Conv_Fact</f>
        <v>0</v>
      </c>
      <c r="K2377" s="8">
        <f ca="1">K2323*Intv_BA!$M$3104/TS_Denom_Conv_Fact</f>
        <v>0</v>
      </c>
      <c r="L2377" s="8">
        <f ca="1">L2323*Intv_BA!$M$3104/TS_Denom_Conv_Fact</f>
        <v>0</v>
      </c>
      <c r="M2377" s="8">
        <f ca="1">M2323*Intv_BA!$M$3104/TS_Denom_Conv_Fact</f>
        <v>0</v>
      </c>
      <c r="N2377" s="8">
        <f ca="1">N2323*Intv_BA!$M$3104/TS_Denom_Conv_Fact</f>
        <v>0</v>
      </c>
      <c r="O2377" s="8">
        <f ca="1">O2323*Intv_BA!$M$3104/TS_Denom_Conv_Fact</f>
        <v>0</v>
      </c>
    </row>
    <row r="2378" spans="4:15" s="327" customFormat="1" outlineLevel="2" x14ac:dyDescent="0.2">
      <c r="D2378" s="594" t="str">
        <f>Intv_BA!D3116</f>
        <v>Eastern</v>
      </c>
      <c r="J2378" s="8">
        <f ca="1">J2324*Intv_BA!$M$3104/TS_Denom_Conv_Fact</f>
        <v>0</v>
      </c>
      <c r="K2378" s="8">
        <f ca="1">K2324*Intv_BA!$M$3104/TS_Denom_Conv_Fact</f>
        <v>0</v>
      </c>
      <c r="L2378" s="8">
        <f ca="1">L2324*Intv_BA!$M$3104/TS_Denom_Conv_Fact</f>
        <v>0</v>
      </c>
      <c r="M2378" s="8">
        <f ca="1">M2324*Intv_BA!$M$3104/TS_Denom_Conv_Fact</f>
        <v>0</v>
      </c>
      <c r="N2378" s="8">
        <f ca="1">N2324*Intv_BA!$M$3104/TS_Denom_Conv_Fact</f>
        <v>0</v>
      </c>
      <c r="O2378" s="8">
        <f ca="1">O2324*Intv_BA!$M$3104/TS_Denom_Conv_Fact</f>
        <v>0</v>
      </c>
    </row>
    <row r="2379" spans="4:15" s="327" customFormat="1" outlineLevel="2" x14ac:dyDescent="0.2">
      <c r="D2379" s="594" t="str">
        <f>Intv_BA!D3117</f>
        <v>Luapula</v>
      </c>
      <c r="J2379" s="8">
        <f ca="1">J2325*Intv_BA!$M$3104/TS_Denom_Conv_Fact</f>
        <v>0</v>
      </c>
      <c r="K2379" s="8">
        <f ca="1">K2325*Intv_BA!$M$3104/TS_Denom_Conv_Fact</f>
        <v>0</v>
      </c>
      <c r="L2379" s="8">
        <f ca="1">L2325*Intv_BA!$M$3104/TS_Denom_Conv_Fact</f>
        <v>0</v>
      </c>
      <c r="M2379" s="8">
        <f ca="1">M2325*Intv_BA!$M$3104/TS_Denom_Conv_Fact</f>
        <v>0</v>
      </c>
      <c r="N2379" s="8">
        <f ca="1">N2325*Intv_BA!$M$3104/TS_Denom_Conv_Fact</f>
        <v>0</v>
      </c>
      <c r="O2379" s="8">
        <f ca="1">O2325*Intv_BA!$M$3104/TS_Denom_Conv_Fact</f>
        <v>0</v>
      </c>
    </row>
    <row r="2380" spans="4:15" s="327" customFormat="1" outlineLevel="2" x14ac:dyDescent="0.2">
      <c r="D2380" s="594" t="str">
        <f>Intv_BA!D3118</f>
        <v>Lusaka</v>
      </c>
      <c r="J2380" s="8">
        <f ca="1">J2326*Intv_BA!$M$3104/TS_Denom_Conv_Fact</f>
        <v>0</v>
      </c>
      <c r="K2380" s="8">
        <f ca="1">K2326*Intv_BA!$M$3104/TS_Denom_Conv_Fact</f>
        <v>0</v>
      </c>
      <c r="L2380" s="8">
        <f ca="1">L2326*Intv_BA!$M$3104/TS_Denom_Conv_Fact</f>
        <v>0</v>
      </c>
      <c r="M2380" s="8">
        <f ca="1">M2326*Intv_BA!$M$3104/TS_Denom_Conv_Fact</f>
        <v>0</v>
      </c>
      <c r="N2380" s="8">
        <f ca="1">N2326*Intv_BA!$M$3104/TS_Denom_Conv_Fact</f>
        <v>0</v>
      </c>
      <c r="O2380" s="8">
        <f ca="1">O2326*Intv_BA!$M$3104/TS_Denom_Conv_Fact</f>
        <v>0</v>
      </c>
    </row>
    <row r="2381" spans="4:15" s="327" customFormat="1" outlineLevel="2" x14ac:dyDescent="0.2">
      <c r="D2381" s="594" t="str">
        <f>Intv_BA!D3119</f>
        <v>Muchinga</v>
      </c>
      <c r="J2381" s="8">
        <f ca="1">J2327*Intv_BA!$M$3104/TS_Denom_Conv_Fact</f>
        <v>0</v>
      </c>
      <c r="K2381" s="8">
        <f ca="1">K2327*Intv_BA!$M$3104/TS_Denom_Conv_Fact</f>
        <v>0</v>
      </c>
      <c r="L2381" s="8">
        <f ca="1">L2327*Intv_BA!$M$3104/TS_Denom_Conv_Fact</f>
        <v>0</v>
      </c>
      <c r="M2381" s="8">
        <f ca="1">M2327*Intv_BA!$M$3104/TS_Denom_Conv_Fact</f>
        <v>0</v>
      </c>
      <c r="N2381" s="8">
        <f ca="1">N2327*Intv_BA!$M$3104/TS_Denom_Conv_Fact</f>
        <v>0</v>
      </c>
      <c r="O2381" s="8">
        <f ca="1">O2327*Intv_BA!$M$3104/TS_Denom_Conv_Fact</f>
        <v>0</v>
      </c>
    </row>
    <row r="2382" spans="4:15" s="327" customFormat="1" outlineLevel="2" x14ac:dyDescent="0.2">
      <c r="D2382" s="594" t="str">
        <f>Intv_BA!D3120</f>
        <v>Northern</v>
      </c>
      <c r="J2382" s="8">
        <f ca="1">J2328*Intv_BA!$M$3104/TS_Denom_Conv_Fact</f>
        <v>0</v>
      </c>
      <c r="K2382" s="8">
        <f ca="1">K2328*Intv_BA!$M$3104/TS_Denom_Conv_Fact</f>
        <v>0</v>
      </c>
      <c r="L2382" s="8">
        <f ca="1">L2328*Intv_BA!$M$3104/TS_Denom_Conv_Fact</f>
        <v>0</v>
      </c>
      <c r="M2382" s="8">
        <f ca="1">M2328*Intv_BA!$M$3104/TS_Denom_Conv_Fact</f>
        <v>0</v>
      </c>
      <c r="N2382" s="8">
        <f ca="1">N2328*Intv_BA!$M$3104/TS_Denom_Conv_Fact</f>
        <v>0</v>
      </c>
      <c r="O2382" s="8">
        <f ca="1">O2328*Intv_BA!$M$3104/TS_Denom_Conv_Fact</f>
        <v>0</v>
      </c>
    </row>
    <row r="2383" spans="4:15" s="327" customFormat="1" outlineLevel="2" x14ac:dyDescent="0.2">
      <c r="D2383" s="594" t="str">
        <f>Intv_BA!D3121</f>
        <v>North-Western</v>
      </c>
      <c r="J2383" s="8">
        <f ca="1">J2329*Intv_BA!$M$3104/TS_Denom_Conv_Fact</f>
        <v>0</v>
      </c>
      <c r="K2383" s="8">
        <f ca="1">K2329*Intv_BA!$M$3104/TS_Denom_Conv_Fact</f>
        <v>0</v>
      </c>
      <c r="L2383" s="8">
        <f ca="1">L2329*Intv_BA!$M$3104/TS_Denom_Conv_Fact</f>
        <v>0</v>
      </c>
      <c r="M2383" s="8">
        <f ca="1">M2329*Intv_BA!$M$3104/TS_Denom_Conv_Fact</f>
        <v>0</v>
      </c>
      <c r="N2383" s="8">
        <f ca="1">N2329*Intv_BA!$M$3104/TS_Denom_Conv_Fact</f>
        <v>0</v>
      </c>
      <c r="O2383" s="8">
        <f ca="1">O2329*Intv_BA!$M$3104/TS_Denom_Conv_Fact</f>
        <v>0</v>
      </c>
    </row>
    <row r="2384" spans="4:15" s="327" customFormat="1" outlineLevel="2" x14ac:dyDescent="0.2">
      <c r="D2384" s="594" t="str">
        <f>Intv_BA!D3122</f>
        <v>Southern</v>
      </c>
      <c r="J2384" s="8">
        <f ca="1">J2330*Intv_BA!$M$3104/TS_Denom_Conv_Fact</f>
        <v>0</v>
      </c>
      <c r="K2384" s="8">
        <f ca="1">K2330*Intv_BA!$M$3104/TS_Denom_Conv_Fact</f>
        <v>0</v>
      </c>
      <c r="L2384" s="8">
        <f ca="1">L2330*Intv_BA!$M$3104/TS_Denom_Conv_Fact</f>
        <v>0</v>
      </c>
      <c r="M2384" s="8">
        <f ca="1">M2330*Intv_BA!$M$3104/TS_Denom_Conv_Fact</f>
        <v>0</v>
      </c>
      <c r="N2384" s="8">
        <f ca="1">N2330*Intv_BA!$M$3104/TS_Denom_Conv_Fact</f>
        <v>0</v>
      </c>
      <c r="O2384" s="8">
        <f ca="1">O2330*Intv_BA!$M$3104/TS_Denom_Conv_Fact</f>
        <v>0</v>
      </c>
    </row>
    <row r="2385" spans="4:15" s="327" customFormat="1" outlineLevel="2" x14ac:dyDescent="0.2">
      <c r="D2385" s="594" t="str">
        <f>Intv_BA!D3123</f>
        <v>Western</v>
      </c>
      <c r="J2385" s="9">
        <f ca="1">J2331*Intv_BA!$M$3104/TS_Denom_Conv_Fact</f>
        <v>0</v>
      </c>
      <c r="K2385" s="9">
        <f ca="1">K2331*Intv_BA!$M$3104/TS_Denom_Conv_Fact</f>
        <v>0</v>
      </c>
      <c r="L2385" s="9">
        <f ca="1">L2331*Intv_BA!$M$3104/TS_Denom_Conv_Fact</f>
        <v>0</v>
      </c>
      <c r="M2385" s="9">
        <f ca="1">M2331*Intv_BA!$M$3104/TS_Denom_Conv_Fact</f>
        <v>0</v>
      </c>
      <c r="N2385" s="9">
        <f ca="1">N2331*Intv_BA!$M$3104/TS_Denom_Conv_Fact</f>
        <v>0</v>
      </c>
      <c r="O2385" s="9">
        <f ca="1">O2331*Intv_BA!$M$3104/TS_Denom_Conv_Fact</f>
        <v>0</v>
      </c>
    </row>
    <row r="2386" spans="4:15" s="327" customFormat="1" x14ac:dyDescent="0.2">
      <c r="D2386" s="596" t="str">
        <f>"Total "&amp;D2375&amp;" ("&amp;INDEX(LU_Intv_6_Denom,DD_TS_Denom)&amp;")"</f>
        <v>Total Other Direct Costs (Lab Tests) (USD)</v>
      </c>
      <c r="J2386" s="5">
        <f t="shared" ref="J2386:O2386" ca="1" si="227">SUM(J2376:J2385)</f>
        <v>0</v>
      </c>
      <c r="K2386" s="5">
        <f t="shared" ca="1" si="227"/>
        <v>0</v>
      </c>
      <c r="L2386" s="5">
        <f t="shared" ca="1" si="227"/>
        <v>0</v>
      </c>
      <c r="M2386" s="5">
        <f t="shared" ca="1" si="227"/>
        <v>0</v>
      </c>
      <c r="N2386" s="5">
        <f t="shared" ca="1" si="227"/>
        <v>0</v>
      </c>
      <c r="O2386" s="5">
        <f t="shared" ca="1" si="227"/>
        <v>0</v>
      </c>
    </row>
    <row r="2387" spans="4:15" s="327" customFormat="1" x14ac:dyDescent="0.2"/>
    <row r="2388" spans="4:15" s="327" customFormat="1" x14ac:dyDescent="0.2">
      <c r="D2388" s="596" t="str">
        <f>"Financial Costs [excl. Capex] ("&amp;INDEX(LU_Intv_6_Denom,DD_TS_Denom)&amp;")"</f>
        <v>Financial Costs [excl. Capex] (USD)</v>
      </c>
      <c r="H2388" s="594" t="str">
        <f>Intv_BA!G2952</f>
        <v>PALL</v>
      </c>
      <c r="J2388" s="5">
        <f t="shared" ref="J2388:O2388" ca="1" si="228">J2347+J2386</f>
        <v>56328.746112000001</v>
      </c>
      <c r="K2388" s="5">
        <f t="shared" ca="1" si="228"/>
        <v>56328.746112000001</v>
      </c>
      <c r="L2388" s="5">
        <f t="shared" ca="1" si="228"/>
        <v>56328.746112000001</v>
      </c>
      <c r="M2388" s="5">
        <f t="shared" ca="1" si="228"/>
        <v>56328.746112000001</v>
      </c>
      <c r="N2388" s="5">
        <f t="shared" ca="1" si="228"/>
        <v>56328.746112000001</v>
      </c>
      <c r="O2388" s="5">
        <f t="shared" ca="1" si="228"/>
        <v>56328.746112000001</v>
      </c>
    </row>
    <row r="2389" spans="4:15" s="327" customFormat="1" x14ac:dyDescent="0.2">
      <c r="D2389" s="596" t="str">
        <f>"Economic Costs [excl. Capex] ("&amp;INDEX(LU_Intv_6_Denom,DD_TS_Denom)&amp;")"</f>
        <v>Economic Costs [excl. Capex] (USD)</v>
      </c>
      <c r="H2389" s="594" t="str">
        <f>Intv_BA!G2952</f>
        <v>PALL</v>
      </c>
      <c r="J2389" s="5">
        <f t="shared" ref="J2389:O2389" ca="1" si="229">J2347+J2360+J2373+J2386</f>
        <v>86498.692532800676</v>
      </c>
      <c r="K2389" s="5">
        <f t="shared" ca="1" si="229"/>
        <v>86498.692532800676</v>
      </c>
      <c r="L2389" s="5">
        <f t="shared" ca="1" si="229"/>
        <v>86498.692532800676</v>
      </c>
      <c r="M2389" s="5">
        <f t="shared" ca="1" si="229"/>
        <v>86498.692532800676</v>
      </c>
      <c r="N2389" s="5">
        <f t="shared" ca="1" si="229"/>
        <v>86498.692532800676</v>
      </c>
      <c r="O2389" s="5">
        <f t="shared" ca="1" si="229"/>
        <v>86498.692532800676</v>
      </c>
    </row>
    <row r="2390" spans="4:15" s="327" customFormat="1" x14ac:dyDescent="0.2"/>
    <row r="2391" spans="4:15" s="327" customFormat="1" ht="15" outlineLevel="1" x14ac:dyDescent="0.2">
      <c r="D2391" s="595" t="s">
        <v>1690</v>
      </c>
    </row>
    <row r="2392" spans="4:15" s="327" customFormat="1" outlineLevel="1" x14ac:dyDescent="0.2">
      <c r="D2392" s="594" t="str">
        <f>Intv_BA!D3114</f>
        <v>Central</v>
      </c>
      <c r="H2392" s="594" t="str">
        <f>Intv_BA!G$2952</f>
        <v>PALL</v>
      </c>
      <c r="J2392" s="5">
        <f>(J2227-I2227)*Intv_BA!$L$3081/TS_Denom_Conv_Fact</f>
        <v>0</v>
      </c>
      <c r="K2392" s="5">
        <f>(K2227-J2227)*Intv_BA!$L$3081/TS_Denom_Conv_Fact</f>
        <v>0</v>
      </c>
      <c r="L2392" s="5">
        <f>(L2227-K2227)*Intv_BA!$L$3081/TS_Denom_Conv_Fact</f>
        <v>0</v>
      </c>
      <c r="M2392" s="5">
        <f>(M2227-L2227)*Intv_BA!$L$3081/TS_Denom_Conv_Fact</f>
        <v>0</v>
      </c>
      <c r="N2392" s="5">
        <f>(N2227-M2227)*Intv_BA!$L$3081/TS_Denom_Conv_Fact</f>
        <v>0</v>
      </c>
      <c r="O2392" s="5">
        <f>(O2227-N2227)*Intv_BA!$L$3081/TS_Denom_Conv_Fact</f>
        <v>0</v>
      </c>
    </row>
    <row r="2393" spans="4:15" s="327" customFormat="1" outlineLevel="1" x14ac:dyDescent="0.2">
      <c r="D2393" s="594" t="str">
        <f>Intv_BA!D3115</f>
        <v>Copperbelt</v>
      </c>
      <c r="H2393" s="594" t="str">
        <f>Intv_BA!G$2952</f>
        <v>PALL</v>
      </c>
      <c r="J2393" s="5">
        <f>(J2228-I2228)*Intv_BA!$L$3081/TS_Denom_Conv_Fact</f>
        <v>0</v>
      </c>
      <c r="K2393" s="5">
        <f>(K2228-J2228)*Intv_BA!$L$3081/TS_Denom_Conv_Fact</f>
        <v>0</v>
      </c>
      <c r="L2393" s="5">
        <f>(L2228-K2228)*Intv_BA!$L$3081/TS_Denom_Conv_Fact</f>
        <v>0</v>
      </c>
      <c r="M2393" s="5">
        <f>(M2228-L2228)*Intv_BA!$L$3081/TS_Denom_Conv_Fact</f>
        <v>0</v>
      </c>
      <c r="N2393" s="5">
        <f>(N2228-M2228)*Intv_BA!$L$3081/TS_Denom_Conv_Fact</f>
        <v>0</v>
      </c>
      <c r="O2393" s="5">
        <f>(O2228-N2228)*Intv_BA!$L$3081/TS_Denom_Conv_Fact</f>
        <v>0</v>
      </c>
    </row>
    <row r="2394" spans="4:15" s="327" customFormat="1" outlineLevel="1" x14ac:dyDescent="0.2">
      <c r="D2394" s="594" t="str">
        <f>Intv_BA!D3116</f>
        <v>Eastern</v>
      </c>
      <c r="H2394" s="594" t="str">
        <f>Intv_BA!G$2952</f>
        <v>PALL</v>
      </c>
      <c r="J2394" s="5">
        <f>(J2229-I2229)*Intv_BA!$L$3081/TS_Denom_Conv_Fact</f>
        <v>0</v>
      </c>
      <c r="K2394" s="5">
        <f>(K2229-J2229)*Intv_BA!$L$3081/TS_Denom_Conv_Fact</f>
        <v>0</v>
      </c>
      <c r="L2394" s="5">
        <f>(L2229-K2229)*Intv_BA!$L$3081/TS_Denom_Conv_Fact</f>
        <v>0</v>
      </c>
      <c r="M2394" s="5">
        <f>(M2229-L2229)*Intv_BA!$L$3081/TS_Denom_Conv_Fact</f>
        <v>0</v>
      </c>
      <c r="N2394" s="5">
        <f>(N2229-M2229)*Intv_BA!$L$3081/TS_Denom_Conv_Fact</f>
        <v>0</v>
      </c>
      <c r="O2394" s="5">
        <f>(O2229-N2229)*Intv_BA!$L$3081/TS_Denom_Conv_Fact</f>
        <v>0</v>
      </c>
    </row>
    <row r="2395" spans="4:15" s="327" customFormat="1" outlineLevel="1" x14ac:dyDescent="0.2">
      <c r="D2395" s="594" t="str">
        <f>Intv_BA!D3117</f>
        <v>Luapula</v>
      </c>
      <c r="H2395" s="594" t="str">
        <f>Intv_BA!G$2952</f>
        <v>PALL</v>
      </c>
      <c r="J2395" s="5">
        <f>(J2230-I2230)*Intv_BA!$L$3081/TS_Denom_Conv_Fact</f>
        <v>0</v>
      </c>
      <c r="K2395" s="5">
        <f>(K2230-J2230)*Intv_BA!$L$3081/TS_Denom_Conv_Fact</f>
        <v>0</v>
      </c>
      <c r="L2395" s="5">
        <f>(L2230-K2230)*Intv_BA!$L$3081/TS_Denom_Conv_Fact</f>
        <v>0</v>
      </c>
      <c r="M2395" s="5">
        <f>(M2230-L2230)*Intv_BA!$L$3081/TS_Denom_Conv_Fact</f>
        <v>0</v>
      </c>
      <c r="N2395" s="5">
        <f>(N2230-M2230)*Intv_BA!$L$3081/TS_Denom_Conv_Fact</f>
        <v>0</v>
      </c>
      <c r="O2395" s="5">
        <f>(O2230-N2230)*Intv_BA!$L$3081/TS_Denom_Conv_Fact</f>
        <v>0</v>
      </c>
    </row>
    <row r="2396" spans="4:15" s="327" customFormat="1" outlineLevel="1" x14ac:dyDescent="0.2">
      <c r="D2396" s="594" t="str">
        <f>Intv_BA!D3118</f>
        <v>Lusaka</v>
      </c>
      <c r="H2396" s="594" t="str">
        <f>Intv_BA!G$2952</f>
        <v>PALL</v>
      </c>
      <c r="J2396" s="5">
        <f>(J2231-I2231)*Intv_BA!$L$3081/TS_Denom_Conv_Fact</f>
        <v>0</v>
      </c>
      <c r="K2396" s="5">
        <f>(K2231-J2231)*Intv_BA!$L$3081/TS_Denom_Conv_Fact</f>
        <v>0</v>
      </c>
      <c r="L2396" s="5">
        <f>(L2231-K2231)*Intv_BA!$L$3081/TS_Denom_Conv_Fact</f>
        <v>0</v>
      </c>
      <c r="M2396" s="5">
        <f>(M2231-L2231)*Intv_BA!$L$3081/TS_Denom_Conv_Fact</f>
        <v>0</v>
      </c>
      <c r="N2396" s="5">
        <f>(N2231-M2231)*Intv_BA!$L$3081/TS_Denom_Conv_Fact</f>
        <v>0</v>
      </c>
      <c r="O2396" s="5">
        <f>(O2231-N2231)*Intv_BA!$L$3081/TS_Denom_Conv_Fact</f>
        <v>0</v>
      </c>
    </row>
    <row r="2397" spans="4:15" s="327" customFormat="1" outlineLevel="1" x14ac:dyDescent="0.2">
      <c r="D2397" s="594" t="str">
        <f>Intv_BA!D3119</f>
        <v>Muchinga</v>
      </c>
      <c r="H2397" s="594" t="str">
        <f>Intv_BA!G$2952</f>
        <v>PALL</v>
      </c>
      <c r="J2397" s="5">
        <f>(J2232-I2232)*Intv_BA!$L$3081/TS_Denom_Conv_Fact</f>
        <v>0</v>
      </c>
      <c r="K2397" s="5">
        <f>(K2232-J2232)*Intv_BA!$L$3081/TS_Denom_Conv_Fact</f>
        <v>0</v>
      </c>
      <c r="L2397" s="5">
        <f>(L2232-K2232)*Intv_BA!$L$3081/TS_Denom_Conv_Fact</f>
        <v>0</v>
      </c>
      <c r="M2397" s="5">
        <f>(M2232-L2232)*Intv_BA!$L$3081/TS_Denom_Conv_Fact</f>
        <v>0</v>
      </c>
      <c r="N2397" s="5">
        <f>(N2232-M2232)*Intv_BA!$L$3081/TS_Denom_Conv_Fact</f>
        <v>0</v>
      </c>
      <c r="O2397" s="5">
        <f>(O2232-N2232)*Intv_BA!$L$3081/TS_Denom_Conv_Fact</f>
        <v>0</v>
      </c>
    </row>
    <row r="2398" spans="4:15" s="327" customFormat="1" outlineLevel="1" x14ac:dyDescent="0.2">
      <c r="D2398" s="594" t="str">
        <f>Intv_BA!D3120</f>
        <v>Northern</v>
      </c>
      <c r="H2398" s="594" t="str">
        <f>Intv_BA!G$2952</f>
        <v>PALL</v>
      </c>
      <c r="J2398" s="5">
        <f>(J2233-I2233)*Intv_BA!$L$3081/TS_Denom_Conv_Fact</f>
        <v>0</v>
      </c>
      <c r="K2398" s="5">
        <f>(K2233-J2233)*Intv_BA!$L$3081/TS_Denom_Conv_Fact</f>
        <v>0</v>
      </c>
      <c r="L2398" s="5">
        <f>(L2233-K2233)*Intv_BA!$L$3081/TS_Denom_Conv_Fact</f>
        <v>0</v>
      </c>
      <c r="M2398" s="5">
        <f>(M2233-L2233)*Intv_BA!$L$3081/TS_Denom_Conv_Fact</f>
        <v>0</v>
      </c>
      <c r="N2398" s="5">
        <f>(N2233-M2233)*Intv_BA!$L$3081/TS_Denom_Conv_Fact</f>
        <v>0</v>
      </c>
      <c r="O2398" s="5">
        <f>(O2233-N2233)*Intv_BA!$L$3081/TS_Denom_Conv_Fact</f>
        <v>0</v>
      </c>
    </row>
    <row r="2399" spans="4:15" s="327" customFormat="1" outlineLevel="1" x14ac:dyDescent="0.2">
      <c r="D2399" s="594" t="str">
        <f>Intv_BA!D3121</f>
        <v>North-Western</v>
      </c>
      <c r="H2399" s="594" t="str">
        <f>Intv_BA!G$2952</f>
        <v>PALL</v>
      </c>
      <c r="J2399" s="5">
        <f>(J2234-I2234)*Intv_BA!$L$3081/TS_Denom_Conv_Fact</f>
        <v>0</v>
      </c>
      <c r="K2399" s="5">
        <f>(K2234-J2234)*Intv_BA!$L$3081/TS_Denom_Conv_Fact</f>
        <v>0</v>
      </c>
      <c r="L2399" s="5">
        <f>(L2234-K2234)*Intv_BA!$L$3081/TS_Denom_Conv_Fact</f>
        <v>0</v>
      </c>
      <c r="M2399" s="5">
        <f>(M2234-L2234)*Intv_BA!$L$3081/TS_Denom_Conv_Fact</f>
        <v>0</v>
      </c>
      <c r="N2399" s="5">
        <f>(N2234-M2234)*Intv_BA!$L$3081/TS_Denom_Conv_Fact</f>
        <v>0</v>
      </c>
      <c r="O2399" s="5">
        <f>(O2234-N2234)*Intv_BA!$L$3081/TS_Denom_Conv_Fact</f>
        <v>0</v>
      </c>
    </row>
    <row r="2400" spans="4:15" s="327" customFormat="1" outlineLevel="1" x14ac:dyDescent="0.2">
      <c r="D2400" s="594" t="str">
        <f>Intv_BA!D3122</f>
        <v>Southern</v>
      </c>
      <c r="H2400" s="594" t="str">
        <f>Intv_BA!G$2952</f>
        <v>PALL</v>
      </c>
      <c r="J2400" s="5">
        <f>(J2235-I2235)*Intv_BA!$L$3081/TS_Denom_Conv_Fact</f>
        <v>0</v>
      </c>
      <c r="K2400" s="5">
        <f>(K2235-J2235)*Intv_BA!$L$3081/TS_Denom_Conv_Fact</f>
        <v>0</v>
      </c>
      <c r="L2400" s="5">
        <f>(L2235-K2235)*Intv_BA!$L$3081/TS_Denom_Conv_Fact</f>
        <v>0</v>
      </c>
      <c r="M2400" s="5">
        <f>(M2235-L2235)*Intv_BA!$L$3081/TS_Denom_Conv_Fact</f>
        <v>0</v>
      </c>
      <c r="N2400" s="5">
        <f>(N2235-M2235)*Intv_BA!$L$3081/TS_Denom_Conv_Fact</f>
        <v>0</v>
      </c>
      <c r="O2400" s="5">
        <f>(O2235-N2235)*Intv_BA!$L$3081/TS_Denom_Conv_Fact</f>
        <v>0</v>
      </c>
    </row>
    <row r="2401" spans="4:15" s="327" customFormat="1" outlineLevel="1" x14ac:dyDescent="0.2">
      <c r="D2401" s="594" t="str">
        <f>Intv_BA!D3123</f>
        <v>Western</v>
      </c>
      <c r="H2401" s="594" t="str">
        <f>Intv_BA!G$2952</f>
        <v>PALL</v>
      </c>
      <c r="J2401" s="5">
        <f>(J2236-I2236)*Intv_BA!$L$3081/TS_Denom_Conv_Fact</f>
        <v>0</v>
      </c>
      <c r="K2401" s="5">
        <f>(K2236-J2236)*Intv_BA!$L$3081/TS_Denom_Conv_Fact</f>
        <v>0</v>
      </c>
      <c r="L2401" s="5">
        <f>(L2236-K2236)*Intv_BA!$L$3081/TS_Denom_Conv_Fact</f>
        <v>0</v>
      </c>
      <c r="M2401" s="5">
        <f>(M2236-L2236)*Intv_BA!$L$3081/TS_Denom_Conv_Fact</f>
        <v>0</v>
      </c>
      <c r="N2401" s="5">
        <f>(N2236-M2236)*Intv_BA!$L$3081/TS_Denom_Conv_Fact</f>
        <v>0</v>
      </c>
      <c r="O2401" s="5">
        <f>(O2236-N2236)*Intv_BA!$L$3081/TS_Denom_Conv_Fact</f>
        <v>0</v>
      </c>
    </row>
    <row r="2402" spans="4:15" s="327" customFormat="1" ht="15" x14ac:dyDescent="0.2">
      <c r="D2402" s="596" t="str">
        <f>D2391&amp;" ("&amp;INDEX(LU_Intv_6_Denom,DD_TS_Denom)&amp;")"</f>
        <v>Financial Capital Expenditures (Capex) (NonAnnualized) (USD)</v>
      </c>
      <c r="H2402" s="24" t="str">
        <f>Intv_BA!$G$2952</f>
        <v>PALL</v>
      </c>
      <c r="J2402" s="5">
        <f t="shared" ref="J2402:O2402" si="230">SUM(J2392:J2401)</f>
        <v>0</v>
      </c>
      <c r="K2402" s="5">
        <f t="shared" si="230"/>
        <v>0</v>
      </c>
      <c r="L2402" s="5">
        <f t="shared" si="230"/>
        <v>0</v>
      </c>
      <c r="M2402" s="5">
        <f t="shared" si="230"/>
        <v>0</v>
      </c>
      <c r="N2402" s="5">
        <f t="shared" si="230"/>
        <v>0</v>
      </c>
      <c r="O2402" s="5">
        <f t="shared" si="230"/>
        <v>0</v>
      </c>
    </row>
    <row r="2403" spans="4:15" s="327" customFormat="1" ht="15" outlineLevel="2" x14ac:dyDescent="0.2">
      <c r="D2403" s="595" t="s">
        <v>1691</v>
      </c>
    </row>
    <row r="2404" spans="4:15" s="327" customFormat="1" outlineLevel="2" x14ac:dyDescent="0.2">
      <c r="D2404" s="594" t="str">
        <f>Intv_BA!D3114</f>
        <v>Central</v>
      </c>
      <c r="H2404" s="594" t="str">
        <f>Intv_BA!G$2952</f>
        <v>PALL</v>
      </c>
      <c r="J2404" s="8">
        <f>J2227*Intv_BA!$M$3083/TS_Denom_Conv_Fact</f>
        <v>0</v>
      </c>
      <c r="K2404" s="8">
        <f>K2227*Intv_BA!$M$3083/TS_Denom_Conv_Fact</f>
        <v>0</v>
      </c>
      <c r="L2404" s="8">
        <f>L2227*Intv_BA!$M$3083/TS_Denom_Conv_Fact</f>
        <v>0</v>
      </c>
      <c r="M2404" s="8">
        <f>M2227*Intv_BA!$M$3083/TS_Denom_Conv_Fact</f>
        <v>0</v>
      </c>
      <c r="N2404" s="8">
        <f>N2227*Intv_BA!$M$3083/TS_Denom_Conv_Fact</f>
        <v>0</v>
      </c>
      <c r="O2404" s="8">
        <f>O2227*Intv_BA!$M$3083/TS_Denom_Conv_Fact</f>
        <v>0</v>
      </c>
    </row>
    <row r="2405" spans="4:15" s="327" customFormat="1" outlineLevel="2" x14ac:dyDescent="0.2">
      <c r="D2405" s="594" t="str">
        <f>Intv_BA!D3115</f>
        <v>Copperbelt</v>
      </c>
      <c r="H2405" s="594" t="str">
        <f>Intv_BA!G$2952</f>
        <v>PALL</v>
      </c>
      <c r="J2405" s="8">
        <f>J2228*Intv_BA!$M$3083/TS_Denom_Conv_Fact</f>
        <v>0</v>
      </c>
      <c r="K2405" s="8">
        <f>K2228*Intv_BA!$M$3083/TS_Denom_Conv_Fact</f>
        <v>0</v>
      </c>
      <c r="L2405" s="8">
        <f>L2228*Intv_BA!$M$3083/TS_Denom_Conv_Fact</f>
        <v>0</v>
      </c>
      <c r="M2405" s="8">
        <f>M2228*Intv_BA!$M$3083/TS_Denom_Conv_Fact</f>
        <v>0</v>
      </c>
      <c r="N2405" s="8">
        <f>N2228*Intv_BA!$M$3083/TS_Denom_Conv_Fact</f>
        <v>0</v>
      </c>
      <c r="O2405" s="8">
        <f>O2228*Intv_BA!$M$3083/TS_Denom_Conv_Fact</f>
        <v>0</v>
      </c>
    </row>
    <row r="2406" spans="4:15" s="327" customFormat="1" outlineLevel="2" x14ac:dyDescent="0.2">
      <c r="D2406" s="594" t="str">
        <f>Intv_BA!D3116</f>
        <v>Eastern</v>
      </c>
      <c r="H2406" s="594" t="str">
        <f>Intv_BA!G$2952</f>
        <v>PALL</v>
      </c>
      <c r="J2406" s="8">
        <f>J2229*Intv_BA!$M$3083/TS_Denom_Conv_Fact</f>
        <v>0</v>
      </c>
      <c r="K2406" s="8">
        <f>K2229*Intv_BA!$M$3083/TS_Denom_Conv_Fact</f>
        <v>0</v>
      </c>
      <c r="L2406" s="8">
        <f>L2229*Intv_BA!$M$3083/TS_Denom_Conv_Fact</f>
        <v>0</v>
      </c>
      <c r="M2406" s="8">
        <f>M2229*Intv_BA!$M$3083/TS_Denom_Conv_Fact</f>
        <v>0</v>
      </c>
      <c r="N2406" s="8">
        <f>N2229*Intv_BA!$M$3083/TS_Denom_Conv_Fact</f>
        <v>0</v>
      </c>
      <c r="O2406" s="8">
        <f>O2229*Intv_BA!$M$3083/TS_Denom_Conv_Fact</f>
        <v>0</v>
      </c>
    </row>
    <row r="2407" spans="4:15" s="327" customFormat="1" outlineLevel="2" x14ac:dyDescent="0.2">
      <c r="D2407" s="594" t="str">
        <f>Intv_BA!D3117</f>
        <v>Luapula</v>
      </c>
      <c r="H2407" s="594" t="str">
        <f>Intv_BA!G$2952</f>
        <v>PALL</v>
      </c>
      <c r="J2407" s="8">
        <f>J2230*Intv_BA!$M$3083/TS_Denom_Conv_Fact</f>
        <v>0</v>
      </c>
      <c r="K2407" s="8">
        <f>K2230*Intv_BA!$M$3083/TS_Denom_Conv_Fact</f>
        <v>0</v>
      </c>
      <c r="L2407" s="8">
        <f>L2230*Intv_BA!$M$3083/TS_Denom_Conv_Fact</f>
        <v>0</v>
      </c>
      <c r="M2407" s="8">
        <f>M2230*Intv_BA!$M$3083/TS_Denom_Conv_Fact</f>
        <v>0</v>
      </c>
      <c r="N2407" s="8">
        <f>N2230*Intv_BA!$M$3083/TS_Denom_Conv_Fact</f>
        <v>0</v>
      </c>
      <c r="O2407" s="8">
        <f>O2230*Intv_BA!$M$3083/TS_Denom_Conv_Fact</f>
        <v>0</v>
      </c>
    </row>
    <row r="2408" spans="4:15" s="327" customFormat="1" outlineLevel="2" x14ac:dyDescent="0.2">
      <c r="D2408" s="594" t="str">
        <f>Intv_BA!D3118</f>
        <v>Lusaka</v>
      </c>
      <c r="H2408" s="594" t="str">
        <f>Intv_BA!G$2952</f>
        <v>PALL</v>
      </c>
      <c r="J2408" s="8">
        <f>J2231*Intv_BA!$M$3083/TS_Denom_Conv_Fact</f>
        <v>0</v>
      </c>
      <c r="K2408" s="8">
        <f>K2231*Intv_BA!$M$3083/TS_Denom_Conv_Fact</f>
        <v>0</v>
      </c>
      <c r="L2408" s="8">
        <f>L2231*Intv_BA!$M$3083/TS_Denom_Conv_Fact</f>
        <v>0</v>
      </c>
      <c r="M2408" s="8">
        <f>M2231*Intv_BA!$M$3083/TS_Denom_Conv_Fact</f>
        <v>0</v>
      </c>
      <c r="N2408" s="8">
        <f>N2231*Intv_BA!$M$3083/TS_Denom_Conv_Fact</f>
        <v>0</v>
      </c>
      <c r="O2408" s="8">
        <f>O2231*Intv_BA!$M$3083/TS_Denom_Conv_Fact</f>
        <v>0</v>
      </c>
    </row>
    <row r="2409" spans="4:15" s="327" customFormat="1" outlineLevel="2" x14ac:dyDescent="0.2">
      <c r="D2409" s="594" t="str">
        <f>Intv_BA!D3119</f>
        <v>Muchinga</v>
      </c>
      <c r="H2409" s="594" t="str">
        <f>Intv_BA!G$2952</f>
        <v>PALL</v>
      </c>
      <c r="J2409" s="8">
        <f>J2232*Intv_BA!$M$3083/TS_Denom_Conv_Fact</f>
        <v>0</v>
      </c>
      <c r="K2409" s="8">
        <f>K2232*Intv_BA!$M$3083/TS_Denom_Conv_Fact</f>
        <v>0</v>
      </c>
      <c r="L2409" s="8">
        <f>L2232*Intv_BA!$M$3083/TS_Denom_Conv_Fact</f>
        <v>0</v>
      </c>
      <c r="M2409" s="8">
        <f>M2232*Intv_BA!$M$3083/TS_Denom_Conv_Fact</f>
        <v>0</v>
      </c>
      <c r="N2409" s="8">
        <f>N2232*Intv_BA!$M$3083/TS_Denom_Conv_Fact</f>
        <v>0</v>
      </c>
      <c r="O2409" s="8">
        <f>O2232*Intv_BA!$M$3083/TS_Denom_Conv_Fact</f>
        <v>0</v>
      </c>
    </row>
    <row r="2410" spans="4:15" s="327" customFormat="1" outlineLevel="2" x14ac:dyDescent="0.2">
      <c r="D2410" s="594" t="str">
        <f>Intv_BA!D3120</f>
        <v>Northern</v>
      </c>
      <c r="H2410" s="594" t="str">
        <f>Intv_BA!G$2952</f>
        <v>PALL</v>
      </c>
      <c r="J2410" s="8">
        <f>J2233*Intv_BA!$M$3083/TS_Denom_Conv_Fact</f>
        <v>0</v>
      </c>
      <c r="K2410" s="8">
        <f>K2233*Intv_BA!$M$3083/TS_Denom_Conv_Fact</f>
        <v>0</v>
      </c>
      <c r="L2410" s="8">
        <f>L2233*Intv_BA!$M$3083/TS_Denom_Conv_Fact</f>
        <v>0</v>
      </c>
      <c r="M2410" s="8">
        <f>M2233*Intv_BA!$M$3083/TS_Denom_Conv_Fact</f>
        <v>0</v>
      </c>
      <c r="N2410" s="8">
        <f>N2233*Intv_BA!$M$3083/TS_Denom_Conv_Fact</f>
        <v>0</v>
      </c>
      <c r="O2410" s="8">
        <f>O2233*Intv_BA!$M$3083/TS_Denom_Conv_Fact</f>
        <v>0</v>
      </c>
    </row>
    <row r="2411" spans="4:15" s="327" customFormat="1" outlineLevel="2" x14ac:dyDescent="0.2">
      <c r="D2411" s="594" t="str">
        <f>Intv_BA!D3121</f>
        <v>North-Western</v>
      </c>
      <c r="H2411" s="594" t="str">
        <f>Intv_BA!G$2952</f>
        <v>PALL</v>
      </c>
      <c r="J2411" s="8">
        <f>J2234*Intv_BA!$M$3083/TS_Denom_Conv_Fact</f>
        <v>0</v>
      </c>
      <c r="K2411" s="8">
        <f>K2234*Intv_BA!$M$3083/TS_Denom_Conv_Fact</f>
        <v>0</v>
      </c>
      <c r="L2411" s="8">
        <f>L2234*Intv_BA!$M$3083/TS_Denom_Conv_Fact</f>
        <v>0</v>
      </c>
      <c r="M2411" s="8">
        <f>M2234*Intv_BA!$M$3083/TS_Denom_Conv_Fact</f>
        <v>0</v>
      </c>
      <c r="N2411" s="8">
        <f>N2234*Intv_BA!$M$3083/TS_Denom_Conv_Fact</f>
        <v>0</v>
      </c>
      <c r="O2411" s="8">
        <f>O2234*Intv_BA!$M$3083/TS_Denom_Conv_Fact</f>
        <v>0</v>
      </c>
    </row>
    <row r="2412" spans="4:15" s="327" customFormat="1" outlineLevel="2" x14ac:dyDescent="0.2">
      <c r="D2412" s="594" t="str">
        <f>Intv_BA!D3122</f>
        <v>Southern</v>
      </c>
      <c r="H2412" s="594" t="str">
        <f>Intv_BA!G$2952</f>
        <v>PALL</v>
      </c>
      <c r="J2412" s="8">
        <f>J2235*Intv_BA!$M$3083/TS_Denom_Conv_Fact</f>
        <v>0</v>
      </c>
      <c r="K2412" s="8">
        <f>K2235*Intv_BA!$M$3083/TS_Denom_Conv_Fact</f>
        <v>0</v>
      </c>
      <c r="L2412" s="8">
        <f>L2235*Intv_BA!$M$3083/TS_Denom_Conv_Fact</f>
        <v>0</v>
      </c>
      <c r="M2412" s="8">
        <f>M2235*Intv_BA!$M$3083/TS_Denom_Conv_Fact</f>
        <v>0</v>
      </c>
      <c r="N2412" s="8">
        <f>N2235*Intv_BA!$M$3083/TS_Denom_Conv_Fact</f>
        <v>0</v>
      </c>
      <c r="O2412" s="8">
        <f>O2235*Intv_BA!$M$3083/TS_Denom_Conv_Fact</f>
        <v>0</v>
      </c>
    </row>
    <row r="2413" spans="4:15" s="327" customFormat="1" outlineLevel="2" x14ac:dyDescent="0.2">
      <c r="D2413" s="594" t="str">
        <f>Intv_BA!D3123</f>
        <v>Western</v>
      </c>
      <c r="H2413" s="594" t="str">
        <f>Intv_BA!G$2952</f>
        <v>PALL</v>
      </c>
      <c r="J2413" s="9">
        <f>J2236*Intv_BA!$M$3083/TS_Denom_Conv_Fact</f>
        <v>0</v>
      </c>
      <c r="K2413" s="9">
        <f>K2236*Intv_BA!$M$3083/TS_Denom_Conv_Fact</f>
        <v>0</v>
      </c>
      <c r="L2413" s="9">
        <f>L2236*Intv_BA!$M$3083/TS_Denom_Conv_Fact</f>
        <v>0</v>
      </c>
      <c r="M2413" s="9">
        <f>M2236*Intv_BA!$M$3083/TS_Denom_Conv_Fact</f>
        <v>0</v>
      </c>
      <c r="N2413" s="9">
        <f>N2236*Intv_BA!$M$3083/TS_Denom_Conv_Fact</f>
        <v>0</v>
      </c>
      <c r="O2413" s="9">
        <f>O2236*Intv_BA!$M$3083/TS_Denom_Conv_Fact</f>
        <v>0</v>
      </c>
    </row>
    <row r="2414" spans="4:15" s="327" customFormat="1" ht="15" x14ac:dyDescent="0.2">
      <c r="D2414" s="596" t="str">
        <f>D2403&amp;" ("&amp;INDEX(LU_Intv_6_Denom,DD_TS_Denom)&amp;")"</f>
        <v>Financial Capital Expenditures (Capex) (Annualized) (USD)</v>
      </c>
      <c r="H2414" s="24" t="str">
        <f>Intv_BA!$G$2952</f>
        <v>PALL</v>
      </c>
      <c r="J2414" s="5">
        <f t="shared" ref="J2414:O2414" si="231">SUM(J2404:J2413)</f>
        <v>0</v>
      </c>
      <c r="K2414" s="5">
        <f t="shared" si="231"/>
        <v>0</v>
      </c>
      <c r="L2414" s="5">
        <f t="shared" si="231"/>
        <v>0</v>
      </c>
      <c r="M2414" s="5">
        <f t="shared" si="231"/>
        <v>0</v>
      </c>
      <c r="N2414" s="5">
        <f t="shared" si="231"/>
        <v>0</v>
      </c>
      <c r="O2414" s="5">
        <f t="shared" si="231"/>
        <v>0</v>
      </c>
    </row>
    <row r="2415" spans="4:15" s="327" customFormat="1" x14ac:dyDescent="0.2"/>
    <row r="2416" spans="4:15" s="327" customFormat="1" ht="15" outlineLevel="1" x14ac:dyDescent="0.2">
      <c r="D2416" s="595" t="s">
        <v>731</v>
      </c>
    </row>
    <row r="2417" spans="4:15" s="327" customFormat="1" outlineLevel="1" x14ac:dyDescent="0.2">
      <c r="D2417" s="594" t="str">
        <f>Intv_BA!D3114</f>
        <v>Central</v>
      </c>
      <c r="H2417" s="594" t="str">
        <f>Intv_BA!G$2952</f>
        <v>PALL</v>
      </c>
      <c r="J2417" s="14">
        <f>(J2227-I2227)*Intv_BA!$L$3081/TS_Denom_Conv_Fact</f>
        <v>0</v>
      </c>
      <c r="K2417" s="14">
        <f>(K2227-J2227)*Intv_BA!$L$3081/TS_Denom_Conv_Fact</f>
        <v>0</v>
      </c>
      <c r="L2417" s="14">
        <f>(L2227-K2227)*Intv_BA!$L$3081/TS_Denom_Conv_Fact</f>
        <v>0</v>
      </c>
      <c r="M2417" s="14">
        <f>(M2227-L2227)*Intv_BA!$L$3081/TS_Denom_Conv_Fact</f>
        <v>0</v>
      </c>
      <c r="N2417" s="14">
        <f>(N2227-M2227)*Intv_BA!$L$3081/TS_Denom_Conv_Fact</f>
        <v>0</v>
      </c>
      <c r="O2417" s="14">
        <f>(O2227-N2227)*Intv_BA!$L$3081/TS_Denom_Conv_Fact</f>
        <v>0</v>
      </c>
    </row>
    <row r="2418" spans="4:15" s="327" customFormat="1" outlineLevel="1" x14ac:dyDescent="0.2">
      <c r="D2418" s="594" t="str">
        <f>Intv_BA!D3115</f>
        <v>Copperbelt</v>
      </c>
      <c r="H2418" s="594" t="str">
        <f>Intv_BA!G$2952</f>
        <v>PALL</v>
      </c>
      <c r="J2418" s="14">
        <f>(J2228-I2228)*Intv_BA!$L$3081/TS_Denom_Conv_Fact</f>
        <v>0</v>
      </c>
      <c r="K2418" s="14">
        <f>(K2228-J2228)*Intv_BA!$L$3081/TS_Denom_Conv_Fact</f>
        <v>0</v>
      </c>
      <c r="L2418" s="14">
        <f>(L2228-K2228)*Intv_BA!$L$3081/TS_Denom_Conv_Fact</f>
        <v>0</v>
      </c>
      <c r="M2418" s="14">
        <f>(M2228-L2228)*Intv_BA!$L$3081/TS_Denom_Conv_Fact</f>
        <v>0</v>
      </c>
      <c r="N2418" s="14">
        <f>(N2228-M2228)*Intv_BA!$L$3081/TS_Denom_Conv_Fact</f>
        <v>0</v>
      </c>
      <c r="O2418" s="14">
        <f>(O2228-N2228)*Intv_BA!$L$3081/TS_Denom_Conv_Fact</f>
        <v>0</v>
      </c>
    </row>
    <row r="2419" spans="4:15" s="327" customFormat="1" outlineLevel="1" x14ac:dyDescent="0.2">
      <c r="D2419" s="594" t="str">
        <f>Intv_BA!D3116</f>
        <v>Eastern</v>
      </c>
      <c r="H2419" s="594" t="str">
        <f>Intv_BA!G$2952</f>
        <v>PALL</v>
      </c>
      <c r="J2419" s="14">
        <f>(J2229-I2229)*Intv_BA!$L$3081/TS_Denom_Conv_Fact</f>
        <v>0</v>
      </c>
      <c r="K2419" s="14">
        <f>(K2229-J2229)*Intv_BA!$L$3081/TS_Denom_Conv_Fact</f>
        <v>0</v>
      </c>
      <c r="L2419" s="14">
        <f>(L2229-K2229)*Intv_BA!$L$3081/TS_Denom_Conv_Fact</f>
        <v>0</v>
      </c>
      <c r="M2419" s="14">
        <f>(M2229-L2229)*Intv_BA!$L$3081/TS_Denom_Conv_Fact</f>
        <v>0</v>
      </c>
      <c r="N2419" s="14">
        <f>(N2229-M2229)*Intv_BA!$L$3081/TS_Denom_Conv_Fact</f>
        <v>0</v>
      </c>
      <c r="O2419" s="14">
        <f>(O2229-N2229)*Intv_BA!$L$3081/TS_Denom_Conv_Fact</f>
        <v>0</v>
      </c>
    </row>
    <row r="2420" spans="4:15" s="327" customFormat="1" outlineLevel="1" x14ac:dyDescent="0.2">
      <c r="D2420" s="594" t="str">
        <f>Intv_BA!D3117</f>
        <v>Luapula</v>
      </c>
      <c r="H2420" s="594" t="str">
        <f>Intv_BA!G$2952</f>
        <v>PALL</v>
      </c>
      <c r="J2420" s="14">
        <f>(J2230-I2230)*Intv_BA!$L$3081/TS_Denom_Conv_Fact</f>
        <v>0</v>
      </c>
      <c r="K2420" s="14">
        <f>(K2230-J2230)*Intv_BA!$L$3081/TS_Denom_Conv_Fact</f>
        <v>0</v>
      </c>
      <c r="L2420" s="14">
        <f>(L2230-K2230)*Intv_BA!$L$3081/TS_Denom_Conv_Fact</f>
        <v>0</v>
      </c>
      <c r="M2420" s="14">
        <f>(M2230-L2230)*Intv_BA!$L$3081/TS_Denom_Conv_Fact</f>
        <v>0</v>
      </c>
      <c r="N2420" s="14">
        <f>(N2230-M2230)*Intv_BA!$L$3081/TS_Denom_Conv_Fact</f>
        <v>0</v>
      </c>
      <c r="O2420" s="14">
        <f>(O2230-N2230)*Intv_BA!$L$3081/TS_Denom_Conv_Fact</f>
        <v>0</v>
      </c>
    </row>
    <row r="2421" spans="4:15" s="327" customFormat="1" outlineLevel="1" x14ac:dyDescent="0.2">
      <c r="D2421" s="594" t="str">
        <f>Intv_BA!D3118</f>
        <v>Lusaka</v>
      </c>
      <c r="H2421" s="594" t="str">
        <f>Intv_BA!G$2952</f>
        <v>PALL</v>
      </c>
      <c r="J2421" s="14">
        <f>(J2231-I2231)*Intv_BA!$L$3081/TS_Denom_Conv_Fact</f>
        <v>0</v>
      </c>
      <c r="K2421" s="14">
        <f>(K2231-J2231)*Intv_BA!$L$3081/TS_Denom_Conv_Fact</f>
        <v>0</v>
      </c>
      <c r="L2421" s="14">
        <f>(L2231-K2231)*Intv_BA!$L$3081/TS_Denom_Conv_Fact</f>
        <v>0</v>
      </c>
      <c r="M2421" s="14">
        <f>(M2231-L2231)*Intv_BA!$L$3081/TS_Denom_Conv_Fact</f>
        <v>0</v>
      </c>
      <c r="N2421" s="14">
        <f>(N2231-M2231)*Intv_BA!$L$3081/TS_Denom_Conv_Fact</f>
        <v>0</v>
      </c>
      <c r="O2421" s="14">
        <f>(O2231-N2231)*Intv_BA!$L$3081/TS_Denom_Conv_Fact</f>
        <v>0</v>
      </c>
    </row>
    <row r="2422" spans="4:15" s="327" customFormat="1" outlineLevel="1" x14ac:dyDescent="0.2">
      <c r="D2422" s="594" t="str">
        <f>Intv_BA!D3119</f>
        <v>Muchinga</v>
      </c>
      <c r="H2422" s="594" t="str">
        <f>Intv_BA!G$2952</f>
        <v>PALL</v>
      </c>
      <c r="J2422" s="14">
        <f>(J2232-I2232)*Intv_BA!$L$3081/TS_Denom_Conv_Fact</f>
        <v>0</v>
      </c>
      <c r="K2422" s="14">
        <f>(K2232-J2232)*Intv_BA!$L$3081/TS_Denom_Conv_Fact</f>
        <v>0</v>
      </c>
      <c r="L2422" s="14">
        <f>(L2232-K2232)*Intv_BA!$L$3081/TS_Denom_Conv_Fact</f>
        <v>0</v>
      </c>
      <c r="M2422" s="14">
        <f>(M2232-L2232)*Intv_BA!$L$3081/TS_Denom_Conv_Fact</f>
        <v>0</v>
      </c>
      <c r="N2422" s="14">
        <f>(N2232-M2232)*Intv_BA!$L$3081/TS_Denom_Conv_Fact</f>
        <v>0</v>
      </c>
      <c r="O2422" s="14">
        <f>(O2232-N2232)*Intv_BA!$L$3081/TS_Denom_Conv_Fact</f>
        <v>0</v>
      </c>
    </row>
    <row r="2423" spans="4:15" s="327" customFormat="1" outlineLevel="1" x14ac:dyDescent="0.2">
      <c r="D2423" s="594" t="str">
        <f>Intv_BA!D3120</f>
        <v>Northern</v>
      </c>
      <c r="H2423" s="594" t="str">
        <f>Intv_BA!G$2952</f>
        <v>PALL</v>
      </c>
      <c r="J2423" s="14">
        <f>(J2233-I2233)*Intv_BA!$L$3081/TS_Denom_Conv_Fact</f>
        <v>0</v>
      </c>
      <c r="K2423" s="14">
        <f>(K2233-J2233)*Intv_BA!$L$3081/TS_Denom_Conv_Fact</f>
        <v>0</v>
      </c>
      <c r="L2423" s="14">
        <f>(L2233-K2233)*Intv_BA!$L$3081/TS_Denom_Conv_Fact</f>
        <v>0</v>
      </c>
      <c r="M2423" s="14">
        <f>(M2233-L2233)*Intv_BA!$L$3081/TS_Denom_Conv_Fact</f>
        <v>0</v>
      </c>
      <c r="N2423" s="14">
        <f>(N2233-M2233)*Intv_BA!$L$3081/TS_Denom_Conv_Fact</f>
        <v>0</v>
      </c>
      <c r="O2423" s="14">
        <f>(O2233-N2233)*Intv_BA!$L$3081/TS_Denom_Conv_Fact</f>
        <v>0</v>
      </c>
    </row>
    <row r="2424" spans="4:15" s="327" customFormat="1" outlineLevel="1" x14ac:dyDescent="0.2">
      <c r="D2424" s="594" t="str">
        <f>Intv_BA!D3121</f>
        <v>North-Western</v>
      </c>
      <c r="H2424" s="594" t="str">
        <f>Intv_BA!G$2952</f>
        <v>PALL</v>
      </c>
      <c r="J2424" s="14">
        <f>(J2234-I2234)*Intv_BA!$L$3081/TS_Denom_Conv_Fact</f>
        <v>0</v>
      </c>
      <c r="K2424" s="14">
        <f>(K2234-J2234)*Intv_BA!$L$3081/TS_Denom_Conv_Fact</f>
        <v>0</v>
      </c>
      <c r="L2424" s="14">
        <f>(L2234-K2234)*Intv_BA!$L$3081/TS_Denom_Conv_Fact</f>
        <v>0</v>
      </c>
      <c r="M2424" s="14">
        <f>(M2234-L2234)*Intv_BA!$L$3081/TS_Denom_Conv_Fact</f>
        <v>0</v>
      </c>
      <c r="N2424" s="14">
        <f>(N2234-M2234)*Intv_BA!$L$3081/TS_Denom_Conv_Fact</f>
        <v>0</v>
      </c>
      <c r="O2424" s="14">
        <f>(O2234-N2234)*Intv_BA!$L$3081/TS_Denom_Conv_Fact</f>
        <v>0</v>
      </c>
    </row>
    <row r="2425" spans="4:15" s="327" customFormat="1" outlineLevel="1" x14ac:dyDescent="0.2">
      <c r="D2425" s="594" t="str">
        <f>Intv_BA!D3122</f>
        <v>Southern</v>
      </c>
      <c r="H2425" s="594" t="str">
        <f>Intv_BA!G$2952</f>
        <v>PALL</v>
      </c>
      <c r="J2425" s="14">
        <f>(J2235-I2235)*Intv_BA!$L$3081/TS_Denom_Conv_Fact</f>
        <v>0</v>
      </c>
      <c r="K2425" s="14">
        <f>(K2235-J2235)*Intv_BA!$L$3081/TS_Denom_Conv_Fact</f>
        <v>0</v>
      </c>
      <c r="L2425" s="14">
        <f>(L2235-K2235)*Intv_BA!$L$3081/TS_Denom_Conv_Fact</f>
        <v>0</v>
      </c>
      <c r="M2425" s="14">
        <f>(M2235-L2235)*Intv_BA!$L$3081/TS_Denom_Conv_Fact</f>
        <v>0</v>
      </c>
      <c r="N2425" s="14">
        <f>(N2235-M2235)*Intv_BA!$L$3081/TS_Denom_Conv_Fact</f>
        <v>0</v>
      </c>
      <c r="O2425" s="14">
        <f>(O2235-N2235)*Intv_BA!$L$3081/TS_Denom_Conv_Fact</f>
        <v>0</v>
      </c>
    </row>
    <row r="2426" spans="4:15" s="327" customFormat="1" outlineLevel="1" x14ac:dyDescent="0.2">
      <c r="D2426" s="594" t="str">
        <f>Intv_BA!D3123</f>
        <v>Western</v>
      </c>
      <c r="H2426" s="594" t="str">
        <f>Intv_BA!G$2952</f>
        <v>PALL</v>
      </c>
      <c r="J2426" s="14">
        <f>(J2236-I2236)*Intv_BA!$L$3081/TS_Denom_Conv_Fact</f>
        <v>0</v>
      </c>
      <c r="K2426" s="14">
        <f>(K2236-J2236)*Intv_BA!$L$3081/TS_Denom_Conv_Fact</f>
        <v>0</v>
      </c>
      <c r="L2426" s="14">
        <f>(L2236-K2236)*Intv_BA!$L$3081/TS_Denom_Conv_Fact</f>
        <v>0</v>
      </c>
      <c r="M2426" s="14">
        <f>(M2236-L2236)*Intv_BA!$L$3081/TS_Denom_Conv_Fact</f>
        <v>0</v>
      </c>
      <c r="N2426" s="14">
        <f>(N2236-M2236)*Intv_BA!$L$3081/TS_Denom_Conv_Fact</f>
        <v>0</v>
      </c>
      <c r="O2426" s="14">
        <f>(O2236-N2236)*Intv_BA!$L$3081/TS_Denom_Conv_Fact</f>
        <v>0</v>
      </c>
    </row>
    <row r="2427" spans="4:15" s="327" customFormat="1" ht="15" x14ac:dyDescent="0.2">
      <c r="D2427" s="596" t="str">
        <f>D2416&amp;" ("&amp;INDEX(LU_Intv_6_Denom,DD_TS_Denom)&amp;")"</f>
        <v>Economic Capex (NonAnnualized) (USD)</v>
      </c>
      <c r="H2427" s="24" t="str">
        <f>Intv_BA!$G$2952</f>
        <v>PALL</v>
      </c>
      <c r="J2427" s="5">
        <f t="shared" ref="J2427:O2427" si="232">SUM(J2417:J2426)</f>
        <v>0</v>
      </c>
      <c r="K2427" s="5">
        <f t="shared" si="232"/>
        <v>0</v>
      </c>
      <c r="L2427" s="5">
        <f t="shared" si="232"/>
        <v>0</v>
      </c>
      <c r="M2427" s="5">
        <f t="shared" si="232"/>
        <v>0</v>
      </c>
      <c r="N2427" s="5">
        <f t="shared" si="232"/>
        <v>0</v>
      </c>
      <c r="O2427" s="5">
        <f t="shared" si="232"/>
        <v>0</v>
      </c>
    </row>
    <row r="2428" spans="4:15" s="327" customFormat="1" ht="15" outlineLevel="2" x14ac:dyDescent="0.2">
      <c r="D2428" s="595" t="s">
        <v>1692</v>
      </c>
    </row>
    <row r="2429" spans="4:15" s="327" customFormat="1" outlineLevel="2" x14ac:dyDescent="0.2">
      <c r="D2429" s="594" t="str">
        <f>Intv_BA!D3114</f>
        <v>Central</v>
      </c>
      <c r="H2429" s="594" t="str">
        <f>Intv_BA!G$2952</f>
        <v>PALL</v>
      </c>
      <c r="J2429" s="8">
        <f>J2227*Intv_BA!$N$3083/TS_Denom_Conv_Fact</f>
        <v>0</v>
      </c>
      <c r="K2429" s="8">
        <f>K2227*Intv_BA!$N$3083/TS_Denom_Conv_Fact</f>
        <v>0</v>
      </c>
      <c r="L2429" s="8">
        <f>L2227*Intv_BA!$N$3083/TS_Denom_Conv_Fact</f>
        <v>0</v>
      </c>
      <c r="M2429" s="8">
        <f>M2227*Intv_BA!$N$3083/TS_Denom_Conv_Fact</f>
        <v>0</v>
      </c>
      <c r="N2429" s="8">
        <f>N2227*Intv_BA!$N$3083/TS_Denom_Conv_Fact</f>
        <v>0</v>
      </c>
      <c r="O2429" s="8">
        <f>O2227*Intv_BA!$N$3083/TS_Denom_Conv_Fact</f>
        <v>0</v>
      </c>
    </row>
    <row r="2430" spans="4:15" s="327" customFormat="1" outlineLevel="2" x14ac:dyDescent="0.2">
      <c r="D2430" s="594" t="str">
        <f>Intv_BA!D3115</f>
        <v>Copperbelt</v>
      </c>
      <c r="H2430" s="594" t="str">
        <f>Intv_BA!G$2952</f>
        <v>PALL</v>
      </c>
      <c r="J2430" s="8">
        <f>J2228*Intv_BA!$N$3083/TS_Denom_Conv_Fact</f>
        <v>0</v>
      </c>
      <c r="K2430" s="8">
        <f>K2228*Intv_BA!$N$3083/TS_Denom_Conv_Fact</f>
        <v>0</v>
      </c>
      <c r="L2430" s="8">
        <f>L2228*Intv_BA!$N$3083/TS_Denom_Conv_Fact</f>
        <v>0</v>
      </c>
      <c r="M2430" s="8">
        <f>M2228*Intv_BA!$N$3083/TS_Denom_Conv_Fact</f>
        <v>0</v>
      </c>
      <c r="N2430" s="8">
        <f>N2228*Intv_BA!$N$3083/TS_Denom_Conv_Fact</f>
        <v>0</v>
      </c>
      <c r="O2430" s="8">
        <f>O2228*Intv_BA!$N$3083/TS_Denom_Conv_Fact</f>
        <v>0</v>
      </c>
    </row>
    <row r="2431" spans="4:15" s="327" customFormat="1" outlineLevel="2" x14ac:dyDescent="0.2">
      <c r="D2431" s="594" t="str">
        <f>Intv_BA!D3116</f>
        <v>Eastern</v>
      </c>
      <c r="H2431" s="594" t="str">
        <f>Intv_BA!G$2952</f>
        <v>PALL</v>
      </c>
      <c r="J2431" s="8">
        <f>J2229*Intv_BA!$N$3083/TS_Denom_Conv_Fact</f>
        <v>0</v>
      </c>
      <c r="K2431" s="8">
        <f>K2229*Intv_BA!$N$3083/TS_Denom_Conv_Fact</f>
        <v>0</v>
      </c>
      <c r="L2431" s="8">
        <f>L2229*Intv_BA!$N$3083/TS_Denom_Conv_Fact</f>
        <v>0</v>
      </c>
      <c r="M2431" s="8">
        <f>M2229*Intv_BA!$N$3083/TS_Denom_Conv_Fact</f>
        <v>0</v>
      </c>
      <c r="N2431" s="8">
        <f>N2229*Intv_BA!$N$3083/TS_Denom_Conv_Fact</f>
        <v>0</v>
      </c>
      <c r="O2431" s="8">
        <f>O2229*Intv_BA!$N$3083/TS_Denom_Conv_Fact</f>
        <v>0</v>
      </c>
    </row>
    <row r="2432" spans="4:15" s="327" customFormat="1" outlineLevel="2" x14ac:dyDescent="0.2">
      <c r="D2432" s="594" t="str">
        <f>Intv_BA!D3117</f>
        <v>Luapula</v>
      </c>
      <c r="H2432" s="594" t="str">
        <f>Intv_BA!G$2952</f>
        <v>PALL</v>
      </c>
      <c r="J2432" s="8">
        <f>J2230*Intv_BA!$N$3083/TS_Denom_Conv_Fact</f>
        <v>0</v>
      </c>
      <c r="K2432" s="8">
        <f>K2230*Intv_BA!$N$3083/TS_Denom_Conv_Fact</f>
        <v>0</v>
      </c>
      <c r="L2432" s="8">
        <f>L2230*Intv_BA!$N$3083/TS_Denom_Conv_Fact</f>
        <v>0</v>
      </c>
      <c r="M2432" s="8">
        <f>M2230*Intv_BA!$N$3083/TS_Denom_Conv_Fact</f>
        <v>0</v>
      </c>
      <c r="N2432" s="8">
        <f>N2230*Intv_BA!$N$3083/TS_Denom_Conv_Fact</f>
        <v>0</v>
      </c>
      <c r="O2432" s="8">
        <f>O2230*Intv_BA!$N$3083/TS_Denom_Conv_Fact</f>
        <v>0</v>
      </c>
    </row>
    <row r="2433" spans="4:15" s="327" customFormat="1" outlineLevel="2" x14ac:dyDescent="0.2">
      <c r="D2433" s="594" t="str">
        <f>Intv_BA!D3118</f>
        <v>Lusaka</v>
      </c>
      <c r="H2433" s="594" t="str">
        <f>Intv_BA!G$2952</f>
        <v>PALL</v>
      </c>
      <c r="J2433" s="8">
        <f>J2231*Intv_BA!$N$3083/TS_Denom_Conv_Fact</f>
        <v>0</v>
      </c>
      <c r="K2433" s="8">
        <f>K2231*Intv_BA!$N$3083/TS_Denom_Conv_Fact</f>
        <v>0</v>
      </c>
      <c r="L2433" s="8">
        <f>L2231*Intv_BA!$N$3083/TS_Denom_Conv_Fact</f>
        <v>0</v>
      </c>
      <c r="M2433" s="8">
        <f>M2231*Intv_BA!$N$3083/TS_Denom_Conv_Fact</f>
        <v>0</v>
      </c>
      <c r="N2433" s="8">
        <f>N2231*Intv_BA!$N$3083/TS_Denom_Conv_Fact</f>
        <v>0</v>
      </c>
      <c r="O2433" s="8">
        <f>O2231*Intv_BA!$N$3083/TS_Denom_Conv_Fact</f>
        <v>0</v>
      </c>
    </row>
    <row r="2434" spans="4:15" s="327" customFormat="1" outlineLevel="2" x14ac:dyDescent="0.2">
      <c r="D2434" s="594" t="str">
        <f>Intv_BA!D3119</f>
        <v>Muchinga</v>
      </c>
      <c r="H2434" s="594" t="str">
        <f>Intv_BA!G$2952</f>
        <v>PALL</v>
      </c>
      <c r="J2434" s="8">
        <f>J2232*Intv_BA!$N$3083/TS_Denom_Conv_Fact</f>
        <v>0</v>
      </c>
      <c r="K2434" s="8">
        <f>K2232*Intv_BA!$N$3083/TS_Denom_Conv_Fact</f>
        <v>0</v>
      </c>
      <c r="L2434" s="8">
        <f>L2232*Intv_BA!$N$3083/TS_Denom_Conv_Fact</f>
        <v>0</v>
      </c>
      <c r="M2434" s="8">
        <f>M2232*Intv_BA!$N$3083/TS_Denom_Conv_Fact</f>
        <v>0</v>
      </c>
      <c r="N2434" s="8">
        <f>N2232*Intv_BA!$N$3083/TS_Denom_Conv_Fact</f>
        <v>0</v>
      </c>
      <c r="O2434" s="8">
        <f>O2232*Intv_BA!$N$3083/TS_Denom_Conv_Fact</f>
        <v>0</v>
      </c>
    </row>
    <row r="2435" spans="4:15" s="327" customFormat="1" outlineLevel="2" x14ac:dyDescent="0.2">
      <c r="D2435" s="594" t="str">
        <f>Intv_BA!D3120</f>
        <v>Northern</v>
      </c>
      <c r="H2435" s="594" t="str">
        <f>Intv_BA!G$2952</f>
        <v>PALL</v>
      </c>
      <c r="J2435" s="8">
        <f>J2233*Intv_BA!$N$3083/TS_Denom_Conv_Fact</f>
        <v>0</v>
      </c>
      <c r="K2435" s="8">
        <f>K2233*Intv_BA!$N$3083/TS_Denom_Conv_Fact</f>
        <v>0</v>
      </c>
      <c r="L2435" s="8">
        <f>L2233*Intv_BA!$N$3083/TS_Denom_Conv_Fact</f>
        <v>0</v>
      </c>
      <c r="M2435" s="8">
        <f>M2233*Intv_BA!$N$3083/TS_Denom_Conv_Fact</f>
        <v>0</v>
      </c>
      <c r="N2435" s="8">
        <f>N2233*Intv_BA!$N$3083/TS_Denom_Conv_Fact</f>
        <v>0</v>
      </c>
      <c r="O2435" s="8">
        <f>O2233*Intv_BA!$N$3083/TS_Denom_Conv_Fact</f>
        <v>0</v>
      </c>
    </row>
    <row r="2436" spans="4:15" s="327" customFormat="1" outlineLevel="2" x14ac:dyDescent="0.2">
      <c r="D2436" s="594" t="str">
        <f>Intv_BA!D3121</f>
        <v>North-Western</v>
      </c>
      <c r="H2436" s="594" t="str">
        <f>Intv_BA!G$2952</f>
        <v>PALL</v>
      </c>
      <c r="J2436" s="8">
        <f>J2234*Intv_BA!$N$3083/TS_Denom_Conv_Fact</f>
        <v>0</v>
      </c>
      <c r="K2436" s="8">
        <f>K2234*Intv_BA!$N$3083/TS_Denom_Conv_Fact</f>
        <v>0</v>
      </c>
      <c r="L2436" s="8">
        <f>L2234*Intv_BA!$N$3083/TS_Denom_Conv_Fact</f>
        <v>0</v>
      </c>
      <c r="M2436" s="8">
        <f>M2234*Intv_BA!$N$3083/TS_Denom_Conv_Fact</f>
        <v>0</v>
      </c>
      <c r="N2436" s="8">
        <f>N2234*Intv_BA!$N$3083/TS_Denom_Conv_Fact</f>
        <v>0</v>
      </c>
      <c r="O2436" s="8">
        <f>O2234*Intv_BA!$N$3083/TS_Denom_Conv_Fact</f>
        <v>0</v>
      </c>
    </row>
    <row r="2437" spans="4:15" s="327" customFormat="1" outlineLevel="2" x14ac:dyDescent="0.2">
      <c r="D2437" s="594" t="str">
        <f>Intv_BA!D3122</f>
        <v>Southern</v>
      </c>
      <c r="H2437" s="594" t="str">
        <f>Intv_BA!G$2952</f>
        <v>PALL</v>
      </c>
      <c r="J2437" s="8">
        <f>J2235*Intv_BA!$N$3083/TS_Denom_Conv_Fact</f>
        <v>0</v>
      </c>
      <c r="K2437" s="8">
        <f>K2235*Intv_BA!$N$3083/TS_Denom_Conv_Fact</f>
        <v>0</v>
      </c>
      <c r="L2437" s="8">
        <f>L2235*Intv_BA!$N$3083/TS_Denom_Conv_Fact</f>
        <v>0</v>
      </c>
      <c r="M2437" s="8">
        <f>M2235*Intv_BA!$N$3083/TS_Denom_Conv_Fact</f>
        <v>0</v>
      </c>
      <c r="N2437" s="8">
        <f>N2235*Intv_BA!$N$3083/TS_Denom_Conv_Fact</f>
        <v>0</v>
      </c>
      <c r="O2437" s="8">
        <f>O2235*Intv_BA!$N$3083/TS_Denom_Conv_Fact</f>
        <v>0</v>
      </c>
    </row>
    <row r="2438" spans="4:15" s="327" customFormat="1" outlineLevel="2" x14ac:dyDescent="0.2">
      <c r="D2438" s="594" t="str">
        <f>Intv_BA!D3123</f>
        <v>Western</v>
      </c>
      <c r="H2438" s="594" t="str">
        <f>Intv_BA!G$2952</f>
        <v>PALL</v>
      </c>
      <c r="J2438" s="9">
        <f>J2236*Intv_BA!$N$3083/TS_Denom_Conv_Fact</f>
        <v>0</v>
      </c>
      <c r="K2438" s="9">
        <f>K2236*Intv_BA!$N$3083/TS_Denom_Conv_Fact</f>
        <v>0</v>
      </c>
      <c r="L2438" s="9">
        <f>L2236*Intv_BA!$N$3083/TS_Denom_Conv_Fact</f>
        <v>0</v>
      </c>
      <c r="M2438" s="9">
        <f>M2236*Intv_BA!$N$3083/TS_Denom_Conv_Fact</f>
        <v>0</v>
      </c>
      <c r="N2438" s="9">
        <f>N2236*Intv_BA!$N$3083/TS_Denom_Conv_Fact</f>
        <v>0</v>
      </c>
      <c r="O2438" s="9">
        <f>O2236*Intv_BA!$N$3083/TS_Denom_Conv_Fact</f>
        <v>0</v>
      </c>
    </row>
    <row r="2439" spans="4:15" s="327" customFormat="1" ht="15" x14ac:dyDescent="0.2">
      <c r="D2439" s="596" t="str">
        <f>D2428&amp;" ("&amp;INDEX(LU_Intv_6_Denom,DD_TS_Denom)&amp;")"</f>
        <v>Economic Capital Expenditures (Capex) (Annualized) (USD)</v>
      </c>
      <c r="H2439" s="24" t="str">
        <f>Intv_BA!$G$2952</f>
        <v>PALL</v>
      </c>
      <c r="J2439" s="5">
        <f t="shared" ref="J2439:O2439" si="233">SUM(J2429:J2438)</f>
        <v>0</v>
      </c>
      <c r="K2439" s="5">
        <f t="shared" si="233"/>
        <v>0</v>
      </c>
      <c r="L2439" s="5">
        <f t="shared" si="233"/>
        <v>0</v>
      </c>
      <c r="M2439" s="5">
        <f t="shared" si="233"/>
        <v>0</v>
      </c>
      <c r="N2439" s="5">
        <f t="shared" si="233"/>
        <v>0</v>
      </c>
      <c r="O2439" s="5">
        <f t="shared" si="233"/>
        <v>0</v>
      </c>
    </row>
    <row r="2440" spans="4:15" s="327" customFormat="1" x14ac:dyDescent="0.2"/>
    <row r="2441" spans="4:15" s="327" customFormat="1" ht="15.75" x14ac:dyDescent="0.2">
      <c r="D2441" s="330" t="s">
        <v>732</v>
      </c>
    </row>
    <row r="2442" spans="4:15" s="327" customFormat="1" ht="24" customHeight="1" x14ac:dyDescent="0.2">
      <c r="D2442" s="930" t="str">
        <f>"Total Fin Costs [incl. Capex] (NonAnnualized) ("&amp;INDEX(LU_Intv_6_Denom,DD_TS_Denom)&amp;")"</f>
        <v>Total Fin Costs [incl. Capex] (NonAnnualized) (USD)</v>
      </c>
      <c r="E2442" s="930"/>
      <c r="F2442" s="930"/>
      <c r="G2442" s="930"/>
      <c r="H2442" s="594" t="str">
        <f>Intv_BA!$G$2952</f>
        <v>PALL</v>
      </c>
      <c r="J2442" s="5">
        <f t="shared" ref="J2442:O2442" ca="1" si="234">J2388+J2402</f>
        <v>56328.746112000001</v>
      </c>
      <c r="K2442" s="5">
        <f t="shared" ca="1" si="234"/>
        <v>56328.746112000001</v>
      </c>
      <c r="L2442" s="5">
        <f t="shared" ca="1" si="234"/>
        <v>56328.746112000001</v>
      </c>
      <c r="M2442" s="5">
        <f t="shared" ca="1" si="234"/>
        <v>56328.746112000001</v>
      </c>
      <c r="N2442" s="5">
        <f t="shared" ca="1" si="234"/>
        <v>56328.746112000001</v>
      </c>
      <c r="O2442" s="5">
        <f t="shared" ca="1" si="234"/>
        <v>56328.746112000001</v>
      </c>
    </row>
    <row r="2443" spans="4:15" s="327" customFormat="1" ht="28.5" customHeight="1" x14ac:dyDescent="0.2">
      <c r="D2443" s="930" t="str">
        <f>"Total Fin Costs [incl. Capex] (Annualized) ("&amp;INDEX(LU_Intv_6_Denom,DD_TS_Denom)&amp;")"</f>
        <v>Total Fin Costs [incl. Capex] (Annualized) (USD)</v>
      </c>
      <c r="E2443" s="930"/>
      <c r="F2443" s="930"/>
      <c r="G2443" s="930"/>
      <c r="H2443" s="594" t="str">
        <f>Intv_BA!$G$2952</f>
        <v>PALL</v>
      </c>
      <c r="J2443" s="5">
        <f t="shared" ref="J2443:O2443" ca="1" si="235">J2388+J2414</f>
        <v>56328.746112000001</v>
      </c>
      <c r="K2443" s="5">
        <f t="shared" ca="1" si="235"/>
        <v>56328.746112000001</v>
      </c>
      <c r="L2443" s="5">
        <f t="shared" ca="1" si="235"/>
        <v>56328.746112000001</v>
      </c>
      <c r="M2443" s="5">
        <f t="shared" ca="1" si="235"/>
        <v>56328.746112000001</v>
      </c>
      <c r="N2443" s="5">
        <f t="shared" ca="1" si="235"/>
        <v>56328.746112000001</v>
      </c>
      <c r="O2443" s="5">
        <f t="shared" ca="1" si="235"/>
        <v>56328.746112000001</v>
      </c>
    </row>
    <row r="2444" spans="4:15" s="327" customFormat="1" x14ac:dyDescent="0.2"/>
    <row r="2445" spans="4:15" s="327" customFormat="1" ht="15.75" x14ac:dyDescent="0.2">
      <c r="D2445" s="330" t="s">
        <v>733</v>
      </c>
    </row>
    <row r="2446" spans="4:15" s="327" customFormat="1" ht="24.6" customHeight="1" x14ac:dyDescent="0.2">
      <c r="D2446" s="930" t="str">
        <f>"Total Econ Costs [incl. Capex] (NonAnnualized) ("&amp;INDEX(LU_Intv_6_Denom,DD_TS_Denom)&amp;")"</f>
        <v>Total Econ Costs [incl. Capex] (NonAnnualized) (USD)</v>
      </c>
      <c r="E2446" s="930"/>
      <c r="F2446" s="930"/>
      <c r="G2446" s="930"/>
      <c r="H2446" s="594" t="str">
        <f>Intv_BA!$G$2952</f>
        <v>PALL</v>
      </c>
      <c r="J2446" s="5">
        <f t="shared" ref="J2446:O2446" ca="1" si="236">J2389+J2427</f>
        <v>86498.692532800676</v>
      </c>
      <c r="K2446" s="5">
        <f t="shared" ca="1" si="236"/>
        <v>86498.692532800676</v>
      </c>
      <c r="L2446" s="5">
        <f t="shared" ca="1" si="236"/>
        <v>86498.692532800676</v>
      </c>
      <c r="M2446" s="5">
        <f t="shared" ca="1" si="236"/>
        <v>86498.692532800676</v>
      </c>
      <c r="N2446" s="5">
        <f t="shared" ca="1" si="236"/>
        <v>86498.692532800676</v>
      </c>
      <c r="O2446" s="5">
        <f t="shared" ca="1" si="236"/>
        <v>86498.692532800676</v>
      </c>
    </row>
    <row r="2447" spans="4:15" s="327" customFormat="1" ht="29.1" customHeight="1" x14ac:dyDescent="0.2">
      <c r="D2447" s="931" t="str">
        <f>"Econ Costs [incl. Capex] (Annualized) ("&amp;INDEX(LU_Intv_6_Denom,DD_TS_Denom)&amp;")"</f>
        <v>Econ Costs [incl. Capex] (Annualized) (USD)</v>
      </c>
      <c r="E2447" s="931"/>
      <c r="F2447" s="931"/>
      <c r="G2447" s="931"/>
      <c r="H2447" s="594" t="str">
        <f>Intv_BA!$G$2952</f>
        <v>PALL</v>
      </c>
      <c r="J2447" s="5">
        <f t="shared" ref="J2447:O2447" ca="1" si="237">J2389+J2439</f>
        <v>86498.692532800676</v>
      </c>
      <c r="K2447" s="5">
        <f t="shared" ca="1" si="237"/>
        <v>86498.692532800676</v>
      </c>
      <c r="L2447" s="5">
        <f t="shared" ca="1" si="237"/>
        <v>86498.692532800676</v>
      </c>
      <c r="M2447" s="5">
        <f t="shared" ca="1" si="237"/>
        <v>86498.692532800676</v>
      </c>
      <c r="N2447" s="5">
        <f t="shared" ca="1" si="237"/>
        <v>86498.692532800676</v>
      </c>
      <c r="O2447" s="5">
        <f t="shared" ca="1" si="237"/>
        <v>86498.692532800676</v>
      </c>
    </row>
    <row r="2448" spans="4:15" s="327" customFormat="1" x14ac:dyDescent="0.2"/>
    <row r="2449" spans="3:9" s="327" customFormat="1" x14ac:dyDescent="0.2"/>
    <row r="2450" spans="3:9" s="327" customFormat="1" x14ac:dyDescent="0.2">
      <c r="C2450" s="716" t="str">
        <f>"Go to "&amp;HL_Intv_6_Ass</f>
        <v>Go to Palliative Care</v>
      </c>
      <c r="D2450" s="716"/>
      <c r="E2450" s="716"/>
      <c r="F2450" s="716"/>
      <c r="G2450" s="716"/>
      <c r="H2450" s="716"/>
      <c r="I2450" s="716"/>
    </row>
    <row r="2451" spans="3:9" s="327" customFormat="1" x14ac:dyDescent="0.2">
      <c r="C2451" s="716" t="str">
        <f>"Go to "&amp;HL_Intv_6_Ann_Ass</f>
        <v>Go to Intervention Services - Annual Assumptions</v>
      </c>
      <c r="D2451" s="716"/>
      <c r="E2451" s="716"/>
      <c r="F2451" s="716"/>
      <c r="G2451" s="716"/>
      <c r="H2451" s="716"/>
      <c r="I2451" s="716"/>
    </row>
  </sheetData>
  <sheetProtection password="F0F4" sheet="1" scenarios="1"/>
  <mergeCells count="37">
    <mergeCell ref="C2450:I2450"/>
    <mergeCell ref="C2451:I2451"/>
    <mergeCell ref="C1636:I1636"/>
    <mergeCell ref="C1637:I1637"/>
    <mergeCell ref="C2043:I2043"/>
    <mergeCell ref="C2044:I2044"/>
    <mergeCell ref="D2447:G2447"/>
    <mergeCell ref="D2446:G2446"/>
    <mergeCell ref="D2442:G2442"/>
    <mergeCell ref="D2443:G2443"/>
    <mergeCell ref="D2040:G2040"/>
    <mergeCell ref="D2036:G2036"/>
    <mergeCell ref="D2039:G2039"/>
    <mergeCell ref="B3:F3"/>
    <mergeCell ref="C415:I415"/>
    <mergeCell ref="C416:I416"/>
    <mergeCell ref="C822:I822"/>
    <mergeCell ref="C823:I823"/>
    <mergeCell ref="D411:G411"/>
    <mergeCell ref="D818:G818"/>
    <mergeCell ref="D407:G407"/>
    <mergeCell ref="D408:G408"/>
    <mergeCell ref="D412:G412"/>
    <mergeCell ref="D819:G819"/>
    <mergeCell ref="D1226:G1226"/>
    <mergeCell ref="C1230:I1230"/>
    <mergeCell ref="D814:G814"/>
    <mergeCell ref="D1628:G1628"/>
    <mergeCell ref="D2035:G2035"/>
    <mergeCell ref="D1221:G1221"/>
    <mergeCell ref="D815:G815"/>
    <mergeCell ref="D1629:G1629"/>
    <mergeCell ref="D1222:G1222"/>
    <mergeCell ref="D1632:G1632"/>
    <mergeCell ref="D1225:G1225"/>
    <mergeCell ref="C1229:I1229"/>
    <mergeCell ref="D1633:G1633"/>
  </mergeCells>
  <hyperlinks>
    <hyperlink ref="A4" location="$A$10" tooltip="Go to Top of Sheet" display="$A$10"/>
    <hyperlink ref="C415:I415" location="HL_Intv_Ass" tooltip="Click to follow hyperlink." display="HL_Intv_Ass"/>
    <hyperlink ref="C416:I416" location="HL_Intv_Ann_Ass" tooltip="Click to follow hyperlink." display="HL_Intv_Ann_Ass"/>
    <hyperlink ref="C822:I822" location="HL_Intv_2_Ass" tooltip="Click to follow hyperlink." display="HL_Intv_2_Ass"/>
    <hyperlink ref="C823:I823" location="HL_Intv_2_Ann_Ass" tooltip="Click to follow hyperlink." display="HL_Intv_2_Ann_Ass"/>
    <hyperlink ref="C1229:I1229" location="HL_Intv_5_Ass" tooltip="Click to follow hyperlink." display="HL_Intv_5_Ass"/>
    <hyperlink ref="C1230:I1230" location="HL_Intv_5_Ann_Ass" tooltip="Click to follow hyperlink." display="HL_Intv_5_Ann_Ass"/>
    <hyperlink ref="C1636:I1636" location="HL_Intv_3_Ass" tooltip="Click to follow hyperlink." display="HL_Intv_3_Ass"/>
    <hyperlink ref="C1637:I1637" location="HL_Intv_3_Ann_Ass" tooltip="Click to follow hyperlink." display="HL_Intv_3_Ann_Ass"/>
    <hyperlink ref="C2043:I2043" location="HL_Intv_4_Ass" tooltip="Click to follow hyperlink." display="HL_Intv_4_Ass"/>
    <hyperlink ref="C2044:I2044" location="HL_Intv_4_Ann_Ass" tooltip="Click to follow hyperlink." display="HL_Intv_4_Ann_Ass"/>
    <hyperlink ref="C2450:I2450" location="HL_Intv_6_Ass" tooltip="Click to follow hyperlink." display="HL_Intv_6_Ass"/>
    <hyperlink ref="C2451:I2451" location="HL_Intv_6_Ann_Ass" tooltip="Click to follow hyperlink." display="HL_Intv_6_Ann_Ass"/>
    <hyperlink ref="B4" location="HL_Sheet_Main_24" tooltip="Go to Previous Sheet" display="HL_Sheet_Main_24"/>
    <hyperlink ref="C4" location="HL_Sheet_Main_20" tooltip="Go to Next Sheet" display="HL_Sheet_Main_20"/>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indexed="60"/>
    <pageSetUpPr autoPageBreaks="0"/>
  </sheetPr>
  <dimension ref="A1:O381"/>
  <sheetViews>
    <sheetView showGridLines="0" showZeros="0" tabSelected="1" zoomScaleNormal="100" workbookViewId="0">
      <pane ySplit="9" topLeftCell="A79" activePane="bottomLeft" state="frozen"/>
      <selection activeCell="F4" sqref="F4"/>
      <selection pane="bottomLeft" activeCell="Q89" sqref="Q89"/>
    </sheetView>
  </sheetViews>
  <sheetFormatPr defaultColWidth="11.7109375" defaultRowHeight="12.75" outlineLevelRow="2" outlineLevelCol="1" x14ac:dyDescent="0.2"/>
  <cols>
    <col min="1" max="1" width="3.7109375" customWidth="1"/>
    <col min="2" max="2" width="5.7109375" customWidth="1"/>
    <col min="3" max="5" width="3.7109375" customWidth="1"/>
    <col min="7" max="7" width="14.7109375" customWidth="1"/>
    <col min="8" max="8" width="15.7109375" customWidth="1"/>
    <col min="10" max="15" width="11.7109375" outlineLevel="1"/>
  </cols>
  <sheetData>
    <row r="1" spans="1:15" ht="23.25" x14ac:dyDescent="0.2">
      <c r="A1" s="420"/>
      <c r="B1" s="32" t="s">
        <v>2032</v>
      </c>
    </row>
    <row r="2" spans="1:15" ht="18.75" x14ac:dyDescent="0.2">
      <c r="B2" s="36" t="str">
        <f>Model_Name</f>
        <v>Zambia C4P* - Screening &amp; Treatment Tool</v>
      </c>
    </row>
    <row r="3" spans="1:15" x14ac:dyDescent="0.2">
      <c r="B3" s="702" t="s">
        <v>2</v>
      </c>
      <c r="C3" s="702"/>
      <c r="D3" s="702"/>
      <c r="E3" s="702"/>
      <c r="F3" s="702"/>
    </row>
    <row r="4" spans="1:15" x14ac:dyDescent="0.2">
      <c r="A4" s="1" t="s">
        <v>4</v>
      </c>
      <c r="B4" s="337" t="s">
        <v>6</v>
      </c>
      <c r="C4" s="324" t="s">
        <v>7</v>
      </c>
      <c r="D4" s="655" t="s">
        <v>27</v>
      </c>
      <c r="E4" s="656" t="s">
        <v>28</v>
      </c>
      <c r="F4" s="654" t="s">
        <v>29</v>
      </c>
    </row>
    <row r="5" spans="1:15" s="327" customFormat="1" x14ac:dyDescent="0.2">
      <c r="B5" s="199" t="str">
        <f>"Year Ending "&amp;INDEX(LU_TS_Mth_Names,DD_TS_Fin_Yr_End_Mth)</f>
        <v>Year Ending December</v>
      </c>
      <c r="C5" s="6"/>
      <c r="D5" s="6"/>
      <c r="E5" s="6"/>
      <c r="F5" s="6"/>
      <c r="G5" s="6"/>
      <c r="H5" s="6"/>
      <c r="I5" s="6"/>
      <c r="J5" s="454">
        <f t="shared" ref="J5:O5" si="0">J9</f>
        <v>2015</v>
      </c>
      <c r="K5" s="454">
        <f t="shared" si="0"/>
        <v>2016</v>
      </c>
      <c r="L5" s="454">
        <f t="shared" si="0"/>
        <v>2017</v>
      </c>
      <c r="M5" s="454">
        <f t="shared" si="0"/>
        <v>2018</v>
      </c>
      <c r="N5" s="454">
        <f t="shared" si="0"/>
        <v>2019</v>
      </c>
      <c r="O5" s="454">
        <f t="shared" si="0"/>
        <v>2020</v>
      </c>
    </row>
    <row r="6" spans="1:15" s="327" customFormat="1" hidden="1" outlineLevel="2" x14ac:dyDescent="0.2">
      <c r="B6" s="680" t="s">
        <v>70</v>
      </c>
      <c r="J6" s="4">
        <f t="shared" ref="J6:O6" si="1">EDATE(TS_Start_Date,(J8-1)*TS_Mths_In_Yr)</f>
        <v>42005</v>
      </c>
      <c r="K6" s="4">
        <f t="shared" si="1"/>
        <v>42370</v>
      </c>
      <c r="L6" s="4">
        <f t="shared" si="1"/>
        <v>42736</v>
      </c>
      <c r="M6" s="4">
        <f t="shared" si="1"/>
        <v>43101</v>
      </c>
      <c r="N6" s="4">
        <f t="shared" si="1"/>
        <v>43466</v>
      </c>
      <c r="O6" s="4">
        <f t="shared" si="1"/>
        <v>43831</v>
      </c>
    </row>
    <row r="7" spans="1:15" s="327" customFormat="1" hidden="1" outlineLevel="2" x14ac:dyDescent="0.2">
      <c r="B7" s="680" t="s">
        <v>71</v>
      </c>
      <c r="J7" s="4">
        <f t="shared" ref="J7:O7" si="2">EDATE(J6,TS_Mths_In_Yr)-1</f>
        <v>42369</v>
      </c>
      <c r="K7" s="4">
        <f t="shared" si="2"/>
        <v>42735</v>
      </c>
      <c r="L7" s="4">
        <f t="shared" si="2"/>
        <v>43100</v>
      </c>
      <c r="M7" s="4">
        <f t="shared" si="2"/>
        <v>43465</v>
      </c>
      <c r="N7" s="4">
        <f t="shared" si="2"/>
        <v>43830</v>
      </c>
      <c r="O7" s="4">
        <f t="shared" si="2"/>
        <v>44196</v>
      </c>
    </row>
    <row r="8" spans="1:15" s="327" customFormat="1" hidden="1" outlineLevel="2" x14ac:dyDescent="0.2">
      <c r="B8" s="680" t="s">
        <v>72</v>
      </c>
      <c r="J8" s="5">
        <f>COLUMNS($J8:J8)</f>
        <v>1</v>
      </c>
      <c r="K8" s="5">
        <f>COLUMNS($J8:K8)</f>
        <v>2</v>
      </c>
      <c r="L8" s="5">
        <f>COLUMNS($J8:L8)</f>
        <v>3</v>
      </c>
      <c r="M8" s="5">
        <f>COLUMNS($J8:M8)</f>
        <v>4</v>
      </c>
      <c r="N8" s="5">
        <f>COLUMNS($J8:N8)</f>
        <v>5</v>
      </c>
      <c r="O8" s="5">
        <f>COLUMNS($J8:O8)</f>
        <v>6</v>
      </c>
    </row>
    <row r="9" spans="1:15" s="327" customFormat="1" hidden="1" outlineLevel="2" x14ac:dyDescent="0.2">
      <c r="B9" s="29" t="s">
        <v>73</v>
      </c>
      <c r="C9" s="6"/>
      <c r="D9" s="6"/>
      <c r="E9" s="6"/>
      <c r="F9" s="6"/>
      <c r="G9" s="6"/>
      <c r="H9" s="6"/>
      <c r="I9" s="6"/>
      <c r="J9" s="7">
        <f t="shared" ref="J9:O9" si="3">YEAR(J7)</f>
        <v>2015</v>
      </c>
      <c r="K9" s="7">
        <f t="shared" si="3"/>
        <v>2016</v>
      </c>
      <c r="L9" s="7">
        <f t="shared" si="3"/>
        <v>2017</v>
      </c>
      <c r="M9" s="7">
        <f t="shared" si="3"/>
        <v>2018</v>
      </c>
      <c r="N9" s="7">
        <f t="shared" si="3"/>
        <v>2019</v>
      </c>
      <c r="O9" s="7">
        <f t="shared" si="3"/>
        <v>2020</v>
      </c>
    </row>
    <row r="10" spans="1:15" s="327" customFormat="1" collapsed="1" x14ac:dyDescent="0.2"/>
    <row r="11" spans="1:15" s="327" customFormat="1" x14ac:dyDescent="0.2"/>
    <row r="12" spans="1:15" s="327" customFormat="1" ht="18.75" x14ac:dyDescent="0.2">
      <c r="B12" s="426" t="s">
        <v>86</v>
      </c>
    </row>
    <row r="13" spans="1:15" s="327" customFormat="1" x14ac:dyDescent="0.2"/>
    <row r="14" spans="1:15" s="327" customFormat="1" ht="15.75" x14ac:dyDescent="0.2">
      <c r="C14" s="330" t="s">
        <v>85</v>
      </c>
    </row>
    <row r="15" spans="1:15" s="327" customFormat="1" x14ac:dyDescent="0.2"/>
    <row r="16" spans="1:15" s="327" customFormat="1" ht="15" x14ac:dyDescent="0.2">
      <c r="D16" s="646" t="str">
        <f>Oth_Ann_TA!D18</f>
        <v>Activity Unit Name</v>
      </c>
      <c r="J16" s="658" t="s">
        <v>85</v>
      </c>
    </row>
    <row r="17" spans="3:15" s="327" customFormat="1" x14ac:dyDescent="0.2">
      <c r="D17" s="660" t="str">
        <f>Oth_Ann_TA!D19</f>
        <v>National Programme Microplanning</v>
      </c>
      <c r="J17" s="5">
        <f>Oth_Ann_TA!J39</f>
        <v>1</v>
      </c>
      <c r="K17" s="5">
        <f>Oth_Ann_TA!K39</f>
        <v>1</v>
      </c>
      <c r="L17" s="5">
        <f>Oth_Ann_TA!L39</f>
        <v>1</v>
      </c>
      <c r="M17" s="5">
        <f>Oth_Ann_TA!M39</f>
        <v>1</v>
      </c>
      <c r="N17" s="5">
        <f>Oth_Ann_TA!N39</f>
        <v>1</v>
      </c>
      <c r="O17" s="5">
        <f>Oth_Ann_TA!O39</f>
        <v>1</v>
      </c>
    </row>
    <row r="18" spans="3:15" s="327" customFormat="1" x14ac:dyDescent="0.2">
      <c r="D18" s="660" t="str">
        <f>Oth_Ann_TA!D20</f>
        <v>Provincial Programme Microplanning</v>
      </c>
      <c r="J18" s="5">
        <f>Oth_Ann_TA!J40</f>
        <v>10</v>
      </c>
      <c r="K18" s="5">
        <f>Oth_Ann_TA!K40</f>
        <v>10</v>
      </c>
      <c r="L18" s="5">
        <f>Oth_Ann_TA!L40</f>
        <v>10</v>
      </c>
      <c r="M18" s="5">
        <f>Oth_Ann_TA!M40</f>
        <v>10</v>
      </c>
      <c r="N18" s="5">
        <f>Oth_Ann_TA!N40</f>
        <v>10</v>
      </c>
      <c r="O18" s="5">
        <f>Oth_Ann_TA!O40</f>
        <v>10</v>
      </c>
    </row>
    <row r="19" spans="3:15" s="327" customFormat="1" x14ac:dyDescent="0.2">
      <c r="D19" s="660">
        <f>Oth_Ann_TA!D21</f>
        <v>0</v>
      </c>
      <c r="J19" s="5">
        <f>Oth_Ann_TA!J41</f>
        <v>0</v>
      </c>
      <c r="K19" s="5">
        <f>Oth_Ann_TA!K41</f>
        <v>0</v>
      </c>
      <c r="L19" s="5">
        <f>Oth_Ann_TA!L41</f>
        <v>0</v>
      </c>
      <c r="M19" s="5">
        <f>Oth_Ann_TA!M41</f>
        <v>0</v>
      </c>
      <c r="N19" s="5">
        <f>Oth_Ann_TA!N41</f>
        <v>0</v>
      </c>
      <c r="O19" s="5">
        <f>Oth_Ann_TA!O41</f>
        <v>0</v>
      </c>
    </row>
    <row r="20" spans="3:15" s="327" customFormat="1" x14ac:dyDescent="0.2">
      <c r="D20" s="660">
        <f>Oth_Ann_TA!D22</f>
        <v>0</v>
      </c>
      <c r="J20" s="5">
        <f>Oth_Ann_TA!J42</f>
        <v>0</v>
      </c>
      <c r="K20" s="5">
        <f>Oth_Ann_TA!K42</f>
        <v>0</v>
      </c>
      <c r="L20" s="5">
        <f>Oth_Ann_TA!L42</f>
        <v>0</v>
      </c>
      <c r="M20" s="5">
        <f>Oth_Ann_TA!M42</f>
        <v>0</v>
      </c>
      <c r="N20" s="5">
        <f>Oth_Ann_TA!N42</f>
        <v>0</v>
      </c>
      <c r="O20" s="5">
        <f>Oth_Ann_TA!O42</f>
        <v>0</v>
      </c>
    </row>
    <row r="21" spans="3:15" s="327" customFormat="1" x14ac:dyDescent="0.2"/>
    <row r="22" spans="3:15" s="327" customFormat="1" ht="15.75" x14ac:dyDescent="0.2">
      <c r="C22" s="26" t="str">
        <f>"Financial Cost ("&amp;INDEX(LU_Micro_Denom,DD_TS_Denom)&amp;")"</f>
        <v>Financial Cost (USD)</v>
      </c>
    </row>
    <row r="23" spans="3:15" s="327" customFormat="1" x14ac:dyDescent="0.2"/>
    <row r="24" spans="3:15" s="327" customFormat="1" ht="15" x14ac:dyDescent="0.2">
      <c r="D24" s="646" t="str">
        <f>Oth_Ann_TA!D18</f>
        <v>Activity Unit Name</v>
      </c>
    </row>
    <row r="25" spans="3:15" s="327" customFormat="1" x14ac:dyDescent="0.2">
      <c r="D25" s="660" t="str">
        <f>Oth_Ann_TA!D19</f>
        <v>National Programme Microplanning</v>
      </c>
      <c r="H25" s="680" t="s">
        <v>145</v>
      </c>
      <c r="J25" s="8">
        <f>Oth_Ann_TA!$H19*J17/TS_Denom_Conv_Fact</f>
        <v>5000</v>
      </c>
      <c r="K25" s="8">
        <f>Oth_Ann_TA!$H19*K17/TS_Denom_Conv_Fact</f>
        <v>5000</v>
      </c>
      <c r="L25" s="8">
        <f>Oth_Ann_TA!$H19*L17/TS_Denom_Conv_Fact</f>
        <v>5000</v>
      </c>
      <c r="M25" s="8">
        <f>Oth_Ann_TA!$H19*M17/TS_Denom_Conv_Fact</f>
        <v>5000</v>
      </c>
      <c r="N25" s="8">
        <f>Oth_Ann_TA!$H19*N17/TS_Denom_Conv_Fact</f>
        <v>5000</v>
      </c>
      <c r="O25" s="8">
        <f>Oth_Ann_TA!$H19*O17/TS_Denom_Conv_Fact</f>
        <v>5000</v>
      </c>
    </row>
    <row r="26" spans="3:15" s="327" customFormat="1" x14ac:dyDescent="0.2">
      <c r="D26" s="660" t="str">
        <f>Oth_Ann_TA!D20</f>
        <v>Provincial Programme Microplanning</v>
      </c>
      <c r="H26" s="680" t="s">
        <v>145</v>
      </c>
      <c r="J26" s="8">
        <f>Oth_Ann_TA!$H20*J18/TS_Denom_Conv_Fact</f>
        <v>30000</v>
      </c>
      <c r="K26" s="8">
        <f>Oth_Ann_TA!$H20*K18/TS_Denom_Conv_Fact</f>
        <v>30000</v>
      </c>
      <c r="L26" s="8">
        <f>Oth_Ann_TA!$H20*L18/TS_Denom_Conv_Fact</f>
        <v>30000</v>
      </c>
      <c r="M26" s="8">
        <f>Oth_Ann_TA!$H20*M18/TS_Denom_Conv_Fact</f>
        <v>30000</v>
      </c>
      <c r="N26" s="8">
        <f>Oth_Ann_TA!$H20*N18/TS_Denom_Conv_Fact</f>
        <v>30000</v>
      </c>
      <c r="O26" s="8">
        <f>Oth_Ann_TA!$H20*O18/TS_Denom_Conv_Fact</f>
        <v>30000</v>
      </c>
    </row>
    <row r="27" spans="3:15" s="327" customFormat="1" x14ac:dyDescent="0.2">
      <c r="D27" s="660">
        <f>Oth_Ann_TA!D21</f>
        <v>0</v>
      </c>
      <c r="H27" s="680" t="s">
        <v>145</v>
      </c>
      <c r="J27" s="8">
        <f>Oth_Ann_TA!$H21*J19/TS_Denom_Conv_Fact</f>
        <v>0</v>
      </c>
      <c r="K27" s="8">
        <f>Oth_Ann_TA!$H21*K19/TS_Denom_Conv_Fact</f>
        <v>0</v>
      </c>
      <c r="L27" s="8">
        <f>Oth_Ann_TA!$H21*L19/TS_Denom_Conv_Fact</f>
        <v>0</v>
      </c>
      <c r="M27" s="8">
        <f>Oth_Ann_TA!$H21*M19/TS_Denom_Conv_Fact</f>
        <v>0</v>
      </c>
      <c r="N27" s="8">
        <f>Oth_Ann_TA!$H21*N19/TS_Denom_Conv_Fact</f>
        <v>0</v>
      </c>
      <c r="O27" s="8">
        <f>Oth_Ann_TA!$H21*O19/TS_Denom_Conv_Fact</f>
        <v>0</v>
      </c>
    </row>
    <row r="28" spans="3:15" s="327" customFormat="1" x14ac:dyDescent="0.2">
      <c r="D28" s="660">
        <f>Oth_Ann_TA!D22</f>
        <v>0</v>
      </c>
      <c r="H28" s="680" t="s">
        <v>145</v>
      </c>
      <c r="J28" s="9">
        <f>Oth_Ann_TA!$H22*J20/TS_Denom_Conv_Fact</f>
        <v>0</v>
      </c>
      <c r="K28" s="9">
        <f>Oth_Ann_TA!$H22*K20/TS_Denom_Conv_Fact</f>
        <v>0</v>
      </c>
      <c r="L28" s="9">
        <f>Oth_Ann_TA!$H22*L20/TS_Denom_Conv_Fact</f>
        <v>0</v>
      </c>
      <c r="M28" s="9">
        <f>Oth_Ann_TA!$H22*M20/TS_Denom_Conv_Fact</f>
        <v>0</v>
      </c>
      <c r="N28" s="9">
        <f>Oth_Ann_TA!$H22*N20/TS_Denom_Conv_Fact</f>
        <v>0</v>
      </c>
      <c r="O28" s="9">
        <f>Oth_Ann_TA!$H22*O20/TS_Denom_Conv_Fact</f>
        <v>0</v>
      </c>
    </row>
    <row r="29" spans="3:15" s="327" customFormat="1" x14ac:dyDescent="0.2">
      <c r="D29" s="659" t="str">
        <f>"Total "&amp;C22</f>
        <v>Total Financial Cost (USD)</v>
      </c>
      <c r="H29" s="680" t="s">
        <v>145</v>
      </c>
      <c r="J29" s="25">
        <f t="shared" ref="J29:O29" si="4">SUM(J25:J28)</f>
        <v>35000</v>
      </c>
      <c r="K29" s="25">
        <f t="shared" si="4"/>
        <v>35000</v>
      </c>
      <c r="L29" s="25">
        <f t="shared" si="4"/>
        <v>35000</v>
      </c>
      <c r="M29" s="25">
        <f t="shared" si="4"/>
        <v>35000</v>
      </c>
      <c r="N29" s="25">
        <f t="shared" si="4"/>
        <v>35000</v>
      </c>
      <c r="O29" s="25">
        <f t="shared" si="4"/>
        <v>35000</v>
      </c>
    </row>
    <row r="30" spans="3:15" s="327" customFormat="1" x14ac:dyDescent="0.2"/>
    <row r="31" spans="3:15" s="327" customFormat="1" ht="15.75" x14ac:dyDescent="0.2">
      <c r="C31" s="26" t="str">
        <f>"Economic Cost ("&amp;INDEX(LU_Micro_Denom,DD_TS_Denom)&amp;")"</f>
        <v>Economic Cost (USD)</v>
      </c>
    </row>
    <row r="32" spans="3:15" s="327" customFormat="1" x14ac:dyDescent="0.2"/>
    <row r="33" spans="2:15" s="327" customFormat="1" ht="15" x14ac:dyDescent="0.2">
      <c r="D33" s="646" t="str">
        <f>Oth_Ann_TA!D18</f>
        <v>Activity Unit Name</v>
      </c>
    </row>
    <row r="34" spans="2:15" s="327" customFormat="1" x14ac:dyDescent="0.2">
      <c r="D34" s="660" t="str">
        <f>Oth_Ann_TA!D19</f>
        <v>National Programme Microplanning</v>
      </c>
      <c r="H34" s="680" t="s">
        <v>145</v>
      </c>
      <c r="J34" s="8">
        <f>Oth_Ann_TA!$I19*J17/TS_Denom_Conv_Fact</f>
        <v>7500</v>
      </c>
      <c r="K34" s="8">
        <f>Oth_Ann_TA!$I19*K17/TS_Denom_Conv_Fact</f>
        <v>7500</v>
      </c>
      <c r="L34" s="8">
        <f>Oth_Ann_TA!$I19*L17/TS_Denom_Conv_Fact</f>
        <v>7500</v>
      </c>
      <c r="M34" s="8">
        <f>Oth_Ann_TA!$I19*M17/TS_Denom_Conv_Fact</f>
        <v>7500</v>
      </c>
      <c r="N34" s="8">
        <f>Oth_Ann_TA!$I19*N17/TS_Denom_Conv_Fact</f>
        <v>7500</v>
      </c>
      <c r="O34" s="8">
        <f>Oth_Ann_TA!$I19*O17/TS_Denom_Conv_Fact</f>
        <v>7500</v>
      </c>
    </row>
    <row r="35" spans="2:15" s="327" customFormat="1" x14ac:dyDescent="0.2">
      <c r="D35" s="660" t="str">
        <f>Oth_Ann_TA!D20</f>
        <v>Provincial Programme Microplanning</v>
      </c>
      <c r="H35" s="680" t="s">
        <v>145</v>
      </c>
      <c r="J35" s="8">
        <f>Oth_Ann_TA!$I20*J18/TS_Denom_Conv_Fact</f>
        <v>45000</v>
      </c>
      <c r="K35" s="8">
        <f>Oth_Ann_TA!$I20*K18/TS_Denom_Conv_Fact</f>
        <v>45000</v>
      </c>
      <c r="L35" s="8">
        <f>Oth_Ann_TA!$I20*L18/TS_Denom_Conv_Fact</f>
        <v>45000</v>
      </c>
      <c r="M35" s="8">
        <f>Oth_Ann_TA!$I20*M18/TS_Denom_Conv_Fact</f>
        <v>45000</v>
      </c>
      <c r="N35" s="8">
        <f>Oth_Ann_TA!$I20*N18/TS_Denom_Conv_Fact</f>
        <v>45000</v>
      </c>
      <c r="O35" s="8">
        <f>Oth_Ann_TA!$I20*O18/TS_Denom_Conv_Fact</f>
        <v>45000</v>
      </c>
    </row>
    <row r="36" spans="2:15" s="327" customFormat="1" x14ac:dyDescent="0.2">
      <c r="D36" s="660">
        <f>Oth_Ann_TA!D21</f>
        <v>0</v>
      </c>
      <c r="H36" s="680" t="s">
        <v>145</v>
      </c>
      <c r="J36" s="8">
        <f>Oth_Ann_TA!$I21*J19/TS_Denom_Conv_Fact</f>
        <v>0</v>
      </c>
      <c r="K36" s="8">
        <f>Oth_Ann_TA!$I21*K19/TS_Denom_Conv_Fact</f>
        <v>0</v>
      </c>
      <c r="L36" s="8">
        <f>Oth_Ann_TA!$I21*L19/TS_Denom_Conv_Fact</f>
        <v>0</v>
      </c>
      <c r="M36" s="8">
        <f>Oth_Ann_TA!$I21*M19/TS_Denom_Conv_Fact</f>
        <v>0</v>
      </c>
      <c r="N36" s="8">
        <f>Oth_Ann_TA!$I21*N19/TS_Denom_Conv_Fact</f>
        <v>0</v>
      </c>
      <c r="O36" s="8">
        <f>Oth_Ann_TA!$I21*O19/TS_Denom_Conv_Fact</f>
        <v>0</v>
      </c>
    </row>
    <row r="37" spans="2:15" s="327" customFormat="1" x14ac:dyDescent="0.2">
      <c r="D37" s="660">
        <f>Oth_Ann_TA!D22</f>
        <v>0</v>
      </c>
      <c r="H37" s="680" t="s">
        <v>145</v>
      </c>
      <c r="J37" s="9">
        <f>Oth_Ann_TA!$I22*J20/TS_Denom_Conv_Fact</f>
        <v>0</v>
      </c>
      <c r="K37" s="9">
        <f>Oth_Ann_TA!$I22*K20/TS_Denom_Conv_Fact</f>
        <v>0</v>
      </c>
      <c r="L37" s="9">
        <f>Oth_Ann_TA!$I22*L20/TS_Denom_Conv_Fact</f>
        <v>0</v>
      </c>
      <c r="M37" s="9">
        <f>Oth_Ann_TA!$I22*M20/TS_Denom_Conv_Fact</f>
        <v>0</v>
      </c>
      <c r="N37" s="9">
        <f>Oth_Ann_TA!$I22*N20/TS_Denom_Conv_Fact</f>
        <v>0</v>
      </c>
      <c r="O37" s="9">
        <f>Oth_Ann_TA!$I22*O20/TS_Denom_Conv_Fact</f>
        <v>0</v>
      </c>
    </row>
    <row r="38" spans="2:15" s="327" customFormat="1" x14ac:dyDescent="0.2">
      <c r="D38" s="659" t="str">
        <f>"Total "&amp;C31</f>
        <v>Total Economic Cost (USD)</v>
      </c>
      <c r="H38" s="680" t="s">
        <v>145</v>
      </c>
      <c r="J38" s="25">
        <f t="shared" ref="J38:O38" si="5">SUM(J34:J37)</f>
        <v>52500</v>
      </c>
      <c r="K38" s="25">
        <f t="shared" si="5"/>
        <v>52500</v>
      </c>
      <c r="L38" s="25">
        <f t="shared" si="5"/>
        <v>52500</v>
      </c>
      <c r="M38" s="25">
        <f t="shared" si="5"/>
        <v>52500</v>
      </c>
      <c r="N38" s="25">
        <f t="shared" si="5"/>
        <v>52500</v>
      </c>
      <c r="O38" s="25">
        <f t="shared" si="5"/>
        <v>52500</v>
      </c>
    </row>
    <row r="39" spans="2:15" s="327" customFormat="1" x14ac:dyDescent="0.2"/>
    <row r="40" spans="2:15" s="327" customFormat="1" x14ac:dyDescent="0.2">
      <c r="C40" s="716" t="str">
        <f>"Go to "&amp;HL_Micro_Ass</f>
        <v>Go to Microplanning - Assumptions</v>
      </c>
      <c r="D40" s="716"/>
      <c r="E40" s="716"/>
      <c r="F40" s="716"/>
      <c r="G40" s="716"/>
      <c r="H40" s="716"/>
      <c r="I40" s="716"/>
    </row>
    <row r="41" spans="2:15" s="327" customFormat="1" x14ac:dyDescent="0.2"/>
    <row r="42" spans="2:15" s="327" customFormat="1" x14ac:dyDescent="0.2"/>
    <row r="43" spans="2:15" s="327" customFormat="1" ht="18.75" x14ac:dyDescent="0.2">
      <c r="B43" s="426" t="s">
        <v>88</v>
      </c>
    </row>
    <row r="44" spans="2:15" s="327" customFormat="1" x14ac:dyDescent="0.2"/>
    <row r="45" spans="2:15" s="327" customFormat="1" ht="15.75" x14ac:dyDescent="0.2">
      <c r="C45" s="330" t="s">
        <v>85</v>
      </c>
    </row>
    <row r="46" spans="2:15" s="327" customFormat="1" x14ac:dyDescent="0.2"/>
    <row r="47" spans="2:15" s="327" customFormat="1" ht="15" x14ac:dyDescent="0.2">
      <c r="D47" s="646" t="str">
        <f>Oth_Ann_TA!D64</f>
        <v>Training Activity Name</v>
      </c>
    </row>
    <row r="48" spans="2:15" s="327" customFormat="1" x14ac:dyDescent="0.2">
      <c r="D48" s="660" t="str">
        <f>Oth_Ann_TA!D65</f>
        <v>VIA and Cryotherapy Training</v>
      </c>
      <c r="H48" s="680" t="s">
        <v>146</v>
      </c>
      <c r="J48" s="5">
        <f>Oth_Ann_TA!J75</f>
        <v>10</v>
      </c>
      <c r="K48" s="5">
        <f>Oth_Ann_TA!K75</f>
        <v>10</v>
      </c>
      <c r="L48" s="5">
        <f>Oth_Ann_TA!L75</f>
        <v>10</v>
      </c>
      <c r="M48" s="5">
        <f>Oth_Ann_TA!M75</f>
        <v>10</v>
      </c>
      <c r="N48" s="5">
        <f>Oth_Ann_TA!N75</f>
        <v>10</v>
      </c>
      <c r="O48" s="5">
        <f>Oth_Ann_TA!O75</f>
        <v>10</v>
      </c>
    </row>
    <row r="49" spans="3:15" s="327" customFormat="1" x14ac:dyDescent="0.2">
      <c r="D49" s="660" t="str">
        <f>Oth_Ann_TA!D66</f>
        <v>LEEP Training</v>
      </c>
      <c r="H49" s="680" t="s">
        <v>146</v>
      </c>
      <c r="J49" s="5">
        <f>Oth_Ann_TA!J76</f>
        <v>10</v>
      </c>
      <c r="K49" s="5">
        <f>Oth_Ann_TA!K76</f>
        <v>10</v>
      </c>
      <c r="L49" s="5">
        <f>Oth_Ann_TA!L76</f>
        <v>10</v>
      </c>
      <c r="M49" s="5">
        <f>Oth_Ann_TA!M76</f>
        <v>10</v>
      </c>
      <c r="N49" s="5">
        <f>Oth_Ann_TA!N76</f>
        <v>10</v>
      </c>
      <c r="O49" s="5">
        <f>Oth_Ann_TA!O76</f>
        <v>10</v>
      </c>
    </row>
    <row r="50" spans="3:15" s="327" customFormat="1" x14ac:dyDescent="0.2">
      <c r="D50" s="660">
        <f>Oth_Ann_TA!D67</f>
        <v>0</v>
      </c>
      <c r="H50" s="680" t="s">
        <v>146</v>
      </c>
      <c r="J50" s="5">
        <f>Oth_Ann_TA!J77</f>
        <v>0</v>
      </c>
      <c r="K50" s="5">
        <f>Oth_Ann_TA!K77</f>
        <v>0</v>
      </c>
      <c r="L50" s="5">
        <f>Oth_Ann_TA!L77</f>
        <v>0</v>
      </c>
      <c r="M50" s="5">
        <f>Oth_Ann_TA!M77</f>
        <v>0</v>
      </c>
      <c r="N50" s="5">
        <f>Oth_Ann_TA!N77</f>
        <v>0</v>
      </c>
      <c r="O50" s="5">
        <f>Oth_Ann_TA!O77</f>
        <v>0</v>
      </c>
    </row>
    <row r="51" spans="3:15" s="327" customFormat="1" x14ac:dyDescent="0.2">
      <c r="D51" s="660">
        <f>Oth_Ann_TA!D68</f>
        <v>0</v>
      </c>
      <c r="H51" s="680" t="s">
        <v>146</v>
      </c>
      <c r="J51" s="5">
        <f>Oth_Ann_TA!J78</f>
        <v>0</v>
      </c>
      <c r="K51" s="5">
        <f>Oth_Ann_TA!K78</f>
        <v>0</v>
      </c>
      <c r="L51" s="5">
        <f>Oth_Ann_TA!L78</f>
        <v>0</v>
      </c>
      <c r="M51" s="5">
        <f>Oth_Ann_TA!M78</f>
        <v>0</v>
      </c>
      <c r="N51" s="5">
        <f>Oth_Ann_TA!N78</f>
        <v>0</v>
      </c>
      <c r="O51" s="5">
        <f>Oth_Ann_TA!O78</f>
        <v>0</v>
      </c>
    </row>
    <row r="52" spans="3:15" s="327" customFormat="1" x14ac:dyDescent="0.2">
      <c r="D52" s="660">
        <f>Oth_Ann_TA!D69</f>
        <v>0</v>
      </c>
      <c r="H52" s="680" t="s">
        <v>146</v>
      </c>
      <c r="J52" s="5">
        <f>Oth_Ann_TA!J79</f>
        <v>0</v>
      </c>
      <c r="K52" s="5">
        <f>Oth_Ann_TA!K79</f>
        <v>0</v>
      </c>
      <c r="L52" s="5">
        <f>Oth_Ann_TA!L79</f>
        <v>0</v>
      </c>
      <c r="M52" s="5">
        <f>Oth_Ann_TA!M79</f>
        <v>0</v>
      </c>
      <c r="N52" s="5">
        <f>Oth_Ann_TA!N79</f>
        <v>0</v>
      </c>
      <c r="O52" s="5">
        <f>Oth_Ann_TA!O79</f>
        <v>0</v>
      </c>
    </row>
    <row r="53" spans="3:15" s="327" customFormat="1" x14ac:dyDescent="0.2">
      <c r="D53" s="660">
        <f>Oth_Ann_TA!D70</f>
        <v>0</v>
      </c>
      <c r="H53" s="680" t="s">
        <v>146</v>
      </c>
      <c r="J53" s="5">
        <f>Oth_Ann_TA!J80</f>
        <v>0</v>
      </c>
      <c r="K53" s="5">
        <f>Oth_Ann_TA!K80</f>
        <v>0</v>
      </c>
      <c r="L53" s="5">
        <f>Oth_Ann_TA!L80</f>
        <v>0</v>
      </c>
      <c r="M53" s="5">
        <f>Oth_Ann_TA!M80</f>
        <v>0</v>
      </c>
      <c r="N53" s="5">
        <f>Oth_Ann_TA!N80</f>
        <v>0</v>
      </c>
      <c r="O53" s="5">
        <f>Oth_Ann_TA!O80</f>
        <v>0</v>
      </c>
    </row>
    <row r="54" spans="3:15" s="327" customFormat="1" x14ac:dyDescent="0.2">
      <c r="D54" s="660">
        <f>Oth_Ann_TA!D71</f>
        <v>0</v>
      </c>
      <c r="H54" s="680" t="s">
        <v>146</v>
      </c>
      <c r="J54" s="5">
        <f>Oth_Ann_TA!J81</f>
        <v>0</v>
      </c>
      <c r="K54" s="5">
        <f>Oth_Ann_TA!K81</f>
        <v>0</v>
      </c>
      <c r="L54" s="5">
        <f>Oth_Ann_TA!L81</f>
        <v>0</v>
      </c>
      <c r="M54" s="5">
        <f>Oth_Ann_TA!M81</f>
        <v>0</v>
      </c>
      <c r="N54" s="5">
        <f>Oth_Ann_TA!N81</f>
        <v>0</v>
      </c>
      <c r="O54" s="5">
        <f>Oth_Ann_TA!O81</f>
        <v>0</v>
      </c>
    </row>
    <row r="55" spans="3:15" s="327" customFormat="1" x14ac:dyDescent="0.2"/>
    <row r="56" spans="3:15" s="327" customFormat="1" x14ac:dyDescent="0.2"/>
    <row r="57" spans="3:15" s="327" customFormat="1" ht="15.75" x14ac:dyDescent="0.2">
      <c r="C57" s="26" t="str">
        <f>"Financial Cost ("&amp;INDEX(LU_Train_Denom,DD_TS_Denom)&amp;")"</f>
        <v>Financial Cost (USD)</v>
      </c>
    </row>
    <row r="58" spans="3:15" s="327" customFormat="1" x14ac:dyDescent="0.2"/>
    <row r="59" spans="3:15" s="327" customFormat="1" ht="15" x14ac:dyDescent="0.2">
      <c r="D59" s="646" t="str">
        <f>Oth_Ann_TA!D64</f>
        <v>Training Activity Name</v>
      </c>
    </row>
    <row r="60" spans="3:15" s="327" customFormat="1" x14ac:dyDescent="0.2">
      <c r="D60" s="660" t="str">
        <f>Oth_Ann_TA!D65</f>
        <v>VIA and Cryotherapy Training</v>
      </c>
      <c r="H60" s="680" t="s">
        <v>146</v>
      </c>
      <c r="J60" s="5">
        <f>J48*Oth_Ann_TA!$I65/TS_Denom_Conv_Fact</f>
        <v>50000</v>
      </c>
      <c r="K60" s="5">
        <f>K48*Oth_Ann_TA!$I65/TS_Denom_Conv_Fact</f>
        <v>50000</v>
      </c>
      <c r="L60" s="5">
        <f>L48*Oth_Ann_TA!$I65/TS_Denom_Conv_Fact</f>
        <v>50000</v>
      </c>
      <c r="M60" s="5">
        <f>M48*Oth_Ann_TA!$I65/TS_Denom_Conv_Fact</f>
        <v>50000</v>
      </c>
      <c r="N60" s="5">
        <f>N48*Oth_Ann_TA!$I65/TS_Denom_Conv_Fact</f>
        <v>50000</v>
      </c>
      <c r="O60" s="5">
        <f>O48*Oth_Ann_TA!$I65/TS_Denom_Conv_Fact</f>
        <v>50000</v>
      </c>
    </row>
    <row r="61" spans="3:15" s="327" customFormat="1" x14ac:dyDescent="0.2">
      <c r="D61" s="660" t="str">
        <f>Oth_Ann_TA!D66</f>
        <v>LEEP Training</v>
      </c>
      <c r="H61" s="680" t="s">
        <v>146</v>
      </c>
      <c r="J61" s="5">
        <f>J49*Oth_Ann_TA!$I66/TS_Denom_Conv_Fact</f>
        <v>50000</v>
      </c>
      <c r="K61" s="5">
        <f>K49*Oth_Ann_TA!$I66/TS_Denom_Conv_Fact</f>
        <v>50000</v>
      </c>
      <c r="L61" s="5">
        <f>L49*Oth_Ann_TA!$I66/TS_Denom_Conv_Fact</f>
        <v>50000</v>
      </c>
      <c r="M61" s="5">
        <f>M49*Oth_Ann_TA!$I66/TS_Denom_Conv_Fact</f>
        <v>50000</v>
      </c>
      <c r="N61" s="5">
        <f>N49*Oth_Ann_TA!$I66/TS_Denom_Conv_Fact</f>
        <v>50000</v>
      </c>
      <c r="O61" s="5">
        <f>O49*Oth_Ann_TA!$I66/TS_Denom_Conv_Fact</f>
        <v>50000</v>
      </c>
    </row>
    <row r="62" spans="3:15" s="327" customFormat="1" x14ac:dyDescent="0.2">
      <c r="D62" s="660">
        <f>Oth_Ann_TA!D67</f>
        <v>0</v>
      </c>
      <c r="H62" s="680" t="s">
        <v>146</v>
      </c>
      <c r="J62" s="5">
        <f>J50*Oth_Ann_TA!$I67/TS_Denom_Conv_Fact</f>
        <v>0</v>
      </c>
      <c r="K62" s="5">
        <f>K50*Oth_Ann_TA!$I67/TS_Denom_Conv_Fact</f>
        <v>0</v>
      </c>
      <c r="L62" s="5">
        <f>L50*Oth_Ann_TA!$I67/TS_Denom_Conv_Fact</f>
        <v>0</v>
      </c>
      <c r="M62" s="5">
        <f>M50*Oth_Ann_TA!$I67/TS_Denom_Conv_Fact</f>
        <v>0</v>
      </c>
      <c r="N62" s="5">
        <f>N50*Oth_Ann_TA!$I67/TS_Denom_Conv_Fact</f>
        <v>0</v>
      </c>
      <c r="O62" s="5">
        <f>O50*Oth_Ann_TA!$I67/TS_Denom_Conv_Fact</f>
        <v>0</v>
      </c>
    </row>
    <row r="63" spans="3:15" s="327" customFormat="1" x14ac:dyDescent="0.2">
      <c r="D63" s="660">
        <f>Oth_Ann_TA!D68</f>
        <v>0</v>
      </c>
      <c r="H63" s="680" t="s">
        <v>146</v>
      </c>
      <c r="J63" s="5">
        <f>J51*Oth_Ann_TA!$I68/TS_Denom_Conv_Fact</f>
        <v>0</v>
      </c>
      <c r="K63" s="5">
        <f>K51*Oth_Ann_TA!$I68/TS_Denom_Conv_Fact</f>
        <v>0</v>
      </c>
      <c r="L63" s="5">
        <f>L51*Oth_Ann_TA!$I68/TS_Denom_Conv_Fact</f>
        <v>0</v>
      </c>
      <c r="M63" s="5">
        <f>M51*Oth_Ann_TA!$I68/TS_Denom_Conv_Fact</f>
        <v>0</v>
      </c>
      <c r="N63" s="5">
        <f>N51*Oth_Ann_TA!$I68/TS_Denom_Conv_Fact</f>
        <v>0</v>
      </c>
      <c r="O63" s="5">
        <f>O51*Oth_Ann_TA!$I68/TS_Denom_Conv_Fact</f>
        <v>0</v>
      </c>
    </row>
    <row r="64" spans="3:15" s="327" customFormat="1" x14ac:dyDescent="0.2">
      <c r="D64" s="660">
        <f>Oth_Ann_TA!D69</f>
        <v>0</v>
      </c>
      <c r="H64" s="680" t="s">
        <v>146</v>
      </c>
      <c r="J64" s="5">
        <f>J52*Oth_Ann_TA!$I69/TS_Denom_Conv_Fact</f>
        <v>0</v>
      </c>
      <c r="K64" s="5">
        <f>K52*Oth_Ann_TA!$I69/TS_Denom_Conv_Fact</f>
        <v>0</v>
      </c>
      <c r="L64" s="5">
        <f>L52*Oth_Ann_TA!$I69/TS_Denom_Conv_Fact</f>
        <v>0</v>
      </c>
      <c r="M64" s="5">
        <f>M52*Oth_Ann_TA!$I69/TS_Denom_Conv_Fact</f>
        <v>0</v>
      </c>
      <c r="N64" s="5">
        <f>N52*Oth_Ann_TA!$I69/TS_Denom_Conv_Fact</f>
        <v>0</v>
      </c>
      <c r="O64" s="5">
        <f>O52*Oth_Ann_TA!$I69/TS_Denom_Conv_Fact</f>
        <v>0</v>
      </c>
    </row>
    <row r="65" spans="3:15" s="327" customFormat="1" x14ac:dyDescent="0.2">
      <c r="D65" s="660">
        <f>Oth_Ann_TA!D70</f>
        <v>0</v>
      </c>
      <c r="H65" s="680" t="s">
        <v>146</v>
      </c>
      <c r="J65" s="5">
        <f>J53*Oth_Ann_TA!$I70/TS_Denom_Conv_Fact</f>
        <v>0</v>
      </c>
      <c r="K65" s="5">
        <f>K53*Oth_Ann_TA!$I70/TS_Denom_Conv_Fact</f>
        <v>0</v>
      </c>
      <c r="L65" s="5">
        <f>L53*Oth_Ann_TA!$I70/TS_Denom_Conv_Fact</f>
        <v>0</v>
      </c>
      <c r="M65" s="5">
        <f>M53*Oth_Ann_TA!$I70/TS_Denom_Conv_Fact</f>
        <v>0</v>
      </c>
      <c r="N65" s="5">
        <f>N53*Oth_Ann_TA!$I70/TS_Denom_Conv_Fact</f>
        <v>0</v>
      </c>
      <c r="O65" s="5">
        <f>O53*Oth_Ann_TA!$I70/TS_Denom_Conv_Fact</f>
        <v>0</v>
      </c>
    </row>
    <row r="66" spans="3:15" s="327" customFormat="1" x14ac:dyDescent="0.2">
      <c r="D66" s="660">
        <f>Oth_Ann_TA!D71</f>
        <v>0</v>
      </c>
      <c r="H66" s="680" t="s">
        <v>146</v>
      </c>
      <c r="J66" s="5">
        <f>J54*Oth_Ann_TA!$I71/TS_Denom_Conv_Fact</f>
        <v>0</v>
      </c>
      <c r="K66" s="5">
        <f>K54*Oth_Ann_TA!$I71/TS_Denom_Conv_Fact</f>
        <v>0</v>
      </c>
      <c r="L66" s="5">
        <f>L54*Oth_Ann_TA!$I71/TS_Denom_Conv_Fact</f>
        <v>0</v>
      </c>
      <c r="M66" s="5">
        <f>M54*Oth_Ann_TA!$I71/TS_Denom_Conv_Fact</f>
        <v>0</v>
      </c>
      <c r="N66" s="5">
        <f>N54*Oth_Ann_TA!$I71/TS_Denom_Conv_Fact</f>
        <v>0</v>
      </c>
      <c r="O66" s="5">
        <f>O54*Oth_Ann_TA!$I71/TS_Denom_Conv_Fact</f>
        <v>0</v>
      </c>
    </row>
    <row r="67" spans="3:15" s="327" customFormat="1" x14ac:dyDescent="0.2">
      <c r="D67" s="659" t="str">
        <f>"Total "&amp;C57</f>
        <v>Total Financial Cost (USD)</v>
      </c>
      <c r="H67" s="680" t="s">
        <v>146</v>
      </c>
      <c r="J67" s="25">
        <f t="shared" ref="J67:O67" si="6">SUM(J60:J66)</f>
        <v>100000</v>
      </c>
      <c r="K67" s="25">
        <f t="shared" si="6"/>
        <v>100000</v>
      </c>
      <c r="L67" s="25">
        <f t="shared" si="6"/>
        <v>100000</v>
      </c>
      <c r="M67" s="25">
        <f t="shared" si="6"/>
        <v>100000</v>
      </c>
      <c r="N67" s="25">
        <f t="shared" si="6"/>
        <v>100000</v>
      </c>
      <c r="O67" s="25">
        <f t="shared" si="6"/>
        <v>100000</v>
      </c>
    </row>
    <row r="68" spans="3:15" s="327" customFormat="1" x14ac:dyDescent="0.2"/>
    <row r="69" spans="3:15" s="327" customFormat="1" ht="15.75" x14ac:dyDescent="0.2">
      <c r="C69" s="26" t="str">
        <f>"Economic Cost ("&amp;INDEX(LU_Train_Denom,DD_TS_Denom)&amp;")"</f>
        <v>Economic Cost (USD)</v>
      </c>
    </row>
    <row r="70" spans="3:15" s="327" customFormat="1" x14ac:dyDescent="0.2"/>
    <row r="71" spans="3:15" s="327" customFormat="1" ht="15" x14ac:dyDescent="0.2">
      <c r="D71" s="646" t="str">
        <f>Oth_Ann_TA!D64</f>
        <v>Training Activity Name</v>
      </c>
    </row>
    <row r="72" spans="3:15" s="327" customFormat="1" x14ac:dyDescent="0.2">
      <c r="D72" s="660" t="str">
        <f>Oth_Ann_TA!D65</f>
        <v>VIA and Cryotherapy Training</v>
      </c>
      <c r="H72" s="680" t="s">
        <v>146</v>
      </c>
      <c r="J72" s="5">
        <f>J48*Oth_Ann_TA!$J65/TS_Denom_Conv_Fact</f>
        <v>75000</v>
      </c>
      <c r="K72" s="5">
        <f>K48*Oth_Ann_TA!$J65/TS_Denom_Conv_Fact</f>
        <v>75000</v>
      </c>
      <c r="L72" s="5">
        <f>L48*Oth_Ann_TA!$J65/TS_Denom_Conv_Fact</f>
        <v>75000</v>
      </c>
      <c r="M72" s="5">
        <f>M48*Oth_Ann_TA!$J65/TS_Denom_Conv_Fact</f>
        <v>75000</v>
      </c>
      <c r="N72" s="5">
        <f>N48*Oth_Ann_TA!$J65/TS_Denom_Conv_Fact</f>
        <v>75000</v>
      </c>
      <c r="O72" s="5">
        <f>O48*Oth_Ann_TA!$J65/TS_Denom_Conv_Fact</f>
        <v>75000</v>
      </c>
    </row>
    <row r="73" spans="3:15" s="327" customFormat="1" x14ac:dyDescent="0.2">
      <c r="D73" s="660" t="str">
        <f>Oth_Ann_TA!D66</f>
        <v>LEEP Training</v>
      </c>
      <c r="H73" s="680" t="s">
        <v>146</v>
      </c>
      <c r="J73" s="5">
        <f>J49*Oth_Ann_TA!$J66/TS_Denom_Conv_Fact</f>
        <v>75000</v>
      </c>
      <c r="K73" s="5">
        <f>K49*Oth_Ann_TA!$J66/TS_Denom_Conv_Fact</f>
        <v>75000</v>
      </c>
      <c r="L73" s="5">
        <f>L49*Oth_Ann_TA!$J66/TS_Denom_Conv_Fact</f>
        <v>75000</v>
      </c>
      <c r="M73" s="5">
        <f>M49*Oth_Ann_TA!$J66/TS_Denom_Conv_Fact</f>
        <v>75000</v>
      </c>
      <c r="N73" s="5">
        <f>N49*Oth_Ann_TA!$J66/TS_Denom_Conv_Fact</f>
        <v>75000</v>
      </c>
      <c r="O73" s="5">
        <f>O49*Oth_Ann_TA!$J66/TS_Denom_Conv_Fact</f>
        <v>75000</v>
      </c>
    </row>
    <row r="74" spans="3:15" s="327" customFormat="1" x14ac:dyDescent="0.2">
      <c r="D74" s="660">
        <f>Oth_Ann_TA!D67</f>
        <v>0</v>
      </c>
      <c r="H74" s="680" t="s">
        <v>146</v>
      </c>
      <c r="J74" s="5">
        <f>J50*Oth_Ann_TA!$J67/TS_Denom_Conv_Fact</f>
        <v>0</v>
      </c>
      <c r="K74" s="5">
        <f>K50*Oth_Ann_TA!$J67/TS_Denom_Conv_Fact</f>
        <v>0</v>
      </c>
      <c r="L74" s="5">
        <f>L50*Oth_Ann_TA!$J67/TS_Denom_Conv_Fact</f>
        <v>0</v>
      </c>
      <c r="M74" s="5">
        <f>M50*Oth_Ann_TA!$J67/TS_Denom_Conv_Fact</f>
        <v>0</v>
      </c>
      <c r="N74" s="5">
        <f>N50*Oth_Ann_TA!$J67/TS_Denom_Conv_Fact</f>
        <v>0</v>
      </c>
      <c r="O74" s="5">
        <f>O50*Oth_Ann_TA!$J67/TS_Denom_Conv_Fact</f>
        <v>0</v>
      </c>
    </row>
    <row r="75" spans="3:15" s="327" customFormat="1" x14ac:dyDescent="0.2">
      <c r="D75" s="660">
        <f>Oth_Ann_TA!D68</f>
        <v>0</v>
      </c>
      <c r="H75" s="680" t="s">
        <v>146</v>
      </c>
      <c r="J75" s="5">
        <f>J51*Oth_Ann_TA!$J68/TS_Denom_Conv_Fact</f>
        <v>0</v>
      </c>
      <c r="K75" s="5">
        <f>K51*Oth_Ann_TA!$J68/TS_Denom_Conv_Fact</f>
        <v>0</v>
      </c>
      <c r="L75" s="5">
        <f>L51*Oth_Ann_TA!$J68/TS_Denom_Conv_Fact</f>
        <v>0</v>
      </c>
      <c r="M75" s="5">
        <f>M51*Oth_Ann_TA!$J68/TS_Denom_Conv_Fact</f>
        <v>0</v>
      </c>
      <c r="N75" s="5">
        <f>N51*Oth_Ann_TA!$J68/TS_Denom_Conv_Fact</f>
        <v>0</v>
      </c>
      <c r="O75" s="5">
        <f>O51*Oth_Ann_TA!$J68/TS_Denom_Conv_Fact</f>
        <v>0</v>
      </c>
    </row>
    <row r="76" spans="3:15" s="327" customFormat="1" x14ac:dyDescent="0.2">
      <c r="D76" s="660">
        <f>Oth_Ann_TA!D69</f>
        <v>0</v>
      </c>
      <c r="H76" s="680" t="s">
        <v>146</v>
      </c>
      <c r="J76" s="5">
        <f>J52*Oth_Ann_TA!$J69/TS_Denom_Conv_Fact</f>
        <v>0</v>
      </c>
      <c r="K76" s="5">
        <f>K52*Oth_Ann_TA!$J69/TS_Denom_Conv_Fact</f>
        <v>0</v>
      </c>
      <c r="L76" s="5">
        <f>L52*Oth_Ann_TA!$J69/TS_Denom_Conv_Fact</f>
        <v>0</v>
      </c>
      <c r="M76" s="5">
        <f>M52*Oth_Ann_TA!$J69/TS_Denom_Conv_Fact</f>
        <v>0</v>
      </c>
      <c r="N76" s="5">
        <f>N52*Oth_Ann_TA!$J69/TS_Denom_Conv_Fact</f>
        <v>0</v>
      </c>
      <c r="O76" s="5">
        <f>O52*Oth_Ann_TA!$J69/TS_Denom_Conv_Fact</f>
        <v>0</v>
      </c>
    </row>
    <row r="77" spans="3:15" s="327" customFormat="1" x14ac:dyDescent="0.2">
      <c r="D77" s="660">
        <f>Oth_Ann_TA!D70</f>
        <v>0</v>
      </c>
      <c r="H77" s="680" t="s">
        <v>146</v>
      </c>
      <c r="J77" s="5">
        <f>J53*Oth_Ann_TA!$J70/TS_Denom_Conv_Fact</f>
        <v>0</v>
      </c>
      <c r="K77" s="5">
        <f>K53*Oth_Ann_TA!$J70/TS_Denom_Conv_Fact</f>
        <v>0</v>
      </c>
      <c r="L77" s="5">
        <f>L53*Oth_Ann_TA!$J70/TS_Denom_Conv_Fact</f>
        <v>0</v>
      </c>
      <c r="M77" s="5">
        <f>M53*Oth_Ann_TA!$J70/TS_Denom_Conv_Fact</f>
        <v>0</v>
      </c>
      <c r="N77" s="5">
        <f>N53*Oth_Ann_TA!$J70/TS_Denom_Conv_Fact</f>
        <v>0</v>
      </c>
      <c r="O77" s="5">
        <f>O53*Oth_Ann_TA!$J70/TS_Denom_Conv_Fact</f>
        <v>0</v>
      </c>
    </row>
    <row r="78" spans="3:15" s="327" customFormat="1" x14ac:dyDescent="0.2">
      <c r="D78" s="660">
        <f>Oth_Ann_TA!D71</f>
        <v>0</v>
      </c>
      <c r="H78" s="680" t="s">
        <v>146</v>
      </c>
      <c r="J78" s="5">
        <f>J54*Oth_Ann_TA!$J71/TS_Denom_Conv_Fact</f>
        <v>0</v>
      </c>
      <c r="K78" s="5">
        <f>K54*Oth_Ann_TA!$J71/TS_Denom_Conv_Fact</f>
        <v>0</v>
      </c>
      <c r="L78" s="5">
        <f>L54*Oth_Ann_TA!$J71/TS_Denom_Conv_Fact</f>
        <v>0</v>
      </c>
      <c r="M78" s="5">
        <f>M54*Oth_Ann_TA!$J71/TS_Denom_Conv_Fact</f>
        <v>0</v>
      </c>
      <c r="N78" s="5">
        <f>N54*Oth_Ann_TA!$J71/TS_Denom_Conv_Fact</f>
        <v>0</v>
      </c>
      <c r="O78" s="5">
        <f>O54*Oth_Ann_TA!$J71/TS_Denom_Conv_Fact</f>
        <v>0</v>
      </c>
    </row>
    <row r="79" spans="3:15" s="327" customFormat="1" x14ac:dyDescent="0.2">
      <c r="D79" s="659" t="str">
        <f>"Total "&amp;C69</f>
        <v>Total Economic Cost (USD)</v>
      </c>
      <c r="H79" s="680" t="s">
        <v>146</v>
      </c>
      <c r="J79" s="25">
        <f t="shared" ref="J79:O79" si="7">SUM(J72:J78)</f>
        <v>150000</v>
      </c>
      <c r="K79" s="25">
        <f t="shared" si="7"/>
        <v>150000</v>
      </c>
      <c r="L79" s="25">
        <f t="shared" si="7"/>
        <v>150000</v>
      </c>
      <c r="M79" s="25">
        <f t="shared" si="7"/>
        <v>150000</v>
      </c>
      <c r="N79" s="25">
        <f t="shared" si="7"/>
        <v>150000</v>
      </c>
      <c r="O79" s="25">
        <f t="shared" si="7"/>
        <v>150000</v>
      </c>
    </row>
    <row r="80" spans="3:15" s="327" customFormat="1" x14ac:dyDescent="0.2"/>
    <row r="81" spans="1:15" s="327" customFormat="1" x14ac:dyDescent="0.2">
      <c r="C81" s="716" t="str">
        <f>"Go to "&amp;HL_Train_Ass</f>
        <v>Go to Training - Assumptions</v>
      </c>
      <c r="D81" s="716"/>
      <c r="E81" s="716"/>
      <c r="F81" s="716"/>
      <c r="G81" s="716"/>
      <c r="H81" s="716"/>
      <c r="I81" s="716"/>
    </row>
    <row r="82" spans="1:15" s="699" customFormat="1" x14ac:dyDescent="0.2">
      <c r="A82" s="683"/>
      <c r="B82" s="683"/>
      <c r="C82" s="683"/>
      <c r="D82" s="683"/>
      <c r="E82" s="683"/>
      <c r="F82" s="683"/>
      <c r="G82" s="683"/>
      <c r="H82" s="683"/>
      <c r="I82" s="683"/>
      <c r="J82" s="683"/>
      <c r="K82" s="683"/>
      <c r="L82" s="683"/>
      <c r="M82" s="683"/>
      <c r="N82" s="683"/>
      <c r="O82" s="683"/>
    </row>
    <row r="83" spans="1:15" s="699" customFormat="1" x14ac:dyDescent="0.2">
      <c r="A83" s="683"/>
      <c r="B83" s="683"/>
      <c r="C83" s="683"/>
      <c r="D83" s="683"/>
      <c r="E83" s="683"/>
      <c r="F83" s="683"/>
      <c r="G83" s="683"/>
      <c r="H83" s="683"/>
      <c r="I83" s="683"/>
      <c r="J83" s="683"/>
      <c r="K83" s="683"/>
      <c r="L83" s="683"/>
      <c r="M83" s="683"/>
      <c r="N83" s="683"/>
      <c r="O83" s="683"/>
    </row>
    <row r="84" spans="1:15" s="699" customFormat="1" ht="18.75" x14ac:dyDescent="0.2">
      <c r="A84" s="683"/>
      <c r="B84" s="690" t="s">
        <v>147</v>
      </c>
      <c r="C84" s="683"/>
      <c r="D84" s="683"/>
      <c r="E84" s="683"/>
      <c r="F84" s="683"/>
      <c r="G84" s="683"/>
      <c r="H84" s="683"/>
      <c r="I84" s="683"/>
      <c r="J84" s="683"/>
      <c r="K84" s="683"/>
      <c r="L84" s="683"/>
      <c r="M84" s="683"/>
      <c r="N84" s="683"/>
      <c r="O84" s="683"/>
    </row>
    <row r="85" spans="1:15" s="699" customFormat="1" x14ac:dyDescent="0.2">
      <c r="A85" s="683"/>
      <c r="B85" s="683"/>
      <c r="C85" s="683"/>
      <c r="D85" s="683"/>
      <c r="E85" s="683"/>
      <c r="F85" s="683"/>
      <c r="G85" s="683"/>
      <c r="H85" s="683"/>
      <c r="I85" s="683"/>
      <c r="J85" s="683"/>
      <c r="K85" s="683"/>
      <c r="L85" s="683"/>
      <c r="M85" s="683"/>
      <c r="N85" s="683"/>
      <c r="O85" s="683"/>
    </row>
    <row r="86" spans="1:15" s="699" customFormat="1" x14ac:dyDescent="0.2">
      <c r="A86" s="683"/>
      <c r="B86" s="683"/>
      <c r="C86" s="683"/>
      <c r="D86" s="683"/>
      <c r="E86" s="683"/>
      <c r="F86" s="683"/>
      <c r="G86" s="683"/>
      <c r="H86" s="683"/>
      <c r="I86" s="683"/>
      <c r="J86" s="683"/>
      <c r="K86" s="683"/>
      <c r="L86" s="683"/>
      <c r="M86" s="683"/>
      <c r="N86" s="683"/>
      <c r="O86" s="683"/>
    </row>
    <row r="87" spans="1:15" s="699" customFormat="1" x14ac:dyDescent="0.2">
      <c r="A87" s="683"/>
      <c r="B87" s="683"/>
      <c r="C87" s="683"/>
      <c r="D87" s="689" t="str">
        <f>Screen_Ann_TO!D200</f>
        <v>Total Active Fixed Site Facilities</v>
      </c>
      <c r="E87" s="683"/>
      <c r="F87" s="683"/>
      <c r="G87" s="683"/>
      <c r="H87" s="683"/>
      <c r="I87" s="683"/>
      <c r="J87" s="692">
        <f>Screen_Ann_TO!J200</f>
        <v>32</v>
      </c>
      <c r="K87" s="692">
        <f>Screen_Ann_TO!K200</f>
        <v>32</v>
      </c>
      <c r="L87" s="692">
        <f>Screen_Ann_TO!L200</f>
        <v>32</v>
      </c>
      <c r="M87" s="692">
        <f>Screen_Ann_TO!M200</f>
        <v>32</v>
      </c>
      <c r="N87" s="692">
        <f>Screen_Ann_TO!N200</f>
        <v>32</v>
      </c>
      <c r="O87" s="692">
        <f>Screen_Ann_TO!O200</f>
        <v>32</v>
      </c>
    </row>
    <row r="88" spans="1:15" s="699" customFormat="1" x14ac:dyDescent="0.2">
      <c r="A88" s="683"/>
      <c r="B88" s="683"/>
      <c r="C88" s="683"/>
      <c r="D88" s="683"/>
      <c r="E88" s="683"/>
      <c r="F88" s="683"/>
      <c r="G88" s="683"/>
      <c r="H88" s="683"/>
      <c r="I88" s="683"/>
      <c r="J88" s="683"/>
      <c r="K88" s="683"/>
      <c r="L88" s="683"/>
      <c r="M88" s="683"/>
      <c r="N88" s="683"/>
      <c r="O88" s="683"/>
    </row>
    <row r="89" spans="1:15" s="699" customFormat="1" x14ac:dyDescent="0.2">
      <c r="A89" s="683"/>
      <c r="B89" s="683"/>
      <c r="C89" s="683"/>
      <c r="D89" s="689" t="str">
        <f>Oth_Ann_TA!D124</f>
        <v>Fixed Facility Patient Recruitment</v>
      </c>
      <c r="E89" s="683"/>
      <c r="F89" s="683"/>
      <c r="G89" s="683"/>
      <c r="H89" s="683"/>
      <c r="I89" s="683"/>
      <c r="J89" s="692">
        <f>Oth_Ann_TA!J124</f>
        <v>4</v>
      </c>
      <c r="K89" s="692">
        <f>Oth_Ann_TA!K124</f>
        <v>4</v>
      </c>
      <c r="L89" s="692">
        <f>Oth_Ann_TA!L124</f>
        <v>4</v>
      </c>
      <c r="M89" s="692">
        <f>Oth_Ann_TA!M124</f>
        <v>4</v>
      </c>
      <c r="N89" s="692">
        <f>Oth_Ann_TA!N124</f>
        <v>4</v>
      </c>
      <c r="O89" s="692">
        <f>Oth_Ann_TA!O124</f>
        <v>4</v>
      </c>
    </row>
    <row r="90" spans="1:15" s="699" customFormat="1" x14ac:dyDescent="0.2">
      <c r="A90" s="683"/>
      <c r="B90" s="683"/>
      <c r="C90" s="683"/>
      <c r="D90" s="685" t="str">
        <f>"Financial Cost per "&amp;D89</f>
        <v>Financial Cost per Fixed Facility Patient Recruitment</v>
      </c>
      <c r="E90" s="683"/>
      <c r="F90" s="683"/>
      <c r="G90" s="683"/>
      <c r="H90" s="683"/>
      <c r="I90" s="683"/>
      <c r="J90" s="691">
        <f>Oth_Ann_TA!$H$110</f>
        <v>1500</v>
      </c>
      <c r="K90" s="691">
        <f>Oth_Ann_TA!$H$110</f>
        <v>1500</v>
      </c>
      <c r="L90" s="691">
        <f>Oth_Ann_TA!$H$110</f>
        <v>1500</v>
      </c>
      <c r="M90" s="691">
        <f>Oth_Ann_TA!$H$110</f>
        <v>1500</v>
      </c>
      <c r="N90" s="691">
        <f>Oth_Ann_TA!$H$110</f>
        <v>1500</v>
      </c>
      <c r="O90" s="691">
        <f>Oth_Ann_TA!$H$110</f>
        <v>1500</v>
      </c>
    </row>
    <row r="91" spans="1:15" s="699" customFormat="1" x14ac:dyDescent="0.2">
      <c r="A91" s="683"/>
      <c r="B91" s="683"/>
      <c r="C91" s="683"/>
      <c r="D91" s="686" t="str">
        <f>"Total Financial Cost "&amp;D89</f>
        <v>Total Financial Cost Fixed Facility Patient Recruitment</v>
      </c>
      <c r="E91" s="683"/>
      <c r="F91" s="683"/>
      <c r="G91" s="683"/>
      <c r="H91" s="683"/>
      <c r="I91" s="683"/>
      <c r="J91" s="695">
        <f t="shared" ref="J91:O91" si="8">J87*J89*J90</f>
        <v>192000</v>
      </c>
      <c r="K91" s="695">
        <f t="shared" si="8"/>
        <v>192000</v>
      </c>
      <c r="L91" s="695">
        <f t="shared" si="8"/>
        <v>192000</v>
      </c>
      <c r="M91" s="695">
        <f t="shared" si="8"/>
        <v>192000</v>
      </c>
      <c r="N91" s="695">
        <f t="shared" si="8"/>
        <v>192000</v>
      </c>
      <c r="O91" s="695">
        <f t="shared" si="8"/>
        <v>192000</v>
      </c>
    </row>
    <row r="92" spans="1:15" s="699" customFormat="1" x14ac:dyDescent="0.2">
      <c r="A92" s="683"/>
      <c r="B92" s="683"/>
      <c r="C92" s="683"/>
      <c r="D92" s="683"/>
      <c r="E92" s="683"/>
      <c r="F92" s="683"/>
      <c r="G92" s="683"/>
      <c r="H92" s="683"/>
      <c r="I92" s="683"/>
      <c r="J92" s="683"/>
      <c r="K92" s="683"/>
      <c r="L92" s="683"/>
      <c r="M92" s="683"/>
      <c r="N92" s="683"/>
      <c r="O92" s="683"/>
    </row>
    <row r="93" spans="1:15" s="699" customFormat="1" x14ac:dyDescent="0.2">
      <c r="A93" s="683"/>
      <c r="B93" s="683"/>
      <c r="C93" s="683"/>
      <c r="D93" s="686" t="str">
        <f>"Economic Cost per "&amp;D89</f>
        <v>Economic Cost per Fixed Facility Patient Recruitment</v>
      </c>
      <c r="E93" s="683"/>
      <c r="F93" s="683"/>
      <c r="G93" s="683"/>
      <c r="H93" s="683"/>
      <c r="I93" s="683"/>
      <c r="J93" s="692">
        <f>Oth_Ann_TA!$I$110</f>
        <v>2000</v>
      </c>
      <c r="K93" s="692">
        <f>Oth_Ann_TA!$I$110</f>
        <v>2000</v>
      </c>
      <c r="L93" s="692">
        <f>Oth_Ann_TA!$I$110</f>
        <v>2000</v>
      </c>
      <c r="M93" s="692">
        <f>Oth_Ann_TA!$I$110</f>
        <v>2000</v>
      </c>
      <c r="N93" s="692">
        <f>Oth_Ann_TA!$I$110</f>
        <v>2000</v>
      </c>
      <c r="O93" s="692">
        <f>Oth_Ann_TA!$I$110</f>
        <v>2000</v>
      </c>
    </row>
    <row r="94" spans="1:15" s="699" customFormat="1" x14ac:dyDescent="0.2">
      <c r="A94" s="683"/>
      <c r="B94" s="683"/>
      <c r="C94" s="683"/>
      <c r="D94" s="685" t="str">
        <f>"Total Economic Cost "&amp;D89</f>
        <v>Total Economic Cost Fixed Facility Patient Recruitment</v>
      </c>
      <c r="E94" s="683"/>
      <c r="F94" s="683"/>
      <c r="G94" s="683"/>
      <c r="H94" s="683"/>
      <c r="I94" s="683"/>
      <c r="J94" s="694">
        <f t="shared" ref="J94:O94" si="9">J87*J89*J93</f>
        <v>256000</v>
      </c>
      <c r="K94" s="694">
        <f t="shared" si="9"/>
        <v>256000</v>
      </c>
      <c r="L94" s="694">
        <f t="shared" si="9"/>
        <v>256000</v>
      </c>
      <c r="M94" s="694">
        <f t="shared" si="9"/>
        <v>256000</v>
      </c>
      <c r="N94" s="694">
        <f t="shared" si="9"/>
        <v>256000</v>
      </c>
      <c r="O94" s="694">
        <f t="shared" si="9"/>
        <v>256000</v>
      </c>
    </row>
    <row r="95" spans="1:15" s="699" customFormat="1" x14ac:dyDescent="0.2">
      <c r="A95" s="683"/>
      <c r="B95" s="683"/>
      <c r="C95" s="683"/>
      <c r="D95" s="683"/>
      <c r="E95" s="683"/>
      <c r="F95" s="683"/>
      <c r="G95" s="683"/>
      <c r="H95" s="683"/>
      <c r="I95" s="683"/>
      <c r="J95" s="683"/>
      <c r="K95" s="683"/>
      <c r="L95" s="683"/>
      <c r="M95" s="683"/>
      <c r="N95" s="683"/>
      <c r="O95" s="683"/>
    </row>
    <row r="96" spans="1:15" s="699" customFormat="1" x14ac:dyDescent="0.2">
      <c r="A96" s="683"/>
      <c r="B96" s="683"/>
      <c r="C96" s="683"/>
      <c r="D96" s="688" t="str">
        <f>Oth_Ann_TA!D126</f>
        <v>Fixed Facility Referral Follow-up</v>
      </c>
      <c r="E96" s="683"/>
      <c r="F96" s="683"/>
      <c r="G96" s="683"/>
      <c r="H96" s="683"/>
      <c r="I96" s="683"/>
      <c r="J96" s="691">
        <f>Oth_Ann_TA!J126</f>
        <v>4</v>
      </c>
      <c r="K96" s="691">
        <f>Oth_Ann_TA!K126</f>
        <v>4</v>
      </c>
      <c r="L96" s="691">
        <f>Oth_Ann_TA!L126</f>
        <v>4</v>
      </c>
      <c r="M96" s="691">
        <f>Oth_Ann_TA!M126</f>
        <v>4</v>
      </c>
      <c r="N96" s="691">
        <f>Oth_Ann_TA!N126</f>
        <v>4</v>
      </c>
      <c r="O96" s="691">
        <f>Oth_Ann_TA!O126</f>
        <v>4</v>
      </c>
    </row>
    <row r="97" spans="1:15" s="699" customFormat="1" x14ac:dyDescent="0.2">
      <c r="A97" s="683"/>
      <c r="B97" s="683"/>
      <c r="C97" s="683"/>
      <c r="D97" s="686" t="str">
        <f>"Financial Cost per "&amp;D96</f>
        <v>Financial Cost per Fixed Facility Referral Follow-up</v>
      </c>
      <c r="E97" s="683"/>
      <c r="F97" s="683"/>
      <c r="G97" s="683"/>
      <c r="H97" s="683"/>
      <c r="I97" s="683"/>
      <c r="J97" s="692">
        <f>Oth_Ann_TA!$H$112</f>
        <v>1800</v>
      </c>
      <c r="K97" s="692">
        <f>Oth_Ann_TA!$H$112</f>
        <v>1800</v>
      </c>
      <c r="L97" s="692">
        <f>Oth_Ann_TA!$H$112</f>
        <v>1800</v>
      </c>
      <c r="M97" s="692">
        <f>Oth_Ann_TA!$H$112</f>
        <v>1800</v>
      </c>
      <c r="N97" s="692">
        <f>Oth_Ann_TA!$H$112</f>
        <v>1800</v>
      </c>
      <c r="O97" s="692">
        <f>Oth_Ann_TA!$H$112</f>
        <v>1800</v>
      </c>
    </row>
    <row r="98" spans="1:15" s="699" customFormat="1" x14ac:dyDescent="0.2">
      <c r="A98" s="683"/>
      <c r="B98" s="683"/>
      <c r="C98" s="683"/>
      <c r="D98" s="685" t="str">
        <f>"Total Financial Cost "&amp;D96</f>
        <v>Total Financial Cost Fixed Facility Referral Follow-up</v>
      </c>
      <c r="E98" s="683"/>
      <c r="F98" s="683"/>
      <c r="G98" s="683"/>
      <c r="H98" s="683"/>
      <c r="I98" s="683"/>
      <c r="J98" s="694">
        <f t="shared" ref="J98:O98" si="10">J87*J96*J93</f>
        <v>256000</v>
      </c>
      <c r="K98" s="694">
        <f t="shared" si="10"/>
        <v>256000</v>
      </c>
      <c r="L98" s="694">
        <f t="shared" si="10"/>
        <v>256000</v>
      </c>
      <c r="M98" s="694">
        <f t="shared" si="10"/>
        <v>256000</v>
      </c>
      <c r="N98" s="694">
        <f t="shared" si="10"/>
        <v>256000</v>
      </c>
      <c r="O98" s="694">
        <f t="shared" si="10"/>
        <v>256000</v>
      </c>
    </row>
    <row r="99" spans="1:15" s="699" customFormat="1" x14ac:dyDescent="0.2">
      <c r="A99" s="683"/>
      <c r="B99" s="683"/>
      <c r="C99" s="683"/>
      <c r="D99" s="683"/>
      <c r="E99" s="683"/>
      <c r="F99" s="683"/>
      <c r="G99" s="683"/>
      <c r="H99" s="683"/>
      <c r="I99" s="683"/>
      <c r="J99" s="683"/>
      <c r="K99" s="683"/>
      <c r="L99" s="683"/>
      <c r="M99" s="683"/>
      <c r="N99" s="683"/>
      <c r="O99" s="683"/>
    </row>
    <row r="100" spans="1:15" s="699" customFormat="1" x14ac:dyDescent="0.2">
      <c r="A100" s="683"/>
      <c r="B100" s="683"/>
      <c r="C100" s="683"/>
      <c r="D100" s="685" t="str">
        <f>"Economic Cost per "&amp;D96</f>
        <v>Economic Cost per Fixed Facility Referral Follow-up</v>
      </c>
      <c r="E100" s="683"/>
      <c r="F100" s="683"/>
      <c r="G100" s="683"/>
      <c r="H100" s="683"/>
      <c r="I100" s="683"/>
      <c r="J100" s="691">
        <f>Oth_Ann_TA!$I$112</f>
        <v>2500</v>
      </c>
      <c r="K100" s="691">
        <f>Oth_Ann_TA!$I$112</f>
        <v>2500</v>
      </c>
      <c r="L100" s="691">
        <f>Oth_Ann_TA!$I$112</f>
        <v>2500</v>
      </c>
      <c r="M100" s="691">
        <f>Oth_Ann_TA!$I$112</f>
        <v>2500</v>
      </c>
      <c r="N100" s="691">
        <f>Oth_Ann_TA!$I$112</f>
        <v>2500</v>
      </c>
      <c r="O100" s="691">
        <f>Oth_Ann_TA!$I$112</f>
        <v>2500</v>
      </c>
    </row>
    <row r="101" spans="1:15" s="699" customFormat="1" x14ac:dyDescent="0.2">
      <c r="A101" s="683"/>
      <c r="B101" s="683"/>
      <c r="C101" s="683"/>
      <c r="D101" s="686" t="str">
        <f>"Total Economic Cost "&amp;D96</f>
        <v>Total Economic Cost Fixed Facility Referral Follow-up</v>
      </c>
      <c r="E101" s="683"/>
      <c r="F101" s="683"/>
      <c r="G101" s="683"/>
      <c r="H101" s="683"/>
      <c r="I101" s="683"/>
      <c r="J101" s="695">
        <f t="shared" ref="J101:O101" si="11">J87*J96*J100</f>
        <v>320000</v>
      </c>
      <c r="K101" s="695">
        <f t="shared" si="11"/>
        <v>320000</v>
      </c>
      <c r="L101" s="695">
        <f t="shared" si="11"/>
        <v>320000</v>
      </c>
      <c r="M101" s="695">
        <f t="shared" si="11"/>
        <v>320000</v>
      </c>
      <c r="N101" s="695">
        <f t="shared" si="11"/>
        <v>320000</v>
      </c>
      <c r="O101" s="695">
        <f t="shared" si="11"/>
        <v>320000</v>
      </c>
    </row>
    <row r="102" spans="1:15" s="699" customFormat="1" x14ac:dyDescent="0.2">
      <c r="A102" s="683"/>
      <c r="B102" s="683"/>
      <c r="C102" s="683"/>
      <c r="D102" s="683"/>
      <c r="E102" s="683"/>
      <c r="F102" s="683"/>
      <c r="G102" s="683"/>
      <c r="H102" s="683"/>
      <c r="I102" s="683"/>
      <c r="J102" s="683"/>
      <c r="K102" s="683"/>
      <c r="L102" s="683"/>
      <c r="M102" s="683"/>
      <c r="N102" s="683"/>
      <c r="O102" s="683"/>
    </row>
    <row r="103" spans="1:15" s="699" customFormat="1" x14ac:dyDescent="0.2">
      <c r="A103" s="683"/>
      <c r="B103" s="683"/>
      <c r="C103" s="683"/>
      <c r="D103" s="683"/>
      <c r="E103" s="683"/>
      <c r="F103" s="683"/>
      <c r="G103" s="683"/>
      <c r="H103" s="683"/>
      <c r="I103" s="683"/>
      <c r="J103" s="683"/>
      <c r="K103" s="683"/>
      <c r="L103" s="683"/>
      <c r="M103" s="683"/>
      <c r="N103" s="683"/>
      <c r="O103" s="683"/>
    </row>
    <row r="104" spans="1:15" s="699" customFormat="1" x14ac:dyDescent="0.2">
      <c r="A104" s="683"/>
      <c r="B104" s="683"/>
      <c r="C104" s="683"/>
      <c r="D104" s="688" t="str">
        <f>Screen_Ann_TO!D214</f>
        <v>Total Active Mobile Teams</v>
      </c>
      <c r="E104" s="683"/>
      <c r="F104" s="683"/>
      <c r="G104" s="683"/>
      <c r="H104" s="683"/>
      <c r="I104" s="683"/>
      <c r="J104" s="691">
        <f>Screen_Ann_TO!J214</f>
        <v>18</v>
      </c>
      <c r="K104" s="691">
        <f>Screen_Ann_TO!K214</f>
        <v>18</v>
      </c>
      <c r="L104" s="691">
        <f>Screen_Ann_TO!L214</f>
        <v>18</v>
      </c>
      <c r="M104" s="691">
        <f>Screen_Ann_TO!M214</f>
        <v>18</v>
      </c>
      <c r="N104" s="691">
        <f>Screen_Ann_TO!N214</f>
        <v>18</v>
      </c>
      <c r="O104" s="691">
        <f>Screen_Ann_TO!O214</f>
        <v>18</v>
      </c>
    </row>
    <row r="105" spans="1:15" s="699" customFormat="1" x14ac:dyDescent="0.2">
      <c r="A105" s="683"/>
      <c r="B105" s="683"/>
      <c r="C105" s="683"/>
      <c r="D105" s="683"/>
      <c r="E105" s="683"/>
      <c r="F105" s="683"/>
      <c r="G105" s="683"/>
      <c r="H105" s="683"/>
      <c r="I105" s="683"/>
      <c r="J105" s="683"/>
      <c r="K105" s="683"/>
      <c r="L105" s="683"/>
      <c r="M105" s="683"/>
      <c r="N105" s="683"/>
      <c r="O105" s="683"/>
    </row>
    <row r="106" spans="1:15" s="699" customFormat="1" x14ac:dyDescent="0.2">
      <c r="A106" s="683"/>
      <c r="B106" s="683"/>
      <c r="C106" s="683"/>
      <c r="D106" s="688" t="str">
        <f>Oth_Ann_TA!D111</f>
        <v>Mobile Team Patient Recruitment</v>
      </c>
      <c r="E106" s="683"/>
      <c r="F106" s="683"/>
      <c r="G106" s="683"/>
      <c r="H106" s="683"/>
      <c r="I106" s="683"/>
      <c r="J106" s="691">
        <f>Oth_Ann_TA!J125</f>
        <v>4</v>
      </c>
      <c r="K106" s="691">
        <f>Oth_Ann_TA!K125</f>
        <v>4</v>
      </c>
      <c r="L106" s="691">
        <f>Oth_Ann_TA!L125</f>
        <v>4</v>
      </c>
      <c r="M106" s="691">
        <f>Oth_Ann_TA!M125</f>
        <v>4</v>
      </c>
      <c r="N106" s="691">
        <f>Oth_Ann_TA!N125</f>
        <v>4</v>
      </c>
      <c r="O106" s="691">
        <f>Oth_Ann_TA!O125</f>
        <v>4</v>
      </c>
    </row>
    <row r="107" spans="1:15" s="699" customFormat="1" x14ac:dyDescent="0.2">
      <c r="A107" s="683"/>
      <c r="B107" s="683"/>
      <c r="C107" s="683"/>
      <c r="D107" s="686" t="str">
        <f>"Financial Cost per "&amp;D106</f>
        <v>Financial Cost per Mobile Team Patient Recruitment</v>
      </c>
      <c r="E107" s="683"/>
      <c r="F107" s="683"/>
      <c r="G107" s="683"/>
      <c r="H107" s="683"/>
      <c r="I107" s="683"/>
      <c r="J107" s="692">
        <f>Oth_Ann_TA!$H$111</f>
        <v>2000</v>
      </c>
      <c r="K107" s="692">
        <f>Oth_Ann_TA!$H$111</f>
        <v>2000</v>
      </c>
      <c r="L107" s="692">
        <f>Oth_Ann_TA!$H$111</f>
        <v>2000</v>
      </c>
      <c r="M107" s="692">
        <f>Oth_Ann_TA!$H$111</f>
        <v>2000</v>
      </c>
      <c r="N107" s="692">
        <f>Oth_Ann_TA!$H$111</f>
        <v>2000</v>
      </c>
      <c r="O107" s="692">
        <f>Oth_Ann_TA!$H$111</f>
        <v>2000</v>
      </c>
    </row>
    <row r="108" spans="1:15" s="699" customFormat="1" x14ac:dyDescent="0.2">
      <c r="A108" s="683"/>
      <c r="B108" s="683"/>
      <c r="C108" s="683"/>
      <c r="D108" s="685" t="str">
        <f>"Total Financial Cost "&amp;D106</f>
        <v>Total Financial Cost Mobile Team Patient Recruitment</v>
      </c>
      <c r="E108" s="683"/>
      <c r="F108" s="683"/>
      <c r="G108" s="683"/>
      <c r="H108" s="683"/>
      <c r="I108" s="683"/>
      <c r="J108" s="694">
        <f t="shared" ref="J108:O108" si="12">J$104*J$106*J107</f>
        <v>144000</v>
      </c>
      <c r="K108" s="694">
        <f t="shared" si="12"/>
        <v>144000</v>
      </c>
      <c r="L108" s="694">
        <f t="shared" si="12"/>
        <v>144000</v>
      </c>
      <c r="M108" s="694">
        <f t="shared" si="12"/>
        <v>144000</v>
      </c>
      <c r="N108" s="694">
        <f t="shared" si="12"/>
        <v>144000</v>
      </c>
      <c r="O108" s="694">
        <f t="shared" si="12"/>
        <v>144000</v>
      </c>
    </row>
    <row r="109" spans="1:15" s="699" customFormat="1" x14ac:dyDescent="0.2">
      <c r="A109" s="683"/>
      <c r="B109" s="683"/>
      <c r="C109" s="683"/>
      <c r="D109" s="683"/>
      <c r="E109" s="683"/>
      <c r="F109" s="683"/>
      <c r="G109" s="683"/>
      <c r="H109" s="683"/>
      <c r="I109" s="683"/>
      <c r="J109" s="683"/>
      <c r="K109" s="683"/>
      <c r="L109" s="683"/>
      <c r="M109" s="683"/>
      <c r="N109" s="683"/>
      <c r="O109" s="683"/>
    </row>
    <row r="110" spans="1:15" s="699" customFormat="1" x14ac:dyDescent="0.2">
      <c r="A110" s="683"/>
      <c r="B110" s="683"/>
      <c r="C110" s="683"/>
      <c r="D110" s="685" t="str">
        <f>"Economic Cost per "&amp;D106</f>
        <v>Economic Cost per Mobile Team Patient Recruitment</v>
      </c>
      <c r="E110" s="683"/>
      <c r="F110" s="683"/>
      <c r="G110" s="683"/>
      <c r="H110" s="683"/>
      <c r="I110" s="683"/>
      <c r="J110" s="691">
        <f>Oth_Ann_TA!$I$111</f>
        <v>2500</v>
      </c>
      <c r="K110" s="691">
        <f>Oth_Ann_TA!$I$111</f>
        <v>2500</v>
      </c>
      <c r="L110" s="691">
        <f>Oth_Ann_TA!$I$111</f>
        <v>2500</v>
      </c>
      <c r="M110" s="691">
        <f>Oth_Ann_TA!$I$111</f>
        <v>2500</v>
      </c>
      <c r="N110" s="691">
        <f>Oth_Ann_TA!$I$111</f>
        <v>2500</v>
      </c>
      <c r="O110" s="691">
        <f>Oth_Ann_TA!$I$111</f>
        <v>2500</v>
      </c>
    </row>
    <row r="111" spans="1:15" s="699" customFormat="1" x14ac:dyDescent="0.2">
      <c r="A111" s="683"/>
      <c r="B111" s="683"/>
      <c r="C111" s="683"/>
      <c r="D111" s="686" t="str">
        <f>"Total Economic Cost "&amp;D106</f>
        <v>Total Economic Cost Mobile Team Patient Recruitment</v>
      </c>
      <c r="E111" s="683"/>
      <c r="F111" s="683"/>
      <c r="G111" s="683"/>
      <c r="H111" s="683"/>
      <c r="I111" s="683"/>
      <c r="J111" s="695">
        <f t="shared" ref="J111:O111" si="13">J$104*J$106*J110</f>
        <v>180000</v>
      </c>
      <c r="K111" s="695">
        <f t="shared" si="13"/>
        <v>180000</v>
      </c>
      <c r="L111" s="695">
        <f t="shared" si="13"/>
        <v>180000</v>
      </c>
      <c r="M111" s="695">
        <f t="shared" si="13"/>
        <v>180000</v>
      </c>
      <c r="N111" s="695">
        <f t="shared" si="13"/>
        <v>180000</v>
      </c>
      <c r="O111" s="695">
        <f t="shared" si="13"/>
        <v>180000</v>
      </c>
    </row>
    <row r="112" spans="1:15" s="699" customFormat="1" x14ac:dyDescent="0.2">
      <c r="A112" s="683"/>
      <c r="B112" s="683"/>
      <c r="C112" s="683"/>
      <c r="D112" s="683"/>
      <c r="E112" s="683"/>
      <c r="F112" s="683"/>
      <c r="G112" s="683"/>
      <c r="H112" s="683"/>
      <c r="I112" s="683"/>
      <c r="J112" s="683"/>
      <c r="K112" s="683"/>
      <c r="L112" s="683"/>
      <c r="M112" s="683"/>
      <c r="N112" s="683"/>
      <c r="O112" s="683"/>
    </row>
    <row r="113" spans="1:15" s="699" customFormat="1" x14ac:dyDescent="0.2">
      <c r="A113" s="683"/>
      <c r="B113" s="683"/>
      <c r="C113" s="683"/>
      <c r="D113" s="689" t="str">
        <f>Oth_Ann_TA!D113</f>
        <v>Mobile Team Referral Follow-up</v>
      </c>
      <c r="E113" s="683"/>
      <c r="F113" s="683"/>
      <c r="G113" s="683"/>
      <c r="H113" s="683"/>
      <c r="I113" s="683"/>
      <c r="J113" s="692">
        <f>Oth_Ann_TA!J127</f>
        <v>4</v>
      </c>
      <c r="K113" s="692">
        <f>Oth_Ann_TA!K127</f>
        <v>4</v>
      </c>
      <c r="L113" s="692">
        <f>Oth_Ann_TA!L127</f>
        <v>4</v>
      </c>
      <c r="M113" s="692">
        <f>Oth_Ann_TA!M127</f>
        <v>4</v>
      </c>
      <c r="N113" s="692">
        <f>Oth_Ann_TA!N127</f>
        <v>4</v>
      </c>
      <c r="O113" s="692">
        <f>Oth_Ann_TA!O127</f>
        <v>4</v>
      </c>
    </row>
    <row r="114" spans="1:15" s="699" customFormat="1" x14ac:dyDescent="0.2">
      <c r="A114" s="683"/>
      <c r="B114" s="683"/>
      <c r="C114" s="683"/>
      <c r="D114" s="685" t="str">
        <f>"Financial Cost per "&amp;D113</f>
        <v>Financial Cost per Mobile Team Referral Follow-up</v>
      </c>
      <c r="E114" s="683"/>
      <c r="F114" s="683"/>
      <c r="G114" s="683"/>
      <c r="H114" s="683"/>
      <c r="I114" s="683"/>
      <c r="J114" s="691">
        <f>Oth_Ann_TA!$H$113</f>
        <v>2200</v>
      </c>
      <c r="K114" s="691">
        <f>Oth_Ann_TA!$H$113</f>
        <v>2200</v>
      </c>
      <c r="L114" s="691">
        <f>Oth_Ann_TA!$H$113</f>
        <v>2200</v>
      </c>
      <c r="M114" s="691">
        <f>Oth_Ann_TA!$H$113</f>
        <v>2200</v>
      </c>
      <c r="N114" s="691">
        <f>Oth_Ann_TA!$H$113</f>
        <v>2200</v>
      </c>
      <c r="O114" s="691">
        <f>Oth_Ann_TA!$H$113</f>
        <v>2200</v>
      </c>
    </row>
    <row r="115" spans="1:15" s="699" customFormat="1" x14ac:dyDescent="0.2">
      <c r="A115" s="683"/>
      <c r="B115" s="683"/>
      <c r="C115" s="683"/>
      <c r="D115" s="686" t="str">
        <f>"Total Financial Cost "&amp;D113</f>
        <v>Total Financial Cost Mobile Team Referral Follow-up</v>
      </c>
      <c r="E115" s="683"/>
      <c r="F115" s="683"/>
      <c r="G115" s="683"/>
      <c r="H115" s="683"/>
      <c r="I115" s="683"/>
      <c r="J115" s="695">
        <f t="shared" ref="J115:O115" si="14">J$104*J$113*J114</f>
        <v>158400</v>
      </c>
      <c r="K115" s="695">
        <f t="shared" si="14"/>
        <v>158400</v>
      </c>
      <c r="L115" s="695">
        <f t="shared" si="14"/>
        <v>158400</v>
      </c>
      <c r="M115" s="695">
        <f t="shared" si="14"/>
        <v>158400</v>
      </c>
      <c r="N115" s="695">
        <f t="shared" si="14"/>
        <v>158400</v>
      </c>
      <c r="O115" s="695">
        <f t="shared" si="14"/>
        <v>158400</v>
      </c>
    </row>
    <row r="116" spans="1:15" s="699" customFormat="1" x14ac:dyDescent="0.2">
      <c r="A116" s="683"/>
      <c r="B116" s="683"/>
      <c r="C116" s="683"/>
      <c r="D116" s="683"/>
      <c r="E116" s="683"/>
      <c r="F116" s="683"/>
      <c r="G116" s="683"/>
      <c r="H116" s="683"/>
      <c r="I116" s="683"/>
      <c r="J116" s="683"/>
      <c r="K116" s="683"/>
      <c r="L116" s="683"/>
      <c r="M116" s="683"/>
      <c r="N116" s="683"/>
      <c r="O116" s="683"/>
    </row>
    <row r="117" spans="1:15" s="699" customFormat="1" x14ac:dyDescent="0.2">
      <c r="A117" s="683"/>
      <c r="B117" s="683"/>
      <c r="C117" s="683"/>
      <c r="D117" s="686" t="str">
        <f>"Economic Cost per "&amp;D113</f>
        <v>Economic Cost per Mobile Team Referral Follow-up</v>
      </c>
      <c r="E117" s="683"/>
      <c r="F117" s="683"/>
      <c r="G117" s="683"/>
      <c r="H117" s="683"/>
      <c r="I117" s="683"/>
      <c r="J117" s="692">
        <f>Oth_Ann_TA!$I$113</f>
        <v>2800</v>
      </c>
      <c r="K117" s="692">
        <f>Oth_Ann_TA!$I$113</f>
        <v>2800</v>
      </c>
      <c r="L117" s="692">
        <f>Oth_Ann_TA!$I$113</f>
        <v>2800</v>
      </c>
      <c r="M117" s="692">
        <f>Oth_Ann_TA!$I$113</f>
        <v>2800</v>
      </c>
      <c r="N117" s="692">
        <f>Oth_Ann_TA!$I$113</f>
        <v>2800</v>
      </c>
      <c r="O117" s="692">
        <f>Oth_Ann_TA!$I$113</f>
        <v>2800</v>
      </c>
    </row>
    <row r="118" spans="1:15" s="699" customFormat="1" x14ac:dyDescent="0.2">
      <c r="A118" s="683"/>
      <c r="B118" s="683"/>
      <c r="C118" s="683"/>
      <c r="D118" s="685" t="str">
        <f>"Total Economic Cost "&amp;D113</f>
        <v>Total Economic Cost Mobile Team Referral Follow-up</v>
      </c>
      <c r="E118" s="683"/>
      <c r="F118" s="683"/>
      <c r="G118" s="683"/>
      <c r="H118" s="683"/>
      <c r="I118" s="683"/>
      <c r="J118" s="694">
        <f t="shared" ref="J118:O118" si="15">J$104*J$113*J117</f>
        <v>201600</v>
      </c>
      <c r="K118" s="694">
        <f t="shared" si="15"/>
        <v>201600</v>
      </c>
      <c r="L118" s="694">
        <f t="shared" si="15"/>
        <v>201600</v>
      </c>
      <c r="M118" s="694">
        <f t="shared" si="15"/>
        <v>201600</v>
      </c>
      <c r="N118" s="694">
        <f t="shared" si="15"/>
        <v>201600</v>
      </c>
      <c r="O118" s="694">
        <f t="shared" si="15"/>
        <v>201600</v>
      </c>
    </row>
    <row r="119" spans="1:15" s="699" customFormat="1" x14ac:dyDescent="0.2">
      <c r="A119" s="683"/>
      <c r="B119" s="683"/>
      <c r="C119" s="683"/>
      <c r="D119" s="683"/>
      <c r="E119" s="683"/>
      <c r="F119" s="683"/>
      <c r="G119" s="683"/>
      <c r="H119" s="683"/>
      <c r="I119" s="683"/>
      <c r="J119" s="683"/>
      <c r="K119" s="683"/>
      <c r="L119" s="683"/>
      <c r="M119" s="683"/>
      <c r="N119" s="683"/>
      <c r="O119" s="683"/>
    </row>
    <row r="120" spans="1:15" s="699" customFormat="1" x14ac:dyDescent="0.2">
      <c r="A120" s="683"/>
      <c r="B120" s="683"/>
      <c r="C120" s="683"/>
      <c r="D120" s="683"/>
      <c r="E120" s="683"/>
      <c r="F120" s="683"/>
      <c r="G120" s="683"/>
      <c r="H120" s="683"/>
      <c r="I120" s="683"/>
      <c r="J120" s="683"/>
      <c r="K120" s="683"/>
      <c r="L120" s="683"/>
      <c r="M120" s="683"/>
      <c r="N120" s="683"/>
      <c r="O120" s="683"/>
    </row>
    <row r="121" spans="1:15" s="699" customFormat="1" ht="15.75" x14ac:dyDescent="0.2">
      <c r="A121" s="683"/>
      <c r="B121" s="683"/>
      <c r="C121" s="684" t="str">
        <f>"Financial Costs ("&amp;INDEX(LU_Comm_Denom,DD_TS_Denom)&amp;")"</f>
        <v>Financial Costs (USD)</v>
      </c>
      <c r="D121" s="683"/>
      <c r="E121" s="683"/>
      <c r="F121" s="683"/>
      <c r="G121" s="683"/>
      <c r="H121" s="683"/>
      <c r="I121" s="683"/>
      <c r="J121" s="683"/>
      <c r="K121" s="683"/>
      <c r="L121" s="683"/>
      <c r="M121" s="683"/>
      <c r="N121" s="683"/>
      <c r="O121" s="683"/>
    </row>
    <row r="122" spans="1:15" s="699" customFormat="1" x14ac:dyDescent="0.2">
      <c r="A122" s="683"/>
      <c r="B122" s="683"/>
      <c r="C122" s="683"/>
      <c r="D122" s="683"/>
      <c r="E122" s="683"/>
      <c r="F122" s="683"/>
      <c r="G122" s="683"/>
      <c r="H122" s="683"/>
      <c r="I122" s="683"/>
      <c r="J122" s="683"/>
      <c r="K122" s="683"/>
      <c r="L122" s="683"/>
      <c r="M122" s="683"/>
      <c r="N122" s="683"/>
      <c r="O122" s="683"/>
    </row>
    <row r="123" spans="1:15" s="699" customFormat="1" x14ac:dyDescent="0.2">
      <c r="A123" s="683"/>
      <c r="B123" s="683"/>
      <c r="C123" s="683"/>
      <c r="D123" s="689" t="str">
        <f>C179</f>
        <v>Social Mobilization</v>
      </c>
      <c r="E123" s="683"/>
      <c r="F123" s="683"/>
      <c r="G123" s="683"/>
      <c r="H123" s="683"/>
      <c r="I123" s="683"/>
      <c r="J123" s="692">
        <f t="shared" ref="J123:O123" si="16">J91+J98+J108+J115</f>
        <v>750400</v>
      </c>
      <c r="K123" s="692">
        <f t="shared" si="16"/>
        <v>750400</v>
      </c>
      <c r="L123" s="692">
        <f t="shared" si="16"/>
        <v>750400</v>
      </c>
      <c r="M123" s="692">
        <f t="shared" si="16"/>
        <v>750400</v>
      </c>
      <c r="N123" s="692">
        <f t="shared" si="16"/>
        <v>750400</v>
      </c>
      <c r="O123" s="692">
        <f t="shared" si="16"/>
        <v>750400</v>
      </c>
    </row>
    <row r="124" spans="1:15" s="699" customFormat="1" x14ac:dyDescent="0.2">
      <c r="A124" s="683"/>
      <c r="B124" s="683"/>
      <c r="C124" s="683"/>
      <c r="D124" s="688" t="str">
        <f>C210</f>
        <v>Initial Communication Support</v>
      </c>
      <c r="E124" s="683"/>
      <c r="F124" s="683"/>
      <c r="G124" s="683"/>
      <c r="H124" s="683"/>
      <c r="I124" s="683"/>
      <c r="J124" s="691">
        <f>(Oth_Ann_TA!J156*Oth_Ann_TA!$H$144)+(Oth_Ann_TA!J157*Oth_Ann_TA!$H$145)+(Oth_Ann_TA!J158*Oth_Ann_TA!$H$146)+(Oth_Ann_TA!J159*Oth_Ann_TA!$H$147)</f>
        <v>0</v>
      </c>
      <c r="K124" s="691">
        <f>(Oth_Ann_TA!K156*Oth_Ann_TA!$H$144)+(Oth_Ann_TA!K157*Oth_Ann_TA!$H$145)+(Oth_Ann_TA!K158*Oth_Ann_TA!$H$146)+(Oth_Ann_TA!K159*Oth_Ann_TA!$H$147)</f>
        <v>0</v>
      </c>
      <c r="L124" s="691">
        <f>(Oth_Ann_TA!L156*Oth_Ann_TA!$H$144)+(Oth_Ann_TA!L157*Oth_Ann_TA!$H$145)+(Oth_Ann_TA!L158*Oth_Ann_TA!$H$146)+(Oth_Ann_TA!L159*Oth_Ann_TA!$H$147)</f>
        <v>0</v>
      </c>
      <c r="M124" s="691">
        <f>(Oth_Ann_TA!M156*Oth_Ann_TA!$H$144)+(Oth_Ann_TA!M157*Oth_Ann_TA!$H$145)+(Oth_Ann_TA!M158*Oth_Ann_TA!$H$146)+(Oth_Ann_TA!M159*Oth_Ann_TA!$H$147)</f>
        <v>0</v>
      </c>
      <c r="N124" s="691">
        <f>(Oth_Ann_TA!N156*Oth_Ann_TA!$H$144)+(Oth_Ann_TA!N157*Oth_Ann_TA!$H$145)+(Oth_Ann_TA!N158*Oth_Ann_TA!$H$146)+(Oth_Ann_TA!N159*Oth_Ann_TA!$H$147)</f>
        <v>0</v>
      </c>
      <c r="O124" s="691">
        <f>(Oth_Ann_TA!O156*Oth_Ann_TA!$H$144)+(Oth_Ann_TA!O157*Oth_Ann_TA!$H$145)+(Oth_Ann_TA!O158*Oth_Ann_TA!$H$146)+(Oth_Ann_TA!O159*Oth_Ann_TA!$H$147)</f>
        <v>0</v>
      </c>
    </row>
    <row r="125" spans="1:15" s="699" customFormat="1" x14ac:dyDescent="0.2">
      <c r="A125" s="683"/>
      <c r="B125" s="683"/>
      <c r="C125" s="683"/>
      <c r="D125" s="689" t="str">
        <f>C232</f>
        <v>Continuing Communication Support</v>
      </c>
      <c r="E125" s="683"/>
      <c r="F125" s="683"/>
      <c r="G125" s="683"/>
      <c r="H125" s="683"/>
      <c r="I125" s="683"/>
      <c r="J125" s="692">
        <f>(Oth_Ann_TA!J161*Oth_Ann_TA!$H$150)+(Oth_Ann_TA!J162*Oth_Ann_TA!$H$151)+(Oth_Ann_TA!J163*Oth_Ann_TA!$H$152)+(Oth_Ann_TA!J164*Oth_Ann_TA!$H$153)</f>
        <v>200000</v>
      </c>
      <c r="K125" s="692">
        <f>(Oth_Ann_TA!K161*Oth_Ann_TA!$H$150)+(Oth_Ann_TA!K162*Oth_Ann_TA!$H$151)+(Oth_Ann_TA!K163*Oth_Ann_TA!$H$152)+(Oth_Ann_TA!K164*Oth_Ann_TA!$H$153)</f>
        <v>200000</v>
      </c>
      <c r="L125" s="692">
        <f>(Oth_Ann_TA!L161*Oth_Ann_TA!$H$150)+(Oth_Ann_TA!L162*Oth_Ann_TA!$H$151)+(Oth_Ann_TA!L163*Oth_Ann_TA!$H$152)+(Oth_Ann_TA!L164*Oth_Ann_TA!$H$153)</f>
        <v>200000</v>
      </c>
      <c r="M125" s="692">
        <f>(Oth_Ann_TA!M161*Oth_Ann_TA!$H$150)+(Oth_Ann_TA!M162*Oth_Ann_TA!$H$151)+(Oth_Ann_TA!M163*Oth_Ann_TA!$H$152)+(Oth_Ann_TA!M164*Oth_Ann_TA!$H$153)</f>
        <v>200000</v>
      </c>
      <c r="N125" s="692">
        <f>(Oth_Ann_TA!N161*Oth_Ann_TA!$H$150)+(Oth_Ann_TA!N162*Oth_Ann_TA!$H$151)+(Oth_Ann_TA!N163*Oth_Ann_TA!$H$152)+(Oth_Ann_TA!N164*Oth_Ann_TA!$H$153)</f>
        <v>200000</v>
      </c>
      <c r="O125" s="692">
        <f>(Oth_Ann_TA!O161*Oth_Ann_TA!$H$150)+(Oth_Ann_TA!O162*Oth_Ann_TA!$H$151)+(Oth_Ann_TA!O163*Oth_Ann_TA!$H$152)+(Oth_Ann_TA!O164*Oth_Ann_TA!$H$153)</f>
        <v>200000</v>
      </c>
    </row>
    <row r="126" spans="1:15" s="699" customFormat="1" x14ac:dyDescent="0.2">
      <c r="A126" s="683"/>
      <c r="B126" s="683"/>
      <c r="C126" s="683"/>
      <c r="D126" s="685" t="str">
        <f>"Total "&amp;C121</f>
        <v>Total Financial Costs (USD)</v>
      </c>
      <c r="E126" s="683"/>
      <c r="F126" s="683"/>
      <c r="G126" s="683"/>
      <c r="H126" s="696" t="s">
        <v>1195</v>
      </c>
      <c r="I126" s="683"/>
      <c r="J126" s="698">
        <f t="shared" ref="J126:O126" si="17">SUM(J123:J125)</f>
        <v>950400</v>
      </c>
      <c r="K126" s="698">
        <f t="shared" si="17"/>
        <v>950400</v>
      </c>
      <c r="L126" s="698">
        <f t="shared" si="17"/>
        <v>950400</v>
      </c>
      <c r="M126" s="698">
        <f t="shared" si="17"/>
        <v>950400</v>
      </c>
      <c r="N126" s="698">
        <f t="shared" si="17"/>
        <v>950400</v>
      </c>
      <c r="O126" s="698">
        <f t="shared" si="17"/>
        <v>950400</v>
      </c>
    </row>
    <row r="127" spans="1:15" s="699" customFormat="1" x14ac:dyDescent="0.2">
      <c r="A127" s="683"/>
      <c r="B127" s="683"/>
      <c r="C127" s="683"/>
      <c r="D127" s="683"/>
      <c r="E127" s="683"/>
      <c r="F127" s="683"/>
      <c r="G127" s="683"/>
      <c r="H127" s="683"/>
      <c r="I127" s="683"/>
      <c r="J127" s="683"/>
      <c r="K127" s="683"/>
      <c r="L127" s="683"/>
      <c r="M127" s="683"/>
      <c r="N127" s="683"/>
      <c r="O127" s="683"/>
    </row>
    <row r="128" spans="1:15" s="699" customFormat="1" ht="15.75" x14ac:dyDescent="0.2">
      <c r="A128" s="683"/>
      <c r="B128" s="683"/>
      <c r="C128" s="687" t="str">
        <f>"Economic Costs ("&amp;INDEX(LU_Comm_Denom,DD_TS_Denom)&amp;")"</f>
        <v>Economic Costs (USD)</v>
      </c>
      <c r="D128" s="683"/>
      <c r="E128" s="683"/>
      <c r="F128" s="683"/>
      <c r="G128" s="683"/>
      <c r="H128" s="683"/>
      <c r="I128" s="683"/>
      <c r="J128" s="683"/>
      <c r="K128" s="683"/>
      <c r="L128" s="683"/>
      <c r="M128" s="683"/>
      <c r="N128" s="683"/>
      <c r="O128" s="683"/>
    </row>
    <row r="129" spans="1:15" s="699" customFormat="1" x14ac:dyDescent="0.2">
      <c r="A129" s="683"/>
      <c r="B129" s="683"/>
      <c r="C129" s="683"/>
      <c r="D129" s="683"/>
      <c r="E129" s="683"/>
      <c r="F129" s="683"/>
      <c r="G129" s="683"/>
      <c r="H129" s="683"/>
      <c r="I129" s="683"/>
      <c r="J129" s="683"/>
      <c r="K129" s="683"/>
      <c r="L129" s="683"/>
      <c r="M129" s="683"/>
      <c r="N129" s="683"/>
      <c r="O129" s="683"/>
    </row>
    <row r="130" spans="1:15" s="699" customFormat="1" x14ac:dyDescent="0.2">
      <c r="A130" s="683"/>
      <c r="B130" s="683"/>
      <c r="C130" s="683"/>
      <c r="D130" s="688" t="str">
        <f>C179</f>
        <v>Social Mobilization</v>
      </c>
      <c r="E130" s="683"/>
      <c r="F130" s="683"/>
      <c r="G130" s="683"/>
      <c r="H130" s="683"/>
      <c r="I130" s="683"/>
      <c r="J130" s="691">
        <f t="shared" ref="J130:O130" si="18">J94+J101+J111+J118</f>
        <v>957600</v>
      </c>
      <c r="K130" s="691">
        <f t="shared" si="18"/>
        <v>957600</v>
      </c>
      <c r="L130" s="691">
        <f t="shared" si="18"/>
        <v>957600</v>
      </c>
      <c r="M130" s="691">
        <f t="shared" si="18"/>
        <v>957600</v>
      </c>
      <c r="N130" s="691">
        <f t="shared" si="18"/>
        <v>957600</v>
      </c>
      <c r="O130" s="691">
        <f t="shared" si="18"/>
        <v>957600</v>
      </c>
    </row>
    <row r="131" spans="1:15" s="699" customFormat="1" x14ac:dyDescent="0.2">
      <c r="A131" s="683"/>
      <c r="B131" s="683"/>
      <c r="C131" s="683"/>
      <c r="D131" s="689" t="str">
        <f>C210</f>
        <v>Initial Communication Support</v>
      </c>
      <c r="E131" s="683"/>
      <c r="F131" s="683"/>
      <c r="G131" s="683"/>
      <c r="H131" s="683"/>
      <c r="I131" s="683"/>
      <c r="J131" s="692">
        <f>(Oth_Ann_TA!J156*Oth_Ann_TA!$I$144)+(Oth_Ann_TA!J157*Oth_Ann_TA!$I$145)+(Oth_Ann_TA!J158*Oth_Ann_TA!$I$146)+(Oth_Ann_TA!J159*Oth_Ann_TA!$I$147)</f>
        <v>0</v>
      </c>
      <c r="K131" s="692">
        <f>(Oth_Ann_TA!K156*Oth_Ann_TA!$I$144)+(Oth_Ann_TA!K157*Oth_Ann_TA!$I$145)+(Oth_Ann_TA!K158*Oth_Ann_TA!$I$146)+(Oth_Ann_TA!K159*Oth_Ann_TA!$I$147)</f>
        <v>0</v>
      </c>
      <c r="L131" s="692">
        <f>(Oth_Ann_TA!L156*Oth_Ann_TA!$I$144)+(Oth_Ann_TA!L157*Oth_Ann_TA!$I$145)+(Oth_Ann_TA!L158*Oth_Ann_TA!$I$146)+(Oth_Ann_TA!L159*Oth_Ann_TA!$I$147)</f>
        <v>0</v>
      </c>
      <c r="M131" s="692">
        <f>(Oth_Ann_TA!M156*Oth_Ann_TA!$I$144)+(Oth_Ann_TA!M157*Oth_Ann_TA!$I$145)+(Oth_Ann_TA!M158*Oth_Ann_TA!$I$146)+(Oth_Ann_TA!M159*Oth_Ann_TA!$I$147)</f>
        <v>0</v>
      </c>
      <c r="N131" s="692">
        <f>(Oth_Ann_TA!N156*Oth_Ann_TA!$I$144)+(Oth_Ann_TA!N157*Oth_Ann_TA!$I$145)+(Oth_Ann_TA!N158*Oth_Ann_TA!$I$146)+(Oth_Ann_TA!N159*Oth_Ann_TA!$I$147)</f>
        <v>0</v>
      </c>
      <c r="O131" s="692">
        <f>(Oth_Ann_TA!O156*Oth_Ann_TA!$I$144)+(Oth_Ann_TA!O157*Oth_Ann_TA!$I$145)+(Oth_Ann_TA!O158*Oth_Ann_TA!$I$146)+(Oth_Ann_TA!O159*Oth_Ann_TA!$I$147)</f>
        <v>0</v>
      </c>
    </row>
    <row r="132" spans="1:15" s="699" customFormat="1" x14ac:dyDescent="0.2">
      <c r="A132" s="683"/>
      <c r="B132" s="683"/>
      <c r="C132" s="683"/>
      <c r="D132" s="688" t="str">
        <f>C232</f>
        <v>Continuing Communication Support</v>
      </c>
      <c r="E132" s="683"/>
      <c r="F132" s="683"/>
      <c r="G132" s="683"/>
      <c r="H132" s="683"/>
      <c r="I132" s="683"/>
      <c r="J132" s="691">
        <f>(Oth_Ann_TA!J161*Oth_Ann_TA!$I$150)+(Oth_Ann_TA!J162*Oth_Ann_TA!$I$151)+(Oth_Ann_TA!J163*Oth_Ann_TA!$I$152)+(Oth_Ann_TA!J164*Oth_Ann_TA!$I$153)</f>
        <v>250000</v>
      </c>
      <c r="K132" s="691">
        <f>(Oth_Ann_TA!K161*Oth_Ann_TA!$I$150)+(Oth_Ann_TA!K162*Oth_Ann_TA!$I$151)+(Oth_Ann_TA!K163*Oth_Ann_TA!$I$152)+(Oth_Ann_TA!K164*Oth_Ann_TA!$I$153)</f>
        <v>250000</v>
      </c>
      <c r="L132" s="691">
        <f>(Oth_Ann_TA!L161*Oth_Ann_TA!$I$150)+(Oth_Ann_TA!L162*Oth_Ann_TA!$I$151)+(Oth_Ann_TA!L163*Oth_Ann_TA!$I$152)+(Oth_Ann_TA!L164*Oth_Ann_TA!$I$153)</f>
        <v>250000</v>
      </c>
      <c r="M132" s="691">
        <f>(Oth_Ann_TA!M161*Oth_Ann_TA!$I$150)+(Oth_Ann_TA!M162*Oth_Ann_TA!$I$151)+(Oth_Ann_TA!M163*Oth_Ann_TA!$I$152)+(Oth_Ann_TA!M164*Oth_Ann_TA!$I$153)</f>
        <v>250000</v>
      </c>
      <c r="N132" s="691">
        <f>(Oth_Ann_TA!N161*Oth_Ann_TA!$I$150)+(Oth_Ann_TA!N162*Oth_Ann_TA!$I$151)+(Oth_Ann_TA!N163*Oth_Ann_TA!$I$152)+(Oth_Ann_TA!N164*Oth_Ann_TA!$I$153)</f>
        <v>250000</v>
      </c>
      <c r="O132" s="691">
        <f>(Oth_Ann_TA!O161*Oth_Ann_TA!$I$150)+(Oth_Ann_TA!O162*Oth_Ann_TA!$I$151)+(Oth_Ann_TA!O163*Oth_Ann_TA!$I$152)+(Oth_Ann_TA!O164*Oth_Ann_TA!$I$153)</f>
        <v>250000</v>
      </c>
    </row>
    <row r="133" spans="1:15" s="699" customFormat="1" x14ac:dyDescent="0.2">
      <c r="A133" s="683"/>
      <c r="B133" s="683"/>
      <c r="C133" s="683"/>
      <c r="D133" s="686" t="str">
        <f>"Total "&amp;C128</f>
        <v>Total Economic Costs (USD)</v>
      </c>
      <c r="E133" s="683"/>
      <c r="F133" s="683"/>
      <c r="G133" s="683"/>
      <c r="H133" s="693" t="s">
        <v>1195</v>
      </c>
      <c r="I133" s="683"/>
      <c r="J133" s="697">
        <f t="shared" ref="J133:O133" si="19">SUM(J130:J132)</f>
        <v>1207600</v>
      </c>
      <c r="K133" s="697">
        <f t="shared" si="19"/>
        <v>1207600</v>
      </c>
      <c r="L133" s="697">
        <f t="shared" si="19"/>
        <v>1207600</v>
      </c>
      <c r="M133" s="697">
        <f t="shared" si="19"/>
        <v>1207600</v>
      </c>
      <c r="N133" s="697">
        <f t="shared" si="19"/>
        <v>1207600</v>
      </c>
      <c r="O133" s="697">
        <f t="shared" si="19"/>
        <v>1207600</v>
      </c>
    </row>
    <row r="134" spans="1:15" s="699" customFormat="1" x14ac:dyDescent="0.2">
      <c r="A134" s="683"/>
      <c r="B134" s="683"/>
      <c r="C134" s="683"/>
      <c r="D134" s="683"/>
      <c r="E134" s="683"/>
      <c r="F134" s="683"/>
      <c r="G134" s="683"/>
      <c r="H134" s="683"/>
      <c r="I134" s="683"/>
      <c r="J134" s="683"/>
      <c r="K134" s="683"/>
      <c r="L134" s="683"/>
      <c r="M134" s="683"/>
      <c r="N134" s="683"/>
      <c r="O134" s="683"/>
    </row>
    <row r="135" spans="1:15" s="699" customFormat="1" x14ac:dyDescent="0.2">
      <c r="A135" s="683"/>
      <c r="B135" s="683"/>
      <c r="C135" s="932" t="str">
        <f>"Go to "&amp;HL_Comm_Ass</f>
        <v>Go to Social Mobilization and Communication</v>
      </c>
      <c r="D135" s="932"/>
      <c r="E135" s="932"/>
      <c r="F135" s="932"/>
      <c r="G135" s="932"/>
      <c r="H135" s="932"/>
      <c r="I135" s="932"/>
      <c r="J135" s="683"/>
      <c r="K135" s="683"/>
      <c r="L135" s="683"/>
      <c r="M135" s="683"/>
      <c r="N135" s="683"/>
      <c r="O135" s="683"/>
    </row>
    <row r="136" spans="1:15" s="699" customFormat="1" x14ac:dyDescent="0.2">
      <c r="A136" s="683"/>
      <c r="B136" s="683"/>
      <c r="C136" s="933" t="str">
        <f>"Go to "&amp;HL_Comm_Out_Sum</f>
        <v>Go to Communication - Summary</v>
      </c>
      <c r="D136" s="933"/>
      <c r="E136" s="933"/>
      <c r="F136" s="933"/>
      <c r="G136" s="933"/>
      <c r="H136" s="933"/>
      <c r="I136" s="933"/>
      <c r="J136" s="683"/>
      <c r="K136" s="683"/>
      <c r="L136" s="683"/>
      <c r="M136" s="683"/>
      <c r="N136" s="683"/>
      <c r="O136" s="683"/>
    </row>
    <row r="137" spans="1:15" s="327" customFormat="1" x14ac:dyDescent="0.2"/>
    <row r="138" spans="1:15" s="327" customFormat="1" x14ac:dyDescent="0.2"/>
    <row r="139" spans="1:15" s="327" customFormat="1" ht="18.75" x14ac:dyDescent="0.2">
      <c r="B139" s="426" t="s">
        <v>148</v>
      </c>
    </row>
    <row r="140" spans="1:15" s="327" customFormat="1" x14ac:dyDescent="0.2"/>
    <row r="141" spans="1:15" s="327" customFormat="1" ht="15.75" x14ac:dyDescent="0.2">
      <c r="C141" s="26" t="str">
        <f>"Financial Costs ("&amp;INDEX(LU_SME_Denom,DD_TS_Denom)&amp;")"</f>
        <v>Financial Costs (USD)</v>
      </c>
    </row>
    <row r="142" spans="1:15" s="327" customFormat="1" x14ac:dyDescent="0.2"/>
    <row r="143" spans="1:15" s="327" customFormat="1" x14ac:dyDescent="0.2">
      <c r="D143" s="660" t="str">
        <f>C266</f>
        <v>Supervision Visits</v>
      </c>
      <c r="H143" s="680" t="s">
        <v>646</v>
      </c>
      <c r="J143" s="5">
        <f t="shared" ref="J143:O143" si="20">J283</f>
        <v>2800</v>
      </c>
      <c r="K143" s="5">
        <f t="shared" si="20"/>
        <v>2800</v>
      </c>
      <c r="L143" s="5">
        <f t="shared" si="20"/>
        <v>2800</v>
      </c>
      <c r="M143" s="5">
        <f t="shared" si="20"/>
        <v>2800</v>
      </c>
      <c r="N143" s="5">
        <f t="shared" si="20"/>
        <v>2800</v>
      </c>
      <c r="O143" s="5">
        <f t="shared" si="20"/>
        <v>2800</v>
      </c>
    </row>
    <row r="144" spans="1:15" s="327" customFormat="1" x14ac:dyDescent="0.2">
      <c r="D144" s="660" t="str">
        <f>C294</f>
        <v>Monitoring</v>
      </c>
      <c r="H144" s="680" t="s">
        <v>646</v>
      </c>
      <c r="J144" s="5">
        <f t="shared" ref="J144:O144" ca="1" si="21">J305</f>
        <v>0</v>
      </c>
      <c r="K144" s="5">
        <f t="shared" ca="1" si="21"/>
        <v>0</v>
      </c>
      <c r="L144" s="5">
        <f t="shared" ca="1" si="21"/>
        <v>0</v>
      </c>
      <c r="M144" s="5">
        <f t="shared" ca="1" si="21"/>
        <v>0</v>
      </c>
      <c r="N144" s="5">
        <f t="shared" ca="1" si="21"/>
        <v>0</v>
      </c>
      <c r="O144" s="5">
        <f t="shared" ca="1" si="21"/>
        <v>0</v>
      </c>
    </row>
    <row r="145" spans="2:15" s="327" customFormat="1" x14ac:dyDescent="0.2">
      <c r="D145" s="660" t="str">
        <f>C313</f>
        <v>Evaluation</v>
      </c>
      <c r="H145" s="680" t="s">
        <v>646</v>
      </c>
      <c r="J145" s="14">
        <f t="shared" ref="J145:O145" si="22">J320</f>
        <v>10000</v>
      </c>
      <c r="K145" s="14">
        <f t="shared" si="22"/>
        <v>10000</v>
      </c>
      <c r="L145" s="14">
        <f t="shared" si="22"/>
        <v>10000</v>
      </c>
      <c r="M145" s="14">
        <f t="shared" si="22"/>
        <v>10000</v>
      </c>
      <c r="N145" s="14">
        <f t="shared" si="22"/>
        <v>10000</v>
      </c>
      <c r="O145" s="14">
        <f t="shared" si="22"/>
        <v>0</v>
      </c>
    </row>
    <row r="146" spans="2:15" s="327" customFormat="1" x14ac:dyDescent="0.2">
      <c r="D146" s="659" t="str">
        <f>"Total "&amp;C141</f>
        <v>Total Financial Costs (USD)</v>
      </c>
      <c r="H146" s="680" t="s">
        <v>646</v>
      </c>
      <c r="J146" s="456">
        <f t="shared" ref="J146:O146" ca="1" si="23">SUM(J143:J145)</f>
        <v>12800</v>
      </c>
      <c r="K146" s="456">
        <f t="shared" ca="1" si="23"/>
        <v>12800</v>
      </c>
      <c r="L146" s="456">
        <f t="shared" ca="1" si="23"/>
        <v>12800</v>
      </c>
      <c r="M146" s="456">
        <f t="shared" ca="1" si="23"/>
        <v>12800</v>
      </c>
      <c r="N146" s="456">
        <f t="shared" ca="1" si="23"/>
        <v>12800</v>
      </c>
      <c r="O146" s="456">
        <f t="shared" ca="1" si="23"/>
        <v>2800</v>
      </c>
    </row>
    <row r="147" spans="2:15" s="327" customFormat="1" x14ac:dyDescent="0.2"/>
    <row r="148" spans="2:15" s="327" customFormat="1" ht="15.75" x14ac:dyDescent="0.2">
      <c r="C148" s="26" t="str">
        <f>"Economic Costs ("&amp;INDEX(LU_SME_Denom,DD_TS_Denom)&amp;")"</f>
        <v>Economic Costs (USD)</v>
      </c>
    </row>
    <row r="149" spans="2:15" s="327" customFormat="1" x14ac:dyDescent="0.2"/>
    <row r="150" spans="2:15" s="327" customFormat="1" x14ac:dyDescent="0.2">
      <c r="D150" s="660" t="str">
        <f>C266</f>
        <v>Supervision Visits</v>
      </c>
      <c r="H150" s="680" t="s">
        <v>646</v>
      </c>
      <c r="J150" s="5">
        <f t="shared" ref="J150:O150" si="24">J292</f>
        <v>3600</v>
      </c>
      <c r="K150" s="5">
        <f t="shared" si="24"/>
        <v>3600</v>
      </c>
      <c r="L150" s="5">
        <f t="shared" si="24"/>
        <v>3600</v>
      </c>
      <c r="M150" s="5">
        <f t="shared" si="24"/>
        <v>3600</v>
      </c>
      <c r="N150" s="5">
        <f t="shared" si="24"/>
        <v>3600</v>
      </c>
      <c r="O150" s="5">
        <f t="shared" si="24"/>
        <v>3600</v>
      </c>
    </row>
    <row r="151" spans="2:15" s="327" customFormat="1" x14ac:dyDescent="0.2">
      <c r="D151" s="660" t="str">
        <f>C294</f>
        <v>Monitoring</v>
      </c>
      <c r="H151" s="680" t="s">
        <v>646</v>
      </c>
      <c r="J151" s="5">
        <f t="shared" ref="J151:O151" ca="1" si="25">J311</f>
        <v>0</v>
      </c>
      <c r="K151" s="5">
        <f t="shared" ca="1" si="25"/>
        <v>0</v>
      </c>
      <c r="L151" s="5">
        <f t="shared" ca="1" si="25"/>
        <v>0</v>
      </c>
      <c r="M151" s="5">
        <f t="shared" ca="1" si="25"/>
        <v>0</v>
      </c>
      <c r="N151" s="5">
        <f t="shared" ca="1" si="25"/>
        <v>0</v>
      </c>
      <c r="O151" s="5">
        <f t="shared" ca="1" si="25"/>
        <v>0</v>
      </c>
    </row>
    <row r="152" spans="2:15" s="327" customFormat="1" x14ac:dyDescent="0.2">
      <c r="D152" s="660" t="str">
        <f>C313</f>
        <v>Evaluation</v>
      </c>
      <c r="H152" s="680" t="s">
        <v>646</v>
      </c>
      <c r="J152" s="5">
        <f t="shared" ref="J152:O152" si="26">J324</f>
        <v>15000</v>
      </c>
      <c r="K152" s="5">
        <f t="shared" si="26"/>
        <v>15000</v>
      </c>
      <c r="L152" s="5">
        <f t="shared" si="26"/>
        <v>15000</v>
      </c>
      <c r="M152" s="5">
        <f t="shared" si="26"/>
        <v>15000</v>
      </c>
      <c r="N152" s="5">
        <f t="shared" si="26"/>
        <v>15000</v>
      </c>
      <c r="O152" s="5">
        <f t="shared" si="26"/>
        <v>0</v>
      </c>
    </row>
    <row r="153" spans="2:15" s="327" customFormat="1" x14ac:dyDescent="0.2">
      <c r="D153" s="659" t="str">
        <f>"Total "&amp;C148</f>
        <v>Total Economic Costs (USD)</v>
      </c>
      <c r="H153" s="680" t="s">
        <v>646</v>
      </c>
      <c r="J153" s="456">
        <f t="shared" ref="J153:O153" ca="1" si="27">SUM(J150:J152)</f>
        <v>18600</v>
      </c>
      <c r="K153" s="456">
        <f t="shared" ca="1" si="27"/>
        <v>18600</v>
      </c>
      <c r="L153" s="456">
        <f t="shared" ca="1" si="27"/>
        <v>18600</v>
      </c>
      <c r="M153" s="456">
        <f t="shared" ca="1" si="27"/>
        <v>18600</v>
      </c>
      <c r="N153" s="456">
        <f t="shared" ca="1" si="27"/>
        <v>18600</v>
      </c>
      <c r="O153" s="456">
        <f t="shared" ca="1" si="27"/>
        <v>3600</v>
      </c>
    </row>
    <row r="154" spans="2:15" s="327" customFormat="1" x14ac:dyDescent="0.2"/>
    <row r="155" spans="2:15" s="327" customFormat="1" x14ac:dyDescent="0.2">
      <c r="C155" s="716" t="str">
        <f>"Go to "&amp;HL_SME_Ass</f>
        <v>Go to Supervision, Monitoring, and Evaluation - Assumptions</v>
      </c>
      <c r="D155" s="716"/>
      <c r="E155" s="716"/>
      <c r="F155" s="716"/>
      <c r="G155" s="716"/>
      <c r="H155" s="716"/>
      <c r="I155" s="716"/>
    </row>
    <row r="156" spans="2:15" s="327" customFormat="1" x14ac:dyDescent="0.2">
      <c r="C156" s="716" t="str">
        <f>"Go to "&amp;HL_SME_Out</f>
        <v>Go to Supervision, Monitoring, and Evaluation - Outputs</v>
      </c>
      <c r="D156" s="716"/>
      <c r="E156" s="716"/>
      <c r="F156" s="716"/>
      <c r="G156" s="716"/>
      <c r="H156" s="716"/>
      <c r="I156" s="716"/>
    </row>
    <row r="157" spans="2:15" s="327" customFormat="1" x14ac:dyDescent="0.2"/>
    <row r="158" spans="2:15" s="327" customFormat="1" x14ac:dyDescent="0.2"/>
    <row r="159" spans="2:15" s="327" customFormat="1" ht="18.75" x14ac:dyDescent="0.2">
      <c r="B159" s="426" t="s">
        <v>168</v>
      </c>
    </row>
    <row r="160" spans="2:15" s="327" customFormat="1" x14ac:dyDescent="0.2"/>
    <row r="161" spans="3:15" s="327" customFormat="1" ht="15.75" x14ac:dyDescent="0.2">
      <c r="C161" s="26" t="str">
        <f>"Financial Cost ("&amp;INDEX(LU_Oth_Denom,DD_TS_Denom)&amp;")"</f>
        <v>Financial Cost (USD)</v>
      </c>
    </row>
    <row r="162" spans="3:15" s="327" customFormat="1" x14ac:dyDescent="0.2"/>
    <row r="163" spans="3:15" s="327" customFormat="1" x14ac:dyDescent="0.2">
      <c r="D163" s="660" t="str">
        <f>C332</f>
        <v>Recurrent Cost Items</v>
      </c>
      <c r="H163" s="680" t="s">
        <v>150</v>
      </c>
      <c r="J163" s="14">
        <f t="shared" ref="J163:O163" si="28">J341</f>
        <v>0</v>
      </c>
      <c r="K163" s="14">
        <f t="shared" si="28"/>
        <v>0</v>
      </c>
      <c r="L163" s="14">
        <f t="shared" si="28"/>
        <v>0</v>
      </c>
      <c r="M163" s="14">
        <f t="shared" si="28"/>
        <v>0</v>
      </c>
      <c r="N163" s="14">
        <f t="shared" si="28"/>
        <v>0</v>
      </c>
      <c r="O163" s="14">
        <f t="shared" si="28"/>
        <v>0</v>
      </c>
    </row>
    <row r="164" spans="3:15" s="327" customFormat="1" x14ac:dyDescent="0.2">
      <c r="D164" s="660" t="str">
        <f>C352</f>
        <v>Additional Capital Goods</v>
      </c>
      <c r="H164" s="680" t="s">
        <v>150</v>
      </c>
      <c r="J164" s="14">
        <f t="shared" ref="J164:O164" si="29">J369</f>
        <v>0</v>
      </c>
      <c r="K164" s="14">
        <f t="shared" si="29"/>
        <v>0</v>
      </c>
      <c r="L164" s="14">
        <f t="shared" si="29"/>
        <v>0</v>
      </c>
      <c r="M164" s="14">
        <f t="shared" si="29"/>
        <v>0</v>
      </c>
      <c r="N164" s="14">
        <f t="shared" si="29"/>
        <v>0</v>
      </c>
      <c r="O164" s="14">
        <f t="shared" si="29"/>
        <v>0</v>
      </c>
    </row>
    <row r="165" spans="3:15" s="327" customFormat="1" x14ac:dyDescent="0.2">
      <c r="D165" s="659" t="str">
        <f>"Total "&amp;C161</f>
        <v>Total Financial Cost (USD)</v>
      </c>
      <c r="H165" s="680" t="s">
        <v>150</v>
      </c>
      <c r="J165" s="457">
        <f t="shared" ref="J165:O165" si="30">SUM(J163:J164)</f>
        <v>0</v>
      </c>
      <c r="K165" s="457">
        <f t="shared" si="30"/>
        <v>0</v>
      </c>
      <c r="L165" s="457">
        <f t="shared" si="30"/>
        <v>0</v>
      </c>
      <c r="M165" s="457">
        <f t="shared" si="30"/>
        <v>0</v>
      </c>
      <c r="N165" s="457">
        <f t="shared" si="30"/>
        <v>0</v>
      </c>
      <c r="O165" s="457">
        <f t="shared" si="30"/>
        <v>0</v>
      </c>
    </row>
    <row r="166" spans="3:15" s="327" customFormat="1" x14ac:dyDescent="0.2"/>
    <row r="167" spans="3:15" s="327" customFormat="1" ht="15.75" x14ac:dyDescent="0.2">
      <c r="C167" s="26" t="str">
        <f>"Additional Capital Goods ("&amp;INDEX(LU_Oth_Denom,DD_TS_Denom)&amp;")"</f>
        <v>Additional Capital Goods (USD)</v>
      </c>
    </row>
    <row r="168" spans="3:15" s="327" customFormat="1" x14ac:dyDescent="0.2"/>
    <row r="169" spans="3:15" s="327" customFormat="1" x14ac:dyDescent="0.2">
      <c r="D169" s="660" t="str">
        <f>C332</f>
        <v>Recurrent Cost Items</v>
      </c>
      <c r="H169" s="680" t="s">
        <v>150</v>
      </c>
      <c r="J169" s="14">
        <f t="shared" ref="J169:O169" si="31">J350</f>
        <v>0</v>
      </c>
      <c r="K169" s="14">
        <f t="shared" si="31"/>
        <v>0</v>
      </c>
      <c r="L169" s="14">
        <f t="shared" si="31"/>
        <v>0</v>
      </c>
      <c r="M169" s="14">
        <f t="shared" si="31"/>
        <v>0</v>
      </c>
      <c r="N169" s="14">
        <f t="shared" si="31"/>
        <v>0</v>
      </c>
      <c r="O169" s="14">
        <f t="shared" si="31"/>
        <v>0</v>
      </c>
    </row>
    <row r="170" spans="3:15" s="327" customFormat="1" x14ac:dyDescent="0.2">
      <c r="D170" s="660" t="str">
        <f>C352</f>
        <v>Additional Capital Goods</v>
      </c>
      <c r="H170" s="680" t="s">
        <v>150</v>
      </c>
      <c r="J170" s="14">
        <f t="shared" ref="J170:O170" si="32">J378</f>
        <v>0</v>
      </c>
      <c r="K170" s="14">
        <f t="shared" si="32"/>
        <v>0</v>
      </c>
      <c r="L170" s="14">
        <f t="shared" si="32"/>
        <v>0</v>
      </c>
      <c r="M170" s="14">
        <f t="shared" si="32"/>
        <v>0</v>
      </c>
      <c r="N170" s="14">
        <f t="shared" si="32"/>
        <v>0</v>
      </c>
      <c r="O170" s="14">
        <f t="shared" si="32"/>
        <v>0</v>
      </c>
    </row>
    <row r="171" spans="3:15" s="327" customFormat="1" x14ac:dyDescent="0.2">
      <c r="D171" s="659" t="str">
        <f>"Total "&amp;C167</f>
        <v>Total Additional Capital Goods (USD)</v>
      </c>
      <c r="H171" s="680" t="s">
        <v>150</v>
      </c>
      <c r="J171" s="457">
        <f t="shared" ref="J171:O171" si="33">SUM(J169:J170)</f>
        <v>0</v>
      </c>
      <c r="K171" s="457">
        <f t="shared" si="33"/>
        <v>0</v>
      </c>
      <c r="L171" s="457">
        <f t="shared" si="33"/>
        <v>0</v>
      </c>
      <c r="M171" s="457">
        <f t="shared" si="33"/>
        <v>0</v>
      </c>
      <c r="N171" s="457">
        <f t="shared" si="33"/>
        <v>0</v>
      </c>
      <c r="O171" s="457">
        <f t="shared" si="33"/>
        <v>0</v>
      </c>
    </row>
    <row r="172" spans="3:15" s="327" customFormat="1" x14ac:dyDescent="0.2"/>
    <row r="173" spans="3:15" s="327" customFormat="1" x14ac:dyDescent="0.2">
      <c r="C173" s="716" t="str">
        <f>"Go to "&amp;HL_Oth_Ass</f>
        <v>Go to Other Costs Recurrent and Capital Goods - Assumptions</v>
      </c>
      <c r="D173" s="716"/>
      <c r="E173" s="716"/>
      <c r="F173" s="716"/>
      <c r="G173" s="716"/>
      <c r="H173" s="716"/>
      <c r="I173" s="716"/>
    </row>
    <row r="174" spans="3:15" s="327" customFormat="1" x14ac:dyDescent="0.2">
      <c r="C174" s="716" t="str">
        <f>"Go to "&amp;HL_Oth_Out</f>
        <v>Go to Other Costs - Outputs</v>
      </c>
      <c r="D174" s="716"/>
      <c r="E174" s="716"/>
      <c r="F174" s="716"/>
      <c r="G174" s="716"/>
      <c r="H174" s="716"/>
      <c r="I174" s="716"/>
    </row>
    <row r="175" spans="3:15" s="327" customFormat="1" x14ac:dyDescent="0.2"/>
    <row r="176" spans="3:15" s="327" customFormat="1" x14ac:dyDescent="0.2"/>
    <row r="177" spans="2:15" s="327" customFormat="1" ht="18.75" hidden="1" x14ac:dyDescent="0.2">
      <c r="B177" s="426" t="s">
        <v>96</v>
      </c>
    </row>
    <row r="178" spans="2:15" s="327" customFormat="1" hidden="1" x14ac:dyDescent="0.2"/>
    <row r="179" spans="2:15" s="327" customFormat="1" ht="15.75" hidden="1" x14ac:dyDescent="0.2">
      <c r="C179" s="18" t="str">
        <f>Oth_Ann_TA!C107</f>
        <v>Social Mobilization</v>
      </c>
    </row>
    <row r="180" spans="2:15" s="327" customFormat="1" hidden="1" x14ac:dyDescent="0.2"/>
    <row r="181" spans="2:15" s="327" customFormat="1" ht="15" hidden="1" x14ac:dyDescent="0.2">
      <c r="D181" s="658" t="s">
        <v>85</v>
      </c>
    </row>
    <row r="182" spans="2:15" s="327" customFormat="1" hidden="1" x14ac:dyDescent="0.2">
      <c r="D182" s="660" t="str">
        <f>Oth_Ann_TA!D$124</f>
        <v>Fixed Facility Patient Recruitment</v>
      </c>
      <c r="J182" s="5" t="e">
        <f>#REF!*INDEX(#REF!,#REF!)</f>
        <v>#REF!</v>
      </c>
      <c r="K182" s="5" t="e">
        <f>#REF!*INDEX(#REF!,#REF!)</f>
        <v>#REF!</v>
      </c>
      <c r="L182" s="5" t="e">
        <f>#REF!*INDEX(#REF!,#REF!)</f>
        <v>#REF!</v>
      </c>
      <c r="M182" s="5" t="e">
        <f>#REF!*INDEX(#REF!,#REF!)</f>
        <v>#REF!</v>
      </c>
      <c r="N182" s="5" t="e">
        <f>#REF!*INDEX(#REF!,#REF!)</f>
        <v>#REF!</v>
      </c>
      <c r="O182" s="5" t="e">
        <f>#REF!*INDEX(#REF!,#REF!)</f>
        <v>#REF!</v>
      </c>
    </row>
    <row r="183" spans="2:15" s="327" customFormat="1" hidden="1" x14ac:dyDescent="0.2">
      <c r="D183" s="660" t="str">
        <f>Oth_Ann_TA!D$124</f>
        <v>Fixed Facility Patient Recruitment</v>
      </c>
      <c r="J183" s="5" t="e">
        <f>#REF!*INDEX(#REF!,#REF!)</f>
        <v>#REF!</v>
      </c>
      <c r="K183" s="5" t="e">
        <f>#REF!*INDEX(#REF!,#REF!)</f>
        <v>#REF!</v>
      </c>
      <c r="L183" s="5" t="e">
        <f>#REF!*INDEX(#REF!,#REF!)</f>
        <v>#REF!</v>
      </c>
      <c r="M183" s="5" t="e">
        <f>#REF!*INDEX(#REF!,#REF!)</f>
        <v>#REF!</v>
      </c>
      <c r="N183" s="5" t="e">
        <f>#REF!*INDEX(#REF!,#REF!)</f>
        <v>#REF!</v>
      </c>
      <c r="O183" s="5" t="e">
        <f>#REF!*INDEX(#REF!,#REF!)</f>
        <v>#REF!</v>
      </c>
    </row>
    <row r="184" spans="2:15" s="327" customFormat="1" hidden="1" x14ac:dyDescent="0.2">
      <c r="D184" s="660" t="str">
        <f>Oth_Ann_TA!D$124</f>
        <v>Fixed Facility Patient Recruitment</v>
      </c>
      <c r="J184" s="5" t="e">
        <f>#REF!*INDEX(#REF!,#REF!)</f>
        <v>#REF!</v>
      </c>
      <c r="K184" s="5" t="e">
        <f>#REF!*INDEX(#REF!,#REF!)</f>
        <v>#REF!</v>
      </c>
      <c r="L184" s="5" t="e">
        <f>#REF!*INDEX(#REF!,#REF!)</f>
        <v>#REF!</v>
      </c>
      <c r="M184" s="5" t="e">
        <f>#REF!*INDEX(#REF!,#REF!)</f>
        <v>#REF!</v>
      </c>
      <c r="N184" s="5" t="e">
        <f>#REF!*INDEX(#REF!,#REF!)</f>
        <v>#REF!</v>
      </c>
      <c r="O184" s="5" t="e">
        <f>#REF!*INDEX(#REF!,#REF!)</f>
        <v>#REF!</v>
      </c>
    </row>
    <row r="185" spans="2:15" s="327" customFormat="1" hidden="1" x14ac:dyDescent="0.2">
      <c r="D185" s="660" t="str">
        <f>Oth_Ann_TA!D$124</f>
        <v>Fixed Facility Patient Recruitment</v>
      </c>
      <c r="J185" s="5" t="e">
        <f>#REF!*INDEX(#REF!,#REF!)</f>
        <v>#REF!</v>
      </c>
      <c r="K185" s="5" t="e">
        <f>#REF!*INDEX(#REF!,#REF!)</f>
        <v>#REF!</v>
      </c>
      <c r="L185" s="5" t="e">
        <f>#REF!*INDEX(#REF!,#REF!)</f>
        <v>#REF!</v>
      </c>
      <c r="M185" s="5" t="e">
        <f>#REF!*INDEX(#REF!,#REF!)</f>
        <v>#REF!</v>
      </c>
      <c r="N185" s="5" t="e">
        <f>#REF!*INDEX(#REF!,#REF!)</f>
        <v>#REF!</v>
      </c>
      <c r="O185" s="5" t="e">
        <f>#REF!*INDEX(#REF!,#REF!)</f>
        <v>#REF!</v>
      </c>
    </row>
    <row r="186" spans="2:15" s="327" customFormat="1" hidden="1" x14ac:dyDescent="0.2">
      <c r="D186" s="660" t="str">
        <f>Oth_Ann_TA!D$124</f>
        <v>Fixed Facility Patient Recruitment</v>
      </c>
      <c r="J186" s="5" t="e">
        <f>#REF!*INDEX(#REF!,#REF!)</f>
        <v>#REF!</v>
      </c>
      <c r="K186" s="5" t="e">
        <f>#REF!*INDEX(#REF!,#REF!)</f>
        <v>#REF!</v>
      </c>
      <c r="L186" s="5" t="e">
        <f>#REF!*INDEX(#REF!,#REF!)</f>
        <v>#REF!</v>
      </c>
      <c r="M186" s="5" t="e">
        <f>#REF!*INDEX(#REF!,#REF!)</f>
        <v>#REF!</v>
      </c>
      <c r="N186" s="5" t="e">
        <f>#REF!*INDEX(#REF!,#REF!)</f>
        <v>#REF!</v>
      </c>
      <c r="O186" s="5" t="e">
        <f>#REF!*INDEX(#REF!,#REF!)</f>
        <v>#REF!</v>
      </c>
    </row>
    <row r="187" spans="2:15" s="327" customFormat="1" hidden="1" x14ac:dyDescent="0.2">
      <c r="D187" s="660" t="str">
        <f>Oth_Ann_TA!D$124</f>
        <v>Fixed Facility Patient Recruitment</v>
      </c>
      <c r="J187" s="5" t="e">
        <f>#REF!*INDEX(#REF!,#REF!)</f>
        <v>#REF!</v>
      </c>
      <c r="K187" s="5" t="e">
        <f>#REF!*INDEX(#REF!,#REF!)</f>
        <v>#REF!</v>
      </c>
      <c r="L187" s="5" t="e">
        <f>#REF!*INDEX(#REF!,#REF!)</f>
        <v>#REF!</v>
      </c>
      <c r="M187" s="5" t="e">
        <f>#REF!*INDEX(#REF!,#REF!)</f>
        <v>#REF!</v>
      </c>
      <c r="N187" s="5" t="e">
        <f>#REF!*INDEX(#REF!,#REF!)</f>
        <v>#REF!</v>
      </c>
      <c r="O187" s="5" t="e">
        <f>#REF!*INDEX(#REF!,#REF!)</f>
        <v>#REF!</v>
      </c>
    </row>
    <row r="188" spans="2:15" s="327" customFormat="1" hidden="1" x14ac:dyDescent="0.2">
      <c r="D188" s="660" t="str">
        <f>Oth_Ann_TA!D$124</f>
        <v>Fixed Facility Patient Recruitment</v>
      </c>
      <c r="J188" s="5" t="e">
        <f>#REF!*INDEX(#REF!,#REF!)</f>
        <v>#REF!</v>
      </c>
      <c r="K188" s="5" t="e">
        <f>#REF!*INDEX(#REF!,#REF!)</f>
        <v>#REF!</v>
      </c>
      <c r="L188" s="5" t="e">
        <f>#REF!*INDEX(#REF!,#REF!)</f>
        <v>#REF!</v>
      </c>
      <c r="M188" s="5" t="e">
        <f>#REF!*INDEX(#REF!,#REF!)</f>
        <v>#REF!</v>
      </c>
      <c r="N188" s="5" t="e">
        <f>#REF!*INDEX(#REF!,#REF!)</f>
        <v>#REF!</v>
      </c>
      <c r="O188" s="5" t="e">
        <f>#REF!*INDEX(#REF!,#REF!)</f>
        <v>#REF!</v>
      </c>
    </row>
    <row r="189" spans="2:15" s="327" customFormat="1" hidden="1" x14ac:dyDescent="0.2"/>
    <row r="190" spans="2:15" s="327" customFormat="1" ht="15" hidden="1" x14ac:dyDescent="0.2">
      <c r="D190" s="679" t="str">
        <f>"Financial Cost ("&amp;INDEX(LU_Comm_Denom,DD_TS_Denom)&amp;")"</f>
        <v>Financial Cost (USD)</v>
      </c>
    </row>
    <row r="191" spans="2:15" s="327" customFormat="1" hidden="1" x14ac:dyDescent="0.2">
      <c r="D191" s="660" t="e">
        <f>#REF!</f>
        <v>#REF!</v>
      </c>
      <c r="J191" s="8" t="e">
        <f>J182*#REF!/TS_Denom_Conv_Fact</f>
        <v>#REF!</v>
      </c>
      <c r="K191" s="8" t="e">
        <f>K182*#REF!/TS_Denom_Conv_Fact</f>
        <v>#REF!</v>
      </c>
      <c r="L191" s="8" t="e">
        <f>L182*#REF!/TS_Denom_Conv_Fact</f>
        <v>#REF!</v>
      </c>
      <c r="M191" s="8" t="e">
        <f>M182*#REF!/TS_Denom_Conv_Fact</f>
        <v>#REF!</v>
      </c>
      <c r="N191" s="8" t="e">
        <f>N182*#REF!/TS_Denom_Conv_Fact</f>
        <v>#REF!</v>
      </c>
      <c r="O191" s="8" t="e">
        <f>O182*#REF!/TS_Denom_Conv_Fact</f>
        <v>#REF!</v>
      </c>
    </row>
    <row r="192" spans="2:15" s="327" customFormat="1" hidden="1" x14ac:dyDescent="0.2">
      <c r="D192" s="660" t="e">
        <f>#REF!</f>
        <v>#REF!</v>
      </c>
      <c r="J192" s="8" t="e">
        <f>J183*#REF!/TS_Denom_Conv_Fact</f>
        <v>#REF!</v>
      </c>
      <c r="K192" s="8" t="e">
        <f>K183*#REF!/TS_Denom_Conv_Fact</f>
        <v>#REF!</v>
      </c>
      <c r="L192" s="8" t="e">
        <f>L183*#REF!/TS_Denom_Conv_Fact</f>
        <v>#REF!</v>
      </c>
      <c r="M192" s="8" t="e">
        <f>M183*#REF!/TS_Denom_Conv_Fact</f>
        <v>#REF!</v>
      </c>
      <c r="N192" s="8" t="e">
        <f>N183*#REF!/TS_Denom_Conv_Fact</f>
        <v>#REF!</v>
      </c>
      <c r="O192" s="8" t="e">
        <f>O183*#REF!/TS_Denom_Conv_Fact</f>
        <v>#REF!</v>
      </c>
    </row>
    <row r="193" spans="4:15" s="327" customFormat="1" hidden="1" x14ac:dyDescent="0.2">
      <c r="D193" s="660" t="e">
        <f>#REF!</f>
        <v>#REF!</v>
      </c>
      <c r="J193" s="8" t="e">
        <f>J184*#REF!/TS_Denom_Conv_Fact</f>
        <v>#REF!</v>
      </c>
      <c r="K193" s="8" t="e">
        <f>K184*#REF!/TS_Denom_Conv_Fact</f>
        <v>#REF!</v>
      </c>
      <c r="L193" s="8" t="e">
        <f>L184*#REF!/TS_Denom_Conv_Fact</f>
        <v>#REF!</v>
      </c>
      <c r="M193" s="8" t="e">
        <f>M184*#REF!/TS_Denom_Conv_Fact</f>
        <v>#REF!</v>
      </c>
      <c r="N193" s="8" t="e">
        <f>N184*#REF!/TS_Denom_Conv_Fact</f>
        <v>#REF!</v>
      </c>
      <c r="O193" s="8" t="e">
        <f>O184*#REF!/TS_Denom_Conv_Fact</f>
        <v>#REF!</v>
      </c>
    </row>
    <row r="194" spans="4:15" s="327" customFormat="1" hidden="1" x14ac:dyDescent="0.2">
      <c r="D194" s="660" t="e">
        <f>#REF!</f>
        <v>#REF!</v>
      </c>
      <c r="J194" s="8" t="e">
        <f>J185*#REF!/TS_Denom_Conv_Fact</f>
        <v>#REF!</v>
      </c>
      <c r="K194" s="8" t="e">
        <f>K185*#REF!/TS_Denom_Conv_Fact</f>
        <v>#REF!</v>
      </c>
      <c r="L194" s="8" t="e">
        <f>L185*#REF!/TS_Denom_Conv_Fact</f>
        <v>#REF!</v>
      </c>
      <c r="M194" s="8" t="e">
        <f>M185*#REF!/TS_Denom_Conv_Fact</f>
        <v>#REF!</v>
      </c>
      <c r="N194" s="8" t="e">
        <f>N185*#REF!/TS_Denom_Conv_Fact</f>
        <v>#REF!</v>
      </c>
      <c r="O194" s="8" t="e">
        <f>O185*#REF!/TS_Denom_Conv_Fact</f>
        <v>#REF!</v>
      </c>
    </row>
    <row r="195" spans="4:15" s="327" customFormat="1" hidden="1" x14ac:dyDescent="0.2">
      <c r="D195" s="660" t="e">
        <f>#REF!</f>
        <v>#REF!</v>
      </c>
      <c r="J195" s="8" t="e">
        <f>J186*#REF!/TS_Denom_Conv_Fact</f>
        <v>#REF!</v>
      </c>
      <c r="K195" s="8" t="e">
        <f>K186*#REF!/TS_Denom_Conv_Fact</f>
        <v>#REF!</v>
      </c>
      <c r="L195" s="8" t="e">
        <f>L186*#REF!/TS_Denom_Conv_Fact</f>
        <v>#REF!</v>
      </c>
      <c r="M195" s="8" t="e">
        <f>M186*#REF!/TS_Denom_Conv_Fact</f>
        <v>#REF!</v>
      </c>
      <c r="N195" s="8" t="e">
        <f>N186*#REF!/TS_Denom_Conv_Fact</f>
        <v>#REF!</v>
      </c>
      <c r="O195" s="8" t="e">
        <f>O186*#REF!/TS_Denom_Conv_Fact</f>
        <v>#REF!</v>
      </c>
    </row>
    <row r="196" spans="4:15" s="327" customFormat="1" hidden="1" x14ac:dyDescent="0.2">
      <c r="D196" s="660" t="e">
        <f>#REF!</f>
        <v>#REF!</v>
      </c>
      <c r="J196" s="8" t="e">
        <f>J187*#REF!/TS_Denom_Conv_Fact</f>
        <v>#REF!</v>
      </c>
      <c r="K196" s="8" t="e">
        <f>K187*#REF!/TS_Denom_Conv_Fact</f>
        <v>#REF!</v>
      </c>
      <c r="L196" s="8" t="e">
        <f>L187*#REF!/TS_Denom_Conv_Fact</f>
        <v>#REF!</v>
      </c>
      <c r="M196" s="8" t="e">
        <f>M187*#REF!/TS_Denom_Conv_Fact</f>
        <v>#REF!</v>
      </c>
      <c r="N196" s="8" t="e">
        <f>N187*#REF!/TS_Denom_Conv_Fact</f>
        <v>#REF!</v>
      </c>
      <c r="O196" s="8" t="e">
        <f>O187*#REF!/TS_Denom_Conv_Fact</f>
        <v>#REF!</v>
      </c>
    </row>
    <row r="197" spans="4:15" s="327" customFormat="1" hidden="1" x14ac:dyDescent="0.2">
      <c r="D197" s="660" t="e">
        <f>#REF!</f>
        <v>#REF!</v>
      </c>
      <c r="J197" s="9" t="e">
        <f>J188*#REF!/TS_Denom_Conv_Fact</f>
        <v>#REF!</v>
      </c>
      <c r="K197" s="9" t="e">
        <f>K188*#REF!/TS_Denom_Conv_Fact</f>
        <v>#REF!</v>
      </c>
      <c r="L197" s="9" t="e">
        <f>L188*#REF!/TS_Denom_Conv_Fact</f>
        <v>#REF!</v>
      </c>
      <c r="M197" s="9" t="e">
        <f>M188*#REF!/TS_Denom_Conv_Fact</f>
        <v>#REF!</v>
      </c>
      <c r="N197" s="9" t="e">
        <f>N188*#REF!/TS_Denom_Conv_Fact</f>
        <v>#REF!</v>
      </c>
      <c r="O197" s="9" t="e">
        <f>O188*#REF!/TS_Denom_Conv_Fact</f>
        <v>#REF!</v>
      </c>
    </row>
    <row r="198" spans="4:15" s="327" customFormat="1" hidden="1" x14ac:dyDescent="0.2">
      <c r="D198" s="659" t="str">
        <f>"Total "&amp;D190</f>
        <v>Total Financial Cost (USD)</v>
      </c>
      <c r="J198" s="25" t="e">
        <f t="shared" ref="J198:O198" si="34">SUM(J191:J197)</f>
        <v>#REF!</v>
      </c>
      <c r="K198" s="25" t="e">
        <f t="shared" si="34"/>
        <v>#REF!</v>
      </c>
      <c r="L198" s="25" t="e">
        <f t="shared" si="34"/>
        <v>#REF!</v>
      </c>
      <c r="M198" s="25" t="e">
        <f t="shared" si="34"/>
        <v>#REF!</v>
      </c>
      <c r="N198" s="25" t="e">
        <f t="shared" si="34"/>
        <v>#REF!</v>
      </c>
      <c r="O198" s="25" t="e">
        <f t="shared" si="34"/>
        <v>#REF!</v>
      </c>
    </row>
    <row r="199" spans="4:15" s="327" customFormat="1" hidden="1" x14ac:dyDescent="0.2"/>
    <row r="200" spans="4:15" s="327" customFormat="1" ht="15" hidden="1" x14ac:dyDescent="0.2">
      <c r="D200" s="679" t="str">
        <f>"Economic Cost ("&amp;INDEX(LU_Comm_Denom,DD_TS_Denom)&amp;")"</f>
        <v>Economic Cost (USD)</v>
      </c>
    </row>
    <row r="201" spans="4:15" s="327" customFormat="1" hidden="1" x14ac:dyDescent="0.2">
      <c r="D201" s="660" t="e">
        <f>#REF!</f>
        <v>#REF!</v>
      </c>
      <c r="J201" s="8" t="e">
        <f>J182*#REF!/TS_Denom_Conv_Fact</f>
        <v>#REF!</v>
      </c>
      <c r="K201" s="8" t="e">
        <f>K182*#REF!/TS_Denom_Conv_Fact</f>
        <v>#REF!</v>
      </c>
      <c r="L201" s="8" t="e">
        <f>L182*#REF!/TS_Denom_Conv_Fact</f>
        <v>#REF!</v>
      </c>
      <c r="M201" s="8" t="e">
        <f>M182*#REF!/TS_Denom_Conv_Fact</f>
        <v>#REF!</v>
      </c>
      <c r="N201" s="8" t="e">
        <f>N182*#REF!/TS_Denom_Conv_Fact</f>
        <v>#REF!</v>
      </c>
      <c r="O201" s="8" t="e">
        <f>O182*#REF!/TS_Denom_Conv_Fact</f>
        <v>#REF!</v>
      </c>
    </row>
    <row r="202" spans="4:15" s="327" customFormat="1" hidden="1" x14ac:dyDescent="0.2">
      <c r="D202" s="660" t="e">
        <f>#REF!</f>
        <v>#REF!</v>
      </c>
      <c r="J202" s="8" t="e">
        <f>J183*#REF!/TS_Denom_Conv_Fact</f>
        <v>#REF!</v>
      </c>
      <c r="K202" s="8" t="e">
        <f>K183*#REF!/TS_Denom_Conv_Fact</f>
        <v>#REF!</v>
      </c>
      <c r="L202" s="8" t="e">
        <f>L183*#REF!/TS_Denom_Conv_Fact</f>
        <v>#REF!</v>
      </c>
      <c r="M202" s="8" t="e">
        <f>M183*#REF!/TS_Denom_Conv_Fact</f>
        <v>#REF!</v>
      </c>
      <c r="N202" s="8" t="e">
        <f>N183*#REF!/TS_Denom_Conv_Fact</f>
        <v>#REF!</v>
      </c>
      <c r="O202" s="8" t="e">
        <f>O183*#REF!/TS_Denom_Conv_Fact</f>
        <v>#REF!</v>
      </c>
    </row>
    <row r="203" spans="4:15" s="327" customFormat="1" hidden="1" x14ac:dyDescent="0.2">
      <c r="D203" s="660" t="e">
        <f>#REF!</f>
        <v>#REF!</v>
      </c>
      <c r="J203" s="8" t="e">
        <f>J184*#REF!/TS_Denom_Conv_Fact</f>
        <v>#REF!</v>
      </c>
      <c r="K203" s="8" t="e">
        <f>K184*#REF!/TS_Denom_Conv_Fact</f>
        <v>#REF!</v>
      </c>
      <c r="L203" s="8" t="e">
        <f>L184*#REF!/TS_Denom_Conv_Fact</f>
        <v>#REF!</v>
      </c>
      <c r="M203" s="8" t="e">
        <f>M184*#REF!/TS_Denom_Conv_Fact</f>
        <v>#REF!</v>
      </c>
      <c r="N203" s="8" t="e">
        <f>N184*#REF!/TS_Denom_Conv_Fact</f>
        <v>#REF!</v>
      </c>
      <c r="O203" s="8" t="e">
        <f>O184*#REF!/TS_Denom_Conv_Fact</f>
        <v>#REF!</v>
      </c>
    </row>
    <row r="204" spans="4:15" s="327" customFormat="1" hidden="1" x14ac:dyDescent="0.2">
      <c r="D204" s="660" t="e">
        <f>#REF!</f>
        <v>#REF!</v>
      </c>
      <c r="J204" s="8" t="e">
        <f>J185*#REF!/TS_Denom_Conv_Fact</f>
        <v>#REF!</v>
      </c>
      <c r="K204" s="8" t="e">
        <f>K185*#REF!/TS_Denom_Conv_Fact</f>
        <v>#REF!</v>
      </c>
      <c r="L204" s="8" t="e">
        <f>L185*#REF!/TS_Denom_Conv_Fact</f>
        <v>#REF!</v>
      </c>
      <c r="M204" s="8" t="e">
        <f>M185*#REF!/TS_Denom_Conv_Fact</f>
        <v>#REF!</v>
      </c>
      <c r="N204" s="8" t="e">
        <f>N185*#REF!/TS_Denom_Conv_Fact</f>
        <v>#REF!</v>
      </c>
      <c r="O204" s="8" t="e">
        <f>O185*#REF!/TS_Denom_Conv_Fact</f>
        <v>#REF!</v>
      </c>
    </row>
    <row r="205" spans="4:15" s="327" customFormat="1" hidden="1" x14ac:dyDescent="0.2">
      <c r="D205" s="660" t="e">
        <f>#REF!</f>
        <v>#REF!</v>
      </c>
      <c r="J205" s="8" t="e">
        <f>J186*#REF!/TS_Denom_Conv_Fact</f>
        <v>#REF!</v>
      </c>
      <c r="K205" s="8" t="e">
        <f>K186*#REF!/TS_Denom_Conv_Fact</f>
        <v>#REF!</v>
      </c>
      <c r="L205" s="8" t="e">
        <f>L186*#REF!/TS_Denom_Conv_Fact</f>
        <v>#REF!</v>
      </c>
      <c r="M205" s="8" t="e">
        <f>M186*#REF!/TS_Denom_Conv_Fact</f>
        <v>#REF!</v>
      </c>
      <c r="N205" s="8" t="e">
        <f>N186*#REF!/TS_Denom_Conv_Fact</f>
        <v>#REF!</v>
      </c>
      <c r="O205" s="8" t="e">
        <f>O186*#REF!/TS_Denom_Conv_Fact</f>
        <v>#REF!</v>
      </c>
    </row>
    <row r="206" spans="4:15" s="327" customFormat="1" hidden="1" x14ac:dyDescent="0.2">
      <c r="D206" s="660" t="e">
        <f>#REF!</f>
        <v>#REF!</v>
      </c>
      <c r="J206" s="8" t="e">
        <f>J187*#REF!/TS_Denom_Conv_Fact</f>
        <v>#REF!</v>
      </c>
      <c r="K206" s="8" t="e">
        <f>K187*#REF!/TS_Denom_Conv_Fact</f>
        <v>#REF!</v>
      </c>
      <c r="L206" s="8" t="e">
        <f>L187*#REF!/TS_Denom_Conv_Fact</f>
        <v>#REF!</v>
      </c>
      <c r="M206" s="8" t="e">
        <f>M187*#REF!/TS_Denom_Conv_Fact</f>
        <v>#REF!</v>
      </c>
      <c r="N206" s="8" t="e">
        <f>N187*#REF!/TS_Denom_Conv_Fact</f>
        <v>#REF!</v>
      </c>
      <c r="O206" s="8" t="e">
        <f>O187*#REF!/TS_Denom_Conv_Fact</f>
        <v>#REF!</v>
      </c>
    </row>
    <row r="207" spans="4:15" s="327" customFormat="1" hidden="1" x14ac:dyDescent="0.2">
      <c r="D207" s="660" t="e">
        <f>#REF!</f>
        <v>#REF!</v>
      </c>
      <c r="J207" s="9" t="e">
        <f>J188*#REF!/TS_Denom_Conv_Fact</f>
        <v>#REF!</v>
      </c>
      <c r="K207" s="9" t="e">
        <f>K188*#REF!/TS_Denom_Conv_Fact</f>
        <v>#REF!</v>
      </c>
      <c r="L207" s="9" t="e">
        <f>L188*#REF!/TS_Denom_Conv_Fact</f>
        <v>#REF!</v>
      </c>
      <c r="M207" s="9" t="e">
        <f>M188*#REF!/TS_Denom_Conv_Fact</f>
        <v>#REF!</v>
      </c>
      <c r="N207" s="9" t="e">
        <f>N188*#REF!/TS_Denom_Conv_Fact</f>
        <v>#REF!</v>
      </c>
      <c r="O207" s="9" t="e">
        <f>O188*#REF!/TS_Denom_Conv_Fact</f>
        <v>#REF!</v>
      </c>
    </row>
    <row r="208" spans="4:15" s="327" customFormat="1" hidden="1" x14ac:dyDescent="0.2">
      <c r="D208" s="659" t="str">
        <f>"Total "&amp;D200</f>
        <v>Total Economic Cost (USD)</v>
      </c>
      <c r="J208" s="25" t="e">
        <f t="shared" ref="J208:O208" si="35">SUM(J201:J207)</f>
        <v>#REF!</v>
      </c>
      <c r="K208" s="25" t="e">
        <f t="shared" si="35"/>
        <v>#REF!</v>
      </c>
      <c r="L208" s="25" t="e">
        <f t="shared" si="35"/>
        <v>#REF!</v>
      </c>
      <c r="M208" s="25" t="e">
        <f t="shared" si="35"/>
        <v>#REF!</v>
      </c>
      <c r="N208" s="25" t="e">
        <f t="shared" si="35"/>
        <v>#REF!</v>
      </c>
      <c r="O208" s="25" t="e">
        <f t="shared" si="35"/>
        <v>#REF!</v>
      </c>
    </row>
    <row r="209" spans="3:15" s="327" customFormat="1" hidden="1" x14ac:dyDescent="0.2"/>
    <row r="210" spans="3:15" s="327" customFormat="1" ht="15.75" hidden="1" x14ac:dyDescent="0.2">
      <c r="C210" s="26" t="str">
        <f>"Initial "&amp;Oth_Ann_TA!C141</f>
        <v>Initial Communication Support</v>
      </c>
    </row>
    <row r="211" spans="3:15" s="327" customFormat="1" hidden="1" x14ac:dyDescent="0.2"/>
    <row r="212" spans="3:15" s="327" customFormat="1" ht="15" hidden="1" x14ac:dyDescent="0.2">
      <c r="D212" s="658" t="s">
        <v>85</v>
      </c>
    </row>
    <row r="213" spans="3:15" s="327" customFormat="1" hidden="1" x14ac:dyDescent="0.2">
      <c r="D213" s="660" t="e">
        <f>#REF!</f>
        <v>#REF!</v>
      </c>
      <c r="J213" s="5" t="e">
        <f>INDEX(#REF!,#REF!)</f>
        <v>#REF!</v>
      </c>
      <c r="K213" s="5" t="e">
        <f>INDEX(#REF!,#REF!)</f>
        <v>#REF!</v>
      </c>
      <c r="L213" s="5" t="e">
        <f>INDEX(#REF!,#REF!)</f>
        <v>#REF!</v>
      </c>
      <c r="M213" s="5" t="e">
        <f>INDEX(#REF!,#REF!)</f>
        <v>#REF!</v>
      </c>
      <c r="N213" s="5" t="e">
        <f>INDEX(#REF!,#REF!)</f>
        <v>#REF!</v>
      </c>
      <c r="O213" s="5" t="e">
        <f>INDEX(#REF!,#REF!)</f>
        <v>#REF!</v>
      </c>
    </row>
    <row r="214" spans="3:15" s="327" customFormat="1" hidden="1" x14ac:dyDescent="0.2">
      <c r="D214" s="660" t="e">
        <f>#REF!</f>
        <v>#REF!</v>
      </c>
      <c r="J214" s="5" t="e">
        <f>INDEX(#REF!,#REF!)</f>
        <v>#REF!</v>
      </c>
      <c r="K214" s="5" t="e">
        <f>INDEX(#REF!,#REF!)</f>
        <v>#REF!</v>
      </c>
      <c r="L214" s="5" t="e">
        <f>INDEX(#REF!,#REF!)</f>
        <v>#REF!</v>
      </c>
      <c r="M214" s="5" t="e">
        <f>INDEX(#REF!,#REF!)</f>
        <v>#REF!</v>
      </c>
      <c r="N214" s="5" t="e">
        <f>INDEX(#REF!,#REF!)</f>
        <v>#REF!</v>
      </c>
      <c r="O214" s="5" t="e">
        <f>INDEX(#REF!,#REF!)</f>
        <v>#REF!</v>
      </c>
    </row>
    <row r="215" spans="3:15" s="327" customFormat="1" hidden="1" x14ac:dyDescent="0.2">
      <c r="D215" s="660" t="e">
        <f>#REF!</f>
        <v>#REF!</v>
      </c>
      <c r="J215" s="5" t="e">
        <f>INDEX(#REF!,#REF!)</f>
        <v>#REF!</v>
      </c>
      <c r="K215" s="5" t="e">
        <f>INDEX(#REF!,#REF!)</f>
        <v>#REF!</v>
      </c>
      <c r="L215" s="5" t="e">
        <f>INDEX(#REF!,#REF!)</f>
        <v>#REF!</v>
      </c>
      <c r="M215" s="5" t="e">
        <f>INDEX(#REF!,#REF!)</f>
        <v>#REF!</v>
      </c>
      <c r="N215" s="5" t="e">
        <f>INDEX(#REF!,#REF!)</f>
        <v>#REF!</v>
      </c>
      <c r="O215" s="5" t="e">
        <f>INDEX(#REF!,#REF!)</f>
        <v>#REF!</v>
      </c>
    </row>
    <row r="216" spans="3:15" s="327" customFormat="1" hidden="1" x14ac:dyDescent="0.2">
      <c r="D216" s="660" t="e">
        <f>#REF!</f>
        <v>#REF!</v>
      </c>
      <c r="J216" s="5" t="e">
        <f>INDEX(#REF!,#REF!)</f>
        <v>#REF!</v>
      </c>
      <c r="K216" s="5" t="e">
        <f>INDEX(#REF!,#REF!)</f>
        <v>#REF!</v>
      </c>
      <c r="L216" s="5" t="e">
        <f>INDEX(#REF!,#REF!)</f>
        <v>#REF!</v>
      </c>
      <c r="M216" s="5" t="e">
        <f>INDEX(#REF!,#REF!)</f>
        <v>#REF!</v>
      </c>
      <c r="N216" s="5" t="e">
        <f>INDEX(#REF!,#REF!)</f>
        <v>#REF!</v>
      </c>
      <c r="O216" s="5" t="e">
        <f>INDEX(#REF!,#REF!)</f>
        <v>#REF!</v>
      </c>
    </row>
    <row r="217" spans="3:15" s="327" customFormat="1" hidden="1" x14ac:dyDescent="0.2"/>
    <row r="218" spans="3:15" s="327" customFormat="1" ht="15" hidden="1" x14ac:dyDescent="0.2">
      <c r="D218" s="679" t="str">
        <f>"Financial Cost ("&amp;INDEX(LU_Comm_Denom,DD_TS_Denom)&amp;")"</f>
        <v>Financial Cost (USD)</v>
      </c>
    </row>
    <row r="219" spans="3:15" s="327" customFormat="1" hidden="1" x14ac:dyDescent="0.2">
      <c r="D219" s="660" t="e">
        <f>#REF!</f>
        <v>#REF!</v>
      </c>
      <c r="J219" s="8" t="e">
        <f>J213*#REF!/TS_Denom_Conv_Fact</f>
        <v>#REF!</v>
      </c>
      <c r="K219" s="8" t="e">
        <f>K213*#REF!/TS_Denom_Conv_Fact</f>
        <v>#REF!</v>
      </c>
      <c r="L219" s="8" t="e">
        <f>L213*#REF!/TS_Denom_Conv_Fact</f>
        <v>#REF!</v>
      </c>
      <c r="M219" s="8" t="e">
        <f>M213*#REF!/TS_Denom_Conv_Fact</f>
        <v>#REF!</v>
      </c>
      <c r="N219" s="8" t="e">
        <f>N213*#REF!/TS_Denom_Conv_Fact</f>
        <v>#REF!</v>
      </c>
      <c r="O219" s="8" t="e">
        <f>O213*#REF!/TS_Denom_Conv_Fact</f>
        <v>#REF!</v>
      </c>
    </row>
    <row r="220" spans="3:15" s="327" customFormat="1" hidden="1" x14ac:dyDescent="0.2">
      <c r="D220" s="660" t="e">
        <f>#REF!</f>
        <v>#REF!</v>
      </c>
      <c r="J220" s="8" t="e">
        <f>J214*#REF!/TS_Denom_Conv_Fact</f>
        <v>#REF!</v>
      </c>
      <c r="K220" s="8" t="e">
        <f>K214*#REF!/TS_Denom_Conv_Fact</f>
        <v>#REF!</v>
      </c>
      <c r="L220" s="8" t="e">
        <f>L214*#REF!/TS_Denom_Conv_Fact</f>
        <v>#REF!</v>
      </c>
      <c r="M220" s="8" t="e">
        <f>M214*#REF!/TS_Denom_Conv_Fact</f>
        <v>#REF!</v>
      </c>
      <c r="N220" s="8" t="e">
        <f>N214*#REF!/TS_Denom_Conv_Fact</f>
        <v>#REF!</v>
      </c>
      <c r="O220" s="8" t="e">
        <f>O214*#REF!/TS_Denom_Conv_Fact</f>
        <v>#REF!</v>
      </c>
    </row>
    <row r="221" spans="3:15" s="327" customFormat="1" hidden="1" x14ac:dyDescent="0.2">
      <c r="D221" s="660" t="e">
        <f>#REF!</f>
        <v>#REF!</v>
      </c>
      <c r="J221" s="8" t="e">
        <f>J215*#REF!/TS_Denom_Conv_Fact</f>
        <v>#REF!</v>
      </c>
      <c r="K221" s="8" t="e">
        <f>K215*#REF!/TS_Denom_Conv_Fact</f>
        <v>#REF!</v>
      </c>
      <c r="L221" s="8" t="e">
        <f>L215*#REF!/TS_Denom_Conv_Fact</f>
        <v>#REF!</v>
      </c>
      <c r="M221" s="8" t="e">
        <f>M215*#REF!/TS_Denom_Conv_Fact</f>
        <v>#REF!</v>
      </c>
      <c r="N221" s="8" t="e">
        <f>N215*#REF!/TS_Denom_Conv_Fact</f>
        <v>#REF!</v>
      </c>
      <c r="O221" s="8" t="e">
        <f>O215*#REF!/TS_Denom_Conv_Fact</f>
        <v>#REF!</v>
      </c>
    </row>
    <row r="222" spans="3:15" s="327" customFormat="1" hidden="1" x14ac:dyDescent="0.2">
      <c r="D222" s="660" t="e">
        <f>#REF!</f>
        <v>#REF!</v>
      </c>
      <c r="J222" s="9" t="e">
        <f>J216*#REF!/TS_Denom_Conv_Fact</f>
        <v>#REF!</v>
      </c>
      <c r="K222" s="9" t="e">
        <f>K216*#REF!/TS_Denom_Conv_Fact</f>
        <v>#REF!</v>
      </c>
      <c r="L222" s="9" t="e">
        <f>L216*#REF!/TS_Denom_Conv_Fact</f>
        <v>#REF!</v>
      </c>
      <c r="M222" s="9" t="e">
        <f>M216*#REF!/TS_Denom_Conv_Fact</f>
        <v>#REF!</v>
      </c>
      <c r="N222" s="9" t="e">
        <f>N216*#REF!/TS_Denom_Conv_Fact</f>
        <v>#REF!</v>
      </c>
      <c r="O222" s="9" t="e">
        <f>O216*#REF!/TS_Denom_Conv_Fact</f>
        <v>#REF!</v>
      </c>
    </row>
    <row r="223" spans="3:15" s="327" customFormat="1" hidden="1" x14ac:dyDescent="0.2">
      <c r="D223" s="659" t="str">
        <f>"Total "&amp;D218</f>
        <v>Total Financial Cost (USD)</v>
      </c>
      <c r="J223" s="25" t="e">
        <f t="shared" ref="J223:O223" si="36">SUM(J219:J222)</f>
        <v>#REF!</v>
      </c>
      <c r="K223" s="25" t="e">
        <f t="shared" si="36"/>
        <v>#REF!</v>
      </c>
      <c r="L223" s="25" t="e">
        <f t="shared" si="36"/>
        <v>#REF!</v>
      </c>
      <c r="M223" s="25" t="e">
        <f t="shared" si="36"/>
        <v>#REF!</v>
      </c>
      <c r="N223" s="25" t="e">
        <f t="shared" si="36"/>
        <v>#REF!</v>
      </c>
      <c r="O223" s="25" t="e">
        <f t="shared" si="36"/>
        <v>#REF!</v>
      </c>
    </row>
    <row r="224" spans="3:15" s="327" customFormat="1" hidden="1" x14ac:dyDescent="0.2"/>
    <row r="225" spans="3:15" s="327" customFormat="1" ht="15" hidden="1" x14ac:dyDescent="0.2">
      <c r="D225" s="679" t="str">
        <f>"Economic Cost ("&amp;INDEX(LU_Comm_Denom,DD_TS_Denom)&amp;")"</f>
        <v>Economic Cost (USD)</v>
      </c>
    </row>
    <row r="226" spans="3:15" s="327" customFormat="1" hidden="1" x14ac:dyDescent="0.2">
      <c r="D226" s="660" t="e">
        <f>#REF!</f>
        <v>#REF!</v>
      </c>
      <c r="J226" s="8" t="e">
        <f>J213*#REF!/TS_Denom_Conv_Fact</f>
        <v>#REF!</v>
      </c>
      <c r="K226" s="8" t="e">
        <f>K213*#REF!/TS_Denom_Conv_Fact</f>
        <v>#REF!</v>
      </c>
      <c r="L226" s="8" t="e">
        <f>L213*#REF!/TS_Denom_Conv_Fact</f>
        <v>#REF!</v>
      </c>
      <c r="M226" s="8" t="e">
        <f>M213*#REF!/TS_Denom_Conv_Fact</f>
        <v>#REF!</v>
      </c>
      <c r="N226" s="8" t="e">
        <f>N213*#REF!/TS_Denom_Conv_Fact</f>
        <v>#REF!</v>
      </c>
      <c r="O226" s="8" t="e">
        <f>O213*#REF!/TS_Denom_Conv_Fact</f>
        <v>#REF!</v>
      </c>
    </row>
    <row r="227" spans="3:15" s="327" customFormat="1" hidden="1" x14ac:dyDescent="0.2">
      <c r="D227" s="660" t="e">
        <f>#REF!</f>
        <v>#REF!</v>
      </c>
      <c r="J227" s="8" t="e">
        <f>J214*#REF!/TS_Denom_Conv_Fact</f>
        <v>#REF!</v>
      </c>
      <c r="K227" s="8" t="e">
        <f>K214*#REF!/TS_Denom_Conv_Fact</f>
        <v>#REF!</v>
      </c>
      <c r="L227" s="8" t="e">
        <f>L214*#REF!/TS_Denom_Conv_Fact</f>
        <v>#REF!</v>
      </c>
      <c r="M227" s="8" t="e">
        <f>M214*#REF!/TS_Denom_Conv_Fact</f>
        <v>#REF!</v>
      </c>
      <c r="N227" s="8" t="e">
        <f>N214*#REF!/TS_Denom_Conv_Fact</f>
        <v>#REF!</v>
      </c>
      <c r="O227" s="8" t="e">
        <f>O214*#REF!/TS_Denom_Conv_Fact</f>
        <v>#REF!</v>
      </c>
    </row>
    <row r="228" spans="3:15" s="327" customFormat="1" hidden="1" x14ac:dyDescent="0.2">
      <c r="D228" s="660" t="e">
        <f>#REF!</f>
        <v>#REF!</v>
      </c>
      <c r="J228" s="8" t="e">
        <f>J215*#REF!/TS_Denom_Conv_Fact</f>
        <v>#REF!</v>
      </c>
      <c r="K228" s="8" t="e">
        <f>K215*#REF!/TS_Denom_Conv_Fact</f>
        <v>#REF!</v>
      </c>
      <c r="L228" s="8" t="e">
        <f>L215*#REF!/TS_Denom_Conv_Fact</f>
        <v>#REF!</v>
      </c>
      <c r="M228" s="8" t="e">
        <f>M215*#REF!/TS_Denom_Conv_Fact</f>
        <v>#REF!</v>
      </c>
      <c r="N228" s="8" t="e">
        <f>N215*#REF!/TS_Denom_Conv_Fact</f>
        <v>#REF!</v>
      </c>
      <c r="O228" s="8" t="e">
        <f>O215*#REF!/TS_Denom_Conv_Fact</f>
        <v>#REF!</v>
      </c>
    </row>
    <row r="229" spans="3:15" s="327" customFormat="1" hidden="1" x14ac:dyDescent="0.2">
      <c r="D229" s="660" t="e">
        <f>#REF!</f>
        <v>#REF!</v>
      </c>
      <c r="J229" s="9" t="e">
        <f>J216*#REF!/TS_Denom_Conv_Fact</f>
        <v>#REF!</v>
      </c>
      <c r="K229" s="9" t="e">
        <f>K216*#REF!/TS_Denom_Conv_Fact</f>
        <v>#REF!</v>
      </c>
      <c r="L229" s="9" t="e">
        <f>L216*#REF!/TS_Denom_Conv_Fact</f>
        <v>#REF!</v>
      </c>
      <c r="M229" s="9" t="e">
        <f>M216*#REF!/TS_Denom_Conv_Fact</f>
        <v>#REF!</v>
      </c>
      <c r="N229" s="9" t="e">
        <f>N216*#REF!/TS_Denom_Conv_Fact</f>
        <v>#REF!</v>
      </c>
      <c r="O229" s="9" t="e">
        <f>O216*#REF!/TS_Denom_Conv_Fact</f>
        <v>#REF!</v>
      </c>
    </row>
    <row r="230" spans="3:15" s="327" customFormat="1" hidden="1" x14ac:dyDescent="0.2">
      <c r="D230" s="659" t="str">
        <f>"Total "&amp;D225</f>
        <v>Total Economic Cost (USD)</v>
      </c>
      <c r="J230" s="25" t="e">
        <f t="shared" ref="J230:O230" si="37">SUM(J226:J229)</f>
        <v>#REF!</v>
      </c>
      <c r="K230" s="25" t="e">
        <f t="shared" si="37"/>
        <v>#REF!</v>
      </c>
      <c r="L230" s="25" t="e">
        <f t="shared" si="37"/>
        <v>#REF!</v>
      </c>
      <c r="M230" s="25" t="e">
        <f t="shared" si="37"/>
        <v>#REF!</v>
      </c>
      <c r="N230" s="25" t="e">
        <f t="shared" si="37"/>
        <v>#REF!</v>
      </c>
      <c r="O230" s="25" t="e">
        <f t="shared" si="37"/>
        <v>#REF!</v>
      </c>
    </row>
    <row r="231" spans="3:15" s="327" customFormat="1" hidden="1" x14ac:dyDescent="0.2"/>
    <row r="232" spans="3:15" s="327" customFormat="1" ht="15.75" hidden="1" x14ac:dyDescent="0.2">
      <c r="C232" s="26" t="str">
        <f>"Continuing "&amp;Oth_Ann_TA!C141</f>
        <v>Continuing Communication Support</v>
      </c>
    </row>
    <row r="233" spans="3:15" s="327" customFormat="1" hidden="1" x14ac:dyDescent="0.2"/>
    <row r="234" spans="3:15" s="327" customFormat="1" ht="15" hidden="1" x14ac:dyDescent="0.2">
      <c r="D234" s="658" t="s">
        <v>855</v>
      </c>
    </row>
    <row r="235" spans="3:15" s="327" customFormat="1" hidden="1" x14ac:dyDescent="0.2">
      <c r="D235" s="660" t="e">
        <f>#REF!</f>
        <v>#REF!</v>
      </c>
      <c r="J235" s="5">
        <f>SUM($I213:I213)</f>
        <v>0</v>
      </c>
      <c r="K235" s="5" t="e">
        <f>SUM($I213:J213)</f>
        <v>#REF!</v>
      </c>
      <c r="L235" s="5" t="e">
        <f>SUM($I213:K213)</f>
        <v>#REF!</v>
      </c>
      <c r="M235" s="5" t="e">
        <f>SUM($I213:L213)</f>
        <v>#REF!</v>
      </c>
      <c r="N235" s="5" t="e">
        <f>SUM($I213:M213)</f>
        <v>#REF!</v>
      </c>
      <c r="O235" s="5" t="e">
        <f>SUM($I213:N213)</f>
        <v>#REF!</v>
      </c>
    </row>
    <row r="236" spans="3:15" s="327" customFormat="1" hidden="1" x14ac:dyDescent="0.2">
      <c r="D236" s="660" t="e">
        <f>#REF!</f>
        <v>#REF!</v>
      </c>
      <c r="J236" s="5">
        <f>SUM($I214:I214)</f>
        <v>0</v>
      </c>
      <c r="K236" s="5" t="e">
        <f>SUM($I214:J214)</f>
        <v>#REF!</v>
      </c>
      <c r="L236" s="5" t="e">
        <f>SUM($I214:K214)</f>
        <v>#REF!</v>
      </c>
      <c r="M236" s="5" t="e">
        <f>SUM($I214:L214)</f>
        <v>#REF!</v>
      </c>
      <c r="N236" s="5" t="e">
        <f>SUM($I214:M214)</f>
        <v>#REF!</v>
      </c>
      <c r="O236" s="5" t="e">
        <f>SUM($I214:N214)</f>
        <v>#REF!</v>
      </c>
    </row>
    <row r="237" spans="3:15" s="327" customFormat="1" hidden="1" x14ac:dyDescent="0.2">
      <c r="D237" s="660" t="e">
        <f>#REF!</f>
        <v>#REF!</v>
      </c>
      <c r="J237" s="5">
        <f>SUM($I215:I215)</f>
        <v>0</v>
      </c>
      <c r="K237" s="5" t="e">
        <f>SUM($I215:J215)</f>
        <v>#REF!</v>
      </c>
      <c r="L237" s="5" t="e">
        <f>SUM($I215:K215)</f>
        <v>#REF!</v>
      </c>
      <c r="M237" s="5" t="e">
        <f>SUM($I215:L215)</f>
        <v>#REF!</v>
      </c>
      <c r="N237" s="5" t="e">
        <f>SUM($I215:M215)</f>
        <v>#REF!</v>
      </c>
      <c r="O237" s="5" t="e">
        <f>SUM($I215:N215)</f>
        <v>#REF!</v>
      </c>
    </row>
    <row r="238" spans="3:15" s="327" customFormat="1" hidden="1" x14ac:dyDescent="0.2">
      <c r="D238" s="660" t="e">
        <f>#REF!</f>
        <v>#REF!</v>
      </c>
      <c r="J238" s="5">
        <f>SUM($I216:I216)</f>
        <v>0</v>
      </c>
      <c r="K238" s="5" t="e">
        <f>SUM($I216:J216)</f>
        <v>#REF!</v>
      </c>
      <c r="L238" s="5" t="e">
        <f>SUM($I216:K216)</f>
        <v>#REF!</v>
      </c>
      <c r="M238" s="5" t="e">
        <f>SUM($I216:L216)</f>
        <v>#REF!</v>
      </c>
      <c r="N238" s="5" t="e">
        <f>SUM($I216:M216)</f>
        <v>#REF!</v>
      </c>
      <c r="O238" s="5" t="e">
        <f>SUM($I216:N216)</f>
        <v>#REF!</v>
      </c>
    </row>
    <row r="239" spans="3:15" s="327" customFormat="1" hidden="1" x14ac:dyDescent="0.2"/>
    <row r="240" spans="3:15" s="327" customFormat="1" ht="15" hidden="1" x14ac:dyDescent="0.2">
      <c r="D240" s="679" t="str">
        <f>"Financial Cost ("&amp;INDEX(LU_Comm_Denom,DD_TS_Denom)&amp;")"</f>
        <v>Financial Cost (USD)</v>
      </c>
    </row>
    <row r="241" spans="3:15" s="327" customFormat="1" hidden="1" x14ac:dyDescent="0.2">
      <c r="D241" s="660" t="e">
        <f>#REF!</f>
        <v>#REF!</v>
      </c>
      <c r="J241" s="8" t="e">
        <f>J235*#REF!/TS_Denom_Conv_Fact</f>
        <v>#REF!</v>
      </c>
      <c r="K241" s="8" t="e">
        <f>K235*#REF!/TS_Denom_Conv_Fact</f>
        <v>#REF!</v>
      </c>
      <c r="L241" s="8" t="e">
        <f>L235*#REF!/TS_Denom_Conv_Fact</f>
        <v>#REF!</v>
      </c>
      <c r="M241" s="8" t="e">
        <f>M235*#REF!/TS_Denom_Conv_Fact</f>
        <v>#REF!</v>
      </c>
      <c r="N241" s="8" t="e">
        <f>N235*#REF!/TS_Denom_Conv_Fact</f>
        <v>#REF!</v>
      </c>
      <c r="O241" s="8" t="e">
        <f>O235*#REF!/TS_Denom_Conv_Fact</f>
        <v>#REF!</v>
      </c>
    </row>
    <row r="242" spans="3:15" s="327" customFormat="1" hidden="1" x14ac:dyDescent="0.2">
      <c r="D242" s="660" t="e">
        <f>#REF!</f>
        <v>#REF!</v>
      </c>
      <c r="J242" s="8" t="e">
        <f>J236*#REF!/TS_Denom_Conv_Fact</f>
        <v>#REF!</v>
      </c>
      <c r="K242" s="8" t="e">
        <f>K236*#REF!/TS_Denom_Conv_Fact</f>
        <v>#REF!</v>
      </c>
      <c r="L242" s="8" t="e">
        <f>L236*#REF!/TS_Denom_Conv_Fact</f>
        <v>#REF!</v>
      </c>
      <c r="M242" s="8" t="e">
        <f>M236*#REF!/TS_Denom_Conv_Fact</f>
        <v>#REF!</v>
      </c>
      <c r="N242" s="8" t="e">
        <f>N236*#REF!/TS_Denom_Conv_Fact</f>
        <v>#REF!</v>
      </c>
      <c r="O242" s="8" t="e">
        <f>O236*#REF!/TS_Denom_Conv_Fact</f>
        <v>#REF!</v>
      </c>
    </row>
    <row r="243" spans="3:15" s="327" customFormat="1" hidden="1" x14ac:dyDescent="0.2">
      <c r="D243" s="660" t="e">
        <f>#REF!</f>
        <v>#REF!</v>
      </c>
      <c r="J243" s="8" t="e">
        <f>J237*#REF!/TS_Denom_Conv_Fact</f>
        <v>#REF!</v>
      </c>
      <c r="K243" s="8" t="e">
        <f>K237*#REF!/TS_Denom_Conv_Fact</f>
        <v>#REF!</v>
      </c>
      <c r="L243" s="8" t="e">
        <f>L237*#REF!/TS_Denom_Conv_Fact</f>
        <v>#REF!</v>
      </c>
      <c r="M243" s="8" t="e">
        <f>M237*#REF!/TS_Denom_Conv_Fact</f>
        <v>#REF!</v>
      </c>
      <c r="N243" s="8" t="e">
        <f>N237*#REF!/TS_Denom_Conv_Fact</f>
        <v>#REF!</v>
      </c>
      <c r="O243" s="8" t="e">
        <f>O237*#REF!/TS_Denom_Conv_Fact</f>
        <v>#REF!</v>
      </c>
    </row>
    <row r="244" spans="3:15" s="327" customFormat="1" hidden="1" x14ac:dyDescent="0.2">
      <c r="D244" s="660" t="e">
        <f>#REF!</f>
        <v>#REF!</v>
      </c>
      <c r="J244" s="9" t="e">
        <f>J238*#REF!/TS_Denom_Conv_Fact</f>
        <v>#REF!</v>
      </c>
      <c r="K244" s="9" t="e">
        <f>K238*#REF!/TS_Denom_Conv_Fact</f>
        <v>#REF!</v>
      </c>
      <c r="L244" s="9" t="e">
        <f>L238*#REF!/TS_Denom_Conv_Fact</f>
        <v>#REF!</v>
      </c>
      <c r="M244" s="9" t="e">
        <f>M238*#REF!/TS_Denom_Conv_Fact</f>
        <v>#REF!</v>
      </c>
      <c r="N244" s="9" t="e">
        <f>N238*#REF!/TS_Denom_Conv_Fact</f>
        <v>#REF!</v>
      </c>
      <c r="O244" s="9" t="e">
        <f>O238*#REF!/TS_Denom_Conv_Fact</f>
        <v>#REF!</v>
      </c>
    </row>
    <row r="245" spans="3:15" s="327" customFormat="1" hidden="1" x14ac:dyDescent="0.2">
      <c r="D245" s="659" t="str">
        <f>"Total "&amp;D240</f>
        <v>Total Financial Cost (USD)</v>
      </c>
      <c r="J245" s="25" t="e">
        <f t="shared" ref="J245:O245" si="38">SUM(J241:J244)</f>
        <v>#REF!</v>
      </c>
      <c r="K245" s="25" t="e">
        <f t="shared" si="38"/>
        <v>#REF!</v>
      </c>
      <c r="L245" s="25" t="e">
        <f t="shared" si="38"/>
        <v>#REF!</v>
      </c>
      <c r="M245" s="25" t="e">
        <f t="shared" si="38"/>
        <v>#REF!</v>
      </c>
      <c r="N245" s="25" t="e">
        <f t="shared" si="38"/>
        <v>#REF!</v>
      </c>
      <c r="O245" s="25" t="e">
        <f t="shared" si="38"/>
        <v>#REF!</v>
      </c>
    </row>
    <row r="246" spans="3:15" s="327" customFormat="1" hidden="1" x14ac:dyDescent="0.2"/>
    <row r="247" spans="3:15" s="327" customFormat="1" ht="15" hidden="1" x14ac:dyDescent="0.2">
      <c r="D247" s="679" t="str">
        <f>"Economic Cost ("&amp;INDEX(LU_Comm_Denom,DD_TS_Denom)&amp;")"</f>
        <v>Economic Cost (USD)</v>
      </c>
    </row>
    <row r="248" spans="3:15" s="327" customFormat="1" hidden="1" x14ac:dyDescent="0.2">
      <c r="D248" s="660" t="e">
        <f>#REF!</f>
        <v>#REF!</v>
      </c>
      <c r="J248" s="8" t="e">
        <f>J235*#REF!/TS_Denom_Conv_Fact</f>
        <v>#REF!</v>
      </c>
      <c r="K248" s="8" t="e">
        <f>K235*#REF!/TS_Denom_Conv_Fact</f>
        <v>#REF!</v>
      </c>
      <c r="L248" s="8" t="e">
        <f>L235*#REF!/TS_Denom_Conv_Fact</f>
        <v>#REF!</v>
      </c>
      <c r="M248" s="8" t="e">
        <f>M235*#REF!/TS_Denom_Conv_Fact</f>
        <v>#REF!</v>
      </c>
      <c r="N248" s="8" t="e">
        <f>N235*#REF!/TS_Denom_Conv_Fact</f>
        <v>#REF!</v>
      </c>
      <c r="O248" s="8" t="e">
        <f>O235*#REF!/TS_Denom_Conv_Fact</f>
        <v>#REF!</v>
      </c>
    </row>
    <row r="249" spans="3:15" s="327" customFormat="1" hidden="1" x14ac:dyDescent="0.2">
      <c r="D249" s="660" t="e">
        <f>#REF!</f>
        <v>#REF!</v>
      </c>
      <c r="J249" s="8" t="e">
        <f>J236*#REF!/TS_Denom_Conv_Fact</f>
        <v>#REF!</v>
      </c>
      <c r="K249" s="8" t="e">
        <f>K236*#REF!/TS_Denom_Conv_Fact</f>
        <v>#REF!</v>
      </c>
      <c r="L249" s="8" t="e">
        <f>L236*#REF!/TS_Denom_Conv_Fact</f>
        <v>#REF!</v>
      </c>
      <c r="M249" s="8" t="e">
        <f>M236*#REF!/TS_Denom_Conv_Fact</f>
        <v>#REF!</v>
      </c>
      <c r="N249" s="8" t="e">
        <f>N236*#REF!/TS_Denom_Conv_Fact</f>
        <v>#REF!</v>
      </c>
      <c r="O249" s="8" t="e">
        <f>O236*#REF!/TS_Denom_Conv_Fact</f>
        <v>#REF!</v>
      </c>
    </row>
    <row r="250" spans="3:15" s="327" customFormat="1" hidden="1" x14ac:dyDescent="0.2">
      <c r="D250" s="660" t="e">
        <f>#REF!</f>
        <v>#REF!</v>
      </c>
      <c r="J250" s="8" t="e">
        <f>J237*#REF!/TS_Denom_Conv_Fact</f>
        <v>#REF!</v>
      </c>
      <c r="K250" s="8" t="e">
        <f>K237*#REF!/TS_Denom_Conv_Fact</f>
        <v>#REF!</v>
      </c>
      <c r="L250" s="8" t="e">
        <f>L237*#REF!/TS_Denom_Conv_Fact</f>
        <v>#REF!</v>
      </c>
      <c r="M250" s="8" t="e">
        <f>M237*#REF!/TS_Denom_Conv_Fact</f>
        <v>#REF!</v>
      </c>
      <c r="N250" s="8" t="e">
        <f>N237*#REF!/TS_Denom_Conv_Fact</f>
        <v>#REF!</v>
      </c>
      <c r="O250" s="8" t="e">
        <f>O237*#REF!/TS_Denom_Conv_Fact</f>
        <v>#REF!</v>
      </c>
    </row>
    <row r="251" spans="3:15" s="327" customFormat="1" hidden="1" x14ac:dyDescent="0.2">
      <c r="D251" s="660" t="e">
        <f>#REF!</f>
        <v>#REF!</v>
      </c>
      <c r="J251" s="9" t="e">
        <f>J238*#REF!/TS_Denom_Conv_Fact</f>
        <v>#REF!</v>
      </c>
      <c r="K251" s="9" t="e">
        <f>K238*#REF!/TS_Denom_Conv_Fact</f>
        <v>#REF!</v>
      </c>
      <c r="L251" s="9" t="e">
        <f>L238*#REF!/TS_Denom_Conv_Fact</f>
        <v>#REF!</v>
      </c>
      <c r="M251" s="9" t="e">
        <f>M238*#REF!/TS_Denom_Conv_Fact</f>
        <v>#REF!</v>
      </c>
      <c r="N251" s="9" t="e">
        <f>N238*#REF!/TS_Denom_Conv_Fact</f>
        <v>#REF!</v>
      </c>
      <c r="O251" s="9" t="e">
        <f>O238*#REF!/TS_Denom_Conv_Fact</f>
        <v>#REF!</v>
      </c>
    </row>
    <row r="252" spans="3:15" s="327" customFormat="1" hidden="1" x14ac:dyDescent="0.2">
      <c r="D252" s="659" t="str">
        <f>"Total "&amp;D247</f>
        <v>Total Economic Cost (USD)</v>
      </c>
      <c r="J252" s="25" t="e">
        <f t="shared" ref="J252:O252" si="39">SUM(J248:J251)</f>
        <v>#REF!</v>
      </c>
      <c r="K252" s="25" t="e">
        <f t="shared" si="39"/>
        <v>#REF!</v>
      </c>
      <c r="L252" s="25" t="e">
        <f t="shared" si="39"/>
        <v>#REF!</v>
      </c>
      <c r="M252" s="25" t="e">
        <f t="shared" si="39"/>
        <v>#REF!</v>
      </c>
      <c r="N252" s="25" t="e">
        <f t="shared" si="39"/>
        <v>#REF!</v>
      </c>
      <c r="O252" s="25" t="e">
        <f t="shared" si="39"/>
        <v>#REF!</v>
      </c>
    </row>
    <row r="253" spans="3:15" s="327" customFormat="1" hidden="1" x14ac:dyDescent="0.2"/>
    <row r="254" spans="3:15" s="327" customFormat="1" hidden="1" x14ac:dyDescent="0.2">
      <c r="C254" s="716" t="str">
        <f>"Go to "&amp;HL_Comm_Ass</f>
        <v>Go to Social Mobilization and Communication</v>
      </c>
      <c r="D254" s="716"/>
      <c r="E254" s="716"/>
      <c r="F254" s="716"/>
      <c r="G254" s="716"/>
      <c r="H254" s="716"/>
      <c r="I254" s="716"/>
    </row>
    <row r="255" spans="3:15" s="327" customFormat="1" hidden="1" x14ac:dyDescent="0.2">
      <c r="C255" s="716" t="str">
        <f>"Go to "&amp;HL_Comm_Out_Sum</f>
        <v>Go to Communication - Summary</v>
      </c>
      <c r="D255" s="716"/>
      <c r="E255" s="716"/>
      <c r="F255" s="716"/>
      <c r="G255" s="716"/>
      <c r="H255" s="716"/>
      <c r="I255" s="716"/>
    </row>
    <row r="256" spans="3:15" s="327" customFormat="1" hidden="1" x14ac:dyDescent="0.2"/>
    <row r="257" spans="2:15" s="327" customFormat="1" x14ac:dyDescent="0.2"/>
    <row r="258" spans="2:15" s="327" customFormat="1" ht="18.75" x14ac:dyDescent="0.2">
      <c r="B258" s="426" t="s">
        <v>125</v>
      </c>
    </row>
    <row r="259" spans="2:15" s="327" customFormat="1" x14ac:dyDescent="0.2"/>
    <row r="260" spans="2:15" s="327" customFormat="1" x14ac:dyDescent="0.2"/>
    <row r="261" spans="2:15" s="327" customFormat="1" ht="15.75" x14ac:dyDescent="0.2">
      <c r="C261" s="330" t="s">
        <v>1196</v>
      </c>
    </row>
    <row r="262" spans="2:15" s="327" customFormat="1" x14ac:dyDescent="0.2">
      <c r="C262" s="680" t="s">
        <v>1197</v>
      </c>
      <c r="J262" s="417">
        <v>1</v>
      </c>
      <c r="K262" s="417">
        <v>1</v>
      </c>
      <c r="L262" s="417">
        <v>1</v>
      </c>
      <c r="M262" s="417">
        <v>1</v>
      </c>
      <c r="N262" s="417">
        <v>1</v>
      </c>
      <c r="O262" s="417">
        <v>1</v>
      </c>
    </row>
    <row r="263" spans="2:15" s="327" customFormat="1" x14ac:dyDescent="0.2">
      <c r="C263" s="660" t="str">
        <f>Reg_Pop_Ann_TO!D27</f>
        <v>Total Active Provinces</v>
      </c>
      <c r="J263" s="14">
        <f>Reg_Pop_Ann_TO!J27</f>
        <v>10</v>
      </c>
      <c r="K263" s="14">
        <f>Reg_Pop_Ann_TO!K27</f>
        <v>10</v>
      </c>
      <c r="L263" s="14">
        <f>Reg_Pop_Ann_TO!L27</f>
        <v>10</v>
      </c>
      <c r="M263" s="14">
        <f>Reg_Pop_Ann_TO!M27</f>
        <v>10</v>
      </c>
      <c r="N263" s="14">
        <f>Reg_Pop_Ann_TO!N27</f>
        <v>10</v>
      </c>
      <c r="O263" s="14">
        <f>Reg_Pop_Ann_TO!O27</f>
        <v>10</v>
      </c>
    </row>
    <row r="264" spans="2:15" s="327" customFormat="1" x14ac:dyDescent="0.2">
      <c r="C264" s="660" t="str">
        <f>Reg_Pop_Ann_TO!D46</f>
        <v>Total Active Districts</v>
      </c>
      <c r="J264" s="14">
        <f>Reg_Pop_Ann_TO!J46</f>
        <v>103</v>
      </c>
      <c r="K264" s="14">
        <f>Reg_Pop_Ann_TO!K46</f>
        <v>103</v>
      </c>
      <c r="L264" s="14">
        <f>Reg_Pop_Ann_TO!L46</f>
        <v>103</v>
      </c>
      <c r="M264" s="14">
        <f>Reg_Pop_Ann_TO!M46</f>
        <v>103</v>
      </c>
      <c r="N264" s="14">
        <f>Reg_Pop_Ann_TO!N46</f>
        <v>103</v>
      </c>
      <c r="O264" s="14">
        <f>Reg_Pop_Ann_TO!O46</f>
        <v>103</v>
      </c>
    </row>
    <row r="265" spans="2:15" s="327" customFormat="1" x14ac:dyDescent="0.2"/>
    <row r="266" spans="2:15" s="327" customFormat="1" ht="15.75" x14ac:dyDescent="0.2">
      <c r="C266" s="18" t="str">
        <f>Oth_Ann_TA!C190</f>
        <v>Supervision Visits</v>
      </c>
    </row>
    <row r="267" spans="2:15" s="327" customFormat="1" x14ac:dyDescent="0.2"/>
    <row r="268" spans="2:15" s="327" customFormat="1" x14ac:dyDescent="0.2">
      <c r="C268" s="660" t="str">
        <f>Oth_Ann_TA!D206</f>
        <v>National Supervision Team Visits</v>
      </c>
      <c r="J268" s="14">
        <f>Oth_Ann_TA!J206*J$262</f>
        <v>4</v>
      </c>
      <c r="K268" s="14">
        <f>Oth_Ann_TA!K206*K$262</f>
        <v>4</v>
      </c>
      <c r="L268" s="14">
        <f>Oth_Ann_TA!L206*L$262</f>
        <v>4</v>
      </c>
      <c r="M268" s="14">
        <f>Oth_Ann_TA!M206*M$262</f>
        <v>4</v>
      </c>
      <c r="N268" s="14">
        <f>Oth_Ann_TA!N206*N$262</f>
        <v>4</v>
      </c>
      <c r="O268" s="14">
        <f>Oth_Ann_TA!O206*O$262</f>
        <v>4</v>
      </c>
    </row>
    <row r="269" spans="2:15" s="327" customFormat="1" x14ac:dyDescent="0.2">
      <c r="C269" s="660" t="str">
        <f>Oth_Ann_TA!D207</f>
        <v>Provincial Supervision Team Visits</v>
      </c>
      <c r="J269" s="14">
        <f>Oth_Ann_TA!J207*J$262</f>
        <v>4</v>
      </c>
      <c r="K269" s="14">
        <f>Oth_Ann_TA!K207*K$262</f>
        <v>4</v>
      </c>
      <c r="L269" s="14">
        <f>Oth_Ann_TA!L207*L$262</f>
        <v>4</v>
      </c>
      <c r="M269" s="14">
        <f>Oth_Ann_TA!M207*M$262</f>
        <v>4</v>
      </c>
      <c r="N269" s="14">
        <f>Oth_Ann_TA!N207*N$262</f>
        <v>4</v>
      </c>
      <c r="O269" s="14">
        <f>Oth_Ann_TA!O207*O$262</f>
        <v>4</v>
      </c>
    </row>
    <row r="270" spans="2:15" s="327" customFormat="1" x14ac:dyDescent="0.2">
      <c r="C270" s="660" t="str">
        <f>Oth_Ann_TA!D208</f>
        <v>District Supervision Team Visits</v>
      </c>
      <c r="J270" s="14">
        <f>Oth_Ann_TA!J208*J$262</f>
        <v>4</v>
      </c>
      <c r="K270" s="14">
        <f>Oth_Ann_TA!K208*K$262</f>
        <v>4</v>
      </c>
      <c r="L270" s="14">
        <f>Oth_Ann_TA!L208*L$262</f>
        <v>4</v>
      </c>
      <c r="M270" s="14">
        <f>Oth_Ann_TA!M208*M$262</f>
        <v>4</v>
      </c>
      <c r="N270" s="14">
        <f>Oth_Ann_TA!N208*N$262</f>
        <v>4</v>
      </c>
      <c r="O270" s="14">
        <f>Oth_Ann_TA!O208*O$262</f>
        <v>4</v>
      </c>
    </row>
    <row r="271" spans="2:15" s="327" customFormat="1" x14ac:dyDescent="0.2">
      <c r="C271" s="660" t="str">
        <f>Oth_Ann_TA!D209</f>
        <v>SupVisitAllocation Category 4</v>
      </c>
      <c r="J271" s="14">
        <f>Oth_Ann_TA!J209*J$262</f>
        <v>0</v>
      </c>
      <c r="K271" s="14">
        <f>Oth_Ann_TA!K209*K$262</f>
        <v>0</v>
      </c>
      <c r="L271" s="14">
        <f>Oth_Ann_TA!L209*L$262</f>
        <v>0</v>
      </c>
      <c r="M271" s="14">
        <f>Oth_Ann_TA!M209*M$262</f>
        <v>0</v>
      </c>
      <c r="N271" s="14">
        <f>Oth_Ann_TA!N209*N$262</f>
        <v>0</v>
      </c>
      <c r="O271" s="14">
        <f>Oth_Ann_TA!O209*O$262</f>
        <v>0</v>
      </c>
    </row>
    <row r="272" spans="2:15" s="327" customFormat="1" x14ac:dyDescent="0.2">
      <c r="C272" s="660" t="str">
        <f>Oth_Ann_TA!D210</f>
        <v>SupVisitAllocation Category 5</v>
      </c>
      <c r="J272" s="14">
        <f>Oth_Ann_TA!J210*J$262</f>
        <v>0</v>
      </c>
      <c r="K272" s="14">
        <f>Oth_Ann_TA!K210*K$262</f>
        <v>0</v>
      </c>
      <c r="L272" s="14">
        <f>Oth_Ann_TA!L210*L$262</f>
        <v>0</v>
      </c>
      <c r="M272" s="14">
        <f>Oth_Ann_TA!M210*M$262</f>
        <v>0</v>
      </c>
      <c r="N272" s="14">
        <f>Oth_Ann_TA!N210*N$262</f>
        <v>0</v>
      </c>
      <c r="O272" s="14">
        <f>Oth_Ann_TA!O210*O$262</f>
        <v>0</v>
      </c>
    </row>
    <row r="273" spans="3:15" s="327" customFormat="1" x14ac:dyDescent="0.2">
      <c r="C273" s="660" t="str">
        <f>Oth_Ann_TA!D211</f>
        <v>SupVisitAllocation Category 6</v>
      </c>
      <c r="J273" s="14">
        <f>Oth_Ann_TA!J211*J$262</f>
        <v>0</v>
      </c>
      <c r="K273" s="14">
        <f>Oth_Ann_TA!K211*K$262</f>
        <v>0</v>
      </c>
      <c r="L273" s="14">
        <f>Oth_Ann_TA!L211*L$262</f>
        <v>0</v>
      </c>
      <c r="M273" s="14">
        <f>Oth_Ann_TA!M211*M$262</f>
        <v>0</v>
      </c>
      <c r="N273" s="14">
        <f>Oth_Ann_TA!N211*N$262</f>
        <v>0</v>
      </c>
      <c r="O273" s="14">
        <f>Oth_Ann_TA!O211*O$262</f>
        <v>0</v>
      </c>
    </row>
    <row r="274" spans="3:15" s="327" customFormat="1" x14ac:dyDescent="0.2"/>
    <row r="275" spans="3:15" s="327" customFormat="1" x14ac:dyDescent="0.2"/>
    <row r="276" spans="3:15" s="327" customFormat="1" ht="15" x14ac:dyDescent="0.2">
      <c r="D276" s="679" t="str">
        <f>"Financial Cost ("&amp;INDEX(LU_SME_Denom,DD_TS_Denom)&amp;")"</f>
        <v>Financial Cost (USD)</v>
      </c>
    </row>
    <row r="277" spans="3:15" s="327" customFormat="1" x14ac:dyDescent="0.2">
      <c r="D277" s="660" t="str">
        <f>Oth_Ann_TA!D193</f>
        <v>National Supervision Team Visits</v>
      </c>
      <c r="J277" s="8">
        <f>(J268*Oth_Ann_TA!$H193*Oth_Ann_TA!$H$203)/TS_Denom_Conv_Fact</f>
        <v>1600</v>
      </c>
      <c r="K277" s="8">
        <f>(K268*Oth_Ann_TA!$H193*Oth_Ann_TA!$H$203)/TS_Denom_Conv_Fact</f>
        <v>1600</v>
      </c>
      <c r="L277" s="8">
        <f>(L268*Oth_Ann_TA!$H193*Oth_Ann_TA!$H$203)/TS_Denom_Conv_Fact</f>
        <v>1600</v>
      </c>
      <c r="M277" s="8">
        <f>(M268*Oth_Ann_TA!$H193*Oth_Ann_TA!$H$203)/TS_Denom_Conv_Fact</f>
        <v>1600</v>
      </c>
      <c r="N277" s="8">
        <f>(N268*Oth_Ann_TA!$H193*Oth_Ann_TA!$H$203)/TS_Denom_Conv_Fact</f>
        <v>1600</v>
      </c>
      <c r="O277" s="8">
        <f>(O268*Oth_Ann_TA!$H193*Oth_Ann_TA!$H$203)/TS_Denom_Conv_Fact</f>
        <v>1600</v>
      </c>
    </row>
    <row r="278" spans="3:15" s="327" customFormat="1" x14ac:dyDescent="0.2">
      <c r="D278" s="660" t="str">
        <f>Oth_Ann_TA!D194</f>
        <v>Provincial Supervision Team Visits</v>
      </c>
      <c r="J278" s="8">
        <f>(J269*Oth_Ann_TA!$H194*Oth_Ann_TA!$H$203)/TS_Denom_Conv_Fact</f>
        <v>800</v>
      </c>
      <c r="K278" s="8">
        <f>(K269*Oth_Ann_TA!$H194*Oth_Ann_TA!$H$203)/TS_Denom_Conv_Fact</f>
        <v>800</v>
      </c>
      <c r="L278" s="8">
        <f>(L269*Oth_Ann_TA!$H194*Oth_Ann_TA!$H$203)/TS_Denom_Conv_Fact</f>
        <v>800</v>
      </c>
      <c r="M278" s="8">
        <f>(M269*Oth_Ann_TA!$H194*Oth_Ann_TA!$H$203)/TS_Denom_Conv_Fact</f>
        <v>800</v>
      </c>
      <c r="N278" s="8">
        <f>(N269*Oth_Ann_TA!$H194*Oth_Ann_TA!$H$203)/TS_Denom_Conv_Fact</f>
        <v>800</v>
      </c>
      <c r="O278" s="8">
        <f>(O269*Oth_Ann_TA!$H194*Oth_Ann_TA!$H$203)/TS_Denom_Conv_Fact</f>
        <v>800</v>
      </c>
    </row>
    <row r="279" spans="3:15" s="327" customFormat="1" x14ac:dyDescent="0.2">
      <c r="D279" s="660" t="str">
        <f>Oth_Ann_TA!D195</f>
        <v>District Supervision Team Visits</v>
      </c>
      <c r="J279" s="8">
        <f>(J270*Oth_Ann_TA!$H195*Oth_Ann_TA!$H$203)/TS_Denom_Conv_Fact</f>
        <v>400</v>
      </c>
      <c r="K279" s="8">
        <f>(K270*Oth_Ann_TA!$H195*Oth_Ann_TA!$H$203)/TS_Denom_Conv_Fact</f>
        <v>400</v>
      </c>
      <c r="L279" s="8">
        <f>(L270*Oth_Ann_TA!$H195*Oth_Ann_TA!$H$203)/TS_Denom_Conv_Fact</f>
        <v>400</v>
      </c>
      <c r="M279" s="8">
        <f>(M270*Oth_Ann_TA!$H195*Oth_Ann_TA!$H$203)/TS_Denom_Conv_Fact</f>
        <v>400</v>
      </c>
      <c r="N279" s="8">
        <f>(N270*Oth_Ann_TA!$H195*Oth_Ann_TA!$H$203)/TS_Denom_Conv_Fact</f>
        <v>400</v>
      </c>
      <c r="O279" s="8">
        <f>(O270*Oth_Ann_TA!$H195*Oth_Ann_TA!$H$203)/TS_Denom_Conv_Fact</f>
        <v>400</v>
      </c>
    </row>
    <row r="280" spans="3:15" s="327" customFormat="1" x14ac:dyDescent="0.2">
      <c r="D280" s="660" t="str">
        <f>Oth_Ann_TA!D196</f>
        <v>SupVisitAllocation Category 4</v>
      </c>
      <c r="J280" s="8">
        <f>(J271*Oth_Ann_TA!$H196*Oth_Ann_TA!$H$203)/TS_Denom_Conv_Fact</f>
        <v>0</v>
      </c>
      <c r="K280" s="8">
        <f>(K271*Oth_Ann_TA!$H196*Oth_Ann_TA!$H$203)/TS_Denom_Conv_Fact</f>
        <v>0</v>
      </c>
      <c r="L280" s="8">
        <f>(L271*Oth_Ann_TA!$H196*Oth_Ann_TA!$H$203)/TS_Denom_Conv_Fact</f>
        <v>0</v>
      </c>
      <c r="M280" s="8">
        <f>(M271*Oth_Ann_TA!$H196*Oth_Ann_TA!$H$203)/TS_Denom_Conv_Fact</f>
        <v>0</v>
      </c>
      <c r="N280" s="8">
        <f>(N271*Oth_Ann_TA!$H196*Oth_Ann_TA!$H$203)/TS_Denom_Conv_Fact</f>
        <v>0</v>
      </c>
      <c r="O280" s="8">
        <f>(O271*Oth_Ann_TA!$H196*Oth_Ann_TA!$H$203)/TS_Denom_Conv_Fact</f>
        <v>0</v>
      </c>
    </row>
    <row r="281" spans="3:15" s="327" customFormat="1" x14ac:dyDescent="0.2">
      <c r="D281" s="660" t="str">
        <f>Oth_Ann_TA!D197</f>
        <v>SupVisitAllocation Category 5</v>
      </c>
      <c r="J281" s="8">
        <f>(J272*Oth_Ann_TA!$H197*Oth_Ann_TA!$H$203)/TS_Denom_Conv_Fact</f>
        <v>0</v>
      </c>
      <c r="K281" s="8">
        <f>(K272*Oth_Ann_TA!$H197*Oth_Ann_TA!$H$203)/TS_Denom_Conv_Fact</f>
        <v>0</v>
      </c>
      <c r="L281" s="8">
        <f>(L272*Oth_Ann_TA!$H197*Oth_Ann_TA!$H$203)/TS_Denom_Conv_Fact</f>
        <v>0</v>
      </c>
      <c r="M281" s="8">
        <f>(M272*Oth_Ann_TA!$H197*Oth_Ann_TA!$H$203)/TS_Denom_Conv_Fact</f>
        <v>0</v>
      </c>
      <c r="N281" s="8">
        <f>(N272*Oth_Ann_TA!$H197*Oth_Ann_TA!$H$203)/TS_Denom_Conv_Fact</f>
        <v>0</v>
      </c>
      <c r="O281" s="8">
        <f>(O272*Oth_Ann_TA!$H197*Oth_Ann_TA!$H$203)/TS_Denom_Conv_Fact</f>
        <v>0</v>
      </c>
    </row>
    <row r="282" spans="3:15" s="327" customFormat="1" x14ac:dyDescent="0.2">
      <c r="D282" s="660" t="str">
        <f>Oth_Ann_TA!D198</f>
        <v>SupVisitAllocation Category 6</v>
      </c>
      <c r="J282" s="9">
        <f>(J273*Oth_Ann_TA!$H198*Oth_Ann_TA!$H$203)/TS_Denom_Conv_Fact</f>
        <v>0</v>
      </c>
      <c r="K282" s="9">
        <f>(K273*Oth_Ann_TA!$H198*Oth_Ann_TA!$H$203)/TS_Denom_Conv_Fact</f>
        <v>0</v>
      </c>
      <c r="L282" s="9">
        <f>(L273*Oth_Ann_TA!$H198*Oth_Ann_TA!$H$203)/TS_Denom_Conv_Fact</f>
        <v>0</v>
      </c>
      <c r="M282" s="9">
        <f>(M273*Oth_Ann_TA!$H198*Oth_Ann_TA!$H$203)/TS_Denom_Conv_Fact</f>
        <v>0</v>
      </c>
      <c r="N282" s="9">
        <f>(N273*Oth_Ann_TA!$H198*Oth_Ann_TA!$H$203)/TS_Denom_Conv_Fact</f>
        <v>0</v>
      </c>
      <c r="O282" s="9">
        <f>(O273*Oth_Ann_TA!$H198*Oth_Ann_TA!$H$203)/TS_Denom_Conv_Fact</f>
        <v>0</v>
      </c>
    </row>
    <row r="283" spans="3:15" s="327" customFormat="1" x14ac:dyDescent="0.2">
      <c r="D283" s="659" t="str">
        <f>"Total "&amp;D276</f>
        <v>Total Financial Cost (USD)</v>
      </c>
      <c r="J283" s="25">
        <f t="shared" ref="J283:O283" si="40">SUM(J277:J282)</f>
        <v>2800</v>
      </c>
      <c r="K283" s="25">
        <f t="shared" si="40"/>
        <v>2800</v>
      </c>
      <c r="L283" s="25">
        <f t="shared" si="40"/>
        <v>2800</v>
      </c>
      <c r="M283" s="25">
        <f t="shared" si="40"/>
        <v>2800</v>
      </c>
      <c r="N283" s="25">
        <f t="shared" si="40"/>
        <v>2800</v>
      </c>
      <c r="O283" s="25">
        <f t="shared" si="40"/>
        <v>2800</v>
      </c>
    </row>
    <row r="284" spans="3:15" s="327" customFormat="1" x14ac:dyDescent="0.2"/>
    <row r="285" spans="3:15" s="327" customFormat="1" ht="15" x14ac:dyDescent="0.2">
      <c r="D285" s="679" t="str">
        <f>"Economic Cost ("&amp;INDEX(LU_SME_Denom,DD_TS_Denom)&amp;")"</f>
        <v>Economic Cost (USD)</v>
      </c>
    </row>
    <row r="286" spans="3:15" s="327" customFormat="1" x14ac:dyDescent="0.2">
      <c r="D286" s="660" t="str">
        <f>Oth_Ann_TA!D193</f>
        <v>National Supervision Team Visits</v>
      </c>
      <c r="J286" s="8">
        <f>(J268*Oth_Ann_TA!$I193*Oth_Ann_TA!$I$203)/TS_Denom_Conv_Fact</f>
        <v>2000</v>
      </c>
      <c r="K286" s="8">
        <f>(K268*Oth_Ann_TA!$I193*Oth_Ann_TA!$I$203)/TS_Denom_Conv_Fact</f>
        <v>2000</v>
      </c>
      <c r="L286" s="8">
        <f>(L268*Oth_Ann_TA!$I193*Oth_Ann_TA!$I$203)/TS_Denom_Conv_Fact</f>
        <v>2000</v>
      </c>
      <c r="M286" s="8">
        <f>(M268*Oth_Ann_TA!$I193*Oth_Ann_TA!$I$203)/TS_Denom_Conv_Fact</f>
        <v>2000</v>
      </c>
      <c r="N286" s="8">
        <f>(N268*Oth_Ann_TA!$I193*Oth_Ann_TA!$I$203)/TS_Denom_Conv_Fact</f>
        <v>2000</v>
      </c>
      <c r="O286" s="8">
        <f>(O268*Oth_Ann_TA!$I193*Oth_Ann_TA!$I$203)/TS_Denom_Conv_Fact</f>
        <v>2000</v>
      </c>
    </row>
    <row r="287" spans="3:15" s="327" customFormat="1" x14ac:dyDescent="0.2">
      <c r="D287" s="660" t="str">
        <f>Oth_Ann_TA!D194</f>
        <v>Provincial Supervision Team Visits</v>
      </c>
      <c r="J287" s="8">
        <f>(J269*Oth_Ann_TA!$I194*Oth_Ann_TA!$I$203)/TS_Denom_Conv_Fact</f>
        <v>960</v>
      </c>
      <c r="K287" s="8">
        <f>(K269*Oth_Ann_TA!$I194*Oth_Ann_TA!$I$203)/TS_Denom_Conv_Fact</f>
        <v>960</v>
      </c>
      <c r="L287" s="8">
        <f>(L269*Oth_Ann_TA!$I194*Oth_Ann_TA!$I$203)/TS_Denom_Conv_Fact</f>
        <v>960</v>
      </c>
      <c r="M287" s="8">
        <f>(M269*Oth_Ann_TA!$I194*Oth_Ann_TA!$I$203)/TS_Denom_Conv_Fact</f>
        <v>960</v>
      </c>
      <c r="N287" s="8">
        <f>(N269*Oth_Ann_TA!$I194*Oth_Ann_TA!$I$203)/TS_Denom_Conv_Fact</f>
        <v>960</v>
      </c>
      <c r="O287" s="8">
        <f>(O269*Oth_Ann_TA!$I194*Oth_Ann_TA!$I$203)/TS_Denom_Conv_Fact</f>
        <v>960</v>
      </c>
    </row>
    <row r="288" spans="3:15" s="327" customFormat="1" x14ac:dyDescent="0.2">
      <c r="D288" s="660" t="str">
        <f>Oth_Ann_TA!D195</f>
        <v>District Supervision Team Visits</v>
      </c>
      <c r="J288" s="8">
        <f>(J270*Oth_Ann_TA!$I195*Oth_Ann_TA!$I$203)/TS_Denom_Conv_Fact</f>
        <v>640</v>
      </c>
      <c r="K288" s="8">
        <f>(K270*Oth_Ann_TA!$I195*Oth_Ann_TA!$I$203)/TS_Denom_Conv_Fact</f>
        <v>640</v>
      </c>
      <c r="L288" s="8">
        <f>(L270*Oth_Ann_TA!$I195*Oth_Ann_TA!$I$203)/TS_Denom_Conv_Fact</f>
        <v>640</v>
      </c>
      <c r="M288" s="8">
        <f>(M270*Oth_Ann_TA!$I195*Oth_Ann_TA!$I$203)/TS_Denom_Conv_Fact</f>
        <v>640</v>
      </c>
      <c r="N288" s="8">
        <f>(N270*Oth_Ann_TA!$I195*Oth_Ann_TA!$I$203)/TS_Denom_Conv_Fact</f>
        <v>640</v>
      </c>
      <c r="O288" s="8">
        <f>(O270*Oth_Ann_TA!$I195*Oth_Ann_TA!$I$203)/TS_Denom_Conv_Fact</f>
        <v>640</v>
      </c>
    </row>
    <row r="289" spans="3:15" s="327" customFormat="1" x14ac:dyDescent="0.2">
      <c r="D289" s="660" t="str">
        <f>Oth_Ann_TA!D196</f>
        <v>SupVisitAllocation Category 4</v>
      </c>
      <c r="J289" s="8">
        <f>(J271*Oth_Ann_TA!$I196*Oth_Ann_TA!$I$203)/TS_Denom_Conv_Fact</f>
        <v>0</v>
      </c>
      <c r="K289" s="8">
        <f>(K271*Oth_Ann_TA!$I196*Oth_Ann_TA!$I$203)/TS_Denom_Conv_Fact</f>
        <v>0</v>
      </c>
      <c r="L289" s="8">
        <f>(L271*Oth_Ann_TA!$I196*Oth_Ann_TA!$I$203)/TS_Denom_Conv_Fact</f>
        <v>0</v>
      </c>
      <c r="M289" s="8">
        <f>(M271*Oth_Ann_TA!$I196*Oth_Ann_TA!$I$203)/TS_Denom_Conv_Fact</f>
        <v>0</v>
      </c>
      <c r="N289" s="8">
        <f>(N271*Oth_Ann_TA!$I196*Oth_Ann_TA!$I$203)/TS_Denom_Conv_Fact</f>
        <v>0</v>
      </c>
      <c r="O289" s="8">
        <f>(O271*Oth_Ann_TA!$I196*Oth_Ann_TA!$I$203)/TS_Denom_Conv_Fact</f>
        <v>0</v>
      </c>
    </row>
    <row r="290" spans="3:15" s="327" customFormat="1" x14ac:dyDescent="0.2">
      <c r="D290" s="660" t="str">
        <f>Oth_Ann_TA!D197</f>
        <v>SupVisitAllocation Category 5</v>
      </c>
      <c r="J290" s="8">
        <f>(J272*Oth_Ann_TA!$I197*Oth_Ann_TA!$I$203)/TS_Denom_Conv_Fact</f>
        <v>0</v>
      </c>
      <c r="K290" s="8">
        <f>(K272*Oth_Ann_TA!$I197*Oth_Ann_TA!$I$203)/TS_Denom_Conv_Fact</f>
        <v>0</v>
      </c>
      <c r="L290" s="8">
        <f>(L272*Oth_Ann_TA!$I197*Oth_Ann_TA!$I$203)/TS_Denom_Conv_Fact</f>
        <v>0</v>
      </c>
      <c r="M290" s="8">
        <f>(M272*Oth_Ann_TA!$I197*Oth_Ann_TA!$I$203)/TS_Denom_Conv_Fact</f>
        <v>0</v>
      </c>
      <c r="N290" s="8">
        <f>(N272*Oth_Ann_TA!$I197*Oth_Ann_TA!$I$203)/TS_Denom_Conv_Fact</f>
        <v>0</v>
      </c>
      <c r="O290" s="8">
        <f>(O272*Oth_Ann_TA!$I197*Oth_Ann_TA!$I$203)/TS_Denom_Conv_Fact</f>
        <v>0</v>
      </c>
    </row>
    <row r="291" spans="3:15" s="327" customFormat="1" x14ac:dyDescent="0.2">
      <c r="D291" s="660" t="str">
        <f>Oth_Ann_TA!D198</f>
        <v>SupVisitAllocation Category 6</v>
      </c>
      <c r="J291" s="9">
        <f>(J273*Oth_Ann_TA!$I198*Oth_Ann_TA!$I$203)/TS_Denom_Conv_Fact</f>
        <v>0</v>
      </c>
      <c r="K291" s="9">
        <f>(K273*Oth_Ann_TA!$I198*Oth_Ann_TA!$I$203)/TS_Denom_Conv_Fact</f>
        <v>0</v>
      </c>
      <c r="L291" s="9">
        <f>(L273*Oth_Ann_TA!$I198*Oth_Ann_TA!$I$203)/TS_Denom_Conv_Fact</f>
        <v>0</v>
      </c>
      <c r="M291" s="9">
        <f>(M273*Oth_Ann_TA!$I198*Oth_Ann_TA!$I$203)/TS_Denom_Conv_Fact</f>
        <v>0</v>
      </c>
      <c r="N291" s="9">
        <f>(N273*Oth_Ann_TA!$I198*Oth_Ann_TA!$I$203)/TS_Denom_Conv_Fact</f>
        <v>0</v>
      </c>
      <c r="O291" s="9">
        <f>(O273*Oth_Ann_TA!$I198*Oth_Ann_TA!$I$203)/TS_Denom_Conv_Fact</f>
        <v>0</v>
      </c>
    </row>
    <row r="292" spans="3:15" s="327" customFormat="1" x14ac:dyDescent="0.2">
      <c r="D292" s="659" t="str">
        <f>"Total "&amp;D285</f>
        <v>Total Economic Cost (USD)</v>
      </c>
      <c r="J292" s="25">
        <f t="shared" ref="J292:O292" si="41">SUM(J286:J291)</f>
        <v>3600</v>
      </c>
      <c r="K292" s="25">
        <f t="shared" si="41"/>
        <v>3600</v>
      </c>
      <c r="L292" s="25">
        <f t="shared" si="41"/>
        <v>3600</v>
      </c>
      <c r="M292" s="25">
        <f t="shared" si="41"/>
        <v>3600</v>
      </c>
      <c r="N292" s="25">
        <f t="shared" si="41"/>
        <v>3600</v>
      </c>
      <c r="O292" s="25">
        <f t="shared" si="41"/>
        <v>3600</v>
      </c>
    </row>
    <row r="293" spans="3:15" s="327" customFormat="1" x14ac:dyDescent="0.2"/>
    <row r="294" spans="3:15" s="327" customFormat="1" ht="15.75" x14ac:dyDescent="0.2">
      <c r="C294" s="18" t="str">
        <f>Oth_Ann_TA!C215</f>
        <v>Monitoring</v>
      </c>
    </row>
    <row r="295" spans="3:15" s="327" customFormat="1" x14ac:dyDescent="0.2"/>
    <row r="296" spans="3:15" s="327" customFormat="1" ht="15" x14ac:dyDescent="0.2">
      <c r="D296" s="658" t="s">
        <v>85</v>
      </c>
    </row>
    <row r="297" spans="3:15" s="327" customFormat="1" x14ac:dyDescent="0.2">
      <c r="D297" s="660">
        <f>Oth_Ann_TA!D218</f>
        <v>0</v>
      </c>
      <c r="J297" s="5">
        <f>INDEX(Oth_Ann_TA!J$243:J$247,Oth_Ann_TA!$I228)*Oth_Ann_TA!$I223</f>
        <v>0</v>
      </c>
      <c r="K297" s="5">
        <f>INDEX(Oth_Ann_TA!K$243:K$247,Oth_Ann_TA!$I228)*Oth_Ann_TA!$I223</f>
        <v>0</v>
      </c>
      <c r="L297" s="5">
        <f>INDEX(Oth_Ann_TA!L$243:L$247,Oth_Ann_TA!$I228)*Oth_Ann_TA!$I223</f>
        <v>0</v>
      </c>
      <c r="M297" s="5">
        <f>INDEX(Oth_Ann_TA!M$243:M$247,Oth_Ann_TA!$I228)*Oth_Ann_TA!$I223</f>
        <v>0</v>
      </c>
      <c r="N297" s="5">
        <f>INDEX(Oth_Ann_TA!N$243:N$247,Oth_Ann_TA!$I228)*Oth_Ann_TA!$I223</f>
        <v>0</v>
      </c>
      <c r="O297" s="5">
        <f>INDEX(Oth_Ann_TA!O$243:O$247,Oth_Ann_TA!$I228)*Oth_Ann_TA!$I223</f>
        <v>0</v>
      </c>
    </row>
    <row r="298" spans="3:15" s="327" customFormat="1" x14ac:dyDescent="0.2">
      <c r="D298" s="660">
        <f>Oth_Ann_TA!D219</f>
        <v>0</v>
      </c>
      <c r="J298" s="5">
        <f>INDEX(Oth_Ann_TA!J$243:J$247,Oth_Ann_TA!$I229)*Oth_Ann_TA!$I224</f>
        <v>0</v>
      </c>
      <c r="K298" s="5">
        <f>INDEX(Oth_Ann_TA!K$243:K$247,Oth_Ann_TA!$I229)*Oth_Ann_TA!$I224</f>
        <v>0</v>
      </c>
      <c r="L298" s="5">
        <f>INDEX(Oth_Ann_TA!L$243:L$247,Oth_Ann_TA!$I229)*Oth_Ann_TA!$I224</f>
        <v>0</v>
      </c>
      <c r="M298" s="5">
        <f>INDEX(Oth_Ann_TA!M$243:M$247,Oth_Ann_TA!$I229)*Oth_Ann_TA!$I224</f>
        <v>0</v>
      </c>
      <c r="N298" s="5">
        <f>INDEX(Oth_Ann_TA!N$243:N$247,Oth_Ann_TA!$I229)*Oth_Ann_TA!$I224</f>
        <v>0</v>
      </c>
      <c r="O298" s="5">
        <f>INDEX(Oth_Ann_TA!O$243:O$247,Oth_Ann_TA!$I229)*Oth_Ann_TA!$I224</f>
        <v>0</v>
      </c>
    </row>
    <row r="299" spans="3:15" s="327" customFormat="1" x14ac:dyDescent="0.2">
      <c r="D299" s="660">
        <f>Oth_Ann_TA!D220</f>
        <v>0</v>
      </c>
      <c r="J299" s="5">
        <f ca="1">INDEX(Oth_Ann_TA!J$243:J$247,Oth_Ann_TA!$I230)*Oth_Ann_TA!$I225</f>
        <v>0</v>
      </c>
      <c r="K299" s="5">
        <f ca="1">INDEX(Oth_Ann_TA!K$243:K$247,Oth_Ann_TA!$I230)*Oth_Ann_TA!$I225</f>
        <v>0</v>
      </c>
      <c r="L299" s="5">
        <f ca="1">INDEX(Oth_Ann_TA!L$243:L$247,Oth_Ann_TA!$I230)*Oth_Ann_TA!$I225</f>
        <v>0</v>
      </c>
      <c r="M299" s="5">
        <f ca="1">INDEX(Oth_Ann_TA!M$243:M$247,Oth_Ann_TA!$I230)*Oth_Ann_TA!$I225</f>
        <v>0</v>
      </c>
      <c r="N299" s="5">
        <f ca="1">INDEX(Oth_Ann_TA!N$243:N$247,Oth_Ann_TA!$I230)*Oth_Ann_TA!$I225</f>
        <v>0</v>
      </c>
      <c r="O299" s="5">
        <f ca="1">INDEX(Oth_Ann_TA!O$243:O$247,Oth_Ann_TA!$I230)*Oth_Ann_TA!$I225</f>
        <v>0</v>
      </c>
    </row>
    <row r="300" spans="3:15" s="327" customFormat="1" x14ac:dyDescent="0.2"/>
    <row r="301" spans="3:15" s="327" customFormat="1" ht="15" x14ac:dyDescent="0.2">
      <c r="D301" s="679" t="str">
        <f>"Financial Cost ("&amp;INDEX(LU_SME_Denom,DD_TS_Denom)&amp;")"</f>
        <v>Financial Cost (USD)</v>
      </c>
    </row>
    <row r="302" spans="3:15" s="327" customFormat="1" x14ac:dyDescent="0.2">
      <c r="D302" s="660">
        <f>Oth_Ann_TA!D218</f>
        <v>0</v>
      </c>
      <c r="J302" s="8">
        <f>J297*Oth_Ann_TA!$H218/TS_Denom_Conv_Fact</f>
        <v>0</v>
      </c>
      <c r="K302" s="8">
        <f>K297*Oth_Ann_TA!$H218/TS_Denom_Conv_Fact</f>
        <v>0</v>
      </c>
      <c r="L302" s="8">
        <f>L297*Oth_Ann_TA!$H218/TS_Denom_Conv_Fact</f>
        <v>0</v>
      </c>
      <c r="M302" s="8">
        <f>M297*Oth_Ann_TA!$H218/TS_Denom_Conv_Fact</f>
        <v>0</v>
      </c>
      <c r="N302" s="8">
        <f>N297*Oth_Ann_TA!$H218/TS_Denom_Conv_Fact</f>
        <v>0</v>
      </c>
      <c r="O302" s="8">
        <f>O297*Oth_Ann_TA!$H218/TS_Denom_Conv_Fact</f>
        <v>0</v>
      </c>
    </row>
    <row r="303" spans="3:15" s="327" customFormat="1" x14ac:dyDescent="0.2">
      <c r="D303" s="660">
        <f>Oth_Ann_TA!D219</f>
        <v>0</v>
      </c>
      <c r="J303" s="8">
        <f>J298*Oth_Ann_TA!$H219/TS_Denom_Conv_Fact</f>
        <v>0</v>
      </c>
      <c r="K303" s="8">
        <f>K298*Oth_Ann_TA!$H219/TS_Denom_Conv_Fact</f>
        <v>0</v>
      </c>
      <c r="L303" s="8">
        <f>L298*Oth_Ann_TA!$H219/TS_Denom_Conv_Fact</f>
        <v>0</v>
      </c>
      <c r="M303" s="8">
        <f>M298*Oth_Ann_TA!$H219/TS_Denom_Conv_Fact</f>
        <v>0</v>
      </c>
      <c r="N303" s="8">
        <f>N298*Oth_Ann_TA!$H219/TS_Denom_Conv_Fact</f>
        <v>0</v>
      </c>
      <c r="O303" s="8">
        <f>O298*Oth_Ann_TA!$H219/TS_Denom_Conv_Fact</f>
        <v>0</v>
      </c>
    </row>
    <row r="304" spans="3:15" s="327" customFormat="1" x14ac:dyDescent="0.2">
      <c r="D304" s="660">
        <f>Oth_Ann_TA!D220</f>
        <v>0</v>
      </c>
      <c r="J304" s="9">
        <f ca="1">J299*Oth_Ann_TA!$H220/TS_Denom_Conv_Fact</f>
        <v>0</v>
      </c>
      <c r="K304" s="9">
        <f ca="1">K299*Oth_Ann_TA!$H220/TS_Denom_Conv_Fact</f>
        <v>0</v>
      </c>
      <c r="L304" s="9">
        <f ca="1">L299*Oth_Ann_TA!$H220/TS_Denom_Conv_Fact</f>
        <v>0</v>
      </c>
      <c r="M304" s="9">
        <f ca="1">M299*Oth_Ann_TA!$H220/TS_Denom_Conv_Fact</f>
        <v>0</v>
      </c>
      <c r="N304" s="9">
        <f ca="1">N299*Oth_Ann_TA!$H220/TS_Denom_Conv_Fact</f>
        <v>0</v>
      </c>
      <c r="O304" s="9">
        <f ca="1">O299*Oth_Ann_TA!$H220/TS_Denom_Conv_Fact</f>
        <v>0</v>
      </c>
    </row>
    <row r="305" spans="3:15" s="327" customFormat="1" x14ac:dyDescent="0.2">
      <c r="D305" s="659" t="str">
        <f>"Total "&amp;D301</f>
        <v>Total Financial Cost (USD)</v>
      </c>
      <c r="J305" s="25">
        <f t="shared" ref="J305:O305" ca="1" si="42">SUM(J302:J304)</f>
        <v>0</v>
      </c>
      <c r="K305" s="25">
        <f t="shared" ca="1" si="42"/>
        <v>0</v>
      </c>
      <c r="L305" s="25">
        <f t="shared" ca="1" si="42"/>
        <v>0</v>
      </c>
      <c r="M305" s="25">
        <f t="shared" ca="1" si="42"/>
        <v>0</v>
      </c>
      <c r="N305" s="25">
        <f t="shared" ca="1" si="42"/>
        <v>0</v>
      </c>
      <c r="O305" s="25">
        <f t="shared" ca="1" si="42"/>
        <v>0</v>
      </c>
    </row>
    <row r="306" spans="3:15" s="327" customFormat="1" x14ac:dyDescent="0.2"/>
    <row r="307" spans="3:15" s="327" customFormat="1" ht="15" x14ac:dyDescent="0.2">
      <c r="D307" s="679" t="str">
        <f>"Economic Cost ("&amp;INDEX(LU_SME_Denom,DD_TS_Denom)&amp;")"</f>
        <v>Economic Cost (USD)</v>
      </c>
    </row>
    <row r="308" spans="3:15" s="327" customFormat="1" x14ac:dyDescent="0.2">
      <c r="D308" s="660">
        <f>Oth_Ann_TA!D218</f>
        <v>0</v>
      </c>
      <c r="J308" s="8">
        <f>J297*Oth_Ann_TA!$I218/TS_Denom_Conv_Fact</f>
        <v>0</v>
      </c>
      <c r="K308" s="8">
        <f>K297*Oth_Ann_TA!$I218/TS_Denom_Conv_Fact</f>
        <v>0</v>
      </c>
      <c r="L308" s="8">
        <f>L297*Oth_Ann_TA!$I218/TS_Denom_Conv_Fact</f>
        <v>0</v>
      </c>
      <c r="M308" s="8">
        <f>M297*Oth_Ann_TA!$I218/TS_Denom_Conv_Fact</f>
        <v>0</v>
      </c>
      <c r="N308" s="8">
        <f>N297*Oth_Ann_TA!$I218/TS_Denom_Conv_Fact</f>
        <v>0</v>
      </c>
      <c r="O308" s="8">
        <f>O297*Oth_Ann_TA!$I218/TS_Denom_Conv_Fact</f>
        <v>0</v>
      </c>
    </row>
    <row r="309" spans="3:15" s="327" customFormat="1" x14ac:dyDescent="0.2">
      <c r="D309" s="660">
        <f>Oth_Ann_TA!D219</f>
        <v>0</v>
      </c>
      <c r="J309" s="8">
        <f>J298*Oth_Ann_TA!$I219/TS_Denom_Conv_Fact</f>
        <v>0</v>
      </c>
      <c r="K309" s="8">
        <f>K298*Oth_Ann_TA!$I219/TS_Denom_Conv_Fact</f>
        <v>0</v>
      </c>
      <c r="L309" s="8">
        <f>L298*Oth_Ann_TA!$I219/TS_Denom_Conv_Fact</f>
        <v>0</v>
      </c>
      <c r="M309" s="8">
        <f>M298*Oth_Ann_TA!$I219/TS_Denom_Conv_Fact</f>
        <v>0</v>
      </c>
      <c r="N309" s="8">
        <f>N298*Oth_Ann_TA!$I219/TS_Denom_Conv_Fact</f>
        <v>0</v>
      </c>
      <c r="O309" s="8">
        <f>O298*Oth_Ann_TA!$I219/TS_Denom_Conv_Fact</f>
        <v>0</v>
      </c>
    </row>
    <row r="310" spans="3:15" s="327" customFormat="1" x14ac:dyDescent="0.2">
      <c r="D310" s="660">
        <f>Oth_Ann_TA!D220</f>
        <v>0</v>
      </c>
      <c r="J310" s="9">
        <f ca="1">J299*Oth_Ann_TA!$I220/TS_Denom_Conv_Fact</f>
        <v>0</v>
      </c>
      <c r="K310" s="9">
        <f ca="1">K299*Oth_Ann_TA!$I220/TS_Denom_Conv_Fact</f>
        <v>0</v>
      </c>
      <c r="L310" s="9">
        <f ca="1">L299*Oth_Ann_TA!$I220/TS_Denom_Conv_Fact</f>
        <v>0</v>
      </c>
      <c r="M310" s="9">
        <f ca="1">M299*Oth_Ann_TA!$I220/TS_Denom_Conv_Fact</f>
        <v>0</v>
      </c>
      <c r="N310" s="9">
        <f ca="1">N299*Oth_Ann_TA!$I220/TS_Denom_Conv_Fact</f>
        <v>0</v>
      </c>
      <c r="O310" s="9">
        <f ca="1">O299*Oth_Ann_TA!$I220/TS_Denom_Conv_Fact</f>
        <v>0</v>
      </c>
    </row>
    <row r="311" spans="3:15" s="327" customFormat="1" x14ac:dyDescent="0.2">
      <c r="D311" s="659" t="str">
        <f>"Total "&amp;D307</f>
        <v>Total Economic Cost (USD)</v>
      </c>
      <c r="J311" s="25">
        <f t="shared" ref="J311:O311" ca="1" si="43">SUM(J308:J310)</f>
        <v>0</v>
      </c>
      <c r="K311" s="25">
        <f t="shared" ca="1" si="43"/>
        <v>0</v>
      </c>
      <c r="L311" s="25">
        <f t="shared" ca="1" si="43"/>
        <v>0</v>
      </c>
      <c r="M311" s="25">
        <f t="shared" ca="1" si="43"/>
        <v>0</v>
      </c>
      <c r="N311" s="25">
        <f t="shared" ca="1" si="43"/>
        <v>0</v>
      </c>
      <c r="O311" s="25">
        <f t="shared" ca="1" si="43"/>
        <v>0</v>
      </c>
    </row>
    <row r="312" spans="3:15" s="327" customFormat="1" x14ac:dyDescent="0.2"/>
    <row r="313" spans="3:15" s="327" customFormat="1" ht="15.75" x14ac:dyDescent="0.2">
      <c r="C313" s="18" t="str">
        <f>Oth_Ann_TA!C232</f>
        <v>Evaluation</v>
      </c>
    </row>
    <row r="314" spans="3:15" s="327" customFormat="1" x14ac:dyDescent="0.2"/>
    <row r="315" spans="3:15" s="327" customFormat="1" ht="15" x14ac:dyDescent="0.2">
      <c r="D315" s="658" t="s">
        <v>85</v>
      </c>
    </row>
    <row r="316" spans="3:15" s="327" customFormat="1" x14ac:dyDescent="0.2">
      <c r="D316" s="660" t="str">
        <f>Oth_Ann_TA!D235</f>
        <v>National Programme Evaluation</v>
      </c>
      <c r="J316" s="5">
        <f>INDEX(Oth_Ann_TA!J$243:J$247,Oth_Ann_TA!$I238)</f>
        <v>1</v>
      </c>
      <c r="K316" s="5">
        <f>INDEX(Oth_Ann_TA!K$243:K$247,Oth_Ann_TA!$I238)</f>
        <v>1</v>
      </c>
      <c r="L316" s="5">
        <f>INDEX(Oth_Ann_TA!L$243:L$247,Oth_Ann_TA!$I238)</f>
        <v>1</v>
      </c>
      <c r="M316" s="5">
        <f>INDEX(Oth_Ann_TA!M$243:M$247,Oth_Ann_TA!$I238)</f>
        <v>1</v>
      </c>
      <c r="N316" s="5">
        <f>INDEX(Oth_Ann_TA!N$243:N$247,Oth_Ann_TA!$I238)</f>
        <v>1</v>
      </c>
      <c r="O316" s="5">
        <f>INDEX(Oth_Ann_TA!O$243:O$247,Oth_Ann_TA!$I238)</f>
        <v>0</v>
      </c>
    </row>
    <row r="317" spans="3:15" s="327" customFormat="1" x14ac:dyDescent="0.2"/>
    <row r="318" spans="3:15" s="327" customFormat="1" ht="15" x14ac:dyDescent="0.2">
      <c r="D318" s="679" t="str">
        <f>"Financial Cost ("&amp;INDEX(LU_SME_Denom,DD_TS_Denom)&amp;")"</f>
        <v>Financial Cost (USD)</v>
      </c>
    </row>
    <row r="319" spans="3:15" s="327" customFormat="1" x14ac:dyDescent="0.2">
      <c r="D319" s="660" t="str">
        <f>Oth_Ann_TA!D235</f>
        <v>National Programme Evaluation</v>
      </c>
      <c r="J319" s="9">
        <f>J316*Oth_Ann_TA!$H235/TS_Denom_Conv_Fact</f>
        <v>10000</v>
      </c>
      <c r="K319" s="9">
        <f>K316*Oth_Ann_TA!$H235/TS_Denom_Conv_Fact</f>
        <v>10000</v>
      </c>
      <c r="L319" s="9">
        <f>L316*Oth_Ann_TA!$H235/TS_Denom_Conv_Fact</f>
        <v>10000</v>
      </c>
      <c r="M319" s="9">
        <f>M316*Oth_Ann_TA!$H235/TS_Denom_Conv_Fact</f>
        <v>10000</v>
      </c>
      <c r="N319" s="9">
        <f>N316*Oth_Ann_TA!$H235/TS_Denom_Conv_Fact</f>
        <v>10000</v>
      </c>
      <c r="O319" s="9">
        <f>O316*Oth_Ann_TA!$H235/TS_Denom_Conv_Fact</f>
        <v>0</v>
      </c>
    </row>
    <row r="320" spans="3:15" s="327" customFormat="1" x14ac:dyDescent="0.2">
      <c r="D320" s="659" t="str">
        <f>"Total "&amp;D318</f>
        <v>Total Financial Cost (USD)</v>
      </c>
      <c r="J320" s="25">
        <f t="shared" ref="J320:O320" si="44">SUM(J319:J319)</f>
        <v>10000</v>
      </c>
      <c r="K320" s="25">
        <f t="shared" si="44"/>
        <v>10000</v>
      </c>
      <c r="L320" s="25">
        <f t="shared" si="44"/>
        <v>10000</v>
      </c>
      <c r="M320" s="25">
        <f t="shared" si="44"/>
        <v>10000</v>
      </c>
      <c r="N320" s="25">
        <f t="shared" si="44"/>
        <v>10000</v>
      </c>
      <c r="O320" s="25">
        <f t="shared" si="44"/>
        <v>0</v>
      </c>
    </row>
    <row r="321" spans="2:15" s="327" customFormat="1" x14ac:dyDescent="0.2"/>
    <row r="322" spans="2:15" s="327" customFormat="1" ht="15" x14ac:dyDescent="0.2">
      <c r="D322" s="679" t="str">
        <f>"Economic Cost ("&amp;INDEX(LU_SME_Denom,DD_TS_Denom)&amp;")"</f>
        <v>Economic Cost (USD)</v>
      </c>
    </row>
    <row r="323" spans="2:15" s="327" customFormat="1" x14ac:dyDescent="0.2">
      <c r="D323" s="660" t="str">
        <f>Oth_Ann_TA!D235</f>
        <v>National Programme Evaluation</v>
      </c>
      <c r="J323" s="9">
        <f>J316*Oth_Ann_TA!$I235/TS_Denom_Conv_Fact</f>
        <v>15000</v>
      </c>
      <c r="K323" s="9">
        <f>K316*Oth_Ann_TA!$I235/TS_Denom_Conv_Fact</f>
        <v>15000</v>
      </c>
      <c r="L323" s="9">
        <f>L316*Oth_Ann_TA!$I235/TS_Denom_Conv_Fact</f>
        <v>15000</v>
      </c>
      <c r="M323" s="9">
        <f>M316*Oth_Ann_TA!$I235/TS_Denom_Conv_Fact</f>
        <v>15000</v>
      </c>
      <c r="N323" s="9">
        <f>N316*Oth_Ann_TA!$I235/TS_Denom_Conv_Fact</f>
        <v>15000</v>
      </c>
      <c r="O323" s="9">
        <f>O316*Oth_Ann_TA!$I235/TS_Denom_Conv_Fact</f>
        <v>0</v>
      </c>
    </row>
    <row r="324" spans="2:15" s="327" customFormat="1" x14ac:dyDescent="0.2">
      <c r="D324" s="659" t="str">
        <f>"Total "&amp;D322</f>
        <v>Total Economic Cost (USD)</v>
      </c>
      <c r="J324" s="25">
        <f t="shared" ref="J324:O324" si="45">SUM(J323:J323)</f>
        <v>15000</v>
      </c>
      <c r="K324" s="25">
        <f t="shared" si="45"/>
        <v>15000</v>
      </c>
      <c r="L324" s="25">
        <f t="shared" si="45"/>
        <v>15000</v>
      </c>
      <c r="M324" s="25">
        <f t="shared" si="45"/>
        <v>15000</v>
      </c>
      <c r="N324" s="25">
        <f t="shared" si="45"/>
        <v>15000</v>
      </c>
      <c r="O324" s="25">
        <f t="shared" si="45"/>
        <v>0</v>
      </c>
    </row>
    <row r="325" spans="2:15" s="327" customFormat="1" x14ac:dyDescent="0.2"/>
    <row r="326" spans="2:15" s="327" customFormat="1" x14ac:dyDescent="0.2">
      <c r="C326" s="716" t="str">
        <f>"Go to "&amp;HL_SME_Ass</f>
        <v>Go to Supervision, Monitoring, and Evaluation - Assumptions</v>
      </c>
      <c r="D326" s="716"/>
      <c r="E326" s="716"/>
      <c r="F326" s="716"/>
      <c r="G326" s="716"/>
      <c r="H326" s="716"/>
      <c r="I326" s="716"/>
    </row>
    <row r="327" spans="2:15" s="327" customFormat="1" x14ac:dyDescent="0.2">
      <c r="C327" s="716" t="str">
        <f>"Go to "&amp;HL_SME_Out_Sum</f>
        <v>Go to Supervision, Monitoring, and Evaluation - Summary</v>
      </c>
      <c r="D327" s="716"/>
      <c r="E327" s="716"/>
      <c r="F327" s="716"/>
      <c r="G327" s="716"/>
      <c r="H327" s="716"/>
      <c r="I327" s="716"/>
    </row>
    <row r="328" spans="2:15" s="327" customFormat="1" x14ac:dyDescent="0.2"/>
    <row r="329" spans="2:15" s="327" customFormat="1" x14ac:dyDescent="0.2"/>
    <row r="330" spans="2:15" s="327" customFormat="1" ht="18.75" x14ac:dyDescent="0.2">
      <c r="B330" s="426" t="s">
        <v>149</v>
      </c>
    </row>
    <row r="331" spans="2:15" s="327" customFormat="1" x14ac:dyDescent="0.2"/>
    <row r="332" spans="2:15" s="327" customFormat="1" ht="15.75" x14ac:dyDescent="0.2">
      <c r="C332" s="18" t="str">
        <f>Oth_Ann_TA!C264</f>
        <v>Recurrent Cost Items</v>
      </c>
    </row>
    <row r="333" spans="2:15" s="327" customFormat="1" x14ac:dyDescent="0.2"/>
    <row r="334" spans="2:15" s="327" customFormat="1" ht="15" x14ac:dyDescent="0.2">
      <c r="D334" s="679" t="str">
        <f>"Financial Cost ("&amp;INDEX(LU_Oth_Denom,DD_TS_Denom)&amp;")"</f>
        <v>Financial Cost (USD)</v>
      </c>
    </row>
    <row r="335" spans="2:15" s="327" customFormat="1" x14ac:dyDescent="0.2">
      <c r="D335" s="660" t="str">
        <f>Oth_Ann_TA!D267</f>
        <v>Recurrent Cost Category 1</v>
      </c>
      <c r="J335" s="11">
        <f>Oth_Ann_TA!$H267*Oth_Ann_TA!J275/TS_Denom_Conv_Fact</f>
        <v>0</v>
      </c>
      <c r="K335" s="11">
        <f>Oth_Ann_TA!$H267*Oth_Ann_TA!K275/TS_Denom_Conv_Fact</f>
        <v>0</v>
      </c>
      <c r="L335" s="11">
        <f>Oth_Ann_TA!$H267*Oth_Ann_TA!L275/TS_Denom_Conv_Fact</f>
        <v>0</v>
      </c>
      <c r="M335" s="11">
        <f>Oth_Ann_TA!$H267*Oth_Ann_TA!M275/TS_Denom_Conv_Fact</f>
        <v>0</v>
      </c>
      <c r="N335" s="11">
        <f>Oth_Ann_TA!$H267*Oth_Ann_TA!N275/TS_Denom_Conv_Fact</f>
        <v>0</v>
      </c>
      <c r="O335" s="11">
        <f>Oth_Ann_TA!$H267*Oth_Ann_TA!O275/TS_Denom_Conv_Fact</f>
        <v>0</v>
      </c>
    </row>
    <row r="336" spans="2:15" s="327" customFormat="1" x14ac:dyDescent="0.2">
      <c r="D336" s="660" t="str">
        <f>Oth_Ann_TA!D268</f>
        <v>Recurrent Cost Category 2</v>
      </c>
      <c r="J336" s="11">
        <f>Oth_Ann_TA!$H268*Oth_Ann_TA!J276/TS_Denom_Conv_Fact</f>
        <v>0</v>
      </c>
      <c r="K336" s="11">
        <f>Oth_Ann_TA!$H268*Oth_Ann_TA!K276/TS_Denom_Conv_Fact</f>
        <v>0</v>
      </c>
      <c r="L336" s="11">
        <f>Oth_Ann_TA!$H268*Oth_Ann_TA!L276/TS_Denom_Conv_Fact</f>
        <v>0</v>
      </c>
      <c r="M336" s="11">
        <f>Oth_Ann_TA!$H268*Oth_Ann_TA!M276/TS_Denom_Conv_Fact</f>
        <v>0</v>
      </c>
      <c r="N336" s="11">
        <f>Oth_Ann_TA!$H268*Oth_Ann_TA!N276/TS_Denom_Conv_Fact</f>
        <v>0</v>
      </c>
      <c r="O336" s="11">
        <f>Oth_Ann_TA!$H268*Oth_Ann_TA!O276/TS_Denom_Conv_Fact</f>
        <v>0</v>
      </c>
    </row>
    <row r="337" spans="3:15" s="327" customFormat="1" x14ac:dyDescent="0.2">
      <c r="D337" s="660" t="str">
        <f>Oth_Ann_TA!D269</f>
        <v>Recurrent Cost Category 3</v>
      </c>
      <c r="J337" s="11">
        <f>Oth_Ann_TA!$H269*Oth_Ann_TA!J277/TS_Denom_Conv_Fact</f>
        <v>0</v>
      </c>
      <c r="K337" s="11">
        <f>Oth_Ann_TA!$H269*Oth_Ann_TA!K277/TS_Denom_Conv_Fact</f>
        <v>0</v>
      </c>
      <c r="L337" s="11">
        <f>Oth_Ann_TA!$H269*Oth_Ann_TA!L277/TS_Denom_Conv_Fact</f>
        <v>0</v>
      </c>
      <c r="M337" s="11">
        <f>Oth_Ann_TA!$H269*Oth_Ann_TA!M277/TS_Denom_Conv_Fact</f>
        <v>0</v>
      </c>
      <c r="N337" s="11">
        <f>Oth_Ann_TA!$H269*Oth_Ann_TA!N277/TS_Denom_Conv_Fact</f>
        <v>0</v>
      </c>
      <c r="O337" s="11">
        <f>Oth_Ann_TA!$H269*Oth_Ann_TA!O277/TS_Denom_Conv_Fact</f>
        <v>0</v>
      </c>
    </row>
    <row r="338" spans="3:15" s="327" customFormat="1" x14ac:dyDescent="0.2">
      <c r="D338" s="660" t="str">
        <f>Oth_Ann_TA!D270</f>
        <v>Recurrent Cost Category 4</v>
      </c>
      <c r="J338" s="11">
        <f>Oth_Ann_TA!$H270*Oth_Ann_TA!J278/TS_Denom_Conv_Fact</f>
        <v>0</v>
      </c>
      <c r="K338" s="11">
        <f>Oth_Ann_TA!$H270*Oth_Ann_TA!K278/TS_Denom_Conv_Fact</f>
        <v>0</v>
      </c>
      <c r="L338" s="11">
        <f>Oth_Ann_TA!$H270*Oth_Ann_TA!L278/TS_Denom_Conv_Fact</f>
        <v>0</v>
      </c>
      <c r="M338" s="11">
        <f>Oth_Ann_TA!$H270*Oth_Ann_TA!M278/TS_Denom_Conv_Fact</f>
        <v>0</v>
      </c>
      <c r="N338" s="11">
        <f>Oth_Ann_TA!$H270*Oth_Ann_TA!N278/TS_Denom_Conv_Fact</f>
        <v>0</v>
      </c>
      <c r="O338" s="11">
        <f>Oth_Ann_TA!$H270*Oth_Ann_TA!O278/TS_Denom_Conv_Fact</f>
        <v>0</v>
      </c>
    </row>
    <row r="339" spans="3:15" s="327" customFormat="1" x14ac:dyDescent="0.2">
      <c r="D339" s="660" t="str">
        <f>Oth_Ann_TA!D271</f>
        <v>Recurrent Cost Category 5</v>
      </c>
      <c r="J339" s="11">
        <f>Oth_Ann_TA!$H271*Oth_Ann_TA!J279/TS_Denom_Conv_Fact</f>
        <v>0</v>
      </c>
      <c r="K339" s="11">
        <f>Oth_Ann_TA!$H271*Oth_Ann_TA!K279/TS_Denom_Conv_Fact</f>
        <v>0</v>
      </c>
      <c r="L339" s="11">
        <f>Oth_Ann_TA!$H271*Oth_Ann_TA!L279/TS_Denom_Conv_Fact</f>
        <v>0</v>
      </c>
      <c r="M339" s="11">
        <f>Oth_Ann_TA!$H271*Oth_Ann_TA!M279/TS_Denom_Conv_Fact</f>
        <v>0</v>
      </c>
      <c r="N339" s="11">
        <f>Oth_Ann_TA!$H271*Oth_Ann_TA!N279/TS_Denom_Conv_Fact</f>
        <v>0</v>
      </c>
      <c r="O339" s="11">
        <f>Oth_Ann_TA!$H271*Oth_Ann_TA!O279/TS_Denom_Conv_Fact</f>
        <v>0</v>
      </c>
    </row>
    <row r="340" spans="3:15" s="327" customFormat="1" x14ac:dyDescent="0.2">
      <c r="D340" s="660" t="str">
        <f>Oth_Ann_TA!D272</f>
        <v>Recurrent Cost Category 6</v>
      </c>
      <c r="J340" s="12">
        <f>Oth_Ann_TA!$H272*Oth_Ann_TA!J280/TS_Denom_Conv_Fact</f>
        <v>0</v>
      </c>
      <c r="K340" s="12">
        <f>Oth_Ann_TA!$H272*Oth_Ann_TA!K280/TS_Denom_Conv_Fact</f>
        <v>0</v>
      </c>
      <c r="L340" s="12">
        <f>Oth_Ann_TA!$H272*Oth_Ann_TA!L280/TS_Denom_Conv_Fact</f>
        <v>0</v>
      </c>
      <c r="M340" s="12">
        <f>Oth_Ann_TA!$H272*Oth_Ann_TA!M280/TS_Denom_Conv_Fact</f>
        <v>0</v>
      </c>
      <c r="N340" s="12">
        <f>Oth_Ann_TA!$H272*Oth_Ann_TA!N280/TS_Denom_Conv_Fact</f>
        <v>0</v>
      </c>
      <c r="O340" s="12">
        <f>Oth_Ann_TA!$H272*Oth_Ann_TA!O280/TS_Denom_Conv_Fact</f>
        <v>0</v>
      </c>
    </row>
    <row r="341" spans="3:15" s="327" customFormat="1" x14ac:dyDescent="0.2">
      <c r="D341" s="659" t="str">
        <f>"Total "&amp;D334</f>
        <v>Total Financial Cost (USD)</v>
      </c>
      <c r="J341" s="28">
        <f t="shared" ref="J341:O341" si="46">SUM(J335:J340)</f>
        <v>0</v>
      </c>
      <c r="K341" s="28">
        <f t="shared" si="46"/>
        <v>0</v>
      </c>
      <c r="L341" s="28">
        <f t="shared" si="46"/>
        <v>0</v>
      </c>
      <c r="M341" s="28">
        <f t="shared" si="46"/>
        <v>0</v>
      </c>
      <c r="N341" s="28">
        <f t="shared" si="46"/>
        <v>0</v>
      </c>
      <c r="O341" s="28">
        <f t="shared" si="46"/>
        <v>0</v>
      </c>
    </row>
    <row r="342" spans="3:15" s="327" customFormat="1" x14ac:dyDescent="0.2"/>
    <row r="343" spans="3:15" s="327" customFormat="1" ht="15" x14ac:dyDescent="0.2">
      <c r="D343" s="679" t="str">
        <f>"Economic Cost ("&amp;INDEX(LU_Oth_Denom,DD_TS_Denom)&amp;")"</f>
        <v>Economic Cost (USD)</v>
      </c>
    </row>
    <row r="344" spans="3:15" s="327" customFormat="1" x14ac:dyDescent="0.2">
      <c r="D344" s="660" t="str">
        <f>Oth_Ann_TA!D267</f>
        <v>Recurrent Cost Category 1</v>
      </c>
      <c r="J344" s="11">
        <f>Oth_Ann_TA!$I267*Oth_Ann_TA!J275/TS_Denom_Conv_Fact</f>
        <v>0</v>
      </c>
      <c r="K344" s="11">
        <f>Oth_Ann_TA!$I267*Oth_Ann_TA!K275/TS_Denom_Conv_Fact</f>
        <v>0</v>
      </c>
      <c r="L344" s="11">
        <f>Oth_Ann_TA!$I267*Oth_Ann_TA!L275/TS_Denom_Conv_Fact</f>
        <v>0</v>
      </c>
      <c r="M344" s="11">
        <f>Oth_Ann_TA!$I267*Oth_Ann_TA!M275/TS_Denom_Conv_Fact</f>
        <v>0</v>
      </c>
      <c r="N344" s="11">
        <f>Oth_Ann_TA!$I267*Oth_Ann_TA!N275/TS_Denom_Conv_Fact</f>
        <v>0</v>
      </c>
      <c r="O344" s="11">
        <f>Oth_Ann_TA!$I267*Oth_Ann_TA!O275/TS_Denom_Conv_Fact</f>
        <v>0</v>
      </c>
    </row>
    <row r="345" spans="3:15" s="327" customFormat="1" x14ac:dyDescent="0.2">
      <c r="D345" s="660" t="str">
        <f>Oth_Ann_TA!D268</f>
        <v>Recurrent Cost Category 2</v>
      </c>
      <c r="J345" s="11">
        <f>Oth_Ann_TA!$I268*Oth_Ann_TA!J276/TS_Denom_Conv_Fact</f>
        <v>0</v>
      </c>
      <c r="K345" s="11">
        <f>Oth_Ann_TA!$I268*Oth_Ann_TA!K276/TS_Denom_Conv_Fact</f>
        <v>0</v>
      </c>
      <c r="L345" s="11">
        <f>Oth_Ann_TA!$I268*Oth_Ann_TA!L276/TS_Denom_Conv_Fact</f>
        <v>0</v>
      </c>
      <c r="M345" s="11">
        <f>Oth_Ann_TA!$I268*Oth_Ann_TA!M276/TS_Denom_Conv_Fact</f>
        <v>0</v>
      </c>
      <c r="N345" s="11">
        <f>Oth_Ann_TA!$I268*Oth_Ann_TA!N276/TS_Denom_Conv_Fact</f>
        <v>0</v>
      </c>
      <c r="O345" s="11">
        <f>Oth_Ann_TA!$I268*Oth_Ann_TA!O276/TS_Denom_Conv_Fact</f>
        <v>0</v>
      </c>
    </row>
    <row r="346" spans="3:15" s="327" customFormat="1" x14ac:dyDescent="0.2">
      <c r="D346" s="660" t="str">
        <f>Oth_Ann_TA!D269</f>
        <v>Recurrent Cost Category 3</v>
      </c>
      <c r="J346" s="11">
        <f>Oth_Ann_TA!$I269*Oth_Ann_TA!J277/TS_Denom_Conv_Fact</f>
        <v>0</v>
      </c>
      <c r="K346" s="11">
        <f>Oth_Ann_TA!$I269*Oth_Ann_TA!K277/TS_Denom_Conv_Fact</f>
        <v>0</v>
      </c>
      <c r="L346" s="11">
        <f>Oth_Ann_TA!$I269*Oth_Ann_TA!L277/TS_Denom_Conv_Fact</f>
        <v>0</v>
      </c>
      <c r="M346" s="11">
        <f>Oth_Ann_TA!$I269*Oth_Ann_TA!M277/TS_Denom_Conv_Fact</f>
        <v>0</v>
      </c>
      <c r="N346" s="11">
        <f>Oth_Ann_TA!$I269*Oth_Ann_TA!N277/TS_Denom_Conv_Fact</f>
        <v>0</v>
      </c>
      <c r="O346" s="11">
        <f>Oth_Ann_TA!$I269*Oth_Ann_TA!O277/TS_Denom_Conv_Fact</f>
        <v>0</v>
      </c>
    </row>
    <row r="347" spans="3:15" s="327" customFormat="1" x14ac:dyDescent="0.2">
      <c r="D347" s="660" t="str">
        <f>Oth_Ann_TA!D270</f>
        <v>Recurrent Cost Category 4</v>
      </c>
      <c r="J347" s="11">
        <f>Oth_Ann_TA!$I270*Oth_Ann_TA!J278/TS_Denom_Conv_Fact</f>
        <v>0</v>
      </c>
      <c r="K347" s="11">
        <f>Oth_Ann_TA!$I270*Oth_Ann_TA!K278/TS_Denom_Conv_Fact</f>
        <v>0</v>
      </c>
      <c r="L347" s="11">
        <f>Oth_Ann_TA!$I270*Oth_Ann_TA!L278/TS_Denom_Conv_Fact</f>
        <v>0</v>
      </c>
      <c r="M347" s="11">
        <f>Oth_Ann_TA!$I270*Oth_Ann_TA!M278/TS_Denom_Conv_Fact</f>
        <v>0</v>
      </c>
      <c r="N347" s="11">
        <f>Oth_Ann_TA!$I270*Oth_Ann_TA!N278/TS_Denom_Conv_Fact</f>
        <v>0</v>
      </c>
      <c r="O347" s="11">
        <f>Oth_Ann_TA!$I270*Oth_Ann_TA!O278/TS_Denom_Conv_Fact</f>
        <v>0</v>
      </c>
    </row>
    <row r="348" spans="3:15" s="327" customFormat="1" x14ac:dyDescent="0.2">
      <c r="D348" s="660" t="str">
        <f>Oth_Ann_TA!D271</f>
        <v>Recurrent Cost Category 5</v>
      </c>
      <c r="J348" s="11">
        <f>Oth_Ann_TA!$I271*Oth_Ann_TA!J279/TS_Denom_Conv_Fact</f>
        <v>0</v>
      </c>
      <c r="K348" s="11">
        <f>Oth_Ann_TA!$I271*Oth_Ann_TA!K279/TS_Denom_Conv_Fact</f>
        <v>0</v>
      </c>
      <c r="L348" s="11">
        <f>Oth_Ann_TA!$I271*Oth_Ann_TA!L279/TS_Denom_Conv_Fact</f>
        <v>0</v>
      </c>
      <c r="M348" s="11">
        <f>Oth_Ann_TA!$I271*Oth_Ann_TA!M279/TS_Denom_Conv_Fact</f>
        <v>0</v>
      </c>
      <c r="N348" s="11">
        <f>Oth_Ann_TA!$I271*Oth_Ann_TA!N279/TS_Denom_Conv_Fact</f>
        <v>0</v>
      </c>
      <c r="O348" s="11">
        <f>Oth_Ann_TA!$I271*Oth_Ann_TA!O279/TS_Denom_Conv_Fact</f>
        <v>0</v>
      </c>
    </row>
    <row r="349" spans="3:15" s="327" customFormat="1" x14ac:dyDescent="0.2">
      <c r="D349" s="660" t="str">
        <f>Oth_Ann_TA!D272</f>
        <v>Recurrent Cost Category 6</v>
      </c>
      <c r="J349" s="12">
        <f>Oth_Ann_TA!$I272*Oth_Ann_TA!J280/TS_Denom_Conv_Fact</f>
        <v>0</v>
      </c>
      <c r="K349" s="12">
        <f>Oth_Ann_TA!$I272*Oth_Ann_TA!K280/TS_Denom_Conv_Fact</f>
        <v>0</v>
      </c>
      <c r="L349" s="12">
        <f>Oth_Ann_TA!$I272*Oth_Ann_TA!L280/TS_Denom_Conv_Fact</f>
        <v>0</v>
      </c>
      <c r="M349" s="12">
        <f>Oth_Ann_TA!$I272*Oth_Ann_TA!M280/TS_Denom_Conv_Fact</f>
        <v>0</v>
      </c>
      <c r="N349" s="12">
        <f>Oth_Ann_TA!$I272*Oth_Ann_TA!N280/TS_Denom_Conv_Fact</f>
        <v>0</v>
      </c>
      <c r="O349" s="12">
        <f>Oth_Ann_TA!$I272*Oth_Ann_TA!O280/TS_Denom_Conv_Fact</f>
        <v>0</v>
      </c>
    </row>
    <row r="350" spans="3:15" s="327" customFormat="1" x14ac:dyDescent="0.2">
      <c r="D350" s="659" t="str">
        <f>"Total "&amp;D343</f>
        <v>Total Economic Cost (USD)</v>
      </c>
      <c r="J350" s="28">
        <f t="shared" ref="J350:O350" si="47">SUM(J344:J349)</f>
        <v>0</v>
      </c>
      <c r="K350" s="28">
        <f t="shared" si="47"/>
        <v>0</v>
      </c>
      <c r="L350" s="28">
        <f t="shared" si="47"/>
        <v>0</v>
      </c>
      <c r="M350" s="28">
        <f t="shared" si="47"/>
        <v>0</v>
      </c>
      <c r="N350" s="28">
        <f t="shared" si="47"/>
        <v>0</v>
      </c>
      <c r="O350" s="28">
        <f t="shared" si="47"/>
        <v>0</v>
      </c>
    </row>
    <row r="351" spans="3:15" s="327" customFormat="1" x14ac:dyDescent="0.2"/>
    <row r="352" spans="3:15" s="327" customFormat="1" ht="15.75" x14ac:dyDescent="0.2">
      <c r="C352" s="18" t="str">
        <f>Oth_Ann_TA!C282</f>
        <v>Additional Capital Goods</v>
      </c>
    </row>
    <row r="353" spans="4:15" s="327" customFormat="1" x14ac:dyDescent="0.2"/>
    <row r="354" spans="4:15" s="327" customFormat="1" ht="45" x14ac:dyDescent="0.2">
      <c r="D354" s="646" t="str">
        <f>Oth_Ann_TA!D284</f>
        <v>Categories</v>
      </c>
      <c r="H354" s="626" t="str">
        <f>"Annualized Financial Unit ("&amp;INDEX(LU_Oth_Curr,DD_Oth_Curr)&amp;")"</f>
        <v>Annualized Financial Unit (USD)</v>
      </c>
      <c r="I354" s="626" t="str">
        <f>"Annualized Economic Unit ("&amp;INDEX(LU_Oth_Curr,DD_Oth_Curr)&amp;")"</f>
        <v>Annualized Economic Unit (USD)</v>
      </c>
    </row>
    <row r="355" spans="4:15" s="327" customFormat="1" x14ac:dyDescent="0.2">
      <c r="D355" s="660" t="str">
        <f>Oth_Ann_TA!D285</f>
        <v>Capital Goods Category 1</v>
      </c>
      <c r="H355" s="14">
        <f>IFERROR(Oth_Ann_TA!H285/Oth_Ann_TA!J285,0)</f>
        <v>0</v>
      </c>
      <c r="I355" s="14">
        <f>IFERROR(Oth_Ann_TA!H285/(((1+ Oth_Ann_TA!$I$300)^Oth_Ann_TA!J285-1)/(Oth_Ann_TA!$I$300*(1+Oth_Ann_TA!$I$300)^Oth_Ann_TA!J285)),0)</f>
        <v>0</v>
      </c>
    </row>
    <row r="356" spans="4:15" s="327" customFormat="1" x14ac:dyDescent="0.2">
      <c r="D356" s="660" t="str">
        <f>Oth_Ann_TA!D286</f>
        <v>Capital Goods Category 2</v>
      </c>
      <c r="H356" s="14">
        <f>IFERROR(Oth_Ann_TA!H286/Oth_Ann_TA!J286,0)</f>
        <v>0</v>
      </c>
      <c r="I356" s="14">
        <f>IFERROR(Oth_Ann_TA!H286/(((1+ Oth_Ann_TA!$I$300)^Oth_Ann_TA!J286-1)/(Oth_Ann_TA!$I$300*(1+Oth_Ann_TA!$I$300)^Oth_Ann_TA!J286)),0)</f>
        <v>0</v>
      </c>
    </row>
    <row r="357" spans="4:15" s="327" customFormat="1" x14ac:dyDescent="0.2">
      <c r="D357" s="660" t="str">
        <f>Oth_Ann_TA!D287</f>
        <v>Capital Goods Category 3</v>
      </c>
      <c r="H357" s="14">
        <f>IFERROR(Oth_Ann_TA!H287/Oth_Ann_TA!J287,0)</f>
        <v>0</v>
      </c>
      <c r="I357" s="14">
        <f>IFERROR(Oth_Ann_TA!H287/(((1+ Oth_Ann_TA!$I$300)^Oth_Ann_TA!J287-1)/(Oth_Ann_TA!$I$300*(1+Oth_Ann_TA!$I$300)^Oth_Ann_TA!J287)),0)</f>
        <v>0</v>
      </c>
    </row>
    <row r="358" spans="4:15" s="327" customFormat="1" x14ac:dyDescent="0.2">
      <c r="D358" s="660" t="str">
        <f>Oth_Ann_TA!D288</f>
        <v>Capital Goods Category 4</v>
      </c>
      <c r="H358" s="14">
        <f>IFERROR(Oth_Ann_TA!H288/Oth_Ann_TA!J288,0)</f>
        <v>0</v>
      </c>
      <c r="I358" s="14">
        <f>IFERROR(Oth_Ann_TA!H288/(((1+ Oth_Ann_TA!$I$300)^Oth_Ann_TA!J288-1)/(Oth_Ann_TA!$I$300*(1+Oth_Ann_TA!$I$300)^Oth_Ann_TA!J288)),0)</f>
        <v>0</v>
      </c>
    </row>
    <row r="359" spans="4:15" s="327" customFormat="1" x14ac:dyDescent="0.2">
      <c r="D359" s="660" t="str">
        <f>Oth_Ann_TA!D289</f>
        <v>Capital Goods Category 5</v>
      </c>
      <c r="H359" s="14">
        <f>IFERROR(Oth_Ann_TA!H289/Oth_Ann_TA!J289,0)</f>
        <v>0</v>
      </c>
      <c r="I359" s="14">
        <f>IFERROR(Oth_Ann_TA!H289/(((1+ Oth_Ann_TA!$I$300)^Oth_Ann_TA!J289-1)/(Oth_Ann_TA!$I$300*(1+Oth_Ann_TA!$I$300)^Oth_Ann_TA!J289)),0)</f>
        <v>0</v>
      </c>
    </row>
    <row r="360" spans="4:15" s="327" customFormat="1" x14ac:dyDescent="0.2">
      <c r="D360" s="660" t="str">
        <f>Oth_Ann_TA!D290</f>
        <v>Capital Goods Category 6</v>
      </c>
      <c r="H360" s="14">
        <f>IFERROR(Oth_Ann_TA!H290/Oth_Ann_TA!J290,0)</f>
        <v>0</v>
      </c>
      <c r="I360" s="14">
        <f>IFERROR(Oth_Ann_TA!H290/(((1+ Oth_Ann_TA!$I$300)^Oth_Ann_TA!J290-1)/(Oth_Ann_TA!$I$300*(1+Oth_Ann_TA!$I$300)^Oth_Ann_TA!J290)),0)</f>
        <v>0</v>
      </c>
    </row>
    <row r="361" spans="4:15" s="327" customFormat="1" x14ac:dyDescent="0.2"/>
    <row r="362" spans="4:15" s="327" customFormat="1" ht="15" x14ac:dyDescent="0.2">
      <c r="D362" s="679" t="str">
        <f>"Financial Cost ("&amp;INDEX(LU_Oth_Denom,DD_TS_Denom)&amp;")"</f>
        <v>Financial Cost (USD)</v>
      </c>
    </row>
    <row r="363" spans="4:15" s="327" customFormat="1" x14ac:dyDescent="0.2">
      <c r="D363" s="660" t="str">
        <f>Oth_Ann_TA!D285</f>
        <v>Capital Goods Category 1</v>
      </c>
      <c r="J363" s="11">
        <f>Oth_Ann_TA!$I285*$H355/TS_Denom_Conv_Fact</f>
        <v>0</v>
      </c>
      <c r="K363" s="11">
        <f>Oth_Ann_TA!$I285*$H355/TS_Denom_Conv_Fact</f>
        <v>0</v>
      </c>
      <c r="L363" s="11">
        <f>Oth_Ann_TA!$I285*$H355/TS_Denom_Conv_Fact</f>
        <v>0</v>
      </c>
      <c r="M363" s="11">
        <f>Oth_Ann_TA!$I285*$H355/TS_Denom_Conv_Fact</f>
        <v>0</v>
      </c>
      <c r="N363" s="11">
        <f>Oth_Ann_TA!$I285*$H355/TS_Denom_Conv_Fact</f>
        <v>0</v>
      </c>
      <c r="O363" s="11">
        <f>Oth_Ann_TA!$I285*$H355/TS_Denom_Conv_Fact</f>
        <v>0</v>
      </c>
    </row>
    <row r="364" spans="4:15" s="327" customFormat="1" x14ac:dyDescent="0.2">
      <c r="D364" s="660" t="str">
        <f>Oth_Ann_TA!D286</f>
        <v>Capital Goods Category 2</v>
      </c>
      <c r="J364" s="11">
        <f>Oth_Ann_TA!$I286*$H356/TS_Denom_Conv_Fact</f>
        <v>0</v>
      </c>
      <c r="K364" s="11">
        <f>Oth_Ann_TA!$I286*$H356/TS_Denom_Conv_Fact</f>
        <v>0</v>
      </c>
      <c r="L364" s="11">
        <f>Oth_Ann_TA!$I286*$H356/TS_Denom_Conv_Fact</f>
        <v>0</v>
      </c>
      <c r="M364" s="11">
        <f>Oth_Ann_TA!$I286*$H356/TS_Denom_Conv_Fact</f>
        <v>0</v>
      </c>
      <c r="N364" s="11">
        <f>Oth_Ann_TA!$I286*$H356/TS_Denom_Conv_Fact</f>
        <v>0</v>
      </c>
      <c r="O364" s="11">
        <f>Oth_Ann_TA!$I286*$H356/TS_Denom_Conv_Fact</f>
        <v>0</v>
      </c>
    </row>
    <row r="365" spans="4:15" s="327" customFormat="1" x14ac:dyDescent="0.2">
      <c r="D365" s="660" t="str">
        <f>Oth_Ann_TA!D287</f>
        <v>Capital Goods Category 3</v>
      </c>
      <c r="J365" s="11">
        <f>Oth_Ann_TA!$I287*$H357/TS_Denom_Conv_Fact</f>
        <v>0</v>
      </c>
      <c r="K365" s="11">
        <f>Oth_Ann_TA!$I287*$H357/TS_Denom_Conv_Fact</f>
        <v>0</v>
      </c>
      <c r="L365" s="11">
        <f>Oth_Ann_TA!$I287*$H357/TS_Denom_Conv_Fact</f>
        <v>0</v>
      </c>
      <c r="M365" s="11">
        <f>Oth_Ann_TA!$I287*$H357/TS_Denom_Conv_Fact</f>
        <v>0</v>
      </c>
      <c r="N365" s="11">
        <f>Oth_Ann_TA!$I287*$H357/TS_Denom_Conv_Fact</f>
        <v>0</v>
      </c>
      <c r="O365" s="11">
        <f>Oth_Ann_TA!$I287*$H357/TS_Denom_Conv_Fact</f>
        <v>0</v>
      </c>
    </row>
    <row r="366" spans="4:15" s="327" customFormat="1" x14ac:dyDescent="0.2">
      <c r="D366" s="660" t="str">
        <f>Oth_Ann_TA!D288</f>
        <v>Capital Goods Category 4</v>
      </c>
      <c r="J366" s="11">
        <f>Oth_Ann_TA!$I288*$H358/TS_Denom_Conv_Fact</f>
        <v>0</v>
      </c>
      <c r="K366" s="11">
        <f>Oth_Ann_TA!$I288*$H358/TS_Denom_Conv_Fact</f>
        <v>0</v>
      </c>
      <c r="L366" s="11">
        <f>Oth_Ann_TA!$I288*$H358/TS_Denom_Conv_Fact</f>
        <v>0</v>
      </c>
      <c r="M366" s="11">
        <f>Oth_Ann_TA!$I288*$H358/TS_Denom_Conv_Fact</f>
        <v>0</v>
      </c>
      <c r="N366" s="11">
        <f>Oth_Ann_TA!$I288*$H358/TS_Denom_Conv_Fact</f>
        <v>0</v>
      </c>
      <c r="O366" s="11">
        <f>Oth_Ann_TA!$I288*$H358/TS_Denom_Conv_Fact</f>
        <v>0</v>
      </c>
    </row>
    <row r="367" spans="4:15" s="327" customFormat="1" x14ac:dyDescent="0.2">
      <c r="D367" s="660" t="str">
        <f>Oth_Ann_TA!D289</f>
        <v>Capital Goods Category 5</v>
      </c>
      <c r="J367" s="11">
        <f>Oth_Ann_TA!$I289*$H359/TS_Denom_Conv_Fact</f>
        <v>0</v>
      </c>
      <c r="K367" s="11">
        <f>Oth_Ann_TA!$I289*$H359/TS_Denom_Conv_Fact</f>
        <v>0</v>
      </c>
      <c r="L367" s="11">
        <f>Oth_Ann_TA!$I289*$H359/TS_Denom_Conv_Fact</f>
        <v>0</v>
      </c>
      <c r="M367" s="11">
        <f>Oth_Ann_TA!$I289*$H359/TS_Denom_Conv_Fact</f>
        <v>0</v>
      </c>
      <c r="N367" s="11">
        <f>Oth_Ann_TA!$I289*$H359/TS_Denom_Conv_Fact</f>
        <v>0</v>
      </c>
      <c r="O367" s="11">
        <f>Oth_Ann_TA!$I289*$H359/TS_Denom_Conv_Fact</f>
        <v>0</v>
      </c>
    </row>
    <row r="368" spans="4:15" s="327" customFormat="1" x14ac:dyDescent="0.2">
      <c r="D368" s="660" t="str">
        <f>Oth_Ann_TA!D290</f>
        <v>Capital Goods Category 6</v>
      </c>
      <c r="J368" s="12">
        <f>Oth_Ann_TA!$I290*$H360/TS_Denom_Conv_Fact</f>
        <v>0</v>
      </c>
      <c r="K368" s="12">
        <f>Oth_Ann_TA!$I290*$H360/TS_Denom_Conv_Fact</f>
        <v>0</v>
      </c>
      <c r="L368" s="12">
        <f>Oth_Ann_TA!$I290*$H360/TS_Denom_Conv_Fact</f>
        <v>0</v>
      </c>
      <c r="M368" s="12">
        <f>Oth_Ann_TA!$I290*$H360/TS_Denom_Conv_Fact</f>
        <v>0</v>
      </c>
      <c r="N368" s="12">
        <f>Oth_Ann_TA!$I290*$H360/TS_Denom_Conv_Fact</f>
        <v>0</v>
      </c>
      <c r="O368" s="12">
        <f>Oth_Ann_TA!$I290*$H360/TS_Denom_Conv_Fact</f>
        <v>0</v>
      </c>
    </row>
    <row r="369" spans="3:15" s="327" customFormat="1" x14ac:dyDescent="0.2">
      <c r="D369" s="659" t="str">
        <f>"Total "&amp;D362</f>
        <v>Total Financial Cost (USD)</v>
      </c>
      <c r="J369" s="28">
        <f t="shared" ref="J369:O369" si="48">SUM(J363:J368)</f>
        <v>0</v>
      </c>
      <c r="K369" s="28">
        <f t="shared" si="48"/>
        <v>0</v>
      </c>
      <c r="L369" s="28">
        <f t="shared" si="48"/>
        <v>0</v>
      </c>
      <c r="M369" s="28">
        <f t="shared" si="48"/>
        <v>0</v>
      </c>
      <c r="N369" s="28">
        <f t="shared" si="48"/>
        <v>0</v>
      </c>
      <c r="O369" s="28">
        <f t="shared" si="48"/>
        <v>0</v>
      </c>
    </row>
    <row r="370" spans="3:15" s="327" customFormat="1" x14ac:dyDescent="0.2"/>
    <row r="371" spans="3:15" s="327" customFormat="1" ht="15" x14ac:dyDescent="0.2">
      <c r="D371" s="679" t="str">
        <f>"Economic Cost ("&amp;INDEX(LU_Oth_Denom,DD_TS_Denom)&amp;")"</f>
        <v>Economic Cost (USD)</v>
      </c>
    </row>
    <row r="372" spans="3:15" s="327" customFormat="1" x14ac:dyDescent="0.2">
      <c r="D372" s="660" t="str">
        <f>Oth_Ann_TA!D285</f>
        <v>Capital Goods Category 1</v>
      </c>
      <c r="J372" s="11">
        <f>Oth_Ann_TA!$I285*IF($I355,$I355,$H355)/TS_Denom_Conv_Fact</f>
        <v>0</v>
      </c>
      <c r="K372" s="11">
        <f>Oth_Ann_TA!$I285*IF($I355,$I355,$H355)/TS_Denom_Conv_Fact</f>
        <v>0</v>
      </c>
      <c r="L372" s="11">
        <f>Oth_Ann_TA!$I285*IF($I355,$I355,$H355)/TS_Denom_Conv_Fact</f>
        <v>0</v>
      </c>
      <c r="M372" s="11">
        <f>Oth_Ann_TA!$I285*IF($I355,$I355,$H355)/TS_Denom_Conv_Fact</f>
        <v>0</v>
      </c>
      <c r="N372" s="11">
        <f>Oth_Ann_TA!$I285*IF($I355,$I355,$H355)/TS_Denom_Conv_Fact</f>
        <v>0</v>
      </c>
      <c r="O372" s="11">
        <f>Oth_Ann_TA!$I285*IF($I355,$I355,$H355)/TS_Denom_Conv_Fact</f>
        <v>0</v>
      </c>
    </row>
    <row r="373" spans="3:15" s="327" customFormat="1" x14ac:dyDescent="0.2">
      <c r="D373" s="660" t="str">
        <f>Oth_Ann_TA!D286</f>
        <v>Capital Goods Category 2</v>
      </c>
      <c r="J373" s="11">
        <f>Oth_Ann_TA!$I286*IF($I356,$I356,$H356)/TS_Denom_Conv_Fact</f>
        <v>0</v>
      </c>
      <c r="K373" s="11">
        <f>Oth_Ann_TA!$I286*IF($I356,$I356,$H356)/TS_Denom_Conv_Fact</f>
        <v>0</v>
      </c>
      <c r="L373" s="11">
        <f>Oth_Ann_TA!$I286*IF($I356,$I356,$H356)/TS_Denom_Conv_Fact</f>
        <v>0</v>
      </c>
      <c r="M373" s="11">
        <f>Oth_Ann_TA!$I286*IF($I356,$I356,$H356)/TS_Denom_Conv_Fact</f>
        <v>0</v>
      </c>
      <c r="N373" s="11">
        <f>Oth_Ann_TA!$I286*IF($I356,$I356,$H356)/TS_Denom_Conv_Fact</f>
        <v>0</v>
      </c>
      <c r="O373" s="11">
        <f>Oth_Ann_TA!$I286*IF($I356,$I356,$H356)/TS_Denom_Conv_Fact</f>
        <v>0</v>
      </c>
    </row>
    <row r="374" spans="3:15" s="327" customFormat="1" x14ac:dyDescent="0.2">
      <c r="D374" s="660" t="str">
        <f>Oth_Ann_TA!D287</f>
        <v>Capital Goods Category 3</v>
      </c>
      <c r="J374" s="11">
        <f>Oth_Ann_TA!$I287*IF($I357,$I357,$H357)/TS_Denom_Conv_Fact</f>
        <v>0</v>
      </c>
      <c r="K374" s="11">
        <f>Oth_Ann_TA!$I287*IF($I357,$I357,$H357)/TS_Denom_Conv_Fact</f>
        <v>0</v>
      </c>
      <c r="L374" s="11">
        <f>Oth_Ann_TA!$I287*IF($I357,$I357,$H357)/TS_Denom_Conv_Fact</f>
        <v>0</v>
      </c>
      <c r="M374" s="11">
        <f>Oth_Ann_TA!$I287*IF($I357,$I357,$H357)/TS_Denom_Conv_Fact</f>
        <v>0</v>
      </c>
      <c r="N374" s="11">
        <f>Oth_Ann_TA!$I287*IF($I357,$I357,$H357)/TS_Denom_Conv_Fact</f>
        <v>0</v>
      </c>
      <c r="O374" s="11">
        <f>Oth_Ann_TA!$I287*IF($I357,$I357,$H357)/TS_Denom_Conv_Fact</f>
        <v>0</v>
      </c>
    </row>
    <row r="375" spans="3:15" s="327" customFormat="1" x14ac:dyDescent="0.2">
      <c r="D375" s="660" t="str">
        <f>Oth_Ann_TA!D288</f>
        <v>Capital Goods Category 4</v>
      </c>
      <c r="J375" s="11">
        <f>Oth_Ann_TA!$I288*IF($I358,$I358,$H358)/TS_Denom_Conv_Fact</f>
        <v>0</v>
      </c>
      <c r="K375" s="11">
        <f>Oth_Ann_TA!$I288*IF($I358,$I358,$H358)/TS_Denom_Conv_Fact</f>
        <v>0</v>
      </c>
      <c r="L375" s="11">
        <f>Oth_Ann_TA!$I288*IF($I358,$I358,$H358)/TS_Denom_Conv_Fact</f>
        <v>0</v>
      </c>
      <c r="M375" s="11">
        <f>Oth_Ann_TA!$I288*IF($I358,$I358,$H358)/TS_Denom_Conv_Fact</f>
        <v>0</v>
      </c>
      <c r="N375" s="11">
        <f>Oth_Ann_TA!$I288*IF($I358,$I358,$H358)/TS_Denom_Conv_Fact</f>
        <v>0</v>
      </c>
      <c r="O375" s="11">
        <f>Oth_Ann_TA!$I288*IF($I358,$I358,$H358)/TS_Denom_Conv_Fact</f>
        <v>0</v>
      </c>
    </row>
    <row r="376" spans="3:15" s="327" customFormat="1" x14ac:dyDescent="0.2">
      <c r="D376" s="660" t="str">
        <f>Oth_Ann_TA!D289</f>
        <v>Capital Goods Category 5</v>
      </c>
      <c r="J376" s="11">
        <f>Oth_Ann_TA!$I289*IF($I359,$I359,$H359)/TS_Denom_Conv_Fact</f>
        <v>0</v>
      </c>
      <c r="K376" s="11">
        <f>Oth_Ann_TA!$I289*IF($I359,$I359,$H359)/TS_Denom_Conv_Fact</f>
        <v>0</v>
      </c>
      <c r="L376" s="11">
        <f>Oth_Ann_TA!$I289*IF($I359,$I359,$H359)/TS_Denom_Conv_Fact</f>
        <v>0</v>
      </c>
      <c r="M376" s="11">
        <f>Oth_Ann_TA!$I289*IF($I359,$I359,$H359)/TS_Denom_Conv_Fact</f>
        <v>0</v>
      </c>
      <c r="N376" s="11">
        <f>Oth_Ann_TA!$I289*IF($I359,$I359,$H359)/TS_Denom_Conv_Fact</f>
        <v>0</v>
      </c>
      <c r="O376" s="11">
        <f>Oth_Ann_TA!$I289*IF($I359,$I359,$H359)/TS_Denom_Conv_Fact</f>
        <v>0</v>
      </c>
    </row>
    <row r="377" spans="3:15" s="327" customFormat="1" x14ac:dyDescent="0.2">
      <c r="D377" s="660" t="str">
        <f>Oth_Ann_TA!D290</f>
        <v>Capital Goods Category 6</v>
      </c>
      <c r="J377" s="12">
        <f>Oth_Ann_TA!$I290*IF($I360,$I360,$H360)/TS_Denom_Conv_Fact</f>
        <v>0</v>
      </c>
      <c r="K377" s="12">
        <f>Oth_Ann_TA!$I290*IF($I360,$I360,$H360)/TS_Denom_Conv_Fact</f>
        <v>0</v>
      </c>
      <c r="L377" s="12">
        <f>Oth_Ann_TA!$I290*IF($I360,$I360,$H360)/TS_Denom_Conv_Fact</f>
        <v>0</v>
      </c>
      <c r="M377" s="12">
        <f>Oth_Ann_TA!$I290*IF($I360,$I360,$H360)/TS_Denom_Conv_Fact</f>
        <v>0</v>
      </c>
      <c r="N377" s="12">
        <f>Oth_Ann_TA!$I290*IF($I360,$I360,$H360)/TS_Denom_Conv_Fact</f>
        <v>0</v>
      </c>
      <c r="O377" s="12">
        <f>Oth_Ann_TA!$I290*IF($I360,$I360,$H360)/TS_Denom_Conv_Fact</f>
        <v>0</v>
      </c>
    </row>
    <row r="378" spans="3:15" s="327" customFormat="1" x14ac:dyDescent="0.2">
      <c r="D378" s="659" t="str">
        <f>"Total "&amp;D371</f>
        <v>Total Economic Cost (USD)</v>
      </c>
      <c r="J378" s="28">
        <f t="shared" ref="J378:O378" si="49">SUM(J372:J377)</f>
        <v>0</v>
      </c>
      <c r="K378" s="28">
        <f t="shared" si="49"/>
        <v>0</v>
      </c>
      <c r="L378" s="28">
        <f t="shared" si="49"/>
        <v>0</v>
      </c>
      <c r="M378" s="28">
        <f t="shared" si="49"/>
        <v>0</v>
      </c>
      <c r="N378" s="28">
        <f t="shared" si="49"/>
        <v>0</v>
      </c>
      <c r="O378" s="28">
        <f t="shared" si="49"/>
        <v>0</v>
      </c>
    </row>
    <row r="379" spans="3:15" s="327" customFormat="1" x14ac:dyDescent="0.2"/>
    <row r="380" spans="3:15" s="327" customFormat="1" x14ac:dyDescent="0.2">
      <c r="C380" s="716" t="str">
        <f>"Go to "&amp;HL_Oth_Ass</f>
        <v>Go to Other Costs Recurrent and Capital Goods - Assumptions</v>
      </c>
      <c r="D380" s="716"/>
      <c r="E380" s="716"/>
      <c r="F380" s="716"/>
      <c r="G380" s="716"/>
      <c r="H380" s="716"/>
      <c r="I380" s="716"/>
    </row>
    <row r="381" spans="3:15" s="327" customFormat="1" x14ac:dyDescent="0.2">
      <c r="C381" s="716" t="str">
        <f>"Go to "&amp;HL_Oth_Out_Sum</f>
        <v>Go to Other Costs - Summary</v>
      </c>
      <c r="D381" s="716"/>
      <c r="E381" s="716"/>
      <c r="F381" s="716"/>
      <c r="G381" s="716"/>
      <c r="H381" s="716"/>
      <c r="I381" s="716"/>
    </row>
  </sheetData>
  <sheetProtection password="F0F4" sheet="1" scenarios="1"/>
  <mergeCells count="15">
    <mergeCell ref="C155:I155"/>
    <mergeCell ref="C156:I156"/>
    <mergeCell ref="C380:I380"/>
    <mergeCell ref="B3:F3"/>
    <mergeCell ref="C40:I40"/>
    <mergeCell ref="C81:I81"/>
    <mergeCell ref="C135:I135"/>
    <mergeCell ref="C136:I136"/>
    <mergeCell ref="C381:I381"/>
    <mergeCell ref="C173:I173"/>
    <mergeCell ref="C174:I174"/>
    <mergeCell ref="C254:I254"/>
    <mergeCell ref="C255:I255"/>
    <mergeCell ref="C326:I326"/>
    <mergeCell ref="C327:I327"/>
  </mergeCells>
  <hyperlinks>
    <hyperlink ref="C40:I40" location="HL_Micro_Ass" tooltip="Click to follow hyperlink." display="HL_Micro_Ass"/>
    <hyperlink ref="A4" location="$A$10" tooltip="Go to Top of Sheet" display="$A$10"/>
    <hyperlink ref="C81:I81" location="HL_Train_Ass" tooltip="Click to follow hyperlink." display="HL_Train_Ass"/>
    <hyperlink ref="C254:I254" location="HL_Comm_Ass" tooltip="Click to follow hyperlink." display="HL_Comm_Ass"/>
    <hyperlink ref="C255:I255" location="HL_Comm_Out_Sum" tooltip="Click to follow hyperlink." display="HL_Comm_Out_Sum"/>
    <hyperlink ref="C135:I135" location="HL_Comm_Ass" tooltip="Click to follow hyperlink." display="HL_Comm_Ass"/>
    <hyperlink ref="C136:I136" location="HL_Comm_Out_Sum" tooltip="Click to follow hyperlink." display="HL_Comm_Out_Sum"/>
    <hyperlink ref="C326:I326" location="HL_SME_Ass" tooltip="Click to follow hyperlink." display="HL_SME_Ass"/>
    <hyperlink ref="C327:I327" location="HL_SME_Out_Sum" tooltip="Click to follow hyperlink." display="HL_SME_Out_Sum"/>
    <hyperlink ref="C155:I155" location="HL_SME_Ass" tooltip="Click to follow hyperlink." display="HL_SME_Ass"/>
    <hyperlink ref="C156:I156" location="HL_SME_Out" tooltip="Click to follow hyperlink." display="HL_SME_Out"/>
    <hyperlink ref="C380:I380" location="HL_Oth_Ass" tooltip="Click to follow hyperlink." display="HL_Oth_Ass"/>
    <hyperlink ref="C381:I381" location="HL_Oth_Out_Sum" tooltip="Click to follow hyperlink." display="HL_Oth_Out_Sum"/>
    <hyperlink ref="C173:I173" location="HL_Oth_Ass" tooltip="Click to follow hyperlink." display="HL_Oth_Ass"/>
    <hyperlink ref="C174:I174" location="HL_Oth_Out" tooltip="Click to follow hyperlink." display="HL_Oth_Out"/>
    <hyperlink ref="C4" location="HL_Sheet_Main_43" tooltip="Go to Next Sheet" display="HL_Sheet_Main_43"/>
    <hyperlink ref="B4" location="HL_Sheet_Main_28" tooltip="Go to Previous Sheet" display="HL_Sheet_Main_28"/>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customProperties>
    <customPr name="LastActive"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autoPageBreaks="0" fitToPage="1"/>
  </sheetPr>
  <dimension ref="A1:P27"/>
  <sheetViews>
    <sheetView showGridLines="0" zoomScaleNormal="100" workbookViewId="0">
      <selection activeCell="D15" sqref="D15"/>
    </sheetView>
  </sheetViews>
  <sheetFormatPr defaultColWidth="0" defaultRowHeight="12.75" zeroHeight="1" x14ac:dyDescent="0.2"/>
  <cols>
    <col min="1" max="2" width="11.7109375" customWidth="1"/>
    <col min="3" max="6" width="3.7109375" customWidth="1"/>
    <col min="7" max="16" width="11.7109375" customWidth="1"/>
    <col min="17" max="16384" width="11.7109375" hidden="1"/>
  </cols>
  <sheetData>
    <row r="1" spans="1:7" x14ac:dyDescent="0.2">
      <c r="A1" s="420"/>
    </row>
    <row r="2" spans="1:7" x14ac:dyDescent="0.2"/>
    <row r="3" spans="1:7" x14ac:dyDescent="0.2"/>
    <row r="4" spans="1:7" x14ac:dyDescent="0.2"/>
    <row r="5" spans="1:7" x14ac:dyDescent="0.2"/>
    <row r="6" spans="1:7" x14ac:dyDescent="0.2"/>
    <row r="7" spans="1:7" x14ac:dyDescent="0.2"/>
    <row r="8" spans="1:7" x14ac:dyDescent="0.2"/>
    <row r="9" spans="1:7" ht="23.25" x14ac:dyDescent="0.2">
      <c r="C9" s="32" t="s">
        <v>742</v>
      </c>
    </row>
    <row r="10" spans="1:7" ht="21" x14ac:dyDescent="0.2">
      <c r="C10" s="35" t="s">
        <v>417</v>
      </c>
    </row>
    <row r="11" spans="1:7" ht="18.75" x14ac:dyDescent="0.2">
      <c r="C11" s="36" t="str">
        <f>Model_Name</f>
        <v>Zambia C4P* - Screening &amp; Treatment Tool</v>
      </c>
    </row>
    <row r="12" spans="1:7" x14ac:dyDescent="0.2">
      <c r="C12" s="702" t="s">
        <v>2</v>
      </c>
      <c r="D12" s="702"/>
      <c r="E12" s="702"/>
      <c r="F12" s="702"/>
      <c r="G12" s="702"/>
    </row>
    <row r="13" spans="1:7" x14ac:dyDescent="0.2">
      <c r="C13" s="337" t="s">
        <v>6</v>
      </c>
      <c r="D13" s="324" t="s">
        <v>7</v>
      </c>
    </row>
    <row r="14" spans="1:7" x14ac:dyDescent="0.2"/>
    <row r="15" spans="1:7" x14ac:dyDescent="0.2"/>
    <row r="16" spans="1:7" x14ac:dyDescent="0.2"/>
    <row r="17" spans="3:10" ht="15" x14ac:dyDescent="0.2">
      <c r="C17" s="54" t="s">
        <v>5</v>
      </c>
    </row>
    <row r="18" spans="3:10" x14ac:dyDescent="0.2">
      <c r="C18" s="652" t="str">
        <f>PLUG_IN_1_P_MS!B1</f>
        <v>Plug-in #1: Service UNIT Capacity and Staffing Requirements Estimator</v>
      </c>
      <c r="D18" s="652"/>
      <c r="E18" s="652"/>
      <c r="F18" s="652"/>
      <c r="G18" s="652"/>
      <c r="H18" s="652"/>
      <c r="I18" s="502"/>
      <c r="J18" s="502"/>
    </row>
    <row r="19" spans="3:10" x14ac:dyDescent="0.2">
      <c r="C19" s="652" t="str">
        <f>PLUG_IN_2_P_MS!B1</f>
        <v>Plug-in #2: Effect of Demand on Current Assumed Capacity</v>
      </c>
      <c r="D19" s="652"/>
      <c r="E19" s="652"/>
      <c r="F19" s="652"/>
      <c r="G19" s="652"/>
      <c r="H19" s="652"/>
      <c r="I19" s="502"/>
    </row>
    <row r="20" spans="3:10" x14ac:dyDescent="0.2">
      <c r="C20" s="652" t="str">
        <f>PLUG_IN_3_TRAIN_BA!B7</f>
        <v>Plug-in #3: Training Programme Cost Estimator</v>
      </c>
      <c r="D20" s="652"/>
      <c r="E20" s="652"/>
      <c r="F20" s="652"/>
      <c r="G20" s="652"/>
      <c r="H20" s="652"/>
      <c r="I20" s="502"/>
    </row>
    <row r="21" spans="3:10" x14ac:dyDescent="0.2">
      <c r="C21" s="652" t="s">
        <v>2003</v>
      </c>
      <c r="D21" s="652"/>
      <c r="E21" s="652"/>
      <c r="F21" s="652"/>
      <c r="G21" s="652"/>
      <c r="H21" s="652"/>
    </row>
    <row r="22" spans="3:10" x14ac:dyDescent="0.2"/>
    <row r="23" spans="3:10" x14ac:dyDescent="0.2"/>
    <row r="24" spans="3:10" x14ac:dyDescent="0.2"/>
    <row r="25" spans="3:10" x14ac:dyDescent="0.2"/>
    <row r="26" spans="3:10" x14ac:dyDescent="0.2"/>
    <row r="27" spans="3:10" x14ac:dyDescent="0.2"/>
  </sheetData>
  <mergeCells count="1">
    <mergeCell ref="C12:G12"/>
  </mergeCells>
  <hyperlinks>
    <hyperlink ref="D13" location="HL_Sheet_Main_60" tooltip="Go to Next Sheet" display="HL_Sheet_Main_60"/>
    <hyperlink ref="C20" location="PLUG_IN_3_TRAIN_BA!A1" display="PLUG_IN_3_TRAIN_BA!A1"/>
    <hyperlink ref="C18:J18" location="PLUG_IN_1_P_MS!A1" display="PLUG_IN_1_P_MS!A1"/>
    <hyperlink ref="C19:I19" location="PLUG_IN_2_P_MS!A1" display="PLUG_IN_2_P_MS!A1"/>
    <hyperlink ref="C20:I20" location="PLUG_IN_3_TRAIN_BA!A1" display="PLUG_IN_3_TRAIN_BA!A1"/>
    <hyperlink ref="C21:H21" location="PLUG_IN_4_MEET_BA!A1" display="Plug-in #4: Meeting Cost Estimator"/>
    <hyperlink ref="C13" location="HL_Sheet_Main_20" tooltip="Go to Previous Sheet" display="HL_Sheet_Main_20"/>
    <hyperlink ref="C12"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pageSetUpPr autoPageBreaks="0"/>
  </sheetPr>
  <dimension ref="A1:AE65"/>
  <sheetViews>
    <sheetView showGridLines="0" zoomScaleNormal="100" workbookViewId="0">
      <pane xSplit="1" ySplit="4" topLeftCell="B11" activePane="bottomRight" state="frozen"/>
      <selection pane="topRight"/>
      <selection pane="bottomLeft"/>
      <selection pane="bottomRight" activeCell="D28" sqref="D28"/>
    </sheetView>
  </sheetViews>
  <sheetFormatPr defaultColWidth="2.5703125" defaultRowHeight="12.75" zeroHeight="1" x14ac:dyDescent="0.2"/>
  <cols>
    <col min="1" max="1" width="3.7109375" style="171" customWidth="1"/>
    <col min="2" max="2" width="2.5703125" style="171" customWidth="1"/>
    <col min="3" max="3" width="7.140625" style="171" customWidth="1"/>
    <col min="4" max="4" width="5.140625" style="171" customWidth="1"/>
    <col min="5" max="14" width="2.5703125" style="171" customWidth="1"/>
    <col min="15" max="15" width="14.85546875" style="171" customWidth="1"/>
    <col min="16" max="16" width="2.5703125" style="171" customWidth="1"/>
    <col min="17" max="17" width="16.85546875" style="171" customWidth="1"/>
    <col min="18" max="18" width="3.28515625" style="171" customWidth="1"/>
    <col min="19" max="19" width="2.5703125" style="171" customWidth="1"/>
    <col min="20" max="20" width="16.7109375" style="171" customWidth="1"/>
    <col min="21" max="21" width="3.42578125" style="171" customWidth="1"/>
    <col min="22" max="22" width="26.85546875" style="171" customWidth="1"/>
    <col min="23" max="24" width="2.5703125" style="171" customWidth="1"/>
    <col min="25" max="25" width="19.140625" style="171" customWidth="1"/>
    <col min="26" max="26" width="6.140625" style="171" customWidth="1"/>
    <col min="27" max="27" width="2.5703125" style="171"/>
    <col min="28" max="28" width="8.85546875" style="171" customWidth="1"/>
    <col min="29" max="16384" width="2.5703125" style="171"/>
  </cols>
  <sheetData>
    <row r="1" spans="1:31" ht="23.45" customHeight="1" x14ac:dyDescent="0.2">
      <c r="A1" s="421"/>
      <c r="B1" s="40" t="s">
        <v>809</v>
      </c>
      <c r="W1" s="318"/>
      <c r="X1" s="318"/>
      <c r="Y1" s="318"/>
      <c r="Z1" s="318"/>
    </row>
    <row r="2" spans="1:31" ht="44.45" customHeight="1" x14ac:dyDescent="0.2">
      <c r="B2" s="39" t="str">
        <f>Model_Name</f>
        <v>Zambia C4P* - Screening &amp; Treatment Tool</v>
      </c>
      <c r="V2" s="947" t="s">
        <v>772</v>
      </c>
      <c r="W2" s="947"/>
      <c r="X2" s="947"/>
      <c r="Y2" s="947"/>
      <c r="Z2" s="318"/>
    </row>
    <row r="3" spans="1:31" ht="13.5" thickBot="1" x14ac:dyDescent="0.25">
      <c r="B3" s="939" t="s">
        <v>2</v>
      </c>
      <c r="C3" s="939"/>
      <c r="D3" s="939"/>
      <c r="E3" s="939"/>
      <c r="F3" s="939"/>
      <c r="G3" s="493"/>
      <c r="H3" s="172"/>
      <c r="I3" s="172"/>
      <c r="J3" s="172"/>
    </row>
    <row r="4" spans="1:31" ht="24" thickBot="1" x14ac:dyDescent="0.25">
      <c r="A4" s="41" t="s">
        <v>4</v>
      </c>
      <c r="B4" s="942" t="s">
        <v>6</v>
      </c>
      <c r="C4" s="942"/>
      <c r="D4" s="943" t="s">
        <v>7</v>
      </c>
      <c r="E4" s="943"/>
      <c r="F4" s="944" t="s">
        <v>27</v>
      </c>
      <c r="G4" s="944"/>
      <c r="H4" s="945" t="s">
        <v>28</v>
      </c>
      <c r="I4" s="945"/>
      <c r="J4" s="946" t="s">
        <v>29</v>
      </c>
      <c r="K4" s="946"/>
      <c r="O4" s="950" t="s">
        <v>773</v>
      </c>
      <c r="P4" s="950"/>
      <c r="Q4" s="950"/>
      <c r="R4" s="950"/>
      <c r="S4" s="950"/>
      <c r="T4" s="950"/>
      <c r="U4" s="951"/>
      <c r="V4" s="96">
        <f>V24</f>
        <v>3141.818181818182</v>
      </c>
    </row>
    <row r="5" spans="1:31" s="252" customFormat="1" ht="23.25" x14ac:dyDescent="0.2">
      <c r="A5" s="41"/>
      <c r="B5" s="253"/>
      <c r="C5" s="253"/>
      <c r="D5" s="254"/>
      <c r="E5" s="254"/>
      <c r="F5" s="255"/>
      <c r="G5" s="255"/>
      <c r="H5" s="256"/>
      <c r="I5" s="256"/>
      <c r="J5" s="257"/>
      <c r="K5" s="257"/>
      <c r="O5" s="263"/>
      <c r="P5" s="263"/>
      <c r="Q5" s="263"/>
      <c r="R5" s="263"/>
      <c r="S5" s="263"/>
      <c r="T5" s="263"/>
      <c r="U5" s="285"/>
      <c r="V5" s="262"/>
    </row>
    <row r="6" spans="1:31" s="252" customFormat="1" ht="12.95" customHeight="1" x14ac:dyDescent="0.2">
      <c r="A6" s="41"/>
      <c r="B6" s="253"/>
      <c r="C6" s="52"/>
      <c r="D6" s="286"/>
      <c r="E6" s="286"/>
      <c r="F6" s="286"/>
      <c r="G6" s="286"/>
      <c r="H6" s="286"/>
      <c r="I6" s="286"/>
      <c r="J6" s="286"/>
      <c r="K6" s="286"/>
      <c r="L6" s="286"/>
      <c r="M6" s="286"/>
      <c r="N6" s="52"/>
      <c r="O6" s="52"/>
      <c r="P6" s="52"/>
      <c r="Q6" s="52"/>
      <c r="R6" s="52"/>
      <c r="S6" s="52"/>
      <c r="T6" s="52"/>
      <c r="U6" s="52"/>
      <c r="V6" s="52"/>
      <c r="W6" s="52"/>
      <c r="X6" s="52"/>
      <c r="Y6" s="52"/>
      <c r="Z6" s="52"/>
      <c r="AA6" s="52"/>
      <c r="AB6" s="52"/>
      <c r="AC6" s="52"/>
      <c r="AD6" s="52"/>
      <c r="AE6" s="52"/>
    </row>
    <row r="7" spans="1:31" s="252" customFormat="1" ht="23.25" x14ac:dyDescent="0.2">
      <c r="A7" s="41"/>
      <c r="B7" s="253"/>
      <c r="C7" s="253"/>
      <c r="D7" s="53" t="s">
        <v>788</v>
      </c>
      <c r="E7" s="254"/>
      <c r="F7" s="255"/>
      <c r="G7" s="255"/>
      <c r="H7" s="256"/>
      <c r="I7" s="256"/>
      <c r="J7" s="257"/>
      <c r="K7" s="257"/>
      <c r="O7" s="263"/>
      <c r="P7" s="263"/>
      <c r="Q7" s="263"/>
      <c r="R7" s="263"/>
      <c r="S7" s="263"/>
      <c r="T7" s="263"/>
      <c r="U7" s="285"/>
      <c r="V7" s="262"/>
    </row>
    <row r="8" spans="1:31" s="99" customFormat="1" ht="26.1" customHeight="1" x14ac:dyDescent="0.2">
      <c r="A8" s="265"/>
      <c r="B8" s="266"/>
      <c r="C8" s="266"/>
      <c r="D8" s="267"/>
      <c r="E8" s="940" t="s">
        <v>770</v>
      </c>
      <c r="F8" s="940"/>
      <c r="G8" s="940"/>
      <c r="H8" s="940"/>
      <c r="I8" s="940"/>
      <c r="J8" s="940"/>
      <c r="K8" s="940"/>
      <c r="L8" s="940"/>
      <c r="M8" s="940"/>
      <c r="N8" s="940"/>
      <c r="O8" s="940"/>
      <c r="P8" s="940"/>
      <c r="Q8" s="940"/>
      <c r="R8" s="940"/>
      <c r="S8" s="940"/>
      <c r="T8" s="940"/>
      <c r="U8" s="940"/>
      <c r="V8" s="940"/>
    </row>
    <row r="9" spans="1:31" s="240" customFormat="1" ht="15.95" customHeight="1" thickBot="1" x14ac:dyDescent="0.25">
      <c r="A9" s="41"/>
      <c r="B9" s="243"/>
      <c r="C9" s="243"/>
      <c r="D9" s="244"/>
      <c r="E9" s="244"/>
      <c r="F9" s="245"/>
      <c r="G9" s="245"/>
      <c r="H9" s="246"/>
      <c r="I9" s="246"/>
      <c r="J9" s="247"/>
      <c r="K9" s="247"/>
      <c r="V9" s="262"/>
    </row>
    <row r="10" spans="1:31" ht="47.45" customHeight="1" thickTop="1" thickBot="1" x14ac:dyDescent="0.25">
      <c r="C10" s="264"/>
      <c r="D10" s="47"/>
      <c r="F10" s="174"/>
      <c r="G10" s="941" t="s">
        <v>771</v>
      </c>
      <c r="H10" s="941"/>
      <c r="I10" s="941"/>
      <c r="J10" s="941"/>
      <c r="K10" s="941"/>
      <c r="L10" s="941"/>
      <c r="M10" s="941"/>
      <c r="N10" s="941"/>
      <c r="O10" s="941"/>
      <c r="Q10" s="62">
        <v>11</v>
      </c>
      <c r="R10" s="61" t="s">
        <v>647</v>
      </c>
      <c r="S10" s="61" t="s">
        <v>774</v>
      </c>
      <c r="V10" s="61"/>
    </row>
    <row r="11" spans="1:31" ht="16.5" thickTop="1" x14ac:dyDescent="0.2">
      <c r="C11" s="212" t="s">
        <v>630</v>
      </c>
      <c r="E11" s="3"/>
      <c r="F11" s="3"/>
      <c r="G11" s="3"/>
      <c r="H11" s="3"/>
      <c r="L11" s="3"/>
      <c r="M11" s="60"/>
      <c r="T11" s="94" t="s">
        <v>628</v>
      </c>
    </row>
    <row r="12" spans="1:31" s="240" customFormat="1" ht="15.75" x14ac:dyDescent="0.2">
      <c r="C12" s="212"/>
      <c r="E12" s="3"/>
      <c r="F12" s="3"/>
      <c r="G12" s="3"/>
      <c r="H12" s="3"/>
      <c r="L12" s="3"/>
      <c r="M12" s="60"/>
      <c r="T12" s="94"/>
    </row>
    <row r="13" spans="1:31" s="240" customFormat="1" ht="15.75" x14ac:dyDescent="0.2">
      <c r="C13" s="212"/>
      <c r="D13" s="248" t="s">
        <v>746</v>
      </c>
      <c r="E13" s="3"/>
      <c r="F13" s="3"/>
      <c r="G13" s="3"/>
      <c r="H13" s="3"/>
      <c r="L13" s="3"/>
      <c r="M13" s="60"/>
      <c r="T13" s="94"/>
    </row>
    <row r="14" spans="1:31" s="240" customFormat="1" ht="15.75" x14ac:dyDescent="0.2">
      <c r="C14" s="212"/>
      <c r="D14" s="248" t="s">
        <v>747</v>
      </c>
      <c r="E14" s="3"/>
      <c r="F14" s="3"/>
      <c r="G14" s="3"/>
      <c r="H14" s="3"/>
      <c r="L14" s="3"/>
      <c r="M14" s="60"/>
      <c r="T14" s="94"/>
    </row>
    <row r="15" spans="1:31" ht="24" thickBot="1" x14ac:dyDescent="0.25">
      <c r="D15" s="47"/>
      <c r="E15" s="47"/>
      <c r="F15" s="47"/>
      <c r="G15" s="47"/>
      <c r="H15" s="47"/>
      <c r="I15" s="47"/>
      <c r="J15" s="47"/>
      <c r="K15" s="47"/>
      <c r="L15" s="47"/>
      <c r="M15" s="59"/>
      <c r="W15" s="938" t="s">
        <v>795</v>
      </c>
      <c r="X15" s="938"/>
      <c r="Y15" s="938"/>
    </row>
    <row r="16" spans="1:31" ht="35.450000000000003" customHeight="1" thickTop="1" thickBot="1" x14ac:dyDescent="0.25">
      <c r="C16" s="264"/>
      <c r="H16" s="938" t="s">
        <v>786</v>
      </c>
      <c r="I16" s="938"/>
      <c r="J16" s="938"/>
      <c r="K16" s="938"/>
      <c r="L16" s="938"/>
      <c r="M16" s="938"/>
      <c r="N16" s="938"/>
      <c r="O16" s="938"/>
      <c r="Q16" s="62">
        <v>8</v>
      </c>
      <c r="R16" s="61" t="s">
        <v>647</v>
      </c>
      <c r="S16" s="61" t="s">
        <v>775</v>
      </c>
      <c r="W16" s="938"/>
      <c r="X16" s="938"/>
      <c r="Y16" s="938"/>
      <c r="Z16" s="62">
        <v>60</v>
      </c>
    </row>
    <row r="17" spans="2:26" ht="9.6" customHeight="1" thickTop="1" x14ac:dyDescent="0.2">
      <c r="D17" s="47"/>
      <c r="J17" s="47"/>
      <c r="K17" s="47"/>
      <c r="L17" s="47"/>
      <c r="M17" s="47"/>
    </row>
    <row r="18" spans="2:26" ht="15.75" x14ac:dyDescent="0.2">
      <c r="C18" s="212" t="s">
        <v>687</v>
      </c>
      <c r="E18" s="56"/>
      <c r="F18" s="47"/>
      <c r="G18" s="47"/>
      <c r="H18" s="47"/>
      <c r="L18" s="47"/>
      <c r="M18" s="47"/>
      <c r="T18" s="94" t="s">
        <v>629</v>
      </c>
    </row>
    <row r="19" spans="2:26" ht="16.5" thickBot="1" x14ac:dyDescent="0.25">
      <c r="B19" s="94"/>
      <c r="E19" s="56"/>
      <c r="F19" s="47"/>
      <c r="G19" s="47"/>
      <c r="H19" s="47"/>
      <c r="L19" s="47"/>
      <c r="M19" s="47"/>
      <c r="T19" s="94"/>
    </row>
    <row r="20" spans="2:26" ht="35.450000000000003" customHeight="1" thickTop="1" thickBot="1" x14ac:dyDescent="0.25">
      <c r="B20" s="94"/>
      <c r="E20" s="56"/>
      <c r="F20" s="47"/>
      <c r="G20" s="47"/>
      <c r="H20" s="938" t="s">
        <v>787</v>
      </c>
      <c r="I20" s="938"/>
      <c r="J20" s="938"/>
      <c r="K20" s="938"/>
      <c r="L20" s="938"/>
      <c r="M20" s="938"/>
      <c r="N20" s="938"/>
      <c r="O20" s="938"/>
      <c r="Q20" s="62">
        <v>6</v>
      </c>
      <c r="R20" s="61" t="s">
        <v>647</v>
      </c>
      <c r="S20" s="61" t="s">
        <v>776</v>
      </c>
      <c r="T20" s="94"/>
    </row>
    <row r="21" spans="2:26" ht="26.1" customHeight="1" thickTop="1" x14ac:dyDescent="0.25">
      <c r="C21" s="272" t="s">
        <v>745</v>
      </c>
      <c r="E21" s="56"/>
      <c r="F21" s="47"/>
      <c r="G21" s="47"/>
      <c r="H21" s="47"/>
      <c r="L21" s="47"/>
      <c r="M21" s="47"/>
      <c r="T21" s="273" t="s">
        <v>744</v>
      </c>
    </row>
    <row r="22" spans="2:26" x14ac:dyDescent="0.2"/>
    <row r="23" spans="2:26" ht="47.45" customHeight="1" thickBot="1" x14ac:dyDescent="0.25">
      <c r="B23" s="94"/>
      <c r="C23" s="935" t="s">
        <v>785</v>
      </c>
      <c r="D23" s="935"/>
      <c r="E23" s="935"/>
      <c r="F23" s="935"/>
      <c r="G23" s="935"/>
      <c r="H23" s="935"/>
      <c r="I23" s="935"/>
      <c r="J23" s="935"/>
      <c r="K23" s="935"/>
      <c r="L23" s="935"/>
      <c r="M23" s="935"/>
      <c r="N23" s="935"/>
      <c r="O23" s="935"/>
      <c r="V23" s="935"/>
      <c r="W23" s="935"/>
      <c r="X23" s="935"/>
      <c r="Y23" s="935"/>
      <c r="Z23" s="935"/>
    </row>
    <row r="24" spans="2:26" ht="24" thickBot="1" x14ac:dyDescent="0.25">
      <c r="C24" s="936">
        <f>(SB_Adj_Hrs_Screening_Avail_per_Day*Ass_Min_per_Screening_Hr)/SB_Adj_Min_per_Screening</f>
        <v>43.636363636363633</v>
      </c>
      <c r="D24" s="937"/>
      <c r="E24" s="270" t="s">
        <v>790</v>
      </c>
      <c r="F24" s="271"/>
      <c r="G24" s="271"/>
      <c r="H24" s="271"/>
      <c r="I24" s="271"/>
      <c r="J24" s="271"/>
      <c r="K24" s="249"/>
      <c r="L24" s="249"/>
      <c r="M24" s="249"/>
      <c r="O24" s="268">
        <f>Screenings_Avail_per_Day*SB_Adj_Screen_Days_per_Month</f>
        <v>261.81818181818181</v>
      </c>
      <c r="P24" s="269"/>
      <c r="Q24" s="270" t="s">
        <v>791</v>
      </c>
      <c r="V24" s="274">
        <f>O24*12</f>
        <v>3141.818181818182</v>
      </c>
      <c r="Y24" s="95" t="s">
        <v>792</v>
      </c>
    </row>
    <row r="25" spans="2:26" x14ac:dyDescent="0.2"/>
    <row r="26" spans="2:26" x14ac:dyDescent="0.2">
      <c r="D26" s="653" t="s">
        <v>2002</v>
      </c>
      <c r="E26" s="652"/>
      <c r="F26" s="652"/>
      <c r="G26" s="652"/>
      <c r="H26" s="652"/>
      <c r="I26" s="652"/>
      <c r="J26" s="652"/>
      <c r="K26" s="652"/>
      <c r="L26" s="652"/>
      <c r="M26" s="652"/>
      <c r="N26" s="652"/>
      <c r="O26" s="652"/>
    </row>
    <row r="27" spans="2:26" x14ac:dyDescent="0.2">
      <c r="D27" s="258" t="s">
        <v>777</v>
      </c>
      <c r="E27"/>
      <c r="F27"/>
      <c r="G27"/>
      <c r="H27"/>
      <c r="I27"/>
      <c r="J27"/>
      <c r="K27"/>
      <c r="L27"/>
      <c r="M27"/>
    </row>
    <row r="28" spans="2:26" s="252" customFormat="1" x14ac:dyDescent="0.2">
      <c r="D28" s="258" t="s">
        <v>810</v>
      </c>
      <c r="E28" s="47"/>
      <c r="F28" s="47"/>
      <c r="G28" s="47"/>
      <c r="H28" s="47"/>
      <c r="I28" s="47"/>
      <c r="J28" s="47"/>
      <c r="K28" s="47"/>
      <c r="L28" s="47"/>
      <c r="M28" s="47"/>
    </row>
    <row r="29" spans="2:26" s="252" customFormat="1" x14ac:dyDescent="0.2">
      <c r="D29" s="258" t="s">
        <v>811</v>
      </c>
      <c r="E29" s="47"/>
      <c r="F29" s="47"/>
      <c r="G29" s="47"/>
      <c r="H29" s="47"/>
      <c r="I29" s="47"/>
      <c r="J29" s="47"/>
      <c r="K29" s="47"/>
      <c r="L29" s="47"/>
      <c r="M29" s="47"/>
    </row>
    <row r="30" spans="2:26" s="252" customFormat="1" x14ac:dyDescent="0.2">
      <c r="D30" s="258" t="str">
        <f>"Go to "&amp;Intv_BA!$B$1206</f>
        <v>Go to Annual Capacity per Service Unit - Chemo</v>
      </c>
      <c r="E30" s="47"/>
      <c r="F30" s="47"/>
      <c r="G30" s="47"/>
      <c r="H30" s="47"/>
      <c r="I30" s="47"/>
      <c r="J30" s="47"/>
      <c r="K30" s="47"/>
      <c r="L30" s="47"/>
      <c r="M30" s="47"/>
    </row>
    <row r="31" spans="2:26" s="252" customFormat="1" x14ac:dyDescent="0.2">
      <c r="D31" s="258" t="str">
        <f>"Go to "&amp;Intv_BA!$B$1793</f>
        <v>Go to Annual Capacity per Service Unit - RADIO</v>
      </c>
      <c r="E31" s="47"/>
      <c r="F31" s="47"/>
      <c r="G31" s="47"/>
      <c r="H31" s="47"/>
      <c r="I31" s="47"/>
      <c r="J31" s="47"/>
      <c r="K31" s="47"/>
      <c r="L31" s="47"/>
      <c r="M31" s="47"/>
    </row>
    <row r="32" spans="2:26" s="252" customFormat="1" x14ac:dyDescent="0.2">
      <c r="D32" s="258" t="str">
        <f>"Go to "&amp;Intv_BA!$B$2385</f>
        <v>Go to Annual Capacity per Service Unit - SURG</v>
      </c>
      <c r="E32" s="47"/>
      <c r="F32" s="47"/>
      <c r="G32" s="47"/>
      <c r="H32" s="47"/>
      <c r="I32" s="47"/>
      <c r="J32" s="47"/>
      <c r="K32" s="47"/>
      <c r="L32" s="47"/>
      <c r="M32" s="47"/>
    </row>
    <row r="33" spans="3:31" s="252" customFormat="1" x14ac:dyDescent="0.2">
      <c r="D33" s="258" t="str">
        <f>"Go to "&amp;Intv_BA!$B$2977</f>
        <v>Go to Annual Capacity per Service Unit - PALL</v>
      </c>
      <c r="E33" s="47"/>
      <c r="F33" s="47"/>
      <c r="G33" s="47"/>
      <c r="H33" s="47"/>
      <c r="I33" s="47"/>
      <c r="J33" s="47"/>
      <c r="K33" s="47"/>
      <c r="L33" s="47"/>
      <c r="M33" s="47"/>
    </row>
    <row r="34" spans="3:31" x14ac:dyDescent="0.2">
      <c r="D34"/>
      <c r="E34"/>
      <c r="F34"/>
      <c r="G34"/>
      <c r="H34"/>
      <c r="I34"/>
      <c r="J34"/>
      <c r="K34"/>
      <c r="L34"/>
      <c r="M34"/>
    </row>
    <row r="35" spans="3:31" x14ac:dyDescent="0.2">
      <c r="C35" s="52"/>
      <c r="D35" s="286"/>
      <c r="E35" s="286"/>
      <c r="F35" s="286"/>
      <c r="G35" s="286"/>
      <c r="H35" s="286"/>
      <c r="I35" s="286"/>
      <c r="J35" s="286"/>
      <c r="K35" s="286"/>
      <c r="L35" s="286"/>
      <c r="M35" s="286"/>
      <c r="N35" s="52"/>
      <c r="O35" s="52"/>
      <c r="P35" s="52"/>
      <c r="Q35" s="52"/>
      <c r="R35" s="52"/>
      <c r="S35" s="52"/>
      <c r="T35" s="52"/>
      <c r="U35" s="52"/>
      <c r="V35" s="52"/>
      <c r="W35" s="52"/>
      <c r="X35" s="52"/>
      <c r="Y35" s="52"/>
      <c r="Z35" s="52"/>
      <c r="AA35" s="52"/>
      <c r="AB35" s="52"/>
      <c r="AC35" s="52"/>
      <c r="AD35" s="52"/>
      <c r="AE35" s="52"/>
    </row>
    <row r="36" spans="3:31" ht="18.75" x14ac:dyDescent="0.2">
      <c r="D36" s="53" t="s">
        <v>789</v>
      </c>
      <c r="E36"/>
    </row>
    <row r="37" spans="3:31" s="252" customFormat="1" ht="19.5" thickBot="1" x14ac:dyDescent="0.25">
      <c r="D37" s="53"/>
      <c r="E37" s="47"/>
    </row>
    <row r="38" spans="3:31" s="252" customFormat="1" ht="24" thickBot="1" x14ac:dyDescent="0.25">
      <c r="D38" s="53"/>
      <c r="E38" s="47"/>
      <c r="G38" s="948" t="s">
        <v>802</v>
      </c>
      <c r="H38" s="949"/>
      <c r="I38" s="949"/>
      <c r="J38" s="949"/>
      <c r="K38" s="949"/>
      <c r="L38" s="949"/>
      <c r="M38" s="949"/>
      <c r="N38" s="949"/>
      <c r="O38" s="268">
        <f>Service_Unit_Max_Capacity_per_Month</f>
        <v>261.81818181818181</v>
      </c>
      <c r="P38" s="269"/>
      <c r="Q38" s="270" t="s">
        <v>797</v>
      </c>
    </row>
    <row r="39" spans="3:31" s="252" customFormat="1" ht="24" thickBot="1" x14ac:dyDescent="0.25">
      <c r="D39" s="53"/>
      <c r="E39" s="47"/>
      <c r="G39" s="948" t="s">
        <v>802</v>
      </c>
      <c r="H39" s="949"/>
      <c r="I39" s="949"/>
      <c r="J39" s="949"/>
      <c r="K39" s="949"/>
      <c r="L39" s="949"/>
      <c r="M39" s="949"/>
      <c r="N39" s="949"/>
      <c r="O39" s="268">
        <f>SB_Adj_Min_per_Screening</f>
        <v>11</v>
      </c>
      <c r="P39" s="269"/>
      <c r="Q39" s="270" t="s">
        <v>796</v>
      </c>
    </row>
    <row r="40" spans="3:31" s="252" customFormat="1" ht="24" thickBot="1" x14ac:dyDescent="0.25">
      <c r="D40" s="53"/>
      <c r="E40" s="47"/>
      <c r="O40" s="268">
        <f>O38*O39</f>
        <v>2880</v>
      </c>
      <c r="P40" s="269"/>
      <c r="Q40" s="270" t="s">
        <v>800</v>
      </c>
    </row>
    <row r="41" spans="3:31" x14ac:dyDescent="0.2"/>
    <row r="42" spans="3:31" s="252" customFormat="1" ht="18.75" x14ac:dyDescent="0.2">
      <c r="D42" s="53" t="s">
        <v>804</v>
      </c>
      <c r="E42" s="47"/>
    </row>
    <row r="43" spans="3:31" s="252" customFormat="1" ht="19.5" thickBot="1" x14ac:dyDescent="0.25">
      <c r="D43" s="53"/>
      <c r="E43" s="47"/>
      <c r="Q43" s="259"/>
      <c r="S43" s="259"/>
      <c r="T43" s="259"/>
      <c r="V43" s="259"/>
    </row>
    <row r="44" spans="3:31" s="252" customFormat="1" ht="39.950000000000003" customHeight="1" thickTop="1" thickBot="1" x14ac:dyDescent="0.25">
      <c r="D44" s="53"/>
      <c r="E44" s="47"/>
      <c r="H44" s="938" t="s">
        <v>793</v>
      </c>
      <c r="I44" s="938"/>
      <c r="J44" s="938"/>
      <c r="K44" s="938"/>
      <c r="L44" s="938"/>
      <c r="M44" s="938"/>
      <c r="N44" s="938"/>
      <c r="O44" s="938"/>
      <c r="Q44" s="62">
        <v>8</v>
      </c>
      <c r="R44" s="61" t="s">
        <v>647</v>
      </c>
      <c r="S44" s="61"/>
    </row>
    <row r="45" spans="3:31" s="252" customFormat="1" ht="20.25" thickTop="1" thickBot="1" x14ac:dyDescent="0.25">
      <c r="D45" s="53"/>
      <c r="E45" s="47"/>
    </row>
    <row r="46" spans="3:31" s="252" customFormat="1" ht="24.75" thickTop="1" thickBot="1" x14ac:dyDescent="0.25">
      <c r="D46" s="53"/>
      <c r="E46" s="47"/>
      <c r="H46" s="938" t="s">
        <v>794</v>
      </c>
      <c r="I46" s="938"/>
      <c r="J46" s="938"/>
      <c r="K46" s="938"/>
      <c r="L46" s="938"/>
      <c r="M46" s="938"/>
      <c r="N46" s="938"/>
      <c r="O46" s="938"/>
      <c r="Q46" s="62">
        <v>20</v>
      </c>
      <c r="R46" s="61" t="s">
        <v>647</v>
      </c>
      <c r="S46" s="61"/>
    </row>
    <row r="47" spans="3:31" s="252" customFormat="1" ht="20.25" thickTop="1" thickBot="1" x14ac:dyDescent="0.25">
      <c r="D47" s="53"/>
      <c r="E47" s="47"/>
    </row>
    <row r="48" spans="3:31" s="252" customFormat="1" ht="30.95" customHeight="1" thickTop="1" thickBot="1" x14ac:dyDescent="0.25">
      <c r="D48" s="53"/>
      <c r="E48" s="47"/>
      <c r="H48" s="938" t="s">
        <v>803</v>
      </c>
      <c r="I48" s="938"/>
      <c r="J48" s="938"/>
      <c r="K48" s="938"/>
      <c r="L48" s="938"/>
      <c r="M48" s="938"/>
      <c r="N48" s="938"/>
      <c r="O48" s="938"/>
      <c r="Q48" s="62">
        <v>60</v>
      </c>
      <c r="R48" s="61" t="s">
        <v>647</v>
      </c>
    </row>
    <row r="49" spans="4:26" s="252" customFormat="1" ht="20.25" thickTop="1" thickBot="1" x14ac:dyDescent="0.25">
      <c r="D49" s="53"/>
      <c r="E49" s="47"/>
    </row>
    <row r="50" spans="4:26" s="252" customFormat="1" ht="24" thickBot="1" x14ac:dyDescent="0.25">
      <c r="D50" s="53"/>
      <c r="E50" s="47"/>
      <c r="Q50" s="291">
        <f>S_SP_Working_Hrs_Per_Day*S_SP_Working_Days_Per_Month*S_FTE_Mins_per_Hr</f>
        <v>9600</v>
      </c>
      <c r="R50" s="292"/>
      <c r="S50" s="270" t="s">
        <v>801</v>
      </c>
    </row>
    <row r="51" spans="4:26" s="252" customFormat="1" ht="24" thickBot="1" x14ac:dyDescent="0.25">
      <c r="D51" s="53"/>
      <c r="E51" s="47"/>
      <c r="Q51" s="271"/>
      <c r="S51" s="270"/>
    </row>
    <row r="52" spans="4:26" s="252" customFormat="1" ht="24" thickBot="1" x14ac:dyDescent="0.25">
      <c r="D52" s="53"/>
      <c r="E52" s="47"/>
      <c r="O52" s="287">
        <f>O40/Q50</f>
        <v>0.3</v>
      </c>
      <c r="P52" s="269"/>
      <c r="Q52" s="270" t="s">
        <v>805</v>
      </c>
    </row>
    <row r="53" spans="4:26" s="252" customFormat="1" ht="18.75" x14ac:dyDescent="0.2">
      <c r="D53" s="53"/>
      <c r="E53" s="47"/>
    </row>
    <row r="54" spans="4:26" s="252" customFormat="1" ht="18.75" x14ac:dyDescent="0.2">
      <c r="D54" s="53" t="s">
        <v>806</v>
      </c>
      <c r="E54" s="47"/>
    </row>
    <row r="55" spans="4:26" s="252" customFormat="1" ht="19.5" thickBot="1" x14ac:dyDescent="0.25">
      <c r="D55" s="53"/>
      <c r="E55" s="47"/>
    </row>
    <row r="56" spans="4:26" s="252" customFormat="1" ht="45.95" customHeight="1" thickTop="1" thickBot="1" x14ac:dyDescent="0.25">
      <c r="D56" s="53"/>
      <c r="E56" s="47"/>
      <c r="H56" s="935" t="s">
        <v>807</v>
      </c>
      <c r="I56" s="935"/>
      <c r="J56" s="935"/>
      <c r="K56" s="935"/>
      <c r="L56" s="935"/>
      <c r="M56" s="935"/>
      <c r="N56" s="935"/>
      <c r="O56" s="935"/>
      <c r="P56" s="935"/>
      <c r="Q56" s="294">
        <v>50</v>
      </c>
      <c r="R56" s="61" t="s">
        <v>418</v>
      </c>
    </row>
    <row r="57" spans="4:26" s="252" customFormat="1" ht="20.25" thickTop="1" thickBot="1" x14ac:dyDescent="0.25">
      <c r="D57" s="53"/>
      <c r="E57" s="47"/>
    </row>
    <row r="58" spans="4:26" ht="24" thickBot="1" x14ac:dyDescent="0.25">
      <c r="E58"/>
      <c r="F58" s="92"/>
      <c r="G58" s="3"/>
      <c r="H58" s="3"/>
      <c r="N58"/>
      <c r="Q58" s="295">
        <f>ROUNDUP(O40/(Q50*(S_SP_Percent_Allocated_To_SU/100)),0)</f>
        <v>1</v>
      </c>
      <c r="R58" s="293" t="s">
        <v>647</v>
      </c>
      <c r="T58" s="95" t="s">
        <v>808</v>
      </c>
    </row>
    <row r="59" spans="4:26" s="252" customFormat="1" ht="15.75" x14ac:dyDescent="0.2">
      <c r="E59" s="47"/>
      <c r="F59" s="260"/>
      <c r="G59" s="260"/>
      <c r="H59" s="260"/>
      <c r="I59" s="260"/>
      <c r="J59" s="261"/>
      <c r="K59" s="3"/>
      <c r="L59" s="47"/>
      <c r="M59" s="47"/>
      <c r="N59" s="47"/>
      <c r="V59" s="934"/>
      <c r="W59" s="934"/>
      <c r="X59" s="934"/>
      <c r="Y59" s="934"/>
      <c r="Z59" s="934"/>
    </row>
    <row r="60" spans="4:26" s="252" customFormat="1" ht="15.75" x14ac:dyDescent="0.2">
      <c r="E60" s="47"/>
      <c r="F60" s="260"/>
      <c r="G60" s="260"/>
      <c r="H60" s="260"/>
      <c r="I60" s="260"/>
      <c r="J60" s="261"/>
      <c r="K60" s="3"/>
      <c r="L60" s="47"/>
      <c r="M60" s="47"/>
      <c r="N60" s="47"/>
    </row>
    <row r="61" spans="4:26" x14ac:dyDescent="0.2"/>
    <row r="62" spans="4:26" x14ac:dyDescent="0.2"/>
    <row r="63" spans="4:26" x14ac:dyDescent="0.2"/>
    <row r="64" spans="4:26" x14ac:dyDescent="0.2"/>
    <row r="65" x14ac:dyDescent="0.2"/>
  </sheetData>
  <mergeCells count="23">
    <mergeCell ref="V2:Y2"/>
    <mergeCell ref="W15:Y16"/>
    <mergeCell ref="H48:O48"/>
    <mergeCell ref="G38:N38"/>
    <mergeCell ref="G39:N39"/>
    <mergeCell ref="O4:U4"/>
    <mergeCell ref="B3:F3"/>
    <mergeCell ref="H56:P56"/>
    <mergeCell ref="H44:O44"/>
    <mergeCell ref="H46:O46"/>
    <mergeCell ref="E8:V8"/>
    <mergeCell ref="G10:O10"/>
    <mergeCell ref="H16:O16"/>
    <mergeCell ref="B4:C4"/>
    <mergeCell ref="D4:E4"/>
    <mergeCell ref="F4:G4"/>
    <mergeCell ref="H4:I4"/>
    <mergeCell ref="J4:K4"/>
    <mergeCell ref="V59:Z59"/>
    <mergeCell ref="C23:O23"/>
    <mergeCell ref="C24:D24"/>
    <mergeCell ref="V23:Z23"/>
    <mergeCell ref="H20:O20"/>
  </mergeCells>
  <dataValidations count="6">
    <dataValidation type="whole" showDropDown="1" showErrorMessage="1" errorTitle="Scroll Bar Cell Link" error="The value in a scroll bar cell link must be between the control's minimum and maximum allowed values." sqref="Q10 Q20">
      <formula1>0</formula1>
      <formula2>100</formula2>
    </dataValidation>
    <dataValidation type="whole" showDropDown="1" showErrorMessage="1" errorTitle="Scroll Bar Cell Link" error="The value in a scroll bar cell link must be between the control's minimum and maximum allowed values." sqref="Q16">
      <formula1>0</formula1>
      <formula2>24</formula2>
    </dataValidation>
    <dataValidation type="whole" showDropDown="1" showErrorMessage="1" errorTitle="Spin Button Cell Link" error="The value in a spin button cell link must be between the control's minimum and maximum allowed values." sqref="Z16 Q56">
      <formula1>0</formula1>
      <formula2>100</formula2>
    </dataValidation>
    <dataValidation type="whole" showDropDown="1" showErrorMessage="1" errorTitle="Spin Button Cell Link" error="The value in a spin button cell link must be between the control's minimum and maximum allowed values." sqref="Q44">
      <formula1>0</formula1>
      <formula2>24</formula2>
    </dataValidation>
    <dataValidation type="whole" showDropDown="1" showErrorMessage="1" errorTitle="Spin Button Cell Link" error="The value in a spin button cell link must be between the control's minimum and maximum allowed values." sqref="Q46">
      <formula1>0</formula1>
      <formula2>30</formula2>
    </dataValidation>
    <dataValidation type="whole" showDropDown="1" showErrorMessage="1" errorTitle="Spin Button Cell Link" error="The value in a spin button cell link must be between the control's minimum and maximum allowed values." sqref="Q48">
      <formula1>0</formula1>
      <formula2>60</formula2>
    </dataValidation>
  </dataValidations>
  <hyperlinks>
    <hyperlink ref="A4" location="$B$5" tooltip="Go to Top of Sheet" display="$B$5"/>
    <hyperlink ref="D4" location="HL_Sheet_Main_61" tooltip="Go to Next Sheet" display="HL_Sheet_Main_61"/>
    <hyperlink ref="D26" location="Screen_BA!A1" tooltip="Go to Annual Capacity per Screening Unit - HPV-DNA" display="Go to Annual Capacity per service Unit - HPV-DNA"/>
    <hyperlink ref="D13" location="HL_Personnel_VIA" tooltip="Go to Time Estimated for VIA" display="HL_Personnel_VIA"/>
    <hyperlink ref="D14" location="HL_Personnel_HPVDNA" tooltip="Go to Time Estimated for HPV-DNA" display="HL_Personnel_HPVDNA"/>
    <hyperlink ref="D27" location="'Diag_BA'!D36" tooltip="Go to Annual Capacity per service Unit - BIOP-H" display="'Diag_BA'!D36"/>
    <hyperlink ref="D28" location="HL_Plan_Ann_Cap_CRYO" tooltip="Go to Annual Capacity per Service Unit - Cryo" display="HL_Plan_Ann_Cap_CRYO"/>
    <hyperlink ref="D29" location="HL_Plan_Ann_Cap_FAC_LEEP" tooltip="Go to Annual Capacity per Service Unit - LEEP" display="HL_Plan_Ann_Cap_FAC_LEEP"/>
    <hyperlink ref="D30" location="'Intv_BA'!D591" tooltip="Go to Annual Capacity" display="'Intv_BA'!D591"/>
    <hyperlink ref="D31" location="'Intv_BA'!D862" tooltip="Go to Annual Capacity per Service Unit - RADIO" display="'Intv_BA'!D862"/>
    <hyperlink ref="D32" location="'Intv_BA'!D1136" tooltip="Go to Annual Capacity per Service Unit - SURG" display="'Intv_BA'!D1136"/>
    <hyperlink ref="D33" location="'Intv_BA'!D1421" tooltip="Go to Annual Capacity per Service Unit - PALL" display="'Intv_BA'!D1421"/>
    <hyperlink ref="B4" location="HL_Sheet_Main_43" tooltip="Go to Previous Sheet" display="HL_Sheet_Main_43"/>
    <hyperlink ref="B3" location="HL_Home" tooltip="Go to Table of Contents" display="HL_Home"/>
    <hyperlink ref="F4" location="HL_Err_Chk" tooltip="Go to Error Checks" display="HL_Err_Chk"/>
    <hyperlink ref="H4" location="HL_Sens_Chk" tooltip="Go to Sensitivity Checks" display="HL_Sens_Chk"/>
    <hyperlink ref="J4" location="HL_Alt_Chk" tooltip="Go to Alert Checks" display="HL_Alt_Chk"/>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19850" r:id="rId4" name="Scroll Bar 10">
              <controlPr defaultSize="0" autoPict="0">
                <anchor moveWithCells="1">
                  <from>
                    <xdr:col>3</xdr:col>
                    <xdr:colOff>95250</xdr:colOff>
                    <xdr:row>10</xdr:row>
                    <xdr:rowOff>28575</xdr:rowOff>
                  </from>
                  <to>
                    <xdr:col>17</xdr:col>
                    <xdr:colOff>114300</xdr:colOff>
                    <xdr:row>11</xdr:row>
                    <xdr:rowOff>28575</xdr:rowOff>
                  </to>
                </anchor>
              </controlPr>
            </control>
          </mc:Choice>
        </mc:AlternateContent>
        <mc:AlternateContent xmlns:mc="http://schemas.openxmlformats.org/markup-compatibility/2006">
          <mc:Choice Requires="x14">
            <control shapeId="419851" r:id="rId5" name="Scroll Bar 11">
              <controlPr defaultSize="0" autoPict="0">
                <anchor moveWithCells="1">
                  <from>
                    <xdr:col>3</xdr:col>
                    <xdr:colOff>0</xdr:colOff>
                    <xdr:row>16</xdr:row>
                    <xdr:rowOff>104775</xdr:rowOff>
                  </from>
                  <to>
                    <xdr:col>17</xdr:col>
                    <xdr:colOff>161925</xdr:colOff>
                    <xdr:row>17</xdr:row>
                    <xdr:rowOff>180975</xdr:rowOff>
                  </to>
                </anchor>
              </controlPr>
            </control>
          </mc:Choice>
        </mc:AlternateContent>
        <mc:AlternateContent xmlns:mc="http://schemas.openxmlformats.org/markup-compatibility/2006">
          <mc:Choice Requires="x14">
            <control shapeId="419852" r:id="rId6" name="Scroll Bar 12">
              <controlPr defaultSize="0" autoPict="0">
                <anchor moveWithCells="1">
                  <from>
                    <xdr:col>3</xdr:col>
                    <xdr:colOff>9525</xdr:colOff>
                    <xdr:row>20</xdr:row>
                    <xdr:rowOff>161925</xdr:rowOff>
                  </from>
                  <to>
                    <xdr:col>17</xdr:col>
                    <xdr:colOff>161925</xdr:colOff>
                    <xdr:row>21</xdr:row>
                    <xdr:rowOff>9525</xdr:rowOff>
                  </to>
                </anchor>
              </controlPr>
            </control>
          </mc:Choice>
        </mc:AlternateContent>
        <mc:AlternateContent xmlns:mc="http://schemas.openxmlformats.org/markup-compatibility/2006">
          <mc:Choice Requires="x14">
            <control shapeId="419856" r:id="rId7" name="Spinner 16">
              <controlPr defaultSize="0" autoPict="0">
                <anchor moveWithCells="1" sizeWithCells="1">
                  <from>
                    <xdr:col>26</xdr:col>
                    <xdr:colOff>28575</xdr:colOff>
                    <xdr:row>15</xdr:row>
                    <xdr:rowOff>28575</xdr:rowOff>
                  </from>
                  <to>
                    <xdr:col>27</xdr:col>
                    <xdr:colOff>257175</xdr:colOff>
                    <xdr:row>16</xdr:row>
                    <xdr:rowOff>9525</xdr:rowOff>
                  </to>
                </anchor>
              </controlPr>
            </control>
          </mc:Choice>
        </mc:AlternateContent>
        <mc:AlternateContent xmlns:mc="http://schemas.openxmlformats.org/markup-compatibility/2006">
          <mc:Choice Requires="x14">
            <control shapeId="419857" r:id="rId8" name="Spinner 17">
              <controlPr defaultSize="0" autoPict="0">
                <anchor moveWithCells="1" sizeWithCells="1">
                  <from>
                    <xdr:col>16</xdr:col>
                    <xdr:colOff>876300</xdr:colOff>
                    <xdr:row>43</xdr:row>
                    <xdr:rowOff>9525</xdr:rowOff>
                  </from>
                  <to>
                    <xdr:col>17</xdr:col>
                    <xdr:colOff>0</xdr:colOff>
                    <xdr:row>44</xdr:row>
                    <xdr:rowOff>9525</xdr:rowOff>
                  </to>
                </anchor>
              </controlPr>
            </control>
          </mc:Choice>
        </mc:AlternateContent>
        <mc:AlternateContent xmlns:mc="http://schemas.openxmlformats.org/markup-compatibility/2006">
          <mc:Choice Requires="x14">
            <control shapeId="419858" r:id="rId9" name="Spinner 18">
              <controlPr defaultSize="0" autoPict="0">
                <anchor moveWithCells="1" sizeWithCells="1">
                  <from>
                    <xdr:col>16</xdr:col>
                    <xdr:colOff>885825</xdr:colOff>
                    <xdr:row>45</xdr:row>
                    <xdr:rowOff>0</xdr:rowOff>
                  </from>
                  <to>
                    <xdr:col>17</xdr:col>
                    <xdr:colOff>0</xdr:colOff>
                    <xdr:row>46</xdr:row>
                    <xdr:rowOff>0</xdr:rowOff>
                  </to>
                </anchor>
              </controlPr>
            </control>
          </mc:Choice>
        </mc:AlternateContent>
        <mc:AlternateContent xmlns:mc="http://schemas.openxmlformats.org/markup-compatibility/2006">
          <mc:Choice Requires="x14">
            <control shapeId="419860" r:id="rId10" name="Spinner 20">
              <controlPr defaultSize="0" autoPict="0">
                <anchor moveWithCells="1" sizeWithCells="1">
                  <from>
                    <xdr:col>16</xdr:col>
                    <xdr:colOff>876300</xdr:colOff>
                    <xdr:row>55</xdr:row>
                    <xdr:rowOff>0</xdr:rowOff>
                  </from>
                  <to>
                    <xdr:col>17</xdr:col>
                    <xdr:colOff>0</xdr:colOff>
                    <xdr:row>56</xdr:row>
                    <xdr:rowOff>0</xdr:rowOff>
                  </to>
                </anchor>
              </controlPr>
            </control>
          </mc:Choice>
        </mc:AlternateContent>
        <mc:AlternateContent xmlns:mc="http://schemas.openxmlformats.org/markup-compatibility/2006">
          <mc:Choice Requires="x14">
            <control shapeId="419861" r:id="rId11" name="Spinner 21">
              <controlPr defaultSize="0" autoPict="0">
                <anchor moveWithCells="1" sizeWithCells="1">
                  <from>
                    <xdr:col>15</xdr:col>
                    <xdr:colOff>9525</xdr:colOff>
                    <xdr:row>51</xdr:row>
                    <xdr:rowOff>0</xdr:rowOff>
                  </from>
                  <to>
                    <xdr:col>16</xdr:col>
                    <xdr:colOff>9525</xdr:colOff>
                    <xdr:row>51</xdr:row>
                    <xdr:rowOff>0</xdr:rowOff>
                  </to>
                </anchor>
              </controlPr>
            </control>
          </mc:Choice>
        </mc:AlternateContent>
        <mc:AlternateContent xmlns:mc="http://schemas.openxmlformats.org/markup-compatibility/2006">
          <mc:Choice Requires="x14">
            <control shapeId="419864" r:id="rId12" name="Spinner 24">
              <controlPr defaultSize="0" autoPict="0">
                <anchor moveWithCells="1" sizeWithCells="1">
                  <from>
                    <xdr:col>16</xdr:col>
                    <xdr:colOff>914400</xdr:colOff>
                    <xdr:row>47</xdr:row>
                    <xdr:rowOff>0</xdr:rowOff>
                  </from>
                  <to>
                    <xdr:col>16</xdr:col>
                    <xdr:colOff>1047750</xdr:colOff>
                    <xdr:row>48</xdr:row>
                    <xdr:rowOff>0</xdr:rowOff>
                  </to>
                </anchor>
              </controlPr>
            </control>
          </mc:Choice>
        </mc:AlternateContent>
        <mc:AlternateContent xmlns:mc="http://schemas.openxmlformats.org/markup-compatibility/2006">
          <mc:Choice Requires="x14">
            <control shapeId="419865" r:id="rId13" name="Spinner 25">
              <controlPr defaultSize="0" autoPict="0">
                <anchor moveWithCells="1" sizeWithCells="1">
                  <from>
                    <xdr:col>16</xdr:col>
                    <xdr:colOff>885825</xdr:colOff>
                    <xdr:row>47</xdr:row>
                    <xdr:rowOff>0</xdr:rowOff>
                  </from>
                  <to>
                    <xdr:col>17</xdr:col>
                    <xdr:colOff>0</xdr:colOff>
                    <xdr:row>48</xdr:row>
                    <xdr:rowOff>0</xdr:rowOff>
                  </to>
                </anchor>
              </controlPr>
            </control>
          </mc:Choice>
        </mc:AlternateContent>
      </controls>
    </mc:Choice>
  </mc:AlternateConten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pageSetUpPr autoPageBreaks="0"/>
  </sheetPr>
  <dimension ref="A1:AC20"/>
  <sheetViews>
    <sheetView showGridLines="0" zoomScale="96" zoomScaleNormal="96" workbookViewId="0">
      <pane xSplit="1" ySplit="4" topLeftCell="B5" activePane="bottomRight" state="frozen"/>
      <selection pane="topRight"/>
      <selection pane="bottomLeft"/>
      <selection pane="bottomRight" activeCell="J4" sqref="J4:K4"/>
    </sheetView>
  </sheetViews>
  <sheetFormatPr defaultColWidth="2.5703125" defaultRowHeight="12.75" x14ac:dyDescent="0.2"/>
  <cols>
    <col min="1" max="1" width="3.7109375" style="235" customWidth="1"/>
    <col min="2" max="2" width="2.5703125" style="235" customWidth="1"/>
    <col min="3" max="3" width="4.140625" style="235" customWidth="1"/>
    <col min="4" max="16" width="2.5703125" style="235" customWidth="1"/>
    <col min="17" max="17" width="17.85546875" style="235" customWidth="1"/>
    <col min="18" max="18" width="14.85546875" style="235" customWidth="1"/>
    <col min="19" max="19" width="16.5703125" style="235" customWidth="1"/>
    <col min="20" max="20" width="11" style="235" customWidth="1"/>
    <col min="21" max="21" width="3.28515625" style="235" customWidth="1"/>
    <col min="22" max="22" width="24.85546875" style="235" customWidth="1"/>
    <col min="23" max="23" width="2.5703125" style="235" customWidth="1"/>
    <col min="24" max="16384" width="2.5703125" style="235"/>
  </cols>
  <sheetData>
    <row r="1" spans="1:29" ht="23.25" x14ac:dyDescent="0.2">
      <c r="A1" s="421"/>
      <c r="B1" s="40" t="s">
        <v>759</v>
      </c>
    </row>
    <row r="2" spans="1:29" ht="18.75" x14ac:dyDescent="0.2">
      <c r="B2" s="39" t="str">
        <f>Model_Name</f>
        <v>Zambia C4P* - Screening &amp; Treatment Tool</v>
      </c>
      <c r="X2" s="97" t="s">
        <v>756</v>
      </c>
    </row>
    <row r="3" spans="1:29" x14ac:dyDescent="0.2">
      <c r="B3" s="939" t="s">
        <v>2</v>
      </c>
      <c r="C3" s="939"/>
      <c r="D3" s="939"/>
      <c r="E3" s="939"/>
      <c r="F3" s="939"/>
      <c r="G3" s="939"/>
      <c r="H3" s="939"/>
      <c r="I3" s="939"/>
      <c r="J3" s="242"/>
      <c r="X3" s="97" t="s">
        <v>757</v>
      </c>
    </row>
    <row r="4" spans="1:29" x14ac:dyDescent="0.2">
      <c r="A4" s="41" t="s">
        <v>4</v>
      </c>
      <c r="B4" s="942" t="s">
        <v>6</v>
      </c>
      <c r="C4" s="942"/>
      <c r="D4" s="943" t="s">
        <v>7</v>
      </c>
      <c r="E4" s="943"/>
      <c r="F4" s="944" t="s">
        <v>27</v>
      </c>
      <c r="G4" s="944"/>
      <c r="H4" s="945" t="s">
        <v>28</v>
      </c>
      <c r="I4" s="945"/>
      <c r="J4" s="946" t="s">
        <v>29</v>
      </c>
      <c r="K4" s="946"/>
    </row>
    <row r="5" spans="1:29" s="171" customFormat="1" ht="12" customHeight="1" thickBot="1" x14ac:dyDescent="0.25">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row>
    <row r="6" spans="1:29" s="171" customFormat="1" ht="21.75" thickBot="1" x14ac:dyDescent="0.25">
      <c r="M6" s="58"/>
      <c r="N6" s="47"/>
      <c r="O6" s="58" t="s">
        <v>419</v>
      </c>
      <c r="P6"/>
      <c r="Q6" s="63">
        <v>2015</v>
      </c>
      <c r="R6"/>
      <c r="S6"/>
      <c r="T6"/>
      <c r="U6"/>
      <c r="V6" s="57" t="s">
        <v>753</v>
      </c>
    </row>
    <row r="7" spans="1:29" s="171" customFormat="1" ht="13.5" customHeight="1" thickBot="1" x14ac:dyDescent="0.25">
      <c r="M7" s="58"/>
      <c r="N7" s="47"/>
      <c r="O7" s="58" t="s">
        <v>420</v>
      </c>
      <c r="P7"/>
      <c r="Q7" s="952" t="s">
        <v>121</v>
      </c>
      <c r="R7" s="953"/>
      <c r="S7" s="954"/>
      <c r="T7" s="47"/>
      <c r="U7"/>
      <c r="V7" s="275" t="e">
        <f>INDEX(Reg_Pop_Ann_TO!$D$145:$N$156,MATCH(Q7,Reg_Pop_Ann_TO!D145:D156,0),MATCH(Q6,Reg_Pop_Ann_TO!D145:N145,0))</f>
        <v>#N/A</v>
      </c>
      <c r="X7" s="95" t="s">
        <v>686</v>
      </c>
    </row>
    <row r="8" spans="1:29" s="171" customFormat="1" ht="21" customHeight="1" x14ac:dyDescent="0.2">
      <c r="M8" s="58"/>
      <c r="N8" s="47"/>
      <c r="O8" s="58"/>
      <c r="P8" s="47"/>
      <c r="Q8"/>
      <c r="R8"/>
      <c r="S8"/>
      <c r="T8" s="47"/>
      <c r="U8" s="47"/>
      <c r="V8" s="93" t="s">
        <v>1214</v>
      </c>
      <c r="X8" s="95"/>
    </row>
    <row r="9" spans="1:29" s="171" customFormat="1" ht="16.5" customHeight="1" thickBot="1" x14ac:dyDescent="0.25">
      <c r="D9" s="92" t="s">
        <v>743</v>
      </c>
      <c r="P9" s="3"/>
      <c r="Q9" s="3"/>
      <c r="R9" s="3"/>
      <c r="V9" s="93" t="s">
        <v>1213</v>
      </c>
    </row>
    <row r="10" spans="1:29" s="171" customFormat="1" ht="24.6" customHeight="1" thickTop="1" thickBot="1" x14ac:dyDescent="0.25">
      <c r="D10" s="955" t="s">
        <v>421</v>
      </c>
      <c r="E10" s="955"/>
      <c r="F10" s="955"/>
      <c r="G10" s="955"/>
      <c r="H10" s="955"/>
      <c r="I10" s="955"/>
      <c r="J10" s="955"/>
      <c r="K10" s="955"/>
      <c r="L10" s="955"/>
      <c r="M10" s="955"/>
      <c r="N10" s="955"/>
      <c r="O10" s="955"/>
      <c r="Q10" s="276">
        <v>57</v>
      </c>
      <c r="R10" s="277" t="s">
        <v>631</v>
      </c>
      <c r="V10" s="275" t="e">
        <f>INDEX(Reg_Pop_Ann_TO!$D$303:$N$314,MATCH(Q7,Reg_Pop_Ann_TO!D303:D314,0),MATCH(Q6,Reg_Pop_Ann_TO!D303:N303,0))</f>
        <v>#N/A</v>
      </c>
      <c r="X10" s="95" t="s">
        <v>686</v>
      </c>
    </row>
    <row r="11" spans="1:29" s="171" customFormat="1" ht="5.0999999999999996" customHeight="1" thickTop="1" x14ac:dyDescent="0.2">
      <c r="W11" s="90"/>
      <c r="X11" s="3"/>
    </row>
    <row r="12" spans="1:29" s="171" customFormat="1" ht="12" customHeight="1" thickBot="1" x14ac:dyDescent="0.25">
      <c r="V12" s="93" t="s">
        <v>754</v>
      </c>
    </row>
    <row r="13" spans="1:29" s="171" customFormat="1" ht="20.45" customHeight="1" thickBot="1" x14ac:dyDescent="0.25">
      <c r="C13" s="94">
        <v>0</v>
      </c>
      <c r="S13" s="211">
        <v>1</v>
      </c>
      <c r="V13" s="278" t="e">
        <f>(V7*(SB_WKSHT_PROP_ELIG_SEEK_SCREEN/100))+V10</f>
        <v>#N/A</v>
      </c>
      <c r="X13" s="95" t="s">
        <v>686</v>
      </c>
    </row>
    <row r="14" spans="1:29" s="171" customFormat="1" ht="6.95" customHeight="1" x14ac:dyDescent="0.2"/>
    <row r="15" spans="1:29" ht="12" customHeight="1" thickBot="1" x14ac:dyDescent="0.25">
      <c r="D15" s="92" t="s">
        <v>758</v>
      </c>
    </row>
    <row r="16" spans="1:29" ht="19.5" thickBot="1" x14ac:dyDescent="0.25">
      <c r="T16" s="251" t="str">
        <f>Screen_Code1</f>
        <v>VIA</v>
      </c>
      <c r="V16" s="275" t="e">
        <f>INDEX(Screen_Ann_TO!D229:N240,MATCH(Q7,Reg_Pop_Ann_TO!D145:D156,0),MATCH(Q6,Reg_Pop_Ann_TO!D145:N145,0))</f>
        <v>#N/A</v>
      </c>
    </row>
    <row r="17" spans="1:29" ht="19.5" thickBot="1" x14ac:dyDescent="0.25">
      <c r="T17" s="251" t="e">
        <f>Screen_2_Code1</f>
        <v>#NAME?</v>
      </c>
      <c r="V17" s="275" t="e">
        <f>INDEX(Screen_Ann_TO!#REF!,MATCH(Q7,Reg_Pop_Ann_TO!D145:D156,0),MATCH(Q6,Reg_Pop_Ann_TO!D145:N145,0))</f>
        <v>#REF!</v>
      </c>
    </row>
    <row r="18" spans="1:29" ht="19.5" thickBot="1" x14ac:dyDescent="0.25">
      <c r="T18" s="51" t="s">
        <v>415</v>
      </c>
      <c r="V18" s="275" t="e">
        <f>V16+V17</f>
        <v>#N/A</v>
      </c>
    </row>
    <row r="19" spans="1:29" ht="19.5" thickBot="1" x14ac:dyDescent="0.25">
      <c r="T19" s="51" t="s">
        <v>755</v>
      </c>
      <c r="V19" s="275" t="e">
        <f>MAX(V13-V18,0)</f>
        <v>#N/A</v>
      </c>
    </row>
    <row r="20" spans="1:29" s="171" customFormat="1" x14ac:dyDescent="0.2">
      <c r="A20" s="55"/>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row>
  </sheetData>
  <mergeCells count="8">
    <mergeCell ref="Q7:S7"/>
    <mergeCell ref="D4:E4"/>
    <mergeCell ref="D10:O10"/>
    <mergeCell ref="B3:I3"/>
    <mergeCell ref="B4:C4"/>
    <mergeCell ref="F4:G4"/>
    <mergeCell ref="H4:I4"/>
    <mergeCell ref="J4:K4"/>
  </mergeCells>
  <conditionalFormatting sqref="V18">
    <cfRule type="expression" dxfId="46" priority="1">
      <formula>$V$18&lt;$V$13</formula>
    </cfRule>
  </conditionalFormatting>
  <dataValidations count="1">
    <dataValidation type="whole" showDropDown="1" showErrorMessage="1" errorTitle="Scroll Bar Cell Link" error="The value in a scroll bar cell link must be between the control's minimum and maximum allowed values." sqref="Q10">
      <formula1>0</formula1>
      <formula2>100</formula2>
    </dataValidation>
  </dataValidations>
  <hyperlinks>
    <hyperlink ref="A4" location="$B$5" tooltip="Go to Top of Sheet" display="$B$5"/>
    <hyperlink ref="D4" location="HL_Sheet_Main_53" tooltip="Go to Next Sheet" display="HL_Sheet_Main_53"/>
    <hyperlink ref="B4" location="HL_Sheet_Main_60" tooltip="Go to Previous Sheet" display="HL_Sheet_Main_60"/>
    <hyperlink ref="B3" location="HL_Home" tooltip="Go to Table of Contents" display="HL_Home"/>
    <hyperlink ref="F4" location="HL_Err_Chk" tooltip="Go to Error Checks" display="HL_Err_Chk"/>
    <hyperlink ref="H4" location="HL_Sens_Chk" tooltip="Go to Sensitivity Checks" display="HL_Sens_Chk"/>
    <hyperlink ref="J4" location="HL_Alt_Chk" tooltip="Go to Alert Checks" display="HL_Alt_Chk"/>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41345" r:id="rId4" name="Scroll Bar 1">
              <controlPr defaultSize="0" autoPict="0">
                <anchor moveWithCells="1">
                  <from>
                    <xdr:col>3</xdr:col>
                    <xdr:colOff>104775</xdr:colOff>
                    <xdr:row>12</xdr:row>
                    <xdr:rowOff>9525</xdr:rowOff>
                  </from>
                  <to>
                    <xdr:col>17</xdr:col>
                    <xdr:colOff>866775</xdr:colOff>
                    <xdr:row>12</xdr:row>
                    <xdr:rowOff>209550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iconSet" priority="2" id="{F2726EE0-67A8-49EE-A468-113C440A7BE6}">
            <x14:iconSet iconSet="3Triangles">
              <x14:cfvo type="percent">
                <xm:f>0</xm:f>
              </x14:cfvo>
              <x14:cfvo type="formula">
                <xm:f>$V$13</xm:f>
              </x14:cfvo>
              <x14:cfvo type="formula">
                <xm:f>$V$13</xm:f>
              </x14:cfvo>
            </x14:iconSet>
          </x14:cfRule>
          <xm:sqref>V18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Reg_Pop_Ann_TO!$J$303:$N$303</xm:f>
          </x14:formula1>
          <xm:sqref>Q6</xm:sqref>
        </x14:dataValidation>
        <x14:dataValidation type="list" allowBlank="1" showInputMessage="1" showErrorMessage="1">
          <x14:formula1>
            <xm:f>Reg_Pop_Ann_TO!$D$304:$D$314</xm:f>
          </x14:formula1>
          <xm:sqref>Q7:S7</xm:sqref>
        </x14:dataValidation>
      </x14:dataValidations>
    </ext>
  </extLs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autoPageBreaks="0"/>
  </sheetPr>
  <dimension ref="A1:W596"/>
  <sheetViews>
    <sheetView showGridLines="0" zoomScaleNormal="100" workbookViewId="0">
      <pane xSplit="1" ySplit="4" topLeftCell="B5" activePane="bottomRight" state="frozen"/>
      <selection pane="topRight"/>
      <selection pane="bottomLeft"/>
      <selection pane="bottomRight" activeCell="F4" sqref="F4"/>
    </sheetView>
  </sheetViews>
  <sheetFormatPr defaultColWidth="11.7109375" defaultRowHeight="12.75" outlineLevelRow="2" x14ac:dyDescent="0.2"/>
  <cols>
    <col min="1" max="1" width="4.5703125" style="348" bestFit="1" customWidth="1"/>
    <col min="2" max="5" width="3.7109375" style="348" customWidth="1"/>
    <col min="6" max="7" width="11.7109375" style="348"/>
    <col min="8" max="8" width="3" style="348" customWidth="1"/>
    <col min="9" max="9" width="11.7109375" style="348"/>
    <col min="10" max="10" width="8.140625" style="348" bestFit="1" customWidth="1"/>
    <col min="11" max="11" width="11.85546875" style="348" bestFit="1" customWidth="1"/>
    <col min="12" max="12" width="8.140625" style="348" bestFit="1" customWidth="1"/>
    <col min="13" max="13" width="10.28515625" style="348" customWidth="1"/>
    <col min="14" max="14" width="5" style="348" customWidth="1"/>
    <col min="15" max="15" width="10.85546875" style="348" customWidth="1"/>
    <col min="16" max="16" width="4.5703125" style="348" customWidth="1"/>
    <col min="17" max="17" width="12.42578125" style="348" customWidth="1"/>
    <col min="18" max="18" width="2.5703125" style="348" customWidth="1"/>
    <col min="19" max="19" width="13.140625" style="348" customWidth="1"/>
    <col min="20" max="20" width="4" style="348" customWidth="1"/>
    <col min="21" max="21" width="13.28515625" style="348" customWidth="1"/>
    <col min="22" max="22" width="2.5703125" style="348" customWidth="1"/>
    <col min="23" max="23" width="12.85546875" style="348" customWidth="1"/>
    <col min="24" max="16384" width="11.7109375" style="348"/>
  </cols>
  <sheetData>
    <row r="1" spans="1:19" ht="23.25" x14ac:dyDescent="0.2">
      <c r="A1" s="321"/>
      <c r="B1" s="349" t="s">
        <v>1134</v>
      </c>
    </row>
    <row r="2" spans="1:19" ht="18.75" x14ac:dyDescent="0.2">
      <c r="B2" s="350" t="str">
        <f>Model_Name</f>
        <v>Zambia C4P* - Screening &amp; Treatment Tool</v>
      </c>
    </row>
    <row r="3" spans="1:19" x14ac:dyDescent="0.2">
      <c r="B3" s="722" t="s">
        <v>2</v>
      </c>
      <c r="C3" s="722"/>
      <c r="D3" s="722"/>
      <c r="E3" s="722"/>
      <c r="F3" s="722"/>
    </row>
    <row r="4" spans="1:19" ht="15" x14ac:dyDescent="0.2">
      <c r="A4" s="351" t="s">
        <v>4</v>
      </c>
      <c r="B4" s="352" t="s">
        <v>6</v>
      </c>
      <c r="C4" s="353" t="s">
        <v>7</v>
      </c>
      <c r="D4" s="354" t="s">
        <v>27</v>
      </c>
      <c r="E4" s="355" t="s">
        <v>28</v>
      </c>
      <c r="F4" s="356" t="s">
        <v>29</v>
      </c>
      <c r="Q4" s="366"/>
      <c r="R4" s="386"/>
      <c r="S4" s="366"/>
    </row>
    <row r="7" spans="1:19" ht="18.75" x14ac:dyDescent="0.2">
      <c r="B7" s="357" t="s">
        <v>1134</v>
      </c>
    </row>
    <row r="10" spans="1:19" ht="15.95" customHeight="1" x14ac:dyDescent="0.2">
      <c r="B10" s="428" t="str">
        <f>I11</f>
        <v>Curriculum Development Workshop - National</v>
      </c>
    </row>
    <row r="11" spans="1:19" x14ac:dyDescent="0.2">
      <c r="G11" s="360" t="s">
        <v>1135</v>
      </c>
      <c r="I11" s="721" t="s">
        <v>1187</v>
      </c>
      <c r="J11" s="721"/>
      <c r="K11" s="721"/>
      <c r="L11" s="721"/>
      <c r="M11" s="721"/>
    </row>
    <row r="12" spans="1:19" ht="10.5" customHeight="1" outlineLevel="1" x14ac:dyDescent="0.2">
      <c r="G12" s="360" t="s">
        <v>1120</v>
      </c>
      <c r="I12" s="544">
        <v>1</v>
      </c>
    </row>
    <row r="13" spans="1:19" ht="15.75" outlineLevel="1" x14ac:dyDescent="0.2">
      <c r="C13" s="538" t="s">
        <v>414</v>
      </c>
    </row>
    <row r="14" spans="1:19" outlineLevel="2" x14ac:dyDescent="0.2"/>
    <row r="15" spans="1:19" ht="15.75" outlineLevel="2" x14ac:dyDescent="0.2">
      <c r="D15" s="538" t="s">
        <v>1011</v>
      </c>
    </row>
    <row r="16" spans="1:19" ht="51" outlineLevel="2" x14ac:dyDescent="0.2">
      <c r="D16" s="956" t="s">
        <v>1010</v>
      </c>
      <c r="E16" s="957"/>
      <c r="F16" s="957"/>
      <c r="G16" s="957"/>
      <c r="I16" s="545" t="s">
        <v>1018</v>
      </c>
      <c r="K16" s="545" t="s">
        <v>995</v>
      </c>
      <c r="M16" s="545" t="s">
        <v>1019</v>
      </c>
      <c r="O16" s="545" t="s">
        <v>1020</v>
      </c>
      <c r="Q16" s="390" t="str">
        <f>"FINANCIAL COST ("&amp;INDEX(LU_PLUG_Train_Curr,DD_PLUG_Train1_Curr)&amp;")"</f>
        <v>FINANCIAL COST (USD)</v>
      </c>
      <c r="S16" s="390" t="str">
        <f>"ECONOMIC COST ("&amp;INDEX(LU_PLUG_Train_Curr,DD_PLUG_Train1_Curr)&amp;")"</f>
        <v>ECONOMIC COST (USD)</v>
      </c>
    </row>
    <row r="17" spans="4:19" hidden="1" outlineLevel="2" x14ac:dyDescent="0.2">
      <c r="D17" s="805" t="s">
        <v>1094</v>
      </c>
      <c r="E17" s="806"/>
      <c r="F17" s="806"/>
      <c r="G17" s="807"/>
      <c r="I17" s="372">
        <v>1</v>
      </c>
      <c r="K17" s="372">
        <v>8</v>
      </c>
      <c r="M17" s="372">
        <v>0</v>
      </c>
      <c r="O17" s="372">
        <v>20</v>
      </c>
      <c r="Q17" s="383">
        <f>I17*K17*M17</f>
        <v>0</v>
      </c>
      <c r="S17" s="383">
        <f>I17*K17*O17</f>
        <v>160</v>
      </c>
    </row>
    <row r="18" spans="4:19" hidden="1" outlineLevel="2" x14ac:dyDescent="0.2">
      <c r="D18" s="805" t="s">
        <v>1097</v>
      </c>
      <c r="E18" s="806"/>
      <c r="F18" s="806"/>
      <c r="G18" s="807"/>
      <c r="I18" s="372">
        <v>1</v>
      </c>
      <c r="K18" s="372">
        <v>8</v>
      </c>
      <c r="M18" s="372">
        <v>0</v>
      </c>
      <c r="O18" s="372">
        <v>17</v>
      </c>
      <c r="Q18" s="383">
        <f>I18*K18*M18</f>
        <v>0</v>
      </c>
      <c r="S18" s="383">
        <f>I18*K18*O18</f>
        <v>136</v>
      </c>
    </row>
    <row r="19" spans="4:19" hidden="1" outlineLevel="2" x14ac:dyDescent="0.2">
      <c r="D19" s="805" t="s">
        <v>1015</v>
      </c>
      <c r="E19" s="806"/>
      <c r="F19" s="806"/>
      <c r="G19" s="807"/>
      <c r="I19" s="372">
        <v>0</v>
      </c>
      <c r="K19" s="372">
        <v>0</v>
      </c>
      <c r="M19" s="372">
        <v>0</v>
      </c>
      <c r="O19" s="372">
        <v>0</v>
      </c>
      <c r="Q19" s="383">
        <f>I19*K19*M19</f>
        <v>0</v>
      </c>
      <c r="S19" s="383">
        <f>I19*K19*O19</f>
        <v>0</v>
      </c>
    </row>
    <row r="20" spans="4:19" hidden="1" outlineLevel="2" x14ac:dyDescent="0.2">
      <c r="D20" s="721" t="s">
        <v>1016</v>
      </c>
      <c r="E20" s="721"/>
      <c r="F20" s="721"/>
      <c r="G20" s="721"/>
      <c r="I20" s="372"/>
      <c r="K20" s="372"/>
      <c r="M20" s="372"/>
      <c r="O20" s="372"/>
      <c r="Q20" s="383">
        <f>I20*K20*M20</f>
        <v>0</v>
      </c>
      <c r="S20" s="383">
        <f>I20*K20*O20</f>
        <v>0</v>
      </c>
    </row>
    <row r="21" spans="4:19" hidden="1" outlineLevel="2" x14ac:dyDescent="0.2">
      <c r="D21" s="721" t="s">
        <v>1017</v>
      </c>
      <c r="E21" s="721"/>
      <c r="F21" s="721"/>
      <c r="G21" s="721"/>
      <c r="I21" s="372"/>
      <c r="K21" s="372"/>
      <c r="M21" s="372"/>
      <c r="O21" s="372"/>
      <c r="Q21" s="384">
        <f>I21*K21*M21</f>
        <v>0</v>
      </c>
      <c r="S21" s="384">
        <f>I21*K21*O21</f>
        <v>0</v>
      </c>
    </row>
    <row r="22" spans="4:19" outlineLevel="2" x14ac:dyDescent="0.2">
      <c r="D22" s="909" t="str">
        <f>"Total "&amp;D16</f>
        <v>Total Facilitators/Instructors</v>
      </c>
      <c r="E22" s="910"/>
      <c r="F22" s="910"/>
      <c r="G22" s="910"/>
      <c r="I22" s="542">
        <f>SUM(I17:I21)</f>
        <v>2</v>
      </c>
      <c r="Q22" s="542">
        <f>SUM(Q17:Q21)</f>
        <v>0</v>
      </c>
      <c r="S22" s="542">
        <f>SUM(S17:S21)</f>
        <v>296</v>
      </c>
    </row>
    <row r="23" spans="4:19" ht="6.6" customHeight="1" outlineLevel="2" x14ac:dyDescent="0.2"/>
    <row r="24" spans="4:19" ht="32.1" customHeight="1" outlineLevel="2" x14ac:dyDescent="0.2">
      <c r="D24" s="956" t="s">
        <v>1012</v>
      </c>
      <c r="E24" s="957"/>
      <c r="F24" s="957"/>
      <c r="G24" s="957"/>
      <c r="I24" s="545" t="s">
        <v>1018</v>
      </c>
      <c r="K24" s="545" t="s">
        <v>995</v>
      </c>
      <c r="M24" s="545" t="s">
        <v>1019</v>
      </c>
      <c r="O24" s="545" t="s">
        <v>1020</v>
      </c>
      <c r="Q24" s="390" t="str">
        <f>"FINANCIAL COST ("&amp;INDEX(LU_PLUG_Train_Curr,DD_PLUG_Train1_Curr)&amp;")"</f>
        <v>FINANCIAL COST (USD)</v>
      </c>
      <c r="S24" s="390" t="str">
        <f>"ECONOMIC COST ("&amp;INDEX(LU_PLUG_Train_Curr,DD_PLUG_Train1_Curr)&amp;")"</f>
        <v>ECONOMIC COST (USD)</v>
      </c>
    </row>
    <row r="25" spans="4:19" hidden="1" outlineLevel="2" x14ac:dyDescent="0.2">
      <c r="D25" s="721" t="s">
        <v>1095</v>
      </c>
      <c r="E25" s="721"/>
      <c r="F25" s="721"/>
      <c r="G25" s="721"/>
      <c r="I25" s="372">
        <v>2</v>
      </c>
      <c r="K25" s="372">
        <v>8</v>
      </c>
      <c r="M25" s="372">
        <v>0</v>
      </c>
      <c r="O25" s="372">
        <v>10</v>
      </c>
      <c r="Q25" s="383">
        <f>I25*K25*M25</f>
        <v>0</v>
      </c>
      <c r="S25" s="383">
        <f>I25*K25*O25</f>
        <v>160</v>
      </c>
    </row>
    <row r="26" spans="4:19" hidden="1" outlineLevel="2" x14ac:dyDescent="0.2">
      <c r="D26" s="721" t="s">
        <v>1025</v>
      </c>
      <c r="E26" s="721"/>
      <c r="F26" s="721"/>
      <c r="G26" s="721"/>
      <c r="I26" s="372"/>
      <c r="K26" s="372"/>
      <c r="M26" s="372"/>
      <c r="O26" s="372"/>
      <c r="Q26" s="383">
        <f>I26*K26*M26</f>
        <v>0</v>
      </c>
      <c r="S26" s="383">
        <f>I26*K26*O26</f>
        <v>0</v>
      </c>
    </row>
    <row r="27" spans="4:19" hidden="1" outlineLevel="2" x14ac:dyDescent="0.2">
      <c r="D27" s="721" t="s">
        <v>1026</v>
      </c>
      <c r="E27" s="721"/>
      <c r="F27" s="721"/>
      <c r="G27" s="721"/>
      <c r="I27" s="372">
        <v>0</v>
      </c>
      <c r="K27" s="372">
        <v>0</v>
      </c>
      <c r="M27" s="372">
        <v>0</v>
      </c>
      <c r="O27" s="372">
        <v>0</v>
      </c>
      <c r="Q27" s="383">
        <f>I27*K27*M27</f>
        <v>0</v>
      </c>
      <c r="S27" s="383">
        <f>I27*K27*O27</f>
        <v>0</v>
      </c>
    </row>
    <row r="28" spans="4:19" hidden="1" outlineLevel="2" x14ac:dyDescent="0.2">
      <c r="D28" s="805" t="s">
        <v>1027</v>
      </c>
      <c r="E28" s="806"/>
      <c r="F28" s="806"/>
      <c r="G28" s="807"/>
      <c r="I28" s="372">
        <v>0</v>
      </c>
      <c r="K28" s="372">
        <v>0</v>
      </c>
      <c r="M28" s="372">
        <v>0</v>
      </c>
      <c r="O28" s="372">
        <v>0</v>
      </c>
      <c r="Q28" s="383">
        <f>I28*K28*M28</f>
        <v>0</v>
      </c>
      <c r="S28" s="383">
        <f>I28*K28*O28</f>
        <v>0</v>
      </c>
    </row>
    <row r="29" spans="4:19" hidden="1" outlineLevel="2" x14ac:dyDescent="0.2">
      <c r="D29" s="805" t="s">
        <v>1028</v>
      </c>
      <c r="E29" s="806"/>
      <c r="F29" s="806"/>
      <c r="G29" s="807"/>
      <c r="I29" s="372">
        <v>0</v>
      </c>
      <c r="K29" s="372">
        <v>0</v>
      </c>
      <c r="M29" s="372">
        <v>0</v>
      </c>
      <c r="O29" s="372">
        <v>0</v>
      </c>
      <c r="Q29" s="384">
        <f>I29*K29*M29</f>
        <v>0</v>
      </c>
      <c r="S29" s="384">
        <f>I29*K29*O29</f>
        <v>0</v>
      </c>
    </row>
    <row r="30" spans="4:19" outlineLevel="2" x14ac:dyDescent="0.2">
      <c r="D30" s="909" t="str">
        <f>"Total "&amp;D24</f>
        <v xml:space="preserve">Total Support Personnel </v>
      </c>
      <c r="E30" s="910"/>
      <c r="F30" s="910"/>
      <c r="G30" s="910"/>
      <c r="I30" s="542">
        <f>SUM(I25:I29)</f>
        <v>2</v>
      </c>
      <c r="Q30" s="542">
        <f>SUM(Q25:Q29)</f>
        <v>0</v>
      </c>
      <c r="S30" s="542">
        <f>SUM(S25:S29)</f>
        <v>160</v>
      </c>
    </row>
    <row r="31" spans="4:19" ht="6.6" customHeight="1" outlineLevel="2" x14ac:dyDescent="0.2"/>
    <row r="32" spans="4:19" ht="30.95" customHeight="1" outlineLevel="2" x14ac:dyDescent="0.2">
      <c r="D32" s="960" t="s">
        <v>1031</v>
      </c>
      <c r="E32" s="961"/>
      <c r="F32" s="961"/>
      <c r="G32" s="961"/>
      <c r="I32" s="545" t="s">
        <v>1018</v>
      </c>
      <c r="K32" s="545" t="s">
        <v>995</v>
      </c>
      <c r="M32" s="545" t="s">
        <v>1019</v>
      </c>
      <c r="O32" s="545" t="s">
        <v>1020</v>
      </c>
      <c r="Q32" s="390" t="str">
        <f>"FINANCIAL COST ("&amp;INDEX(LU_PLUG_Train_Curr,DD_PLUG_Train1_Curr)&amp;")"</f>
        <v>FINANCIAL COST (USD)</v>
      </c>
      <c r="S32" s="390" t="str">
        <f>"ECONOMIC COST ("&amp;INDEX(LU_PLUG_Train_Curr,DD_PLUG_Train1_Curr)&amp;")"</f>
        <v>ECONOMIC COST (USD)</v>
      </c>
    </row>
    <row r="33" spans="3:19" hidden="1" outlineLevel="2" x14ac:dyDescent="0.2">
      <c r="D33" s="721" t="s">
        <v>1096</v>
      </c>
      <c r="E33" s="721"/>
      <c r="F33" s="721"/>
      <c r="G33" s="721"/>
      <c r="I33" s="372">
        <v>15</v>
      </c>
      <c r="K33" s="372">
        <v>0</v>
      </c>
      <c r="M33" s="372">
        <v>0</v>
      </c>
      <c r="O33" s="372">
        <v>10</v>
      </c>
      <c r="Q33" s="383">
        <f t="shared" ref="Q33:Q38" si="0">I33*K33*M33</f>
        <v>0</v>
      </c>
      <c r="S33" s="383">
        <f t="shared" ref="S33:S38" si="1">I33*K33*O33</f>
        <v>0</v>
      </c>
    </row>
    <row r="34" spans="3:19" hidden="1" outlineLevel="2" x14ac:dyDescent="0.2">
      <c r="D34" s="721" t="s">
        <v>1032</v>
      </c>
      <c r="E34" s="721"/>
      <c r="F34" s="721"/>
      <c r="G34" s="721"/>
      <c r="I34" s="372">
        <v>0</v>
      </c>
      <c r="K34" s="372">
        <v>0</v>
      </c>
      <c r="M34" s="372">
        <v>0</v>
      </c>
      <c r="O34" s="372">
        <v>0</v>
      </c>
      <c r="Q34" s="383">
        <f t="shared" si="0"/>
        <v>0</v>
      </c>
      <c r="S34" s="383">
        <f t="shared" si="1"/>
        <v>0</v>
      </c>
    </row>
    <row r="35" spans="3:19" hidden="1" outlineLevel="2" x14ac:dyDescent="0.2">
      <c r="D35" s="805" t="s">
        <v>1033</v>
      </c>
      <c r="E35" s="806"/>
      <c r="F35" s="806"/>
      <c r="G35" s="807"/>
      <c r="I35" s="372">
        <v>0</v>
      </c>
      <c r="K35" s="372">
        <v>0</v>
      </c>
      <c r="M35" s="372">
        <v>0</v>
      </c>
      <c r="O35" s="372">
        <v>0</v>
      </c>
      <c r="Q35" s="383">
        <f t="shared" si="0"/>
        <v>0</v>
      </c>
      <c r="S35" s="383">
        <f t="shared" si="1"/>
        <v>0</v>
      </c>
    </row>
    <row r="36" spans="3:19" hidden="1" outlineLevel="2" x14ac:dyDescent="0.2">
      <c r="D36" s="805" t="s">
        <v>1034</v>
      </c>
      <c r="E36" s="806"/>
      <c r="F36" s="806"/>
      <c r="G36" s="807"/>
      <c r="I36" s="372">
        <v>0</v>
      </c>
      <c r="K36" s="372">
        <v>0</v>
      </c>
      <c r="M36" s="372">
        <v>0</v>
      </c>
      <c r="O36" s="372">
        <v>0</v>
      </c>
      <c r="Q36" s="383">
        <f t="shared" si="0"/>
        <v>0</v>
      </c>
      <c r="S36" s="383">
        <f t="shared" si="1"/>
        <v>0</v>
      </c>
    </row>
    <row r="37" spans="3:19" hidden="1" outlineLevel="2" x14ac:dyDescent="0.2">
      <c r="D37" s="805" t="s">
        <v>1035</v>
      </c>
      <c r="E37" s="806"/>
      <c r="F37" s="806"/>
      <c r="G37" s="807"/>
      <c r="I37" s="372">
        <v>0</v>
      </c>
      <c r="K37" s="372">
        <v>0</v>
      </c>
      <c r="M37" s="372">
        <v>0</v>
      </c>
      <c r="O37" s="372">
        <v>0</v>
      </c>
      <c r="Q37" s="383">
        <f t="shared" si="0"/>
        <v>0</v>
      </c>
      <c r="S37" s="383">
        <f t="shared" si="1"/>
        <v>0</v>
      </c>
    </row>
    <row r="38" spans="3:19" hidden="1" outlineLevel="2" x14ac:dyDescent="0.2">
      <c r="D38" s="805" t="s">
        <v>1036</v>
      </c>
      <c r="E38" s="806"/>
      <c r="F38" s="806"/>
      <c r="G38" s="807"/>
      <c r="I38" s="372">
        <v>0</v>
      </c>
      <c r="K38" s="372">
        <v>0</v>
      </c>
      <c r="M38" s="372">
        <v>0</v>
      </c>
      <c r="O38" s="372">
        <v>0</v>
      </c>
      <c r="Q38" s="384">
        <f t="shared" si="0"/>
        <v>0</v>
      </c>
      <c r="S38" s="384">
        <f t="shared" si="1"/>
        <v>0</v>
      </c>
    </row>
    <row r="39" spans="3:19" outlineLevel="2" x14ac:dyDescent="0.2">
      <c r="D39" s="958" t="str">
        <f>"Total "&amp;D32</f>
        <v>Total Participants</v>
      </c>
      <c r="E39" s="959"/>
      <c r="F39" s="959"/>
      <c r="G39" s="959"/>
      <c r="I39" s="542">
        <f>SUM(I33:I38)</f>
        <v>15</v>
      </c>
      <c r="Q39" s="542">
        <f>SUM(Q33:Q38)</f>
        <v>0</v>
      </c>
      <c r="S39" s="542">
        <f>SUM(S33:S38)</f>
        <v>0</v>
      </c>
    </row>
    <row r="40" spans="3:19" ht="6.6" customHeight="1" outlineLevel="2" x14ac:dyDescent="0.2"/>
    <row r="41" spans="3:19" ht="15" outlineLevel="1" x14ac:dyDescent="0.2">
      <c r="D41" s="782" t="s">
        <v>1052</v>
      </c>
      <c r="E41" s="783"/>
      <c r="F41" s="783"/>
      <c r="G41" s="783"/>
      <c r="I41" s="540"/>
      <c r="K41" s="540"/>
      <c r="M41" s="540"/>
      <c r="O41" s="540"/>
      <c r="Q41" s="377">
        <f>SUM(Q22,Q30,Q39)</f>
        <v>0</v>
      </c>
      <c r="S41" s="377">
        <f>SUM(S22,S30,S39)</f>
        <v>456</v>
      </c>
    </row>
    <row r="42" spans="3:19" outlineLevel="1" x14ac:dyDescent="0.2"/>
    <row r="43" spans="3:19" ht="15.75" outlineLevel="1" x14ac:dyDescent="0.2">
      <c r="C43" s="538" t="s">
        <v>996</v>
      </c>
    </row>
    <row r="44" spans="3:19" outlineLevel="2" x14ac:dyDescent="0.2"/>
    <row r="45" spans="3:19" ht="25.5" outlineLevel="2" x14ac:dyDescent="0.2">
      <c r="D45" s="791" t="str">
        <f>D16</f>
        <v>Facilitators/Instructors</v>
      </c>
      <c r="E45" s="792"/>
      <c r="F45" s="792"/>
      <c r="G45" s="792"/>
      <c r="I45" s="545" t="s">
        <v>994</v>
      </c>
      <c r="K45" s="545" t="s">
        <v>1037</v>
      </c>
      <c r="M45" s="545" t="s">
        <v>1038</v>
      </c>
      <c r="O45" s="545" t="s">
        <v>1039</v>
      </c>
      <c r="Q45" s="387" t="str">
        <f>"FINANCIAL COST ("&amp;INDEX(LU_PLUG_Train_Curr,DD_PLUG_Train1_Curr)&amp;")"</f>
        <v>FINANCIAL COST (USD)</v>
      </c>
      <c r="S45" s="387" t="str">
        <f>"ECONOMIC COST ("&amp;INDEX(LU_PLUG_Train_Curr,DD_PLUG_Train1_Curr)&amp;")"</f>
        <v>ECONOMIC COST (USD)</v>
      </c>
    </row>
    <row r="46" spans="3:19" outlineLevel="2" x14ac:dyDescent="0.2">
      <c r="D46" s="721" t="s">
        <v>1098</v>
      </c>
      <c r="E46" s="721"/>
      <c r="F46" s="721"/>
      <c r="G46" s="721"/>
      <c r="I46" s="372">
        <v>2</v>
      </c>
      <c r="K46" s="372">
        <v>1</v>
      </c>
      <c r="M46" s="372">
        <v>20</v>
      </c>
      <c r="O46" s="372">
        <v>20</v>
      </c>
      <c r="Q46" s="383">
        <f>I46*K46*M46</f>
        <v>40</v>
      </c>
      <c r="S46" s="383">
        <f>I46*K46*O46</f>
        <v>40</v>
      </c>
    </row>
    <row r="47" spans="3:19" outlineLevel="2" x14ac:dyDescent="0.2">
      <c r="D47" s="721" t="s">
        <v>1099</v>
      </c>
      <c r="E47" s="721"/>
      <c r="F47" s="721"/>
      <c r="G47" s="721"/>
      <c r="I47" s="372">
        <v>3</v>
      </c>
      <c r="K47" s="372">
        <v>1</v>
      </c>
      <c r="M47" s="372">
        <v>20</v>
      </c>
      <c r="O47" s="372">
        <v>20</v>
      </c>
      <c r="Q47" s="383">
        <f>I47*K47*M47</f>
        <v>60</v>
      </c>
      <c r="S47" s="383">
        <f>I47*K47*O47</f>
        <v>60</v>
      </c>
    </row>
    <row r="48" spans="3:19" outlineLevel="2" x14ac:dyDescent="0.2">
      <c r="D48" s="721" t="s">
        <v>1102</v>
      </c>
      <c r="E48" s="721"/>
      <c r="F48" s="721"/>
      <c r="G48" s="721"/>
      <c r="I48" s="385"/>
      <c r="K48" s="372"/>
      <c r="M48" s="372"/>
      <c r="O48" s="372"/>
      <c r="Q48" s="383">
        <f>I48*K48*M48</f>
        <v>0</v>
      </c>
      <c r="S48" s="383">
        <f>I48*K48*O48</f>
        <v>0</v>
      </c>
    </row>
    <row r="49" spans="4:19" outlineLevel="2" x14ac:dyDescent="0.2">
      <c r="D49" s="721" t="s">
        <v>1103</v>
      </c>
      <c r="E49" s="721"/>
      <c r="F49" s="721"/>
      <c r="G49" s="721"/>
      <c r="I49" s="385"/>
      <c r="K49" s="372"/>
      <c r="M49" s="372"/>
      <c r="O49" s="372"/>
      <c r="Q49" s="383">
        <f>I49*K49*M49</f>
        <v>0</v>
      </c>
      <c r="S49" s="383">
        <f>I49*K49*O49</f>
        <v>0</v>
      </c>
    </row>
    <row r="50" spans="4:19" outlineLevel="2" x14ac:dyDescent="0.2">
      <c r="D50" s="962"/>
      <c r="E50" s="962"/>
      <c r="F50" s="962"/>
      <c r="G50" s="962"/>
      <c r="I50" s="385"/>
      <c r="K50" s="372"/>
      <c r="M50" s="372"/>
      <c r="O50" s="372"/>
      <c r="Q50" s="384">
        <f>I50*K50*M50</f>
        <v>0</v>
      </c>
      <c r="S50" s="384">
        <f>I50*K50*O50</f>
        <v>0</v>
      </c>
    </row>
    <row r="51" spans="4:19" outlineLevel="2" x14ac:dyDescent="0.2">
      <c r="D51" s="909" t="str">
        <f>"Total "&amp;D45</f>
        <v>Total Facilitators/Instructors</v>
      </c>
      <c r="E51" s="910"/>
      <c r="F51" s="910"/>
      <c r="G51" s="910"/>
      <c r="I51" s="380"/>
      <c r="Q51" s="542">
        <f>SUM(Q46:Q50)</f>
        <v>100</v>
      </c>
      <c r="S51" s="542">
        <f>SUM(S46:S50)</f>
        <v>100</v>
      </c>
    </row>
    <row r="52" spans="4:19" ht="6.6" customHeight="1" outlineLevel="2" x14ac:dyDescent="0.2"/>
    <row r="53" spans="4:19" ht="25.5" outlineLevel="2" x14ac:dyDescent="0.2">
      <c r="D53" s="791" t="str">
        <f>D24</f>
        <v xml:space="preserve">Support Personnel </v>
      </c>
      <c r="E53" s="792"/>
      <c r="F53" s="792"/>
      <c r="G53" s="792"/>
      <c r="I53" s="545" t="s">
        <v>994</v>
      </c>
      <c r="K53" s="545" t="s">
        <v>1037</v>
      </c>
      <c r="M53" s="545" t="s">
        <v>1038</v>
      </c>
      <c r="O53" s="545" t="s">
        <v>1039</v>
      </c>
      <c r="Q53" s="387" t="str">
        <f>"FINANCIAL COST ("&amp;INDEX(LU_PLUG_Train_Curr,DD_PLUG_Train1_Curr)&amp;")"</f>
        <v>FINANCIAL COST (USD)</v>
      </c>
      <c r="S53" s="387" t="str">
        <f>"ECONOMIC COST ("&amp;INDEX(LU_PLUG_Train_Curr,DD_PLUG_Train1_Curr)&amp;")"</f>
        <v>ECONOMIC COST (USD)</v>
      </c>
    </row>
    <row r="54" spans="4:19" outlineLevel="2" x14ac:dyDescent="0.2">
      <c r="D54" s="721" t="s">
        <v>1104</v>
      </c>
      <c r="E54" s="721"/>
      <c r="F54" s="721"/>
      <c r="G54" s="721"/>
      <c r="I54" s="372">
        <v>2</v>
      </c>
      <c r="K54" s="372">
        <v>1</v>
      </c>
      <c r="M54" s="372">
        <v>20</v>
      </c>
      <c r="O54" s="372">
        <v>20</v>
      </c>
      <c r="Q54" s="383">
        <f>I54*K54*M54</f>
        <v>40</v>
      </c>
      <c r="S54" s="383">
        <f>I54*K54*O54</f>
        <v>40</v>
      </c>
    </row>
    <row r="55" spans="4:19" outlineLevel="2" x14ac:dyDescent="0.2">
      <c r="D55" s="721" t="s">
        <v>1105</v>
      </c>
      <c r="E55" s="721"/>
      <c r="F55" s="721"/>
      <c r="G55" s="721"/>
      <c r="I55" s="372">
        <v>2</v>
      </c>
      <c r="K55" s="372">
        <v>5</v>
      </c>
      <c r="M55" s="372">
        <v>15</v>
      </c>
      <c r="O55" s="372">
        <v>15</v>
      </c>
      <c r="Q55" s="383">
        <f>I55*K55*M55</f>
        <v>150</v>
      </c>
      <c r="S55" s="383">
        <f>I55*K55*O55</f>
        <v>150</v>
      </c>
    </row>
    <row r="56" spans="4:19" outlineLevel="2" x14ac:dyDescent="0.2">
      <c r="D56" s="962"/>
      <c r="E56" s="721"/>
      <c r="F56" s="721"/>
      <c r="G56" s="721"/>
      <c r="I56" s="385"/>
      <c r="K56" s="372"/>
      <c r="M56" s="372"/>
      <c r="O56" s="372"/>
      <c r="Q56" s="383">
        <f>I56*K56*M56</f>
        <v>0</v>
      </c>
      <c r="S56" s="383">
        <f>I56*K56*O56</f>
        <v>0</v>
      </c>
    </row>
    <row r="57" spans="4:19" outlineLevel="2" x14ac:dyDescent="0.2">
      <c r="D57" s="962"/>
      <c r="E57" s="721"/>
      <c r="F57" s="721"/>
      <c r="G57" s="721"/>
      <c r="I57" s="385"/>
      <c r="K57" s="372"/>
      <c r="M57" s="372"/>
      <c r="O57" s="372"/>
      <c r="Q57" s="383">
        <f>I57*K57*M57</f>
        <v>0</v>
      </c>
      <c r="S57" s="383">
        <f>I57*K57*O57</f>
        <v>0</v>
      </c>
    </row>
    <row r="58" spans="4:19" outlineLevel="2" x14ac:dyDescent="0.2">
      <c r="D58" s="962"/>
      <c r="E58" s="721"/>
      <c r="F58" s="721"/>
      <c r="G58" s="721"/>
      <c r="I58" s="385"/>
      <c r="K58" s="372"/>
      <c r="M58" s="372"/>
      <c r="O58" s="372"/>
      <c r="Q58" s="384">
        <f>I58*K58*M58</f>
        <v>0</v>
      </c>
      <c r="S58" s="384">
        <f>I58*K58*O58</f>
        <v>0</v>
      </c>
    </row>
    <row r="59" spans="4:19" outlineLevel="2" x14ac:dyDescent="0.2">
      <c r="D59" s="909" t="str">
        <f>"Total "&amp;D53</f>
        <v xml:space="preserve">Total Support Personnel </v>
      </c>
      <c r="E59" s="910"/>
      <c r="F59" s="910"/>
      <c r="G59" s="910"/>
      <c r="I59" s="380"/>
      <c r="Q59" s="542">
        <f>SUM(Q54:Q58)</f>
        <v>190</v>
      </c>
      <c r="S59" s="542">
        <f>SUM(S54:S58)</f>
        <v>190</v>
      </c>
    </row>
    <row r="60" spans="4:19" ht="6.6" customHeight="1" outlineLevel="2" x14ac:dyDescent="0.2"/>
    <row r="61" spans="4:19" ht="25.5" outlineLevel="2" x14ac:dyDescent="0.2">
      <c r="D61" s="791" t="str">
        <f>D32</f>
        <v>Participants</v>
      </c>
      <c r="E61" s="792"/>
      <c r="F61" s="792"/>
      <c r="G61" s="792"/>
      <c r="I61" s="545" t="s">
        <v>994</v>
      </c>
      <c r="K61" s="545" t="s">
        <v>1037</v>
      </c>
      <c r="M61" s="545" t="s">
        <v>1038</v>
      </c>
      <c r="O61" s="545" t="s">
        <v>1039</v>
      </c>
      <c r="Q61" s="387" t="str">
        <f>"FINANCIAL COST ("&amp;INDEX(LU_PLUG_Train_Curr,DD_PLUG_Train1_Curr)&amp;")"</f>
        <v>FINANCIAL COST (USD)</v>
      </c>
      <c r="S61" s="387" t="str">
        <f>"ECONOMIC COST ("&amp;INDEX(LU_PLUG_Train_Curr,DD_PLUG_Train1_Curr)&amp;")"</f>
        <v>ECONOMIC COST (USD)</v>
      </c>
    </row>
    <row r="62" spans="4:19" outlineLevel="2" x14ac:dyDescent="0.2">
      <c r="D62" s="721" t="s">
        <v>1100</v>
      </c>
      <c r="E62" s="721"/>
      <c r="F62" s="721"/>
      <c r="G62" s="721"/>
      <c r="I62" s="372">
        <v>25</v>
      </c>
      <c r="K62" s="372">
        <v>1</v>
      </c>
      <c r="M62" s="372">
        <v>20</v>
      </c>
      <c r="O62" s="372">
        <v>20</v>
      </c>
      <c r="Q62" s="383">
        <f t="shared" ref="Q62:Q67" si="2">I62*K62*M62</f>
        <v>500</v>
      </c>
      <c r="S62" s="383">
        <f t="shared" ref="S62:S67" si="3">I62*K62*O62</f>
        <v>500</v>
      </c>
    </row>
    <row r="63" spans="4:19" outlineLevel="2" x14ac:dyDescent="0.2">
      <c r="D63" s="721" t="s">
        <v>1101</v>
      </c>
      <c r="E63" s="721"/>
      <c r="F63" s="721"/>
      <c r="G63" s="721"/>
      <c r="I63" s="372">
        <v>25</v>
      </c>
      <c r="K63" s="372">
        <v>5</v>
      </c>
      <c r="M63" s="372">
        <v>15</v>
      </c>
      <c r="O63" s="372">
        <v>15</v>
      </c>
      <c r="Q63" s="383">
        <f t="shared" si="2"/>
        <v>1875</v>
      </c>
      <c r="S63" s="383">
        <f t="shared" si="3"/>
        <v>1875</v>
      </c>
    </row>
    <row r="64" spans="4:19" outlineLevel="2" x14ac:dyDescent="0.2">
      <c r="D64" s="962"/>
      <c r="E64" s="721"/>
      <c r="F64" s="721"/>
      <c r="G64" s="721"/>
      <c r="I64" s="385"/>
      <c r="K64" s="372"/>
      <c r="M64" s="372"/>
      <c r="O64" s="372"/>
      <c r="Q64" s="383">
        <f t="shared" si="2"/>
        <v>0</v>
      </c>
      <c r="S64" s="383">
        <f t="shared" si="3"/>
        <v>0</v>
      </c>
    </row>
    <row r="65" spans="3:19" outlineLevel="2" x14ac:dyDescent="0.2">
      <c r="D65" s="962"/>
      <c r="E65" s="721"/>
      <c r="F65" s="721"/>
      <c r="G65" s="721"/>
      <c r="I65" s="385"/>
      <c r="K65" s="372"/>
      <c r="M65" s="372"/>
      <c r="O65" s="372"/>
      <c r="Q65" s="383">
        <f t="shared" si="2"/>
        <v>0</v>
      </c>
      <c r="S65" s="383">
        <f t="shared" si="3"/>
        <v>0</v>
      </c>
    </row>
    <row r="66" spans="3:19" outlineLevel="2" x14ac:dyDescent="0.2">
      <c r="D66" s="962"/>
      <c r="E66" s="721"/>
      <c r="F66" s="721"/>
      <c r="G66" s="721"/>
      <c r="I66" s="385"/>
      <c r="K66" s="372"/>
      <c r="M66" s="372"/>
      <c r="O66" s="372"/>
      <c r="Q66" s="383">
        <f t="shared" si="2"/>
        <v>0</v>
      </c>
      <c r="S66" s="383">
        <f t="shared" si="3"/>
        <v>0</v>
      </c>
    </row>
    <row r="67" spans="3:19" outlineLevel="2" x14ac:dyDescent="0.2">
      <c r="D67" s="962"/>
      <c r="E67" s="721"/>
      <c r="F67" s="721"/>
      <c r="G67" s="721"/>
      <c r="I67" s="385"/>
      <c r="K67" s="372"/>
      <c r="M67" s="372"/>
      <c r="O67" s="372"/>
      <c r="Q67" s="384">
        <f t="shared" si="2"/>
        <v>0</v>
      </c>
      <c r="S67" s="384">
        <f t="shared" si="3"/>
        <v>0</v>
      </c>
    </row>
    <row r="68" spans="3:19" outlineLevel="2" x14ac:dyDescent="0.2">
      <c r="D68" s="909" t="str">
        <f>"Total "&amp;D61</f>
        <v>Total Participants</v>
      </c>
      <c r="E68" s="910"/>
      <c r="F68" s="910"/>
      <c r="G68" s="910"/>
      <c r="I68" s="380"/>
      <c r="Q68" s="542">
        <f>SUM(Q62:Q67)</f>
        <v>2375</v>
      </c>
      <c r="S68" s="542">
        <f>SUM(S62:S67)</f>
        <v>2375</v>
      </c>
    </row>
    <row r="69" spans="3:19" ht="6.6" customHeight="1" outlineLevel="2" x14ac:dyDescent="0.2"/>
    <row r="70" spans="3:19" ht="15" outlineLevel="1" x14ac:dyDescent="0.2">
      <c r="D70" s="782" t="s">
        <v>1021</v>
      </c>
      <c r="E70" s="783"/>
      <c r="F70" s="783"/>
      <c r="G70" s="783"/>
      <c r="I70" s="540"/>
      <c r="K70" s="540"/>
      <c r="M70" s="540"/>
      <c r="O70" s="540"/>
      <c r="Q70" s="377">
        <f>SUM(Q51,Q59,Q68)</f>
        <v>2665</v>
      </c>
      <c r="S70" s="377">
        <f>SUM(S51,S59,S68)</f>
        <v>2665</v>
      </c>
    </row>
    <row r="71" spans="3:19" outlineLevel="1" x14ac:dyDescent="0.2"/>
    <row r="72" spans="3:19" ht="15.75" outlineLevel="1" x14ac:dyDescent="0.2">
      <c r="C72" s="538" t="s">
        <v>1066</v>
      </c>
    </row>
    <row r="73" spans="3:19" outlineLevel="2" x14ac:dyDescent="0.2"/>
    <row r="74" spans="3:19" ht="25.5" outlineLevel="2" x14ac:dyDescent="0.2">
      <c r="D74" s="956" t="s">
        <v>997</v>
      </c>
      <c r="E74" s="957"/>
      <c r="F74" s="957"/>
      <c r="G74" s="957"/>
      <c r="I74" s="545" t="s">
        <v>999</v>
      </c>
      <c r="K74" s="545" t="s">
        <v>1051</v>
      </c>
      <c r="M74" s="545" t="s">
        <v>1038</v>
      </c>
      <c r="O74" s="545" t="s">
        <v>1050</v>
      </c>
      <c r="Q74" s="387" t="str">
        <f>"FINANCIAL COST ("&amp;INDEX(LU_PLUG_Train_Curr,DD_PLUG_Train1_Curr)&amp;")"</f>
        <v>FINANCIAL COST (USD)</v>
      </c>
      <c r="S74" s="387" t="str">
        <f>"ECONOMIC COST ("&amp;INDEX(LU_PLUG_Train_Curr,DD_PLUG_Train1_Curr)&amp;")"</f>
        <v>ECONOMIC COST (USD)</v>
      </c>
    </row>
    <row r="75" spans="3:19" outlineLevel="2" x14ac:dyDescent="0.2">
      <c r="D75" s="721" t="s">
        <v>1107</v>
      </c>
      <c r="E75" s="721"/>
      <c r="F75" s="721"/>
      <c r="G75" s="721"/>
      <c r="I75" s="372">
        <v>10</v>
      </c>
      <c r="K75" s="372">
        <v>5</v>
      </c>
      <c r="M75" s="372">
        <v>36</v>
      </c>
      <c r="O75" s="372">
        <v>36</v>
      </c>
      <c r="Q75" s="383">
        <f>I75*K75*M75</f>
        <v>1800</v>
      </c>
      <c r="S75" s="383">
        <f>I75*K75*O75</f>
        <v>1800</v>
      </c>
    </row>
    <row r="76" spans="3:19" outlineLevel="2" x14ac:dyDescent="0.2">
      <c r="D76" s="721" t="s">
        <v>1106</v>
      </c>
      <c r="E76" s="721"/>
      <c r="F76" s="721"/>
      <c r="G76" s="721"/>
      <c r="I76" s="372">
        <v>10</v>
      </c>
      <c r="K76" s="372">
        <v>5</v>
      </c>
      <c r="M76" s="372">
        <v>46</v>
      </c>
      <c r="O76" s="372">
        <v>46</v>
      </c>
      <c r="Q76" s="383">
        <f>I76*K76*M76</f>
        <v>2300</v>
      </c>
      <c r="S76" s="383">
        <f>I76*K76*O76</f>
        <v>2300</v>
      </c>
    </row>
    <row r="77" spans="3:19" outlineLevel="2" x14ac:dyDescent="0.2">
      <c r="D77" s="721" t="s">
        <v>1042</v>
      </c>
      <c r="E77" s="721"/>
      <c r="F77" s="721"/>
      <c r="G77" s="721"/>
      <c r="I77" s="372"/>
      <c r="K77" s="372"/>
      <c r="M77" s="372"/>
      <c r="O77" s="372"/>
      <c r="Q77" s="383">
        <f>I77*K77*M77</f>
        <v>0</v>
      </c>
      <c r="S77" s="383">
        <f>I77*K77*O77</f>
        <v>0</v>
      </c>
    </row>
    <row r="78" spans="3:19" outlineLevel="2" x14ac:dyDescent="0.2">
      <c r="D78" s="721" t="s">
        <v>1043</v>
      </c>
      <c r="E78" s="721"/>
      <c r="F78" s="721"/>
      <c r="G78" s="721"/>
      <c r="I78" s="372"/>
      <c r="K78" s="372"/>
      <c r="M78" s="372"/>
      <c r="O78" s="372"/>
      <c r="Q78" s="383">
        <f>I78*K78*M78</f>
        <v>0</v>
      </c>
      <c r="S78" s="383">
        <f>I78*K78*O78</f>
        <v>0</v>
      </c>
    </row>
    <row r="79" spans="3:19" outlineLevel="2" x14ac:dyDescent="0.2">
      <c r="D79" s="721" t="s">
        <v>1044</v>
      </c>
      <c r="E79" s="721"/>
      <c r="F79" s="721"/>
      <c r="G79" s="721"/>
      <c r="I79" s="372"/>
      <c r="K79" s="372"/>
      <c r="M79" s="372"/>
      <c r="O79" s="372"/>
      <c r="Q79" s="384">
        <f>I79*K79*M79</f>
        <v>0</v>
      </c>
      <c r="S79" s="384">
        <f>I79*K79*O79</f>
        <v>0</v>
      </c>
    </row>
    <row r="80" spans="3:19" outlineLevel="2" x14ac:dyDescent="0.2">
      <c r="D80" s="909" t="str">
        <f>"Total "&amp;D74</f>
        <v>Total Lodging</v>
      </c>
      <c r="E80" s="910"/>
      <c r="F80" s="910"/>
      <c r="G80" s="910"/>
      <c r="Q80" s="542">
        <f>SUM(Q75:Q79)</f>
        <v>4100</v>
      </c>
      <c r="S80" s="542">
        <f>SUM(S75:S79)</f>
        <v>4100</v>
      </c>
    </row>
    <row r="81" spans="3:19" ht="6.6" customHeight="1" outlineLevel="2" x14ac:dyDescent="0.2"/>
    <row r="82" spans="3:19" ht="25.5" outlineLevel="2" x14ac:dyDescent="0.2">
      <c r="D82" s="956" t="s">
        <v>1000</v>
      </c>
      <c r="E82" s="957"/>
      <c r="F82" s="957"/>
      <c r="G82" s="957"/>
      <c r="I82" s="545" t="s">
        <v>999</v>
      </c>
      <c r="K82" s="545" t="s">
        <v>1051</v>
      </c>
      <c r="M82" s="545" t="s">
        <v>1038</v>
      </c>
      <c r="O82" s="545" t="s">
        <v>1050</v>
      </c>
      <c r="Q82" s="387" t="str">
        <f>"FINANCIAL COST ("&amp;INDEX(LU_PLUG_Train_Curr,DD_PLUG_Train1_Curr)&amp;")"</f>
        <v>FINANCIAL COST (USD)</v>
      </c>
      <c r="S82" s="387" t="str">
        <f>"ECONOMIC COST ("&amp;INDEX(LU_PLUG_Train_Curr,DD_PLUG_Train1_Curr)&amp;")"</f>
        <v>ECONOMIC COST (USD)</v>
      </c>
    </row>
    <row r="83" spans="3:19" outlineLevel="2" x14ac:dyDescent="0.2">
      <c r="D83" s="721" t="s">
        <v>1108</v>
      </c>
      <c r="E83" s="721"/>
      <c r="F83" s="721"/>
      <c r="G83" s="721"/>
      <c r="I83" s="372">
        <v>1</v>
      </c>
      <c r="K83" s="372">
        <v>5</v>
      </c>
      <c r="M83" s="372">
        <v>30</v>
      </c>
      <c r="O83" s="372">
        <v>30</v>
      </c>
      <c r="Q83" s="383">
        <f>I83*K83*M83</f>
        <v>150</v>
      </c>
      <c r="S83" s="383">
        <f>I83*K83*O83</f>
        <v>150</v>
      </c>
    </row>
    <row r="84" spans="3:19" outlineLevel="2" x14ac:dyDescent="0.2">
      <c r="D84" s="721" t="s">
        <v>1109</v>
      </c>
      <c r="E84" s="721"/>
      <c r="F84" s="721"/>
      <c r="G84" s="721"/>
      <c r="I84" s="372">
        <v>3</v>
      </c>
      <c r="K84" s="372">
        <v>5</v>
      </c>
      <c r="M84" s="372">
        <v>20</v>
      </c>
      <c r="O84" s="372">
        <v>20</v>
      </c>
      <c r="Q84" s="383">
        <f>I84*K84*M84</f>
        <v>300</v>
      </c>
      <c r="S84" s="383">
        <f>I84*K84*O84</f>
        <v>300</v>
      </c>
    </row>
    <row r="85" spans="3:19" outlineLevel="2" x14ac:dyDescent="0.2">
      <c r="D85" s="721" t="s">
        <v>1047</v>
      </c>
      <c r="E85" s="721"/>
      <c r="F85" s="721"/>
      <c r="G85" s="721"/>
      <c r="I85" s="372"/>
      <c r="K85" s="372"/>
      <c r="M85" s="372"/>
      <c r="O85" s="372"/>
      <c r="Q85" s="383">
        <f>I85*K85*M85</f>
        <v>0</v>
      </c>
      <c r="S85" s="383">
        <f>I85*K85*O85</f>
        <v>0</v>
      </c>
    </row>
    <row r="86" spans="3:19" outlineLevel="2" x14ac:dyDescent="0.2">
      <c r="D86" s="721" t="s">
        <v>1048</v>
      </c>
      <c r="E86" s="721"/>
      <c r="F86" s="721"/>
      <c r="G86" s="721"/>
      <c r="I86" s="372"/>
      <c r="K86" s="372"/>
      <c r="M86" s="372"/>
      <c r="O86" s="372"/>
      <c r="Q86" s="383">
        <f>I86*K86*M86</f>
        <v>0</v>
      </c>
      <c r="S86" s="383">
        <f>I86*K86*O86</f>
        <v>0</v>
      </c>
    </row>
    <row r="87" spans="3:19" outlineLevel="2" x14ac:dyDescent="0.2">
      <c r="D87" s="721" t="s">
        <v>1049</v>
      </c>
      <c r="E87" s="721"/>
      <c r="F87" s="721"/>
      <c r="G87" s="721"/>
      <c r="I87" s="372"/>
      <c r="K87" s="372"/>
      <c r="M87" s="372"/>
      <c r="O87" s="372"/>
      <c r="Q87" s="384">
        <f>I87*K87*M87</f>
        <v>0</v>
      </c>
      <c r="S87" s="384">
        <f>I87*K87*O87</f>
        <v>0</v>
      </c>
    </row>
    <row r="88" spans="3:19" outlineLevel="2" x14ac:dyDescent="0.2">
      <c r="D88" s="909" t="str">
        <f>"Total "&amp;D82</f>
        <v>Total Training Rooms</v>
      </c>
      <c r="E88" s="910"/>
      <c r="F88" s="910"/>
      <c r="G88" s="910"/>
      <c r="Q88" s="542">
        <f>SUM(Q83:Q87)</f>
        <v>450</v>
      </c>
      <c r="S88" s="542">
        <f>SUM(S83:S87)</f>
        <v>450</v>
      </c>
    </row>
    <row r="89" spans="3:19" ht="6.6" customHeight="1" outlineLevel="2" x14ac:dyDescent="0.2"/>
    <row r="90" spans="3:19" ht="15" outlineLevel="1" x14ac:dyDescent="0.2">
      <c r="D90" s="782" t="s">
        <v>1065</v>
      </c>
      <c r="E90" s="783"/>
      <c r="F90" s="783"/>
      <c r="G90" s="783"/>
      <c r="I90" s="540"/>
      <c r="K90" s="540"/>
      <c r="M90" s="540"/>
      <c r="O90" s="540"/>
      <c r="Q90" s="377">
        <f>SUM(Q80,Q88)</f>
        <v>4550</v>
      </c>
      <c r="S90" s="377">
        <f>SUM(S80,S88)</f>
        <v>4550</v>
      </c>
    </row>
    <row r="91" spans="3:19" outlineLevel="1" x14ac:dyDescent="0.2"/>
    <row r="92" spans="3:19" ht="15.75" outlineLevel="1" x14ac:dyDescent="0.2">
      <c r="C92" s="538" t="s">
        <v>1064</v>
      </c>
    </row>
    <row r="93" spans="3:19" outlineLevel="2" x14ac:dyDescent="0.2"/>
    <row r="94" spans="3:19" ht="25.5" outlineLevel="2" x14ac:dyDescent="0.2">
      <c r="D94" s="956" t="s">
        <v>1063</v>
      </c>
      <c r="E94" s="957"/>
      <c r="F94" s="957"/>
      <c r="G94" s="957"/>
      <c r="I94" s="545" t="s">
        <v>1092</v>
      </c>
      <c r="K94" s="545" t="s">
        <v>995</v>
      </c>
      <c r="M94" s="545" t="s">
        <v>1038</v>
      </c>
      <c r="O94" s="545" t="s">
        <v>1062</v>
      </c>
      <c r="Q94" s="387" t="str">
        <f>"FINANCIAL COST ("&amp;INDEX(LU_PLUG_Train_Curr,DD_PLUG_Train1_Curr)&amp;")"</f>
        <v>FINANCIAL COST (USD)</v>
      </c>
      <c r="S94" s="387" t="str">
        <f>"ECONOMIC COST ("&amp;INDEX(LU_PLUG_Train_Curr,DD_PLUG_Train1_Curr)&amp;")"</f>
        <v>ECONOMIC COST (USD)</v>
      </c>
    </row>
    <row r="95" spans="3:19" outlineLevel="2" x14ac:dyDescent="0.2">
      <c r="D95" s="721" t="s">
        <v>1110</v>
      </c>
      <c r="E95" s="721"/>
      <c r="F95" s="721"/>
      <c r="G95" s="721"/>
      <c r="I95" s="372">
        <v>20</v>
      </c>
      <c r="K95" s="372">
        <v>5</v>
      </c>
      <c r="M95" s="372">
        <v>5</v>
      </c>
      <c r="O95" s="372">
        <v>5</v>
      </c>
      <c r="Q95" s="383">
        <f>I95*K95*M95</f>
        <v>500</v>
      </c>
      <c r="S95" s="383">
        <f>I95*K95*O95</f>
        <v>500</v>
      </c>
    </row>
    <row r="96" spans="3:19" outlineLevel="2" x14ac:dyDescent="0.2">
      <c r="D96" s="721" t="s">
        <v>1111</v>
      </c>
      <c r="E96" s="721"/>
      <c r="F96" s="721"/>
      <c r="G96" s="721"/>
      <c r="I96" s="372">
        <v>20</v>
      </c>
      <c r="K96" s="372">
        <v>5</v>
      </c>
      <c r="M96" s="372">
        <v>7</v>
      </c>
      <c r="O96" s="372">
        <v>7</v>
      </c>
      <c r="Q96" s="383">
        <f>I96*K96*M96</f>
        <v>700</v>
      </c>
      <c r="S96" s="383">
        <f>I96*K96*O96</f>
        <v>700</v>
      </c>
    </row>
    <row r="97" spans="3:19" outlineLevel="2" x14ac:dyDescent="0.2">
      <c r="D97" s="721" t="s">
        <v>1055</v>
      </c>
      <c r="E97" s="721"/>
      <c r="F97" s="721"/>
      <c r="G97" s="721"/>
      <c r="I97" s="372"/>
      <c r="K97" s="372"/>
      <c r="M97" s="372"/>
      <c r="O97" s="372"/>
      <c r="Q97" s="384">
        <f>I97*K97*M97</f>
        <v>0</v>
      </c>
      <c r="S97" s="384">
        <f>I97*K97*O97</f>
        <v>0</v>
      </c>
    </row>
    <row r="98" spans="3:19" outlineLevel="2" x14ac:dyDescent="0.2">
      <c r="D98" s="909" t="str">
        <f>"Total "&amp;D94</f>
        <v>Total Meals (M)</v>
      </c>
      <c r="E98" s="910"/>
      <c r="F98" s="910"/>
      <c r="G98" s="910"/>
      <c r="Q98" s="542">
        <f>SUM(Q95:Q97)</f>
        <v>1200</v>
      </c>
      <c r="S98" s="542">
        <f>SUM(S95:S97)</f>
        <v>1200</v>
      </c>
    </row>
    <row r="99" spans="3:19" ht="6.6" customHeight="1" outlineLevel="2" x14ac:dyDescent="0.2"/>
    <row r="100" spans="3:19" ht="25.5" outlineLevel="2" x14ac:dyDescent="0.2">
      <c r="D100" s="956" t="s">
        <v>1083</v>
      </c>
      <c r="E100" s="957"/>
      <c r="F100" s="957"/>
      <c r="G100" s="957"/>
      <c r="I100" s="545" t="s">
        <v>1092</v>
      </c>
      <c r="K100" s="545" t="s">
        <v>995</v>
      </c>
      <c r="M100" s="545" t="s">
        <v>1038</v>
      </c>
      <c r="O100" s="545" t="s">
        <v>1062</v>
      </c>
      <c r="Q100" s="387" t="str">
        <f>"FINANCIAL COST ("&amp;INDEX(LU_PLUG_Train_Curr,DD_PLUG_Train1_Curr)&amp;")"</f>
        <v>FINANCIAL COST (USD)</v>
      </c>
      <c r="S100" s="387" t="str">
        <f>"ECONOMIC COST ("&amp;INDEX(LU_PLUG_Train_Curr,DD_PLUG_Train1_Curr)&amp;")"</f>
        <v>ECONOMIC COST (USD)</v>
      </c>
    </row>
    <row r="101" spans="3:19" outlineLevel="2" x14ac:dyDescent="0.2">
      <c r="D101" s="721" t="s">
        <v>1112</v>
      </c>
      <c r="E101" s="721"/>
      <c r="F101" s="721"/>
      <c r="G101" s="721"/>
      <c r="I101" s="372">
        <v>20</v>
      </c>
      <c r="K101" s="372">
        <v>5</v>
      </c>
      <c r="M101" s="372">
        <v>2.5</v>
      </c>
      <c r="O101" s="372">
        <v>2.5</v>
      </c>
      <c r="Q101" s="383">
        <f>I101*K101*M101</f>
        <v>250</v>
      </c>
      <c r="S101" s="383">
        <f>I101*K101*O101</f>
        <v>250</v>
      </c>
    </row>
    <row r="102" spans="3:19" outlineLevel="2" x14ac:dyDescent="0.2">
      <c r="D102" s="721" t="s">
        <v>1113</v>
      </c>
      <c r="E102" s="721"/>
      <c r="F102" s="721"/>
      <c r="G102" s="721"/>
      <c r="I102" s="372">
        <v>20</v>
      </c>
      <c r="K102" s="372">
        <v>5</v>
      </c>
      <c r="M102" s="372">
        <v>3</v>
      </c>
      <c r="O102" s="372">
        <v>30</v>
      </c>
      <c r="Q102" s="383">
        <f>I102*K102*M102</f>
        <v>300</v>
      </c>
      <c r="S102" s="383">
        <f>I102*K102*O102</f>
        <v>3000</v>
      </c>
    </row>
    <row r="103" spans="3:19" outlineLevel="2" x14ac:dyDescent="0.2">
      <c r="D103" s="721" t="s">
        <v>1058</v>
      </c>
      <c r="E103" s="721"/>
      <c r="F103" s="721"/>
      <c r="G103" s="721"/>
      <c r="I103" s="372"/>
      <c r="K103" s="372"/>
      <c r="M103" s="372"/>
      <c r="O103" s="372"/>
      <c r="Q103" s="384">
        <f>I103*K103*M103</f>
        <v>0</v>
      </c>
      <c r="S103" s="384">
        <f>I103*K103*O103</f>
        <v>0</v>
      </c>
    </row>
    <row r="104" spans="3:19" outlineLevel="2" x14ac:dyDescent="0.2">
      <c r="D104" s="909" t="str">
        <f>"Total "&amp;D100</f>
        <v>Total Refreshments ('R)</v>
      </c>
      <c r="E104" s="910"/>
      <c r="F104" s="910"/>
      <c r="G104" s="910"/>
      <c r="Q104" s="542">
        <f>SUM(Q101:Q103)</f>
        <v>550</v>
      </c>
      <c r="S104" s="542">
        <f>SUM(S101:S103)</f>
        <v>3250</v>
      </c>
    </row>
    <row r="105" spans="3:19" ht="6.6" customHeight="1" outlineLevel="2" x14ac:dyDescent="0.2"/>
    <row r="106" spans="3:19" ht="15" outlineLevel="1" x14ac:dyDescent="0.2">
      <c r="D106" s="782" t="s">
        <v>1061</v>
      </c>
      <c r="E106" s="783"/>
      <c r="F106" s="783"/>
      <c r="G106" s="783"/>
      <c r="I106" s="540"/>
      <c r="K106" s="540"/>
      <c r="M106" s="540"/>
      <c r="O106" s="540"/>
      <c r="Q106" s="377">
        <f>SUM(Q98,Q104)</f>
        <v>1750</v>
      </c>
      <c r="S106" s="377">
        <f>SUM(S98,S104)</f>
        <v>4450</v>
      </c>
    </row>
    <row r="107" spans="3:19" outlineLevel="1" x14ac:dyDescent="0.2"/>
    <row r="108" spans="3:19" ht="15.75" outlineLevel="1" x14ac:dyDescent="0.2">
      <c r="C108" s="538" t="s">
        <v>1067</v>
      </c>
    </row>
    <row r="109" spans="3:19" outlineLevel="2" x14ac:dyDescent="0.2"/>
    <row r="110" spans="3:19" ht="25.5" outlineLevel="2" x14ac:dyDescent="0.2">
      <c r="D110" s="956" t="s">
        <v>1079</v>
      </c>
      <c r="E110" s="957"/>
      <c r="F110" s="957"/>
      <c r="G110" s="957"/>
      <c r="I110" s="545" t="s">
        <v>1081</v>
      </c>
      <c r="K110" s="545" t="s">
        <v>1038</v>
      </c>
      <c r="M110" s="545" t="s">
        <v>1050</v>
      </c>
      <c r="Q110" s="387" t="str">
        <f>"FINANCIAL COST ("&amp;INDEX(LU_PLUG_Train_Curr,DD_PLUG_Train1_Curr)&amp;")"</f>
        <v>FINANCIAL COST (USD)</v>
      </c>
      <c r="S110" s="387" t="str">
        <f>"ECONOMIC COST ("&amp;INDEX(LU_PLUG_Train_Curr,DD_PLUG_Train1_Curr)&amp;")"</f>
        <v>ECONOMIC COST (USD)</v>
      </c>
    </row>
    <row r="111" spans="3:19" outlineLevel="2" x14ac:dyDescent="0.2">
      <c r="D111" s="721" t="s">
        <v>1114</v>
      </c>
      <c r="E111" s="721"/>
      <c r="F111" s="721"/>
      <c r="G111" s="721"/>
      <c r="I111" s="372">
        <v>15</v>
      </c>
      <c r="K111" s="372">
        <v>6</v>
      </c>
      <c r="M111" s="372">
        <v>6</v>
      </c>
      <c r="Q111" s="383">
        <f>I111*K111</f>
        <v>90</v>
      </c>
      <c r="S111" s="383">
        <f>I111*M111</f>
        <v>90</v>
      </c>
    </row>
    <row r="112" spans="3:19" outlineLevel="2" x14ac:dyDescent="0.2">
      <c r="D112" s="721" t="s">
        <v>1069</v>
      </c>
      <c r="E112" s="721"/>
      <c r="F112" s="721"/>
      <c r="G112" s="721"/>
      <c r="I112" s="372"/>
      <c r="K112" s="372"/>
      <c r="M112" s="372"/>
      <c r="Q112" s="383">
        <f>I112*K112</f>
        <v>0</v>
      </c>
      <c r="S112" s="383">
        <f>I112*M112</f>
        <v>0</v>
      </c>
    </row>
    <row r="113" spans="3:19" outlineLevel="2" x14ac:dyDescent="0.2">
      <c r="D113" s="721" t="s">
        <v>1070</v>
      </c>
      <c r="E113" s="721"/>
      <c r="F113" s="721"/>
      <c r="G113" s="721"/>
      <c r="I113" s="372"/>
      <c r="K113" s="372"/>
      <c r="M113" s="372"/>
      <c r="Q113" s="383">
        <f>I113*K113</f>
        <v>0</v>
      </c>
      <c r="S113" s="383">
        <f>I113*M113</f>
        <v>0</v>
      </c>
    </row>
    <row r="114" spans="3:19" outlineLevel="2" x14ac:dyDescent="0.2">
      <c r="D114" s="721" t="s">
        <v>1071</v>
      </c>
      <c r="E114" s="721"/>
      <c r="F114" s="721"/>
      <c r="G114" s="721"/>
      <c r="I114" s="372"/>
      <c r="K114" s="372"/>
      <c r="M114" s="372"/>
      <c r="Q114" s="384">
        <f>I114*K114</f>
        <v>0</v>
      </c>
      <c r="S114" s="384">
        <f>I114*M114</f>
        <v>0</v>
      </c>
    </row>
    <row r="115" spans="3:19" outlineLevel="2" x14ac:dyDescent="0.2">
      <c r="D115" s="909" t="str">
        <f>"Total "&amp;D110</f>
        <v>Total Training Materials</v>
      </c>
      <c r="E115" s="910"/>
      <c r="F115" s="910"/>
      <c r="G115" s="910"/>
      <c r="Q115" s="542">
        <f>SUM(Q111:Q114)</f>
        <v>90</v>
      </c>
      <c r="S115" s="542">
        <f>SUM(S111:S114)</f>
        <v>90</v>
      </c>
    </row>
    <row r="116" spans="3:19" ht="6.6" customHeight="1" outlineLevel="2" x14ac:dyDescent="0.2"/>
    <row r="117" spans="3:19" ht="25.5" outlineLevel="2" x14ac:dyDescent="0.2">
      <c r="D117" s="956" t="s">
        <v>1080</v>
      </c>
      <c r="E117" s="957"/>
      <c r="F117" s="957"/>
      <c r="G117" s="957"/>
      <c r="I117" s="545" t="s">
        <v>1081</v>
      </c>
      <c r="K117" s="545" t="s">
        <v>1038</v>
      </c>
      <c r="M117" s="545" t="s">
        <v>1050</v>
      </c>
      <c r="Q117" s="387" t="str">
        <f>"FINANCIAL COST ("&amp;INDEX(LU_PLUG_Train_Curr,DD_PLUG_Train1_Curr)&amp;")"</f>
        <v>FINANCIAL COST (USD)</v>
      </c>
      <c r="S117" s="387" t="str">
        <f>"ECONOMIC COST ("&amp;INDEX(LU_PLUG_Train_Curr,DD_PLUG_Train1_Curr)&amp;")"</f>
        <v>ECONOMIC COST (USD)</v>
      </c>
    </row>
    <row r="118" spans="3:19" outlineLevel="2" x14ac:dyDescent="0.2">
      <c r="D118" s="721" t="s">
        <v>1116</v>
      </c>
      <c r="E118" s="721"/>
      <c r="F118" s="721"/>
      <c r="G118" s="721"/>
      <c r="I118" s="372">
        <v>5</v>
      </c>
      <c r="K118" s="372">
        <v>20</v>
      </c>
      <c r="M118" s="372">
        <v>20</v>
      </c>
      <c r="Q118" s="383">
        <f>I118*K118</f>
        <v>100</v>
      </c>
      <c r="S118" s="383">
        <f>I118*M118</f>
        <v>100</v>
      </c>
    </row>
    <row r="119" spans="3:19" outlineLevel="2" x14ac:dyDescent="0.2">
      <c r="D119" s="721" t="s">
        <v>1115</v>
      </c>
      <c r="E119" s="721"/>
      <c r="F119" s="721"/>
      <c r="G119" s="721"/>
      <c r="I119" s="372">
        <v>15</v>
      </c>
      <c r="K119" s="372">
        <v>2</v>
      </c>
      <c r="M119" s="372">
        <v>2</v>
      </c>
      <c r="Q119" s="383">
        <f>I119*K119</f>
        <v>30</v>
      </c>
      <c r="S119" s="383">
        <f>I119*M119</f>
        <v>30</v>
      </c>
    </row>
    <row r="120" spans="3:19" outlineLevel="2" x14ac:dyDescent="0.2">
      <c r="D120" s="721" t="s">
        <v>1074</v>
      </c>
      <c r="E120" s="721"/>
      <c r="F120" s="721"/>
      <c r="G120" s="721"/>
      <c r="I120" s="372"/>
      <c r="K120" s="372"/>
      <c r="M120" s="372"/>
      <c r="Q120" s="383">
        <f>I120*K120</f>
        <v>0</v>
      </c>
      <c r="S120" s="383">
        <f>I120*M120</f>
        <v>0</v>
      </c>
    </row>
    <row r="121" spans="3:19" outlineLevel="2" x14ac:dyDescent="0.2">
      <c r="D121" s="721" t="s">
        <v>1075</v>
      </c>
      <c r="E121" s="721"/>
      <c r="F121" s="721"/>
      <c r="G121" s="721"/>
      <c r="I121" s="372"/>
      <c r="K121" s="372"/>
      <c r="M121" s="372"/>
      <c r="Q121" s="384">
        <f>I121*K121</f>
        <v>0</v>
      </c>
      <c r="S121" s="384">
        <f>I121*M121</f>
        <v>0</v>
      </c>
    </row>
    <row r="122" spans="3:19" outlineLevel="2" x14ac:dyDescent="0.2">
      <c r="D122" s="909" t="str">
        <f>"Total "&amp;D117</f>
        <v>Total Training Supplies</v>
      </c>
      <c r="E122" s="910"/>
      <c r="F122" s="910"/>
      <c r="G122" s="910"/>
      <c r="Q122" s="542">
        <f>SUM(Q118:Q121)</f>
        <v>130</v>
      </c>
      <c r="S122" s="542">
        <f>SUM(S118:S121)</f>
        <v>130</v>
      </c>
    </row>
    <row r="123" spans="3:19" ht="6.6" customHeight="1" outlineLevel="2" x14ac:dyDescent="0.2"/>
    <row r="124" spans="3:19" ht="15" outlineLevel="1" x14ac:dyDescent="0.2">
      <c r="D124" s="782" t="s">
        <v>1078</v>
      </c>
      <c r="E124" s="783"/>
      <c r="F124" s="783"/>
      <c r="G124" s="783"/>
      <c r="I124" s="540"/>
      <c r="K124" s="540"/>
      <c r="M124" s="540"/>
      <c r="Q124" s="377">
        <f>SUM(Q115,Q122)</f>
        <v>220</v>
      </c>
      <c r="S124" s="377">
        <f>SUM(S115,S122)</f>
        <v>220</v>
      </c>
    </row>
    <row r="125" spans="3:19" outlineLevel="1" x14ac:dyDescent="0.2"/>
    <row r="126" spans="3:19" ht="15.75" outlineLevel="1" x14ac:dyDescent="0.2">
      <c r="C126" s="538" t="s">
        <v>1082</v>
      </c>
    </row>
    <row r="127" spans="3:19" outlineLevel="2" x14ac:dyDescent="0.2"/>
    <row r="128" spans="3:19" ht="15" outlineLevel="2" x14ac:dyDescent="0.2">
      <c r="D128" s="539" t="s">
        <v>998</v>
      </c>
      <c r="I128" s="541" t="s">
        <v>1084</v>
      </c>
      <c r="K128" s="541" t="s">
        <v>1085</v>
      </c>
      <c r="M128" s="541" t="s">
        <v>1038</v>
      </c>
      <c r="O128" s="541" t="s">
        <v>1050</v>
      </c>
      <c r="Q128" s="543" t="str">
        <f>"FINANCIAL COST ("&amp;INDEX(LU_PLUG_Train_Curr,DD_PLUG_Train1_Curr)&amp;")"</f>
        <v>FINANCIAL COST (USD)</v>
      </c>
      <c r="S128" s="543" t="str">
        <f>"ECONOMIC COST ("&amp;INDEX(LU_PLUG_Train_Curr,DD_PLUG_Train1_Curr)&amp;")"</f>
        <v>ECONOMIC COST (USD)</v>
      </c>
    </row>
    <row r="129" spans="3:19" outlineLevel="2" x14ac:dyDescent="0.2">
      <c r="D129" s="721" t="s">
        <v>1117</v>
      </c>
      <c r="E129" s="721"/>
      <c r="F129" s="721"/>
      <c r="G129" s="721"/>
      <c r="I129" s="372">
        <v>2</v>
      </c>
      <c r="K129" s="372">
        <v>5</v>
      </c>
      <c r="M129" s="372">
        <v>4</v>
      </c>
      <c r="O129" s="372">
        <v>4</v>
      </c>
      <c r="Q129" s="542">
        <f>I129*K129*M129</f>
        <v>40</v>
      </c>
      <c r="S129" s="542">
        <f>I129*K129*O129</f>
        <v>40</v>
      </c>
    </row>
    <row r="130" spans="3:19" outlineLevel="2" x14ac:dyDescent="0.2">
      <c r="D130" s="721" t="s">
        <v>1002</v>
      </c>
      <c r="E130" s="721"/>
      <c r="F130" s="721"/>
      <c r="G130" s="721"/>
      <c r="I130" s="372">
        <v>0</v>
      </c>
      <c r="K130" s="372">
        <v>0</v>
      </c>
      <c r="M130" s="372">
        <v>0</v>
      </c>
      <c r="O130" s="372">
        <v>0</v>
      </c>
      <c r="Q130" s="542">
        <f>I130*K130*M130</f>
        <v>0</v>
      </c>
      <c r="S130" s="542">
        <f>I130*K130*O130</f>
        <v>0</v>
      </c>
    </row>
    <row r="131" spans="3:19" outlineLevel="2" x14ac:dyDescent="0.2">
      <c r="D131" s="721" t="s">
        <v>1003</v>
      </c>
      <c r="E131" s="721"/>
      <c r="F131" s="721"/>
      <c r="G131" s="721"/>
      <c r="I131" s="372">
        <v>0</v>
      </c>
      <c r="K131" s="372">
        <v>0</v>
      </c>
      <c r="M131" s="372">
        <v>0</v>
      </c>
      <c r="O131" s="372">
        <v>0</v>
      </c>
      <c r="Q131" s="542">
        <f>I131*K131*M131</f>
        <v>0</v>
      </c>
      <c r="S131" s="542">
        <f>I131*K131*O131</f>
        <v>0</v>
      </c>
    </row>
    <row r="132" spans="3:19" outlineLevel="2" x14ac:dyDescent="0.2">
      <c r="D132" s="721" t="s">
        <v>1004</v>
      </c>
      <c r="E132" s="721"/>
      <c r="F132" s="721"/>
      <c r="G132" s="721"/>
      <c r="I132" s="372">
        <v>0</v>
      </c>
      <c r="K132" s="372">
        <v>0</v>
      </c>
      <c r="M132" s="372">
        <v>0</v>
      </c>
      <c r="O132" s="372">
        <v>0</v>
      </c>
      <c r="Q132" s="542">
        <f>I132*K132*M132</f>
        <v>0</v>
      </c>
      <c r="S132" s="542">
        <f>I132*K132*O132</f>
        <v>0</v>
      </c>
    </row>
    <row r="133" spans="3:19" outlineLevel="2" x14ac:dyDescent="0.2">
      <c r="D133" s="721" t="s">
        <v>1005</v>
      </c>
      <c r="E133" s="721"/>
      <c r="F133" s="721"/>
      <c r="G133" s="721"/>
      <c r="I133" s="372">
        <v>0</v>
      </c>
      <c r="K133" s="372">
        <v>0</v>
      </c>
      <c r="M133" s="372">
        <v>0</v>
      </c>
      <c r="O133" s="372">
        <v>0</v>
      </c>
      <c r="Q133" s="542">
        <f>I133*K133*M133</f>
        <v>0</v>
      </c>
      <c r="S133" s="542">
        <f>I133*K133*O133</f>
        <v>0</v>
      </c>
    </row>
    <row r="134" spans="3:19" ht="15" outlineLevel="1" x14ac:dyDescent="0.2">
      <c r="D134" s="963" t="s">
        <v>1006</v>
      </c>
      <c r="E134" s="964"/>
      <c r="F134" s="964"/>
      <c r="G134" s="964"/>
      <c r="I134" s="542"/>
      <c r="K134" s="542"/>
      <c r="M134" s="542"/>
      <c r="O134" s="542"/>
      <c r="Q134" s="377">
        <f>SUM(Q129:Q133)</f>
        <v>40</v>
      </c>
      <c r="S134" s="377">
        <f>SUM(S129:S133)</f>
        <v>40</v>
      </c>
    </row>
    <row r="135" spans="3:19" outlineLevel="1" x14ac:dyDescent="0.2"/>
    <row r="136" spans="3:19" ht="15.75" outlineLevel="1" x14ac:dyDescent="0.2">
      <c r="C136" s="538" t="s">
        <v>1007</v>
      </c>
    </row>
    <row r="137" spans="3:19" outlineLevel="2" x14ac:dyDescent="0.2"/>
    <row r="138" spans="3:19" ht="15" outlineLevel="2" x14ac:dyDescent="0.2">
      <c r="D138" s="539" t="s">
        <v>998</v>
      </c>
      <c r="I138" s="541" t="s">
        <v>1084</v>
      </c>
      <c r="M138" s="541" t="s">
        <v>1038</v>
      </c>
      <c r="O138" s="541" t="s">
        <v>1050</v>
      </c>
      <c r="Q138" s="543" t="str">
        <f>"FINANCIAL COST ("&amp;INDEX(LU_PLUG_Train_Curr,DD_PLUG_Train1_Curr)&amp;")"</f>
        <v>FINANCIAL COST (USD)</v>
      </c>
      <c r="S138" s="543" t="str">
        <f>"ECONOMIC COST ("&amp;INDEX(LU_PLUG_Train_Curr,DD_PLUG_Train1_Curr)&amp;")"</f>
        <v>ECONOMIC COST (USD)</v>
      </c>
    </row>
    <row r="139" spans="3:19" outlineLevel="2" x14ac:dyDescent="0.2">
      <c r="D139" s="721" t="s">
        <v>1118</v>
      </c>
      <c r="E139" s="721"/>
      <c r="F139" s="721"/>
      <c r="G139" s="721"/>
      <c r="I139" s="372">
        <v>3</v>
      </c>
      <c r="M139" s="372">
        <v>15</v>
      </c>
      <c r="O139" s="372">
        <v>15</v>
      </c>
      <c r="Q139" s="542">
        <f>I139*M139</f>
        <v>45</v>
      </c>
      <c r="S139" s="542">
        <f>I139*O139</f>
        <v>45</v>
      </c>
    </row>
    <row r="140" spans="3:19" outlineLevel="2" x14ac:dyDescent="0.2">
      <c r="D140" s="721" t="s">
        <v>1087</v>
      </c>
      <c r="E140" s="721"/>
      <c r="F140" s="721"/>
      <c r="G140" s="721"/>
      <c r="I140" s="372">
        <v>0</v>
      </c>
      <c r="M140" s="372">
        <v>0</v>
      </c>
      <c r="O140" s="372">
        <v>0</v>
      </c>
      <c r="Q140" s="542">
        <f>I140*M140</f>
        <v>0</v>
      </c>
      <c r="S140" s="542">
        <f>I140*O140</f>
        <v>0</v>
      </c>
    </row>
    <row r="141" spans="3:19" outlineLevel="2" x14ac:dyDescent="0.2">
      <c r="D141" s="721" t="s">
        <v>1088</v>
      </c>
      <c r="E141" s="721"/>
      <c r="F141" s="721"/>
      <c r="G141" s="721"/>
      <c r="I141" s="372">
        <v>0</v>
      </c>
      <c r="M141" s="372">
        <v>0</v>
      </c>
      <c r="O141" s="372">
        <v>0</v>
      </c>
      <c r="Q141" s="542">
        <f>I141*M141</f>
        <v>0</v>
      </c>
      <c r="S141" s="542">
        <f>I141*O141</f>
        <v>0</v>
      </c>
    </row>
    <row r="142" spans="3:19" outlineLevel="2" x14ac:dyDescent="0.2">
      <c r="D142" s="721" t="s">
        <v>1089</v>
      </c>
      <c r="E142" s="721"/>
      <c r="F142" s="721"/>
      <c r="G142" s="721"/>
      <c r="I142" s="372">
        <v>0</v>
      </c>
      <c r="M142" s="372">
        <v>0</v>
      </c>
      <c r="O142" s="372">
        <v>0</v>
      </c>
      <c r="Q142" s="542">
        <f>I142*M142</f>
        <v>0</v>
      </c>
      <c r="S142" s="542">
        <f>I142*O142</f>
        <v>0</v>
      </c>
    </row>
    <row r="143" spans="3:19" outlineLevel="2" x14ac:dyDescent="0.2">
      <c r="D143" s="805" t="s">
        <v>1090</v>
      </c>
      <c r="E143" s="806"/>
      <c r="F143" s="806"/>
      <c r="G143" s="807"/>
      <c r="I143" s="372">
        <v>0</v>
      </c>
      <c r="M143" s="372">
        <v>0</v>
      </c>
      <c r="O143" s="372">
        <v>0</v>
      </c>
      <c r="Q143" s="542">
        <f>I143*M143</f>
        <v>0</v>
      </c>
      <c r="S143" s="542">
        <f>I143*O143</f>
        <v>0</v>
      </c>
    </row>
    <row r="144" spans="3:19" ht="15" outlineLevel="1" x14ac:dyDescent="0.2">
      <c r="D144" s="782" t="s">
        <v>1091</v>
      </c>
      <c r="E144" s="783"/>
      <c r="F144" s="783"/>
      <c r="G144" s="783"/>
      <c r="I144" s="542">
        <f>SUM(I139:I143)</f>
        <v>3</v>
      </c>
      <c r="M144" s="542">
        <f>SUM(M139:M143)</f>
        <v>15</v>
      </c>
      <c r="O144" s="542">
        <f>SUM(O139:O143)</f>
        <v>15</v>
      </c>
      <c r="Q144" s="377">
        <f>SUM(Q139:Q143)</f>
        <v>45</v>
      </c>
      <c r="S144" s="377">
        <f>SUM(S139:S143)</f>
        <v>45</v>
      </c>
    </row>
    <row r="146" spans="2:23" ht="25.5" x14ac:dyDescent="0.2">
      <c r="Q146" s="365" t="str">
        <f>"FINANCIAL COST ("&amp;INDEX(LU_PLUG_Train_Curr,DD_PLUG_Train1_Curr)&amp;")"</f>
        <v>FINANCIAL COST (USD)</v>
      </c>
      <c r="S146" s="365" t="str">
        <f>"ECONOMIC COST ("&amp;INDEX(LU_PLUG_Train_Curr,DD_PLUG_Train1_Curr)&amp;")"</f>
        <v>ECONOMIC COST (USD)</v>
      </c>
      <c r="U146" s="365" t="str">
        <f>"FINANCIAL COST ("&amp;IF(DD_PLUG_Train1_Curr=2,$D$151,$D$152)&amp;")"</f>
        <v>FINANCIAL COST (ZMW)</v>
      </c>
      <c r="W146" s="365" t="str">
        <f>"ECONOMIC COST ("&amp;IF(DD_PLUG_Train1_Curr=2,$D$151,$D$152)&amp;")"</f>
        <v>ECONOMIC COST (ZMW)</v>
      </c>
    </row>
    <row r="147" spans="2:23" ht="15.75" thickBot="1" x14ac:dyDescent="0.25">
      <c r="B147" s="359" t="str">
        <f>"Total Estimated Costs "&amp;I11</f>
        <v>Total Estimated Costs Curriculum Development Workshop - National</v>
      </c>
      <c r="Q147" s="388">
        <f>SUM(Q41,Q70,Q90,Q106,Q124,Q134,Q144)</f>
        <v>9270</v>
      </c>
      <c r="S147" s="388">
        <f>S41+S70+S90+S106+S124+S134+S144</f>
        <v>12426</v>
      </c>
      <c r="U147" s="389">
        <f>IF(DD_PLUG_Train1_Curr=2,$Q147/$J$152,$Q147*$J$152)</f>
        <v>101704.878</v>
      </c>
      <c r="W147" s="389">
        <f>IF(DD_PLUG_Train1_Curr=2,$S147/$J$152,$S147*$J$152)</f>
        <v>136330.6164</v>
      </c>
    </row>
    <row r="148" spans="2:23" ht="13.5" thickTop="1" x14ac:dyDescent="0.2"/>
    <row r="149" spans="2:23" x14ac:dyDescent="0.2">
      <c r="C149" s="541" t="s">
        <v>212</v>
      </c>
    </row>
    <row r="150" spans="2:23" hidden="1" outlineLevel="1" x14ac:dyDescent="0.2"/>
    <row r="151" spans="2:23" ht="12.95" hidden="1" customHeight="1" outlineLevel="1" x14ac:dyDescent="0.2">
      <c r="D151" s="785" t="str">
        <f>Econ_Ann_TA!D13</f>
        <v>USD</v>
      </c>
      <c r="E151" s="965"/>
      <c r="F151" s="965"/>
      <c r="G151" s="965"/>
      <c r="J151" s="604">
        <f>Econ_Ann_TA!J13</f>
        <v>1</v>
      </c>
      <c r="K151" s="604">
        <f>Econ_Ann_TA!K13</f>
        <v>1</v>
      </c>
      <c r="L151" s="604">
        <f>Econ_Ann_TA!L13</f>
        <v>1</v>
      </c>
      <c r="M151" s="604">
        <f>Econ_Ann_TA!M13</f>
        <v>1</v>
      </c>
      <c r="Q151" s="542"/>
    </row>
    <row r="152" spans="2:23" hidden="1" outlineLevel="1" x14ac:dyDescent="0.2">
      <c r="D152" s="785" t="str">
        <f>Econ_Ann_TA!D14</f>
        <v>ZMW</v>
      </c>
      <c r="E152" s="965"/>
      <c r="F152" s="965"/>
      <c r="G152" s="965"/>
      <c r="J152" s="604">
        <f>Econ_Ann_TA!J14</f>
        <v>10.971399999999999</v>
      </c>
      <c r="K152" s="604">
        <f>Econ_Ann_TA!K14</f>
        <v>10.971399999999999</v>
      </c>
      <c r="L152" s="604">
        <f>Econ_Ann_TA!L14</f>
        <v>10.971399999999999</v>
      </c>
      <c r="M152" s="604">
        <f>Econ_Ann_TA!M14</f>
        <v>10.971399999999999</v>
      </c>
      <c r="Q152" s="604"/>
    </row>
    <row r="153" spans="2:23" collapsed="1" x14ac:dyDescent="0.2"/>
    <row r="155" spans="2:23" ht="18.75" x14ac:dyDescent="0.2">
      <c r="B155" s="357" t="s">
        <v>1134</v>
      </c>
    </row>
    <row r="158" spans="2:23" ht="15.75" x14ac:dyDescent="0.2">
      <c r="B158" s="428" t="str">
        <f>I159</f>
        <v>Training of Trainers Workshop - National Level</v>
      </c>
    </row>
    <row r="159" spans="2:23" x14ac:dyDescent="0.2">
      <c r="G159" s="360" t="s">
        <v>1135</v>
      </c>
      <c r="I159" s="721" t="s">
        <v>1188</v>
      </c>
      <c r="J159" s="721"/>
      <c r="K159" s="721"/>
      <c r="L159" s="721"/>
      <c r="M159" s="721"/>
    </row>
    <row r="160" spans="2:23" ht="10.5" hidden="1" customHeight="1" outlineLevel="1" x14ac:dyDescent="0.2">
      <c r="G160" s="360" t="s">
        <v>1120</v>
      </c>
      <c r="I160" s="411">
        <v>1</v>
      </c>
    </row>
    <row r="161" spans="3:19" ht="15.75" hidden="1" outlineLevel="1" x14ac:dyDescent="0.2">
      <c r="C161" s="404" t="s">
        <v>414</v>
      </c>
    </row>
    <row r="162" spans="3:19" hidden="1" outlineLevel="2" x14ac:dyDescent="0.2"/>
    <row r="163" spans="3:19" ht="15.75" hidden="1" outlineLevel="2" x14ac:dyDescent="0.2">
      <c r="D163" s="404" t="s">
        <v>1011</v>
      </c>
    </row>
    <row r="164" spans="3:19" ht="51" hidden="1" outlineLevel="2" x14ac:dyDescent="0.2">
      <c r="D164" s="956" t="s">
        <v>1022</v>
      </c>
      <c r="E164" s="957"/>
      <c r="F164" s="957"/>
      <c r="G164" s="957"/>
      <c r="I164" s="410" t="s">
        <v>1018</v>
      </c>
      <c r="K164" s="410" t="s">
        <v>995</v>
      </c>
      <c r="M164" s="410" t="s">
        <v>1019</v>
      </c>
      <c r="O164" s="410" t="s">
        <v>1020</v>
      </c>
      <c r="Q164" s="390" t="str">
        <f>"FINANCIAL COST ("&amp;INDEX(LU_PLUG_2_Train_Curr,DD_PLUG_2_Train1_Curr)&amp;")"</f>
        <v>FINANCIAL COST (USD)</v>
      </c>
      <c r="S164" s="390" t="str">
        <f>"ECONOMIC COST ("&amp;INDEX(LU_PLUG_2_Train_Curr,DD_PLUG_2_Train1_Curr)&amp;")"</f>
        <v>ECONOMIC COST (USD)</v>
      </c>
    </row>
    <row r="165" spans="3:19" hidden="1" outlineLevel="2" x14ac:dyDescent="0.2">
      <c r="D165" s="721" t="s">
        <v>1013</v>
      </c>
      <c r="E165" s="721"/>
      <c r="F165" s="721"/>
      <c r="G165" s="721"/>
      <c r="I165" s="372">
        <v>0</v>
      </c>
      <c r="K165" s="372">
        <v>0</v>
      </c>
      <c r="M165" s="372">
        <v>0</v>
      </c>
      <c r="O165" s="372">
        <v>0</v>
      </c>
      <c r="Q165" s="383">
        <f>I165*K165*M165</f>
        <v>0</v>
      </c>
      <c r="S165" s="383">
        <f>I165*K165*O165</f>
        <v>0</v>
      </c>
    </row>
    <row r="166" spans="3:19" hidden="1" outlineLevel="2" x14ac:dyDescent="0.2">
      <c r="D166" s="721" t="s">
        <v>1014</v>
      </c>
      <c r="E166" s="721"/>
      <c r="F166" s="721"/>
      <c r="G166" s="721"/>
      <c r="I166" s="372">
        <v>0</v>
      </c>
      <c r="K166" s="372">
        <v>0</v>
      </c>
      <c r="M166" s="372">
        <v>0</v>
      </c>
      <c r="O166" s="372">
        <v>0</v>
      </c>
      <c r="Q166" s="383">
        <f>I166*K166*M166</f>
        <v>0</v>
      </c>
      <c r="S166" s="383">
        <f>I166*K166*O166</f>
        <v>0</v>
      </c>
    </row>
    <row r="167" spans="3:19" hidden="1" outlineLevel="2" x14ac:dyDescent="0.2">
      <c r="D167" s="721" t="s">
        <v>1015</v>
      </c>
      <c r="E167" s="721"/>
      <c r="F167" s="721"/>
      <c r="G167" s="721"/>
      <c r="I167" s="372">
        <v>0</v>
      </c>
      <c r="K167" s="372">
        <v>0</v>
      </c>
      <c r="M167" s="372">
        <v>0</v>
      </c>
      <c r="O167" s="372">
        <v>0</v>
      </c>
      <c r="Q167" s="383">
        <f>I167*K167*M167</f>
        <v>0</v>
      </c>
      <c r="S167" s="383">
        <f>I167*K167*O167</f>
        <v>0</v>
      </c>
    </row>
    <row r="168" spans="3:19" hidden="1" outlineLevel="2" x14ac:dyDescent="0.2">
      <c r="D168" s="721" t="s">
        <v>1016</v>
      </c>
      <c r="E168" s="721"/>
      <c r="F168" s="721"/>
      <c r="G168" s="721"/>
      <c r="I168" s="372">
        <v>0</v>
      </c>
      <c r="K168" s="372">
        <v>0</v>
      </c>
      <c r="M168" s="372">
        <v>0</v>
      </c>
      <c r="O168" s="372">
        <v>0</v>
      </c>
      <c r="Q168" s="383">
        <f>I168*K168*M168</f>
        <v>0</v>
      </c>
      <c r="S168" s="383">
        <f>I168*K168*O168</f>
        <v>0</v>
      </c>
    </row>
    <row r="169" spans="3:19" hidden="1" outlineLevel="2" x14ac:dyDescent="0.2">
      <c r="D169" s="721" t="s">
        <v>1017</v>
      </c>
      <c r="E169" s="721"/>
      <c r="F169" s="721"/>
      <c r="G169" s="721"/>
      <c r="I169" s="372">
        <v>0</v>
      </c>
      <c r="K169" s="372">
        <v>0</v>
      </c>
      <c r="M169" s="372">
        <v>0</v>
      </c>
      <c r="O169" s="372">
        <v>0</v>
      </c>
      <c r="Q169" s="384">
        <f>I169*K169*M169</f>
        <v>0</v>
      </c>
      <c r="S169" s="384">
        <f>I169*K169*O169</f>
        <v>0</v>
      </c>
    </row>
    <row r="170" spans="3:19" hidden="1" outlineLevel="2" x14ac:dyDescent="0.2">
      <c r="D170" s="909" t="str">
        <f>"Total "&amp;D164</f>
        <v>Total Training Personnel Sub-Total 1</v>
      </c>
      <c r="E170" s="910"/>
      <c r="F170" s="910"/>
      <c r="G170" s="910"/>
      <c r="I170" s="542">
        <f>SUM(I165:I169)</f>
        <v>0</v>
      </c>
      <c r="Q170" s="408">
        <f>SUM(Q165:Q169)</f>
        <v>0</v>
      </c>
      <c r="S170" s="408">
        <f>SUM(S165:S169)</f>
        <v>0</v>
      </c>
    </row>
    <row r="171" spans="3:19" ht="6.6" hidden="1" customHeight="1" outlineLevel="2" x14ac:dyDescent="0.2"/>
    <row r="172" spans="3:19" ht="51" hidden="1" outlineLevel="2" x14ac:dyDescent="0.2">
      <c r="D172" s="956" t="s">
        <v>1023</v>
      </c>
      <c r="E172" s="957"/>
      <c r="F172" s="957"/>
      <c r="G172" s="957"/>
      <c r="I172" s="410" t="s">
        <v>1018</v>
      </c>
      <c r="K172" s="410" t="s">
        <v>995</v>
      </c>
      <c r="M172" s="410" t="s">
        <v>1019</v>
      </c>
      <c r="O172" s="410" t="s">
        <v>1020</v>
      </c>
      <c r="Q172" s="390" t="str">
        <f>"FINANCIAL COST ("&amp;INDEX(LU_PLUG_2_Train_Curr,DD_PLUG_2_Train1_Curr)&amp;")"</f>
        <v>FINANCIAL COST (USD)</v>
      </c>
      <c r="S172" s="390" t="str">
        <f>"ECONOMIC COST ("&amp;INDEX(LU_PLUG_2_Train_Curr,DD_PLUG_2_Train1_Curr)&amp;")"</f>
        <v>ECONOMIC COST (USD)</v>
      </c>
    </row>
    <row r="173" spans="3:19" hidden="1" outlineLevel="2" x14ac:dyDescent="0.2">
      <c r="D173" s="721" t="s">
        <v>1024</v>
      </c>
      <c r="E173" s="721"/>
      <c r="F173" s="721"/>
      <c r="G173" s="721"/>
      <c r="I173" s="372">
        <v>0</v>
      </c>
      <c r="K173" s="372">
        <v>0</v>
      </c>
      <c r="M173" s="372">
        <v>0</v>
      </c>
      <c r="O173" s="372">
        <v>0</v>
      </c>
      <c r="Q173" s="383">
        <f>I173*K173*M173</f>
        <v>0</v>
      </c>
      <c r="S173" s="383">
        <f>I173*K173*O173</f>
        <v>0</v>
      </c>
    </row>
    <row r="174" spans="3:19" hidden="1" outlineLevel="2" x14ac:dyDescent="0.2">
      <c r="D174" s="721" t="s">
        <v>1025</v>
      </c>
      <c r="E174" s="721"/>
      <c r="F174" s="721"/>
      <c r="G174" s="721"/>
      <c r="I174" s="372">
        <v>0</v>
      </c>
      <c r="K174" s="372">
        <v>0</v>
      </c>
      <c r="M174" s="372">
        <v>0</v>
      </c>
      <c r="O174" s="372">
        <v>0</v>
      </c>
      <c r="Q174" s="383">
        <f>I174*K174*M174</f>
        <v>0</v>
      </c>
      <c r="S174" s="383">
        <f>I174*K174*O174</f>
        <v>0</v>
      </c>
    </row>
    <row r="175" spans="3:19" hidden="1" outlineLevel="2" x14ac:dyDescent="0.2">
      <c r="D175" s="721" t="s">
        <v>1026</v>
      </c>
      <c r="E175" s="721"/>
      <c r="F175" s="721"/>
      <c r="G175" s="721"/>
      <c r="I175" s="372">
        <v>0</v>
      </c>
      <c r="K175" s="372">
        <v>0</v>
      </c>
      <c r="M175" s="372">
        <v>0</v>
      </c>
      <c r="O175" s="372">
        <v>0</v>
      </c>
      <c r="Q175" s="383">
        <f>I175*K175*M175</f>
        <v>0</v>
      </c>
      <c r="S175" s="383">
        <f>I175*K175*O175</f>
        <v>0</v>
      </c>
    </row>
    <row r="176" spans="3:19" hidden="1" outlineLevel="2" x14ac:dyDescent="0.2">
      <c r="D176" s="721" t="s">
        <v>1027</v>
      </c>
      <c r="E176" s="721"/>
      <c r="F176" s="721"/>
      <c r="G176" s="721"/>
      <c r="I176" s="372">
        <v>0</v>
      </c>
      <c r="K176" s="372">
        <v>0</v>
      </c>
      <c r="M176" s="372">
        <v>0</v>
      </c>
      <c r="O176" s="372">
        <v>0</v>
      </c>
      <c r="Q176" s="383">
        <f>I176*K176*M176</f>
        <v>0</v>
      </c>
      <c r="S176" s="383">
        <f>I176*K176*O176</f>
        <v>0</v>
      </c>
    </row>
    <row r="177" spans="3:19" hidden="1" outlineLevel="2" x14ac:dyDescent="0.2">
      <c r="D177" s="721" t="s">
        <v>1028</v>
      </c>
      <c r="E177" s="721"/>
      <c r="F177" s="721"/>
      <c r="G177" s="721"/>
      <c r="I177" s="372">
        <v>0</v>
      </c>
      <c r="K177" s="372">
        <v>0</v>
      </c>
      <c r="M177" s="372">
        <v>0</v>
      </c>
      <c r="O177" s="372">
        <v>0</v>
      </c>
      <c r="Q177" s="384">
        <f>I177*K177*M177</f>
        <v>0</v>
      </c>
      <c r="S177" s="384">
        <f>I177*K177*O177</f>
        <v>0</v>
      </c>
    </row>
    <row r="178" spans="3:19" hidden="1" outlineLevel="2" x14ac:dyDescent="0.2">
      <c r="D178" s="909" t="str">
        <f>"Total "&amp;D172</f>
        <v>Total Training Personnel Sub-Total 2</v>
      </c>
      <c r="E178" s="910"/>
      <c r="F178" s="910"/>
      <c r="G178" s="910"/>
      <c r="I178" s="542">
        <f>SUM(I173:I177)</f>
        <v>0</v>
      </c>
      <c r="Q178" s="408">
        <f>SUM(Q173:Q177)</f>
        <v>0</v>
      </c>
      <c r="S178" s="408">
        <f>SUM(S173:S177)</f>
        <v>0</v>
      </c>
    </row>
    <row r="179" spans="3:19" ht="6.6" hidden="1" customHeight="1" outlineLevel="2" x14ac:dyDescent="0.2"/>
    <row r="180" spans="3:19" ht="51" hidden="1" outlineLevel="2" x14ac:dyDescent="0.2">
      <c r="D180" s="956" t="s">
        <v>1030</v>
      </c>
      <c r="E180" s="957"/>
      <c r="F180" s="957"/>
      <c r="G180" s="957"/>
      <c r="I180" s="410" t="s">
        <v>1018</v>
      </c>
      <c r="K180" s="410" t="s">
        <v>995</v>
      </c>
      <c r="M180" s="410" t="s">
        <v>1019</v>
      </c>
      <c r="O180" s="410" t="s">
        <v>1020</v>
      </c>
      <c r="Q180" s="390" t="str">
        <f>"FINANCIAL COST ("&amp;INDEX(LU_PLUG_2_Train_Curr,DD_PLUG_2_Train1_Curr)&amp;")"</f>
        <v>FINANCIAL COST (USD)</v>
      </c>
      <c r="S180" s="390" t="str">
        <f>"ECONOMIC COST ("&amp;INDEX(LU_PLUG_2_Train_Curr,DD_PLUG_2_Train1_Curr)&amp;")"</f>
        <v>ECONOMIC COST (USD)</v>
      </c>
    </row>
    <row r="181" spans="3:19" hidden="1" outlineLevel="2" x14ac:dyDescent="0.2">
      <c r="D181" s="721" t="s">
        <v>1029</v>
      </c>
      <c r="E181" s="721"/>
      <c r="F181" s="721"/>
      <c r="G181" s="721"/>
      <c r="I181" s="372">
        <v>0</v>
      </c>
      <c r="K181" s="372">
        <v>0</v>
      </c>
      <c r="M181" s="372">
        <v>0</v>
      </c>
      <c r="O181" s="372">
        <v>0</v>
      </c>
      <c r="Q181" s="383">
        <f t="shared" ref="Q181:Q186" si="4">I181*K181*M181</f>
        <v>0</v>
      </c>
      <c r="S181" s="383">
        <f t="shared" ref="S181:S186" si="5">I181*K181*O181</f>
        <v>0</v>
      </c>
    </row>
    <row r="182" spans="3:19" hidden="1" outlineLevel="2" x14ac:dyDescent="0.2">
      <c r="D182" s="721" t="s">
        <v>1032</v>
      </c>
      <c r="E182" s="721"/>
      <c r="F182" s="721"/>
      <c r="G182" s="721"/>
      <c r="I182" s="372">
        <v>0</v>
      </c>
      <c r="K182" s="372">
        <v>0</v>
      </c>
      <c r="M182" s="372">
        <v>0</v>
      </c>
      <c r="O182" s="372">
        <v>0</v>
      </c>
      <c r="Q182" s="383">
        <f t="shared" si="4"/>
        <v>0</v>
      </c>
      <c r="S182" s="383">
        <f t="shared" si="5"/>
        <v>0</v>
      </c>
    </row>
    <row r="183" spans="3:19" hidden="1" outlineLevel="2" x14ac:dyDescent="0.2">
      <c r="D183" s="721" t="s">
        <v>1033</v>
      </c>
      <c r="E183" s="721"/>
      <c r="F183" s="721"/>
      <c r="G183" s="721"/>
      <c r="I183" s="372">
        <v>0</v>
      </c>
      <c r="K183" s="372">
        <v>0</v>
      </c>
      <c r="M183" s="372">
        <v>0</v>
      </c>
      <c r="O183" s="372">
        <v>0</v>
      </c>
      <c r="Q183" s="383">
        <f t="shared" si="4"/>
        <v>0</v>
      </c>
      <c r="S183" s="383">
        <f t="shared" si="5"/>
        <v>0</v>
      </c>
    </row>
    <row r="184" spans="3:19" hidden="1" outlineLevel="2" x14ac:dyDescent="0.2">
      <c r="D184" s="721" t="s">
        <v>1034</v>
      </c>
      <c r="E184" s="721"/>
      <c r="F184" s="721"/>
      <c r="G184" s="721"/>
      <c r="I184" s="372">
        <v>0</v>
      </c>
      <c r="K184" s="372">
        <v>0</v>
      </c>
      <c r="M184" s="372">
        <v>0</v>
      </c>
      <c r="O184" s="372">
        <v>0</v>
      </c>
      <c r="Q184" s="383">
        <f t="shared" si="4"/>
        <v>0</v>
      </c>
      <c r="S184" s="383">
        <f t="shared" si="5"/>
        <v>0</v>
      </c>
    </row>
    <row r="185" spans="3:19" hidden="1" outlineLevel="2" x14ac:dyDescent="0.2">
      <c r="D185" s="721" t="s">
        <v>1035</v>
      </c>
      <c r="E185" s="721"/>
      <c r="F185" s="721"/>
      <c r="G185" s="721"/>
      <c r="I185" s="372">
        <v>0</v>
      </c>
      <c r="K185" s="372">
        <v>0</v>
      </c>
      <c r="M185" s="372">
        <v>0</v>
      </c>
      <c r="O185" s="372">
        <v>0</v>
      </c>
      <c r="Q185" s="383">
        <f t="shared" si="4"/>
        <v>0</v>
      </c>
      <c r="S185" s="383">
        <f t="shared" si="5"/>
        <v>0</v>
      </c>
    </row>
    <row r="186" spans="3:19" hidden="1" outlineLevel="2" x14ac:dyDescent="0.2">
      <c r="D186" s="721" t="s">
        <v>1036</v>
      </c>
      <c r="E186" s="721"/>
      <c r="F186" s="721"/>
      <c r="G186" s="721"/>
      <c r="I186" s="372">
        <v>0</v>
      </c>
      <c r="K186" s="372">
        <v>0</v>
      </c>
      <c r="M186" s="372">
        <v>0</v>
      </c>
      <c r="O186" s="372">
        <v>0</v>
      </c>
      <c r="Q186" s="384">
        <f t="shared" si="4"/>
        <v>0</v>
      </c>
      <c r="S186" s="384">
        <f t="shared" si="5"/>
        <v>0</v>
      </c>
    </row>
    <row r="187" spans="3:19" hidden="1" outlineLevel="2" x14ac:dyDescent="0.2">
      <c r="D187" s="909" t="str">
        <f>"Total "&amp;D180</f>
        <v>Total Training Personnel Sub-Total 3</v>
      </c>
      <c r="E187" s="910"/>
      <c r="F187" s="910"/>
      <c r="G187" s="910"/>
      <c r="I187" s="542">
        <f>SUM(I181:I186)</f>
        <v>0</v>
      </c>
      <c r="Q187" s="408">
        <f>SUM(Q181:Q186)</f>
        <v>0</v>
      </c>
      <c r="S187" s="408">
        <f>SUM(S181:S186)</f>
        <v>0</v>
      </c>
    </row>
    <row r="188" spans="3:19" ht="6.6" hidden="1" customHeight="1" outlineLevel="2" x14ac:dyDescent="0.2"/>
    <row r="189" spans="3:19" ht="15" hidden="1" outlineLevel="1" x14ac:dyDescent="0.2">
      <c r="D189" s="782" t="s">
        <v>1052</v>
      </c>
      <c r="E189" s="783"/>
      <c r="F189" s="783"/>
      <c r="G189" s="783"/>
      <c r="I189" s="407"/>
      <c r="K189" s="407"/>
      <c r="M189" s="407"/>
      <c r="O189" s="407"/>
      <c r="Q189" s="377">
        <f>SUM(Q170,Q178,Q187)</f>
        <v>0</v>
      </c>
      <c r="S189" s="377">
        <f>SUM(S170,S178,S187)</f>
        <v>0</v>
      </c>
    </row>
    <row r="190" spans="3:19" hidden="1" outlineLevel="1" x14ac:dyDescent="0.2"/>
    <row r="191" spans="3:19" ht="15.75" hidden="1" outlineLevel="1" x14ac:dyDescent="0.2">
      <c r="C191" s="404" t="s">
        <v>996</v>
      </c>
    </row>
    <row r="192" spans="3:19" hidden="1" outlineLevel="2" x14ac:dyDescent="0.2"/>
    <row r="193" spans="4:19" ht="25.5" hidden="1" outlineLevel="2" x14ac:dyDescent="0.2">
      <c r="D193" s="791" t="str">
        <f>D164</f>
        <v>Training Personnel Sub-Total 1</v>
      </c>
      <c r="E193" s="792"/>
      <c r="F193" s="792"/>
      <c r="G193" s="792"/>
      <c r="I193" s="410" t="s">
        <v>994</v>
      </c>
      <c r="K193" s="410" t="s">
        <v>1037</v>
      </c>
      <c r="M193" s="410" t="s">
        <v>1038</v>
      </c>
      <c r="O193" s="410" t="s">
        <v>1039</v>
      </c>
      <c r="Q193" s="387" t="str">
        <f>"FINANCIAL COST ("&amp;INDEX(LU_PLUG_2_Train_Curr,DD_PLUG_2_Train1_Curr)&amp;")"</f>
        <v>FINANCIAL COST (USD)</v>
      </c>
      <c r="S193" s="387" t="str">
        <f>"ECONOMIC COST ("&amp;INDEX(LU_PLUG_2_Train_Curr,DD_PLUG_2_Train1_Curr)&amp;")"</f>
        <v>ECONOMIC COST (USD)</v>
      </c>
    </row>
    <row r="194" spans="4:19" hidden="1" outlineLevel="2" x14ac:dyDescent="0.2">
      <c r="D194" s="721" t="s">
        <v>1013</v>
      </c>
      <c r="E194" s="721"/>
      <c r="F194" s="721"/>
      <c r="G194" s="721"/>
      <c r="I194" s="372">
        <v>0</v>
      </c>
      <c r="K194" s="372">
        <v>0</v>
      </c>
      <c r="M194" s="372">
        <v>0</v>
      </c>
      <c r="O194" s="372">
        <v>0</v>
      </c>
      <c r="Q194" s="383">
        <f>I194*K194*M194</f>
        <v>0</v>
      </c>
      <c r="S194" s="383">
        <f>I194*K194*O194</f>
        <v>0</v>
      </c>
    </row>
    <row r="195" spans="4:19" hidden="1" outlineLevel="2" x14ac:dyDescent="0.2">
      <c r="D195" s="721" t="s">
        <v>1014</v>
      </c>
      <c r="E195" s="721"/>
      <c r="F195" s="721"/>
      <c r="G195" s="721"/>
      <c r="I195" s="372">
        <v>0</v>
      </c>
      <c r="K195" s="372">
        <v>0</v>
      </c>
      <c r="M195" s="372">
        <v>0</v>
      </c>
      <c r="O195" s="372">
        <v>0</v>
      </c>
      <c r="Q195" s="383">
        <f>I195*K195*M195</f>
        <v>0</v>
      </c>
      <c r="S195" s="383">
        <f>I195*K195*O195</f>
        <v>0</v>
      </c>
    </row>
    <row r="196" spans="4:19" hidden="1" outlineLevel="2" x14ac:dyDescent="0.2">
      <c r="D196" s="721" t="s">
        <v>1015</v>
      </c>
      <c r="E196" s="721"/>
      <c r="F196" s="721"/>
      <c r="G196" s="721"/>
      <c r="I196" s="372">
        <v>0</v>
      </c>
      <c r="K196" s="372">
        <v>0</v>
      </c>
      <c r="M196" s="372">
        <v>0</v>
      </c>
      <c r="O196" s="372">
        <v>0</v>
      </c>
      <c r="Q196" s="383">
        <f>I196*K196*M196</f>
        <v>0</v>
      </c>
      <c r="S196" s="383">
        <f>I196*K196*O196</f>
        <v>0</v>
      </c>
    </row>
    <row r="197" spans="4:19" hidden="1" outlineLevel="2" x14ac:dyDescent="0.2">
      <c r="D197" s="721" t="s">
        <v>1016</v>
      </c>
      <c r="E197" s="721"/>
      <c r="F197" s="721"/>
      <c r="G197" s="721"/>
      <c r="I197" s="372">
        <v>0</v>
      </c>
      <c r="K197" s="372">
        <v>0</v>
      </c>
      <c r="M197" s="372">
        <v>0</v>
      </c>
      <c r="O197" s="372">
        <v>0</v>
      </c>
      <c r="Q197" s="383">
        <f>I197*K197*M197</f>
        <v>0</v>
      </c>
      <c r="S197" s="383">
        <f>I197*K197*O197</f>
        <v>0</v>
      </c>
    </row>
    <row r="198" spans="4:19" hidden="1" outlineLevel="2" x14ac:dyDescent="0.2">
      <c r="D198" s="721" t="s">
        <v>1017</v>
      </c>
      <c r="E198" s="721"/>
      <c r="F198" s="721"/>
      <c r="G198" s="721"/>
      <c r="I198" s="372">
        <v>0</v>
      </c>
      <c r="K198" s="372">
        <v>0</v>
      </c>
      <c r="M198" s="372">
        <v>0</v>
      </c>
      <c r="O198" s="372">
        <v>0</v>
      </c>
      <c r="Q198" s="384">
        <f>I198*K198*M198</f>
        <v>0</v>
      </c>
      <c r="S198" s="384">
        <f>I198*K198*O198</f>
        <v>0</v>
      </c>
    </row>
    <row r="199" spans="4:19" hidden="1" outlineLevel="2" x14ac:dyDescent="0.2">
      <c r="D199" s="909" t="str">
        <f>"Total "&amp;D193</f>
        <v>Total Training Personnel Sub-Total 1</v>
      </c>
      <c r="E199" s="910"/>
      <c r="F199" s="910"/>
      <c r="G199" s="910"/>
      <c r="Q199" s="408">
        <f>SUM(Q194:Q198)</f>
        <v>0</v>
      </c>
      <c r="S199" s="408">
        <f>SUM(S194:S198)</f>
        <v>0</v>
      </c>
    </row>
    <row r="200" spans="4:19" ht="6.6" hidden="1" customHeight="1" outlineLevel="2" x14ac:dyDescent="0.2"/>
    <row r="201" spans="4:19" ht="25.5" hidden="1" outlineLevel="2" x14ac:dyDescent="0.2">
      <c r="D201" s="791" t="str">
        <f>D172</f>
        <v>Training Personnel Sub-Total 2</v>
      </c>
      <c r="E201" s="792"/>
      <c r="F201" s="792"/>
      <c r="G201" s="792"/>
      <c r="I201" s="410" t="s">
        <v>994</v>
      </c>
      <c r="K201" s="410" t="s">
        <v>1037</v>
      </c>
      <c r="M201" s="410" t="s">
        <v>1038</v>
      </c>
      <c r="O201" s="410" t="s">
        <v>1039</v>
      </c>
      <c r="Q201" s="387" t="str">
        <f>"FINANCIAL COST ("&amp;INDEX(LU_PLUG_2_Train_Curr,DD_PLUG_2_Train1_Curr)&amp;")"</f>
        <v>FINANCIAL COST (USD)</v>
      </c>
      <c r="S201" s="387" t="str">
        <f>"ECONOMIC COST ("&amp;INDEX(LU_PLUG_2_Train_Curr,DD_PLUG_2_Train1_Curr)&amp;")"</f>
        <v>ECONOMIC COST (USD)</v>
      </c>
    </row>
    <row r="202" spans="4:19" hidden="1" outlineLevel="2" x14ac:dyDescent="0.2">
      <c r="D202" s="721" t="s">
        <v>1024</v>
      </c>
      <c r="E202" s="721"/>
      <c r="F202" s="721"/>
      <c r="G202" s="721"/>
      <c r="I202" s="372">
        <v>0</v>
      </c>
      <c r="K202" s="372">
        <v>0</v>
      </c>
      <c r="M202" s="372">
        <v>0</v>
      </c>
      <c r="O202" s="372">
        <v>0</v>
      </c>
      <c r="Q202" s="383">
        <f>I202*K202*M202</f>
        <v>0</v>
      </c>
      <c r="S202" s="383">
        <f>I202*K202*O202</f>
        <v>0</v>
      </c>
    </row>
    <row r="203" spans="4:19" hidden="1" outlineLevel="2" x14ac:dyDescent="0.2">
      <c r="D203" s="721" t="s">
        <v>1025</v>
      </c>
      <c r="E203" s="721"/>
      <c r="F203" s="721"/>
      <c r="G203" s="721"/>
      <c r="I203" s="372">
        <v>0</v>
      </c>
      <c r="K203" s="372">
        <v>0</v>
      </c>
      <c r="M203" s="372">
        <v>0</v>
      </c>
      <c r="O203" s="372">
        <v>0</v>
      </c>
      <c r="Q203" s="383">
        <f>I203*K203*M203</f>
        <v>0</v>
      </c>
      <c r="S203" s="383">
        <f>I203*K203*O203</f>
        <v>0</v>
      </c>
    </row>
    <row r="204" spans="4:19" hidden="1" outlineLevel="2" x14ac:dyDescent="0.2">
      <c r="D204" s="721" t="s">
        <v>1026</v>
      </c>
      <c r="E204" s="721"/>
      <c r="F204" s="721"/>
      <c r="G204" s="721"/>
      <c r="I204" s="372">
        <v>0</v>
      </c>
      <c r="K204" s="372">
        <v>0</v>
      </c>
      <c r="M204" s="372">
        <v>0</v>
      </c>
      <c r="O204" s="372">
        <v>0</v>
      </c>
      <c r="Q204" s="383">
        <f>I204*K204*M204</f>
        <v>0</v>
      </c>
      <c r="S204" s="383">
        <f>I204*K204*O204</f>
        <v>0</v>
      </c>
    </row>
    <row r="205" spans="4:19" hidden="1" outlineLevel="2" x14ac:dyDescent="0.2">
      <c r="D205" s="721" t="s">
        <v>1027</v>
      </c>
      <c r="E205" s="721"/>
      <c r="F205" s="721"/>
      <c r="G205" s="721"/>
      <c r="I205" s="372">
        <v>0</v>
      </c>
      <c r="K205" s="372">
        <v>0</v>
      </c>
      <c r="M205" s="372">
        <v>0</v>
      </c>
      <c r="O205" s="372">
        <v>0</v>
      </c>
      <c r="Q205" s="383">
        <f>I205*K205*M205</f>
        <v>0</v>
      </c>
      <c r="S205" s="383">
        <f>I205*K205*O205</f>
        <v>0</v>
      </c>
    </row>
    <row r="206" spans="4:19" hidden="1" outlineLevel="2" x14ac:dyDescent="0.2">
      <c r="D206" s="721" t="s">
        <v>1028</v>
      </c>
      <c r="E206" s="721"/>
      <c r="F206" s="721"/>
      <c r="G206" s="721"/>
      <c r="I206" s="372">
        <v>0</v>
      </c>
      <c r="K206" s="372">
        <v>0</v>
      </c>
      <c r="M206" s="372">
        <v>0</v>
      </c>
      <c r="O206" s="372">
        <v>0</v>
      </c>
      <c r="Q206" s="384">
        <f>I206*K206*M206</f>
        <v>0</v>
      </c>
      <c r="S206" s="384">
        <f>I206*K206*O206</f>
        <v>0</v>
      </c>
    </row>
    <row r="207" spans="4:19" hidden="1" outlineLevel="2" x14ac:dyDescent="0.2">
      <c r="D207" s="909" t="str">
        <f>"Total "&amp;D201</f>
        <v>Total Training Personnel Sub-Total 2</v>
      </c>
      <c r="E207" s="910"/>
      <c r="F207" s="910"/>
      <c r="G207" s="910"/>
      <c r="Q207" s="408">
        <f>SUM(Q202:Q206)</f>
        <v>0</v>
      </c>
      <c r="S207" s="408">
        <f>SUM(S202:S206)</f>
        <v>0</v>
      </c>
    </row>
    <row r="208" spans="4:19" ht="6.6" hidden="1" customHeight="1" outlineLevel="2" x14ac:dyDescent="0.2"/>
    <row r="209" spans="3:19" ht="25.5" hidden="1" outlineLevel="2" x14ac:dyDescent="0.2">
      <c r="D209" s="791" t="str">
        <f>D180</f>
        <v>Training Personnel Sub-Total 3</v>
      </c>
      <c r="E209" s="792"/>
      <c r="F209" s="792"/>
      <c r="G209" s="792"/>
      <c r="I209" s="410" t="s">
        <v>994</v>
      </c>
      <c r="K209" s="410" t="s">
        <v>1037</v>
      </c>
      <c r="M209" s="410" t="s">
        <v>1038</v>
      </c>
      <c r="O209" s="410" t="s">
        <v>1039</v>
      </c>
      <c r="Q209" s="387" t="str">
        <f>"FINANCIAL COST ("&amp;INDEX(LU_PLUG_2_Train_Curr,DD_PLUG_2_Train1_Curr)&amp;")"</f>
        <v>FINANCIAL COST (USD)</v>
      </c>
      <c r="S209" s="387" t="str">
        <f>"ECONOMIC COST ("&amp;INDEX(LU_PLUG_2_Train_Curr,DD_PLUG_2_Train1_Curr)&amp;")"</f>
        <v>ECONOMIC COST (USD)</v>
      </c>
    </row>
    <row r="210" spans="3:19" hidden="1" outlineLevel="2" x14ac:dyDescent="0.2">
      <c r="D210" s="721" t="s">
        <v>1029</v>
      </c>
      <c r="E210" s="721"/>
      <c r="F210" s="721"/>
      <c r="G210" s="721"/>
      <c r="I210" s="372">
        <v>0</v>
      </c>
      <c r="K210" s="372">
        <v>0</v>
      </c>
      <c r="M210" s="372">
        <v>0</v>
      </c>
      <c r="O210" s="372">
        <v>0</v>
      </c>
      <c r="Q210" s="383">
        <f t="shared" ref="Q210:Q215" si="6">I210*K210*M210</f>
        <v>0</v>
      </c>
      <c r="S210" s="383">
        <f t="shared" ref="S210:S215" si="7">I210*K210*O210</f>
        <v>0</v>
      </c>
    </row>
    <row r="211" spans="3:19" hidden="1" outlineLevel="2" x14ac:dyDescent="0.2">
      <c r="D211" s="721" t="s">
        <v>1032</v>
      </c>
      <c r="E211" s="721"/>
      <c r="F211" s="721"/>
      <c r="G211" s="721"/>
      <c r="I211" s="372">
        <v>0</v>
      </c>
      <c r="K211" s="372">
        <v>0</v>
      </c>
      <c r="M211" s="372">
        <v>0</v>
      </c>
      <c r="O211" s="372">
        <v>0</v>
      </c>
      <c r="Q211" s="383">
        <f t="shared" si="6"/>
        <v>0</v>
      </c>
      <c r="S211" s="383">
        <f t="shared" si="7"/>
        <v>0</v>
      </c>
    </row>
    <row r="212" spans="3:19" hidden="1" outlineLevel="2" x14ac:dyDescent="0.2">
      <c r="D212" s="721" t="s">
        <v>1033</v>
      </c>
      <c r="E212" s="721"/>
      <c r="F212" s="721"/>
      <c r="G212" s="721"/>
      <c r="I212" s="372">
        <v>0</v>
      </c>
      <c r="K212" s="372">
        <v>0</v>
      </c>
      <c r="M212" s="372">
        <v>0</v>
      </c>
      <c r="O212" s="372">
        <v>0</v>
      </c>
      <c r="Q212" s="383">
        <f t="shared" si="6"/>
        <v>0</v>
      </c>
      <c r="S212" s="383">
        <f t="shared" si="7"/>
        <v>0</v>
      </c>
    </row>
    <row r="213" spans="3:19" hidden="1" outlineLevel="2" x14ac:dyDescent="0.2">
      <c r="D213" s="721" t="s">
        <v>1034</v>
      </c>
      <c r="E213" s="721"/>
      <c r="F213" s="721"/>
      <c r="G213" s="721"/>
      <c r="I213" s="372">
        <v>0</v>
      </c>
      <c r="K213" s="372">
        <v>0</v>
      </c>
      <c r="M213" s="372">
        <v>0</v>
      </c>
      <c r="O213" s="372">
        <v>0</v>
      </c>
      <c r="Q213" s="383">
        <f t="shared" si="6"/>
        <v>0</v>
      </c>
      <c r="S213" s="383">
        <f t="shared" si="7"/>
        <v>0</v>
      </c>
    </row>
    <row r="214" spans="3:19" hidden="1" outlineLevel="2" x14ac:dyDescent="0.2">
      <c r="D214" s="721" t="s">
        <v>1035</v>
      </c>
      <c r="E214" s="721"/>
      <c r="F214" s="721"/>
      <c r="G214" s="721"/>
      <c r="I214" s="372">
        <v>0</v>
      </c>
      <c r="K214" s="372">
        <v>0</v>
      </c>
      <c r="M214" s="372">
        <v>0</v>
      </c>
      <c r="O214" s="372">
        <v>0</v>
      </c>
      <c r="Q214" s="383">
        <f t="shared" si="6"/>
        <v>0</v>
      </c>
      <c r="S214" s="383">
        <f t="shared" si="7"/>
        <v>0</v>
      </c>
    </row>
    <row r="215" spans="3:19" hidden="1" outlineLevel="2" x14ac:dyDescent="0.2">
      <c r="D215" s="721" t="s">
        <v>1036</v>
      </c>
      <c r="E215" s="721"/>
      <c r="F215" s="721"/>
      <c r="G215" s="721"/>
      <c r="I215" s="372">
        <v>0</v>
      </c>
      <c r="K215" s="372">
        <v>0</v>
      </c>
      <c r="M215" s="372">
        <v>0</v>
      </c>
      <c r="O215" s="372">
        <v>0</v>
      </c>
      <c r="Q215" s="384">
        <f t="shared" si="6"/>
        <v>0</v>
      </c>
      <c r="S215" s="384">
        <f t="shared" si="7"/>
        <v>0</v>
      </c>
    </row>
    <row r="216" spans="3:19" hidden="1" outlineLevel="2" x14ac:dyDescent="0.2">
      <c r="D216" s="909" t="str">
        <f>"Total "&amp;D209</f>
        <v>Total Training Personnel Sub-Total 3</v>
      </c>
      <c r="E216" s="910"/>
      <c r="F216" s="910"/>
      <c r="G216" s="910"/>
      <c r="Q216" s="408">
        <f>SUM(Q210:Q215)</f>
        <v>0</v>
      </c>
      <c r="S216" s="408">
        <f>SUM(S210:S215)</f>
        <v>0</v>
      </c>
    </row>
    <row r="217" spans="3:19" ht="6.6" hidden="1" customHeight="1" outlineLevel="2" x14ac:dyDescent="0.2"/>
    <row r="218" spans="3:19" ht="15" hidden="1" outlineLevel="1" x14ac:dyDescent="0.2">
      <c r="D218" s="782" t="s">
        <v>1021</v>
      </c>
      <c r="E218" s="783"/>
      <c r="F218" s="783"/>
      <c r="G218" s="783"/>
      <c r="I218" s="407"/>
      <c r="K218" s="407"/>
      <c r="M218" s="407"/>
      <c r="O218" s="407"/>
      <c r="Q218" s="377">
        <f>SUM(Q199,Q207,Q216)</f>
        <v>0</v>
      </c>
      <c r="S218" s="377">
        <f>SUM(S199,S207,S216)</f>
        <v>0</v>
      </c>
    </row>
    <row r="219" spans="3:19" hidden="1" outlineLevel="1" x14ac:dyDescent="0.2"/>
    <row r="220" spans="3:19" ht="15.75" hidden="1" outlineLevel="1" x14ac:dyDescent="0.2">
      <c r="C220" s="404" t="s">
        <v>1066</v>
      </c>
    </row>
    <row r="221" spans="3:19" hidden="1" outlineLevel="2" x14ac:dyDescent="0.2"/>
    <row r="222" spans="3:19" ht="25.5" hidden="1" outlineLevel="2" x14ac:dyDescent="0.2">
      <c r="D222" s="956" t="s">
        <v>1124</v>
      </c>
      <c r="E222" s="957"/>
      <c r="F222" s="957"/>
      <c r="G222" s="957"/>
      <c r="I222" s="545" t="s">
        <v>999</v>
      </c>
      <c r="K222" s="545" t="s">
        <v>1051</v>
      </c>
      <c r="M222" s="545" t="s">
        <v>1038</v>
      </c>
      <c r="O222" s="545" t="s">
        <v>1050</v>
      </c>
      <c r="Q222" s="387" t="str">
        <f>"FINANCIAL COST ("&amp;INDEX(LU_PLUG_2_Train_Curr,DD_PLUG_2_Train1_Curr)&amp;")"</f>
        <v>FINANCIAL COST (USD)</v>
      </c>
      <c r="S222" s="387" t="str">
        <f>"ECONOMIC COST ("&amp;INDEX(LU_PLUG_2_Train_Curr,DD_PLUG_2_Train1_Curr)&amp;")"</f>
        <v>ECONOMIC COST (USD)</v>
      </c>
    </row>
    <row r="223" spans="3:19" hidden="1" outlineLevel="2" x14ac:dyDescent="0.2">
      <c r="D223" s="721" t="s">
        <v>1040</v>
      </c>
      <c r="E223" s="721"/>
      <c r="F223" s="721"/>
      <c r="G223" s="721"/>
      <c r="I223" s="372">
        <v>0</v>
      </c>
      <c r="K223" s="372">
        <v>0</v>
      </c>
      <c r="M223" s="372">
        <v>0</v>
      </c>
      <c r="O223" s="372">
        <v>0</v>
      </c>
      <c r="Q223" s="383">
        <f>I223*K223*M223</f>
        <v>0</v>
      </c>
      <c r="S223" s="383">
        <f>I223*K223*O223</f>
        <v>0</v>
      </c>
    </row>
    <row r="224" spans="3:19" hidden="1" outlineLevel="2" x14ac:dyDescent="0.2">
      <c r="D224" s="721" t="s">
        <v>1041</v>
      </c>
      <c r="E224" s="721"/>
      <c r="F224" s="721"/>
      <c r="G224" s="721"/>
      <c r="I224" s="372">
        <v>0</v>
      </c>
      <c r="K224" s="372">
        <v>0</v>
      </c>
      <c r="M224" s="372">
        <v>0</v>
      </c>
      <c r="O224" s="372">
        <v>0</v>
      </c>
      <c r="Q224" s="383">
        <f>I224*K224*M224</f>
        <v>0</v>
      </c>
      <c r="S224" s="383">
        <f>I224*K224*O224</f>
        <v>0</v>
      </c>
    </row>
    <row r="225" spans="3:19" hidden="1" outlineLevel="2" x14ac:dyDescent="0.2">
      <c r="D225" s="721" t="s">
        <v>1042</v>
      </c>
      <c r="E225" s="721"/>
      <c r="F225" s="721"/>
      <c r="G225" s="721"/>
      <c r="I225" s="372">
        <v>0</v>
      </c>
      <c r="K225" s="372">
        <v>0</v>
      </c>
      <c r="M225" s="372">
        <v>0</v>
      </c>
      <c r="O225" s="372">
        <v>0</v>
      </c>
      <c r="Q225" s="383">
        <f>I225*K225*M225</f>
        <v>0</v>
      </c>
      <c r="S225" s="383">
        <f>I225*K225*O225</f>
        <v>0</v>
      </c>
    </row>
    <row r="226" spans="3:19" hidden="1" outlineLevel="2" x14ac:dyDescent="0.2">
      <c r="D226" s="721" t="s">
        <v>1043</v>
      </c>
      <c r="E226" s="721"/>
      <c r="F226" s="721"/>
      <c r="G226" s="721"/>
      <c r="I226" s="372">
        <v>0</v>
      </c>
      <c r="K226" s="372">
        <v>0</v>
      </c>
      <c r="M226" s="372">
        <v>0</v>
      </c>
      <c r="O226" s="372">
        <v>0</v>
      </c>
      <c r="Q226" s="383">
        <f>I226*K226*M226</f>
        <v>0</v>
      </c>
      <c r="S226" s="383">
        <f>I226*K226*O226</f>
        <v>0</v>
      </c>
    </row>
    <row r="227" spans="3:19" hidden="1" outlineLevel="2" x14ac:dyDescent="0.2">
      <c r="D227" s="721" t="s">
        <v>1044</v>
      </c>
      <c r="E227" s="721"/>
      <c r="F227" s="721"/>
      <c r="G227" s="721"/>
      <c r="I227" s="372">
        <v>0</v>
      </c>
      <c r="K227" s="372">
        <v>0</v>
      </c>
      <c r="M227" s="372">
        <v>0</v>
      </c>
      <c r="O227" s="372">
        <v>0</v>
      </c>
      <c r="Q227" s="384">
        <f>I227*K227*M227</f>
        <v>0</v>
      </c>
      <c r="S227" s="384">
        <f>I227*K227*O227</f>
        <v>0</v>
      </c>
    </row>
    <row r="228" spans="3:19" hidden="1" outlineLevel="2" x14ac:dyDescent="0.2">
      <c r="D228" s="909" t="str">
        <f>"Total "&amp;D222</f>
        <v>Total Rooms Sub-Total 1</v>
      </c>
      <c r="E228" s="910"/>
      <c r="F228" s="910"/>
      <c r="G228" s="910"/>
      <c r="Q228" s="408">
        <f>SUM(Q223:Q227)</f>
        <v>0</v>
      </c>
      <c r="S228" s="408">
        <f>SUM(S223:S227)</f>
        <v>0</v>
      </c>
    </row>
    <row r="229" spans="3:19" ht="6.6" hidden="1" customHeight="1" outlineLevel="2" x14ac:dyDescent="0.2"/>
    <row r="230" spans="3:19" ht="25.5" hidden="1" outlineLevel="2" x14ac:dyDescent="0.2">
      <c r="D230" s="956" t="s">
        <v>1125</v>
      </c>
      <c r="E230" s="957"/>
      <c r="F230" s="957"/>
      <c r="G230" s="957"/>
      <c r="I230" s="545" t="s">
        <v>999</v>
      </c>
      <c r="K230" s="545" t="s">
        <v>1051</v>
      </c>
      <c r="M230" s="545" t="s">
        <v>1038</v>
      </c>
      <c r="O230" s="545" t="s">
        <v>1050</v>
      </c>
      <c r="Q230" s="387" t="str">
        <f>"FINANCIAL COST ("&amp;INDEX(LU_PLUG_2_Train_Curr,DD_PLUG_2_Train1_Curr)&amp;")"</f>
        <v>FINANCIAL COST (USD)</v>
      </c>
      <c r="S230" s="387" t="str">
        <f>"ECONOMIC COST ("&amp;INDEX(LU_PLUG_2_Train_Curr,DD_PLUG_2_Train1_Curr)&amp;")"</f>
        <v>ECONOMIC COST (USD)</v>
      </c>
    </row>
    <row r="231" spans="3:19" hidden="1" outlineLevel="2" x14ac:dyDescent="0.2">
      <c r="D231" s="721" t="s">
        <v>1045</v>
      </c>
      <c r="E231" s="721"/>
      <c r="F231" s="721"/>
      <c r="G231" s="721"/>
      <c r="I231" s="372">
        <v>0</v>
      </c>
      <c r="K231" s="372">
        <v>0</v>
      </c>
      <c r="M231" s="372">
        <v>0</v>
      </c>
      <c r="O231" s="372">
        <v>0</v>
      </c>
      <c r="Q231" s="383">
        <f>I231*K231*M231</f>
        <v>0</v>
      </c>
      <c r="S231" s="383">
        <f>I231*K231*O231</f>
        <v>0</v>
      </c>
    </row>
    <row r="232" spans="3:19" hidden="1" outlineLevel="2" x14ac:dyDescent="0.2">
      <c r="D232" s="721" t="s">
        <v>1046</v>
      </c>
      <c r="E232" s="721"/>
      <c r="F232" s="721"/>
      <c r="G232" s="721"/>
      <c r="I232" s="372">
        <v>0</v>
      </c>
      <c r="K232" s="372">
        <v>0</v>
      </c>
      <c r="M232" s="372">
        <v>0</v>
      </c>
      <c r="O232" s="372">
        <v>0</v>
      </c>
      <c r="Q232" s="383">
        <f>I232*K232*M232</f>
        <v>0</v>
      </c>
      <c r="S232" s="383">
        <f>I232*K232*O232</f>
        <v>0</v>
      </c>
    </row>
    <row r="233" spans="3:19" hidden="1" outlineLevel="2" x14ac:dyDescent="0.2">
      <c r="D233" s="721" t="s">
        <v>1047</v>
      </c>
      <c r="E233" s="721"/>
      <c r="F233" s="721"/>
      <c r="G233" s="721"/>
      <c r="I233" s="372">
        <v>0</v>
      </c>
      <c r="K233" s="372">
        <v>0</v>
      </c>
      <c r="M233" s="372">
        <v>0</v>
      </c>
      <c r="O233" s="372">
        <v>0</v>
      </c>
      <c r="Q233" s="383">
        <f>I233*K233*M233</f>
        <v>0</v>
      </c>
      <c r="S233" s="383">
        <f>I233*K233*O233</f>
        <v>0</v>
      </c>
    </row>
    <row r="234" spans="3:19" hidden="1" outlineLevel="2" x14ac:dyDescent="0.2">
      <c r="D234" s="721" t="s">
        <v>1048</v>
      </c>
      <c r="E234" s="721"/>
      <c r="F234" s="721"/>
      <c r="G234" s="721"/>
      <c r="I234" s="372">
        <v>0</v>
      </c>
      <c r="K234" s="372">
        <v>0</v>
      </c>
      <c r="M234" s="372">
        <v>0</v>
      </c>
      <c r="O234" s="372">
        <v>0</v>
      </c>
      <c r="Q234" s="383">
        <f>I234*K234*M234</f>
        <v>0</v>
      </c>
      <c r="S234" s="383">
        <f>I234*K234*O234</f>
        <v>0</v>
      </c>
    </row>
    <row r="235" spans="3:19" hidden="1" outlineLevel="2" x14ac:dyDescent="0.2">
      <c r="D235" s="721" t="s">
        <v>1049</v>
      </c>
      <c r="E235" s="721"/>
      <c r="F235" s="721"/>
      <c r="G235" s="721"/>
      <c r="I235" s="372">
        <v>0</v>
      </c>
      <c r="K235" s="372">
        <v>0</v>
      </c>
      <c r="M235" s="372">
        <v>0</v>
      </c>
      <c r="O235" s="372">
        <v>0</v>
      </c>
      <c r="Q235" s="384">
        <f>I235*K235*M235</f>
        <v>0</v>
      </c>
      <c r="S235" s="384">
        <f>I235*K235*O235</f>
        <v>0</v>
      </c>
    </row>
    <row r="236" spans="3:19" hidden="1" outlineLevel="2" x14ac:dyDescent="0.2">
      <c r="D236" s="909" t="str">
        <f>"Total "&amp;D230</f>
        <v>Total Rooms Sub-Total 2</v>
      </c>
      <c r="E236" s="910"/>
      <c r="F236" s="910"/>
      <c r="G236" s="910"/>
      <c r="Q236" s="408">
        <f>SUM(Q231:Q235)</f>
        <v>0</v>
      </c>
      <c r="S236" s="408">
        <f>SUM(S231:S235)</f>
        <v>0</v>
      </c>
    </row>
    <row r="237" spans="3:19" ht="6.6" hidden="1" customHeight="1" outlineLevel="2" x14ac:dyDescent="0.2"/>
    <row r="238" spans="3:19" ht="15" hidden="1" outlineLevel="1" x14ac:dyDescent="0.2">
      <c r="D238" s="782" t="s">
        <v>1065</v>
      </c>
      <c r="E238" s="783"/>
      <c r="F238" s="783"/>
      <c r="G238" s="783"/>
      <c r="I238" s="407"/>
      <c r="K238" s="407"/>
      <c r="M238" s="407"/>
      <c r="O238" s="407"/>
      <c r="Q238" s="377">
        <f>SUM(Q228,Q236)</f>
        <v>0</v>
      </c>
      <c r="S238" s="377">
        <f>SUM(S228,S236)</f>
        <v>0</v>
      </c>
    </row>
    <row r="239" spans="3:19" hidden="1" outlineLevel="1" x14ac:dyDescent="0.2"/>
    <row r="240" spans="3:19" ht="15.75" hidden="1" outlineLevel="1" x14ac:dyDescent="0.2">
      <c r="C240" s="404" t="s">
        <v>1064</v>
      </c>
    </row>
    <row r="241" spans="3:19" hidden="1" outlineLevel="2" x14ac:dyDescent="0.2"/>
    <row r="242" spans="3:19" ht="25.5" hidden="1" outlineLevel="2" x14ac:dyDescent="0.2">
      <c r="D242" s="956" t="s">
        <v>1059</v>
      </c>
      <c r="E242" s="957"/>
      <c r="F242" s="957"/>
      <c r="G242" s="957"/>
      <c r="I242" s="410" t="s">
        <v>1092</v>
      </c>
      <c r="K242" s="410" t="s">
        <v>995</v>
      </c>
      <c r="M242" s="410" t="s">
        <v>1038</v>
      </c>
      <c r="O242" s="410" t="s">
        <v>1062</v>
      </c>
      <c r="Q242" s="387" t="str">
        <f>"FINANCIAL COST ("&amp;INDEX(LU_PLUG_2_Train_Curr,DD_PLUG_2_Train1_Curr)&amp;")"</f>
        <v>FINANCIAL COST (USD)</v>
      </c>
      <c r="S242" s="387" t="str">
        <f>"ECONOMIC COST ("&amp;INDEX(LU_PLUG_2_Train_Curr,DD_PLUG_2_Train1_Curr)&amp;")"</f>
        <v>ECONOMIC COST (USD)</v>
      </c>
    </row>
    <row r="243" spans="3:19" hidden="1" outlineLevel="2" x14ac:dyDescent="0.2">
      <c r="D243" s="721" t="s">
        <v>1053</v>
      </c>
      <c r="E243" s="721"/>
      <c r="F243" s="721"/>
      <c r="G243" s="721"/>
      <c r="I243" s="372">
        <v>0</v>
      </c>
      <c r="K243" s="372">
        <v>0</v>
      </c>
      <c r="M243" s="372">
        <v>0</v>
      </c>
      <c r="O243" s="372">
        <v>0</v>
      </c>
      <c r="Q243" s="383">
        <f>I243*K243*M243</f>
        <v>0</v>
      </c>
      <c r="S243" s="383">
        <f>I243*K243*O243</f>
        <v>0</v>
      </c>
    </row>
    <row r="244" spans="3:19" hidden="1" outlineLevel="2" x14ac:dyDescent="0.2">
      <c r="D244" s="721" t="s">
        <v>1054</v>
      </c>
      <c r="E244" s="721"/>
      <c r="F244" s="721"/>
      <c r="G244" s="721"/>
      <c r="I244" s="372">
        <v>0</v>
      </c>
      <c r="K244" s="372">
        <v>0</v>
      </c>
      <c r="M244" s="372">
        <v>0</v>
      </c>
      <c r="O244" s="372">
        <v>0</v>
      </c>
      <c r="Q244" s="383">
        <f>I244*K244*M244</f>
        <v>0</v>
      </c>
      <c r="S244" s="383">
        <f>I244*K244*O244</f>
        <v>0</v>
      </c>
    </row>
    <row r="245" spans="3:19" hidden="1" outlineLevel="2" x14ac:dyDescent="0.2">
      <c r="D245" s="721" t="s">
        <v>1055</v>
      </c>
      <c r="E245" s="721"/>
      <c r="F245" s="721"/>
      <c r="G245" s="721"/>
      <c r="I245" s="372">
        <v>0</v>
      </c>
      <c r="K245" s="372">
        <v>0</v>
      </c>
      <c r="M245" s="372">
        <v>0</v>
      </c>
      <c r="O245" s="372">
        <v>0</v>
      </c>
      <c r="Q245" s="384">
        <f>I245*K245*M245</f>
        <v>0</v>
      </c>
      <c r="S245" s="384">
        <f>I245*K245*O245</f>
        <v>0</v>
      </c>
    </row>
    <row r="246" spans="3:19" hidden="1" outlineLevel="2" x14ac:dyDescent="0.2">
      <c r="D246" s="909" t="str">
        <f>"Total "&amp;D242</f>
        <v>Total Meals &amp; Refreshments Sub-Total 1</v>
      </c>
      <c r="E246" s="910"/>
      <c r="F246" s="910"/>
      <c r="G246" s="910"/>
      <c r="Q246" s="408">
        <f>SUM(Q243:Q245)</f>
        <v>0</v>
      </c>
      <c r="S246" s="408">
        <f>SUM(S243:S245)</f>
        <v>0</v>
      </c>
    </row>
    <row r="247" spans="3:19" ht="6.6" hidden="1" customHeight="1" outlineLevel="2" x14ac:dyDescent="0.2"/>
    <row r="248" spans="3:19" ht="25.5" hidden="1" outlineLevel="2" x14ac:dyDescent="0.2">
      <c r="D248" s="956" t="s">
        <v>1060</v>
      </c>
      <c r="E248" s="957"/>
      <c r="F248" s="957"/>
      <c r="G248" s="957"/>
      <c r="I248" s="410" t="s">
        <v>1092</v>
      </c>
      <c r="K248" s="410" t="s">
        <v>995</v>
      </c>
      <c r="M248" s="410" t="s">
        <v>1038</v>
      </c>
      <c r="O248" s="410" t="s">
        <v>1062</v>
      </c>
      <c r="Q248" s="387" t="str">
        <f>"FINANCIAL COST ("&amp;INDEX(LU_PLUG_2_Train_Curr,DD_PLUG_2_Train1_Curr)&amp;")"</f>
        <v>FINANCIAL COST (USD)</v>
      </c>
      <c r="S248" s="387" t="str">
        <f>"ECONOMIC COST ("&amp;INDEX(LU_PLUG_2_Train_Curr,DD_PLUG_2_Train1_Curr)&amp;")"</f>
        <v>ECONOMIC COST (USD)</v>
      </c>
    </row>
    <row r="249" spans="3:19" hidden="1" outlineLevel="2" x14ac:dyDescent="0.2">
      <c r="D249" s="721" t="s">
        <v>1056</v>
      </c>
      <c r="E249" s="721"/>
      <c r="F249" s="721"/>
      <c r="G249" s="721"/>
      <c r="I249" s="372">
        <v>0</v>
      </c>
      <c r="K249" s="372">
        <v>0</v>
      </c>
      <c r="M249" s="372">
        <v>0</v>
      </c>
      <c r="O249" s="372">
        <v>0</v>
      </c>
      <c r="Q249" s="383">
        <f>I249*K249*M249</f>
        <v>0</v>
      </c>
      <c r="S249" s="383">
        <f>I249*K249*O249</f>
        <v>0</v>
      </c>
    </row>
    <row r="250" spans="3:19" hidden="1" outlineLevel="2" x14ac:dyDescent="0.2">
      <c r="D250" s="721" t="s">
        <v>1057</v>
      </c>
      <c r="E250" s="721"/>
      <c r="F250" s="721"/>
      <c r="G250" s="721"/>
      <c r="I250" s="372">
        <v>0</v>
      </c>
      <c r="K250" s="372">
        <v>0</v>
      </c>
      <c r="M250" s="372">
        <v>0</v>
      </c>
      <c r="O250" s="372">
        <v>0</v>
      </c>
      <c r="Q250" s="383">
        <f>I250*K250*M250</f>
        <v>0</v>
      </c>
      <c r="S250" s="383">
        <f>I250*K250*O250</f>
        <v>0</v>
      </c>
    </row>
    <row r="251" spans="3:19" hidden="1" outlineLevel="2" x14ac:dyDescent="0.2">
      <c r="D251" s="721" t="s">
        <v>1058</v>
      </c>
      <c r="E251" s="721"/>
      <c r="F251" s="721"/>
      <c r="G251" s="721"/>
      <c r="I251" s="372">
        <v>0</v>
      </c>
      <c r="K251" s="372">
        <v>0</v>
      </c>
      <c r="M251" s="372">
        <v>0</v>
      </c>
      <c r="O251" s="372">
        <v>0</v>
      </c>
      <c r="Q251" s="384">
        <f>I251*K251*M251</f>
        <v>0</v>
      </c>
      <c r="S251" s="384">
        <f>I251*K251*O251</f>
        <v>0</v>
      </c>
    </row>
    <row r="252" spans="3:19" hidden="1" outlineLevel="2" x14ac:dyDescent="0.2">
      <c r="D252" s="909" t="str">
        <f>"Total "&amp;D248</f>
        <v>Total Meals &amp; Refreshments Sub-Total 2</v>
      </c>
      <c r="E252" s="910"/>
      <c r="F252" s="910"/>
      <c r="G252" s="910"/>
      <c r="Q252" s="408">
        <f>SUM(Q249:Q251)</f>
        <v>0</v>
      </c>
      <c r="S252" s="408">
        <f>SUM(S249:S251)</f>
        <v>0</v>
      </c>
    </row>
    <row r="253" spans="3:19" ht="6.6" hidden="1" customHeight="1" outlineLevel="2" x14ac:dyDescent="0.2"/>
    <row r="254" spans="3:19" ht="15" hidden="1" outlineLevel="1" x14ac:dyDescent="0.2">
      <c r="D254" s="782" t="s">
        <v>1061</v>
      </c>
      <c r="E254" s="783"/>
      <c r="F254" s="783"/>
      <c r="G254" s="783"/>
      <c r="I254" s="407"/>
      <c r="K254" s="407"/>
      <c r="M254" s="407"/>
      <c r="O254" s="407"/>
      <c r="Q254" s="377">
        <f>SUM(Q246,Q252)</f>
        <v>0</v>
      </c>
      <c r="S254" s="377">
        <f>SUM(S246,S252)</f>
        <v>0</v>
      </c>
    </row>
    <row r="255" spans="3:19" hidden="1" outlineLevel="1" x14ac:dyDescent="0.2"/>
    <row r="256" spans="3:19" ht="15.75" hidden="1" outlineLevel="1" x14ac:dyDescent="0.2">
      <c r="C256" s="404" t="s">
        <v>1067</v>
      </c>
    </row>
    <row r="257" spans="4:19" hidden="1" outlineLevel="2" x14ac:dyDescent="0.2"/>
    <row r="258" spans="4:19" ht="25.5" hidden="1" outlineLevel="2" x14ac:dyDescent="0.2">
      <c r="D258" s="956" t="s">
        <v>1076</v>
      </c>
      <c r="E258" s="957"/>
      <c r="F258" s="957"/>
      <c r="G258" s="957"/>
      <c r="I258" s="410" t="s">
        <v>1081</v>
      </c>
      <c r="K258" s="410" t="s">
        <v>1038</v>
      </c>
      <c r="M258" s="410" t="s">
        <v>1050</v>
      </c>
      <c r="Q258" s="387" t="str">
        <f>"FINANCIAL COST ("&amp;INDEX(LU_PLUG_2_Train_Curr,DD_PLUG_2_Train1_Curr)&amp;")"</f>
        <v>FINANCIAL COST (USD)</v>
      </c>
      <c r="S258" s="387" t="str">
        <f>"ECONOMIC COST ("&amp;INDEX(LU_PLUG_2_Train_Curr,DD_PLUG_2_Train1_Curr)&amp;")"</f>
        <v>ECONOMIC COST (USD)</v>
      </c>
    </row>
    <row r="259" spans="4:19" hidden="1" outlineLevel="2" x14ac:dyDescent="0.2">
      <c r="D259" s="721" t="s">
        <v>1068</v>
      </c>
      <c r="E259" s="721"/>
      <c r="F259" s="721"/>
      <c r="G259" s="721"/>
      <c r="I259" s="372">
        <v>0</v>
      </c>
      <c r="K259" s="372">
        <v>0</v>
      </c>
      <c r="M259" s="372">
        <v>0</v>
      </c>
      <c r="Q259" s="383">
        <f>I259*K259</f>
        <v>0</v>
      </c>
      <c r="S259" s="383">
        <f>I259*M259</f>
        <v>0</v>
      </c>
    </row>
    <row r="260" spans="4:19" hidden="1" outlineLevel="2" x14ac:dyDescent="0.2">
      <c r="D260" s="721" t="s">
        <v>1069</v>
      </c>
      <c r="E260" s="721"/>
      <c r="F260" s="721"/>
      <c r="G260" s="721"/>
      <c r="I260" s="372">
        <v>0</v>
      </c>
      <c r="K260" s="372">
        <v>0</v>
      </c>
      <c r="M260" s="372">
        <v>0</v>
      </c>
      <c r="Q260" s="383">
        <f>I260*K260</f>
        <v>0</v>
      </c>
      <c r="S260" s="383">
        <f>I260*M260</f>
        <v>0</v>
      </c>
    </row>
    <row r="261" spans="4:19" hidden="1" outlineLevel="2" x14ac:dyDescent="0.2">
      <c r="D261" s="721" t="s">
        <v>1070</v>
      </c>
      <c r="E261" s="721"/>
      <c r="F261" s="721"/>
      <c r="G261" s="721"/>
      <c r="I261" s="372">
        <v>0</v>
      </c>
      <c r="K261" s="372">
        <v>0</v>
      </c>
      <c r="M261" s="372">
        <v>0</v>
      </c>
      <c r="Q261" s="383">
        <f>I261*K261</f>
        <v>0</v>
      </c>
      <c r="S261" s="383">
        <f>I261*M261</f>
        <v>0</v>
      </c>
    </row>
    <row r="262" spans="4:19" hidden="1" outlineLevel="2" x14ac:dyDescent="0.2">
      <c r="D262" s="721" t="s">
        <v>1071</v>
      </c>
      <c r="E262" s="721"/>
      <c r="F262" s="721"/>
      <c r="G262" s="721"/>
      <c r="I262" s="372">
        <v>0</v>
      </c>
      <c r="K262" s="372">
        <v>0</v>
      </c>
      <c r="M262" s="372">
        <v>0</v>
      </c>
      <c r="Q262" s="384">
        <f>I262*K262</f>
        <v>0</v>
      </c>
      <c r="S262" s="384">
        <f>I262*M262</f>
        <v>0</v>
      </c>
    </row>
    <row r="263" spans="4:19" hidden="1" outlineLevel="2" x14ac:dyDescent="0.2">
      <c r="D263" s="909" t="str">
        <f>"Total "&amp;D258</f>
        <v>Total Materials &amp; Supplies Sub-Total 1</v>
      </c>
      <c r="E263" s="910"/>
      <c r="F263" s="910"/>
      <c r="G263" s="910"/>
      <c r="Q263" s="408">
        <f>SUM(Q259:Q262)</f>
        <v>0</v>
      </c>
      <c r="S263" s="408">
        <f>SUM(S259:S262)</f>
        <v>0</v>
      </c>
    </row>
    <row r="264" spans="4:19" ht="6.6" hidden="1" customHeight="1" outlineLevel="2" x14ac:dyDescent="0.2"/>
    <row r="265" spans="4:19" ht="25.5" hidden="1" outlineLevel="2" x14ac:dyDescent="0.2">
      <c r="D265" s="956" t="s">
        <v>1077</v>
      </c>
      <c r="E265" s="957"/>
      <c r="F265" s="957"/>
      <c r="G265" s="957"/>
      <c r="I265" s="410" t="s">
        <v>1081</v>
      </c>
      <c r="K265" s="410" t="s">
        <v>1038</v>
      </c>
      <c r="M265" s="410" t="s">
        <v>1050</v>
      </c>
      <c r="Q265" s="387" t="str">
        <f>"FINANCIAL COST ("&amp;INDEX(LU_PLUG_2_Train_Curr,DD_PLUG_2_Train1_Curr)&amp;")"</f>
        <v>FINANCIAL COST (USD)</v>
      </c>
      <c r="S265" s="387" t="str">
        <f>"ECONOMIC COST ("&amp;INDEX(LU_PLUG_2_Train_Curr,DD_PLUG_2_Train1_Curr)&amp;")"</f>
        <v>ECONOMIC COST (USD)</v>
      </c>
    </row>
    <row r="266" spans="4:19" hidden="1" outlineLevel="2" x14ac:dyDescent="0.2">
      <c r="D266" s="721" t="s">
        <v>1072</v>
      </c>
      <c r="E266" s="721"/>
      <c r="F266" s="721"/>
      <c r="G266" s="721"/>
      <c r="I266" s="372">
        <v>0</v>
      </c>
      <c r="K266" s="372">
        <v>0</v>
      </c>
      <c r="M266" s="372">
        <v>0</v>
      </c>
      <c r="Q266" s="383">
        <f>I266*K266</f>
        <v>0</v>
      </c>
      <c r="S266" s="383">
        <f>I266*M266</f>
        <v>0</v>
      </c>
    </row>
    <row r="267" spans="4:19" hidden="1" outlineLevel="2" x14ac:dyDescent="0.2">
      <c r="D267" s="721" t="s">
        <v>1073</v>
      </c>
      <c r="E267" s="721"/>
      <c r="F267" s="721"/>
      <c r="G267" s="721"/>
      <c r="I267" s="372">
        <v>0</v>
      </c>
      <c r="K267" s="372">
        <v>0</v>
      </c>
      <c r="M267" s="372">
        <v>0</v>
      </c>
      <c r="Q267" s="383">
        <f>I267*K267</f>
        <v>0</v>
      </c>
      <c r="S267" s="383">
        <f>I267*M267</f>
        <v>0</v>
      </c>
    </row>
    <row r="268" spans="4:19" hidden="1" outlineLevel="2" x14ac:dyDescent="0.2">
      <c r="D268" s="721" t="s">
        <v>1074</v>
      </c>
      <c r="E268" s="721"/>
      <c r="F268" s="721"/>
      <c r="G268" s="721"/>
      <c r="I268" s="372">
        <v>0</v>
      </c>
      <c r="K268" s="372">
        <v>0</v>
      </c>
      <c r="M268" s="372">
        <v>0</v>
      </c>
      <c r="Q268" s="383">
        <f>I268*K268</f>
        <v>0</v>
      </c>
      <c r="S268" s="383">
        <f>I268*M268</f>
        <v>0</v>
      </c>
    </row>
    <row r="269" spans="4:19" hidden="1" outlineLevel="2" x14ac:dyDescent="0.2">
      <c r="D269" s="721" t="s">
        <v>1075</v>
      </c>
      <c r="E269" s="721"/>
      <c r="F269" s="721"/>
      <c r="G269" s="721"/>
      <c r="I269" s="372">
        <v>0</v>
      </c>
      <c r="K269" s="372">
        <v>0</v>
      </c>
      <c r="M269" s="372">
        <v>0</v>
      </c>
      <c r="Q269" s="384">
        <f>I269*K269</f>
        <v>0</v>
      </c>
      <c r="S269" s="384">
        <f>I269*M269</f>
        <v>0</v>
      </c>
    </row>
    <row r="270" spans="4:19" hidden="1" outlineLevel="2" x14ac:dyDescent="0.2">
      <c r="D270" s="909" t="str">
        <f>"Total "&amp;D265</f>
        <v>Total Materials &amp; Supplies Sub-Total 2</v>
      </c>
      <c r="E270" s="910"/>
      <c r="F270" s="910"/>
      <c r="G270" s="910"/>
      <c r="Q270" s="408">
        <f>SUM(Q266:Q269)</f>
        <v>0</v>
      </c>
      <c r="S270" s="408">
        <f>SUM(S266:S269)</f>
        <v>0</v>
      </c>
    </row>
    <row r="271" spans="4:19" ht="6.6" hidden="1" customHeight="1" outlineLevel="2" x14ac:dyDescent="0.2"/>
    <row r="272" spans="4:19" ht="15" hidden="1" outlineLevel="1" x14ac:dyDescent="0.2">
      <c r="D272" s="782" t="s">
        <v>1078</v>
      </c>
      <c r="E272" s="783"/>
      <c r="F272" s="783"/>
      <c r="G272" s="783"/>
      <c r="I272" s="407"/>
      <c r="K272" s="407"/>
      <c r="M272" s="407"/>
      <c r="Q272" s="377">
        <f>SUM(Q263,Q270)</f>
        <v>0</v>
      </c>
      <c r="S272" s="377">
        <f>SUM(S263,S270)</f>
        <v>0</v>
      </c>
    </row>
    <row r="273" spans="3:19" hidden="1" outlineLevel="1" x14ac:dyDescent="0.2"/>
    <row r="274" spans="3:19" ht="15.75" hidden="1" outlineLevel="1" x14ac:dyDescent="0.2">
      <c r="C274" s="404" t="s">
        <v>1082</v>
      </c>
    </row>
    <row r="275" spans="3:19" hidden="1" outlineLevel="2" x14ac:dyDescent="0.2"/>
    <row r="276" spans="3:19" ht="15" hidden="1" outlineLevel="2" x14ac:dyDescent="0.2">
      <c r="D276" s="406" t="s">
        <v>998</v>
      </c>
      <c r="I276" s="409" t="s">
        <v>1084</v>
      </c>
      <c r="K276" s="409" t="s">
        <v>1085</v>
      </c>
      <c r="M276" s="409" t="s">
        <v>1038</v>
      </c>
      <c r="O276" s="409" t="s">
        <v>1050</v>
      </c>
      <c r="Q276" s="405" t="str">
        <f>"FINANCIAL COST ("&amp;INDEX(LU_PLUG_2_Train_Curr,DD_PLUG_2_Train1_Curr)&amp;")"</f>
        <v>FINANCIAL COST (USD)</v>
      </c>
      <c r="S276" s="405" t="str">
        <f>"ECONOMIC COST ("&amp;INDEX(LU_PLUG_2_Train_Curr,DD_PLUG_2_Train1_Curr)&amp;")"</f>
        <v>ECONOMIC COST (USD)</v>
      </c>
    </row>
    <row r="277" spans="3:19" hidden="1" outlineLevel="2" x14ac:dyDescent="0.2">
      <c r="D277" s="721" t="s">
        <v>1001</v>
      </c>
      <c r="E277" s="721"/>
      <c r="F277" s="721"/>
      <c r="G277" s="721"/>
      <c r="I277" s="372">
        <v>0</v>
      </c>
      <c r="K277" s="372">
        <v>0</v>
      </c>
      <c r="M277" s="372">
        <v>0</v>
      </c>
      <c r="O277" s="372">
        <v>0</v>
      </c>
      <c r="Q277" s="408">
        <f>I277*K277*M277</f>
        <v>0</v>
      </c>
      <c r="S277" s="408">
        <f>I277*K277*O277</f>
        <v>0</v>
      </c>
    </row>
    <row r="278" spans="3:19" hidden="1" outlineLevel="2" x14ac:dyDescent="0.2">
      <c r="D278" s="721" t="s">
        <v>1002</v>
      </c>
      <c r="E278" s="721"/>
      <c r="F278" s="721"/>
      <c r="G278" s="721"/>
      <c r="I278" s="372">
        <v>0</v>
      </c>
      <c r="K278" s="372">
        <v>0</v>
      </c>
      <c r="M278" s="372">
        <v>0</v>
      </c>
      <c r="O278" s="372">
        <v>0</v>
      </c>
      <c r="Q278" s="408">
        <f>I278*K278*M278</f>
        <v>0</v>
      </c>
      <c r="S278" s="408">
        <f>I278*K278*O278</f>
        <v>0</v>
      </c>
    </row>
    <row r="279" spans="3:19" hidden="1" outlineLevel="2" x14ac:dyDescent="0.2">
      <c r="D279" s="721" t="s">
        <v>1003</v>
      </c>
      <c r="E279" s="721"/>
      <c r="F279" s="721"/>
      <c r="G279" s="721"/>
      <c r="I279" s="372">
        <v>0</v>
      </c>
      <c r="K279" s="372">
        <v>0</v>
      </c>
      <c r="M279" s="372">
        <v>0</v>
      </c>
      <c r="O279" s="372">
        <v>0</v>
      </c>
      <c r="Q279" s="408">
        <f>I279*K279*M279</f>
        <v>0</v>
      </c>
      <c r="S279" s="408">
        <f>I279*K279*O279</f>
        <v>0</v>
      </c>
    </row>
    <row r="280" spans="3:19" hidden="1" outlineLevel="2" x14ac:dyDescent="0.2">
      <c r="D280" s="721" t="s">
        <v>1004</v>
      </c>
      <c r="E280" s="721"/>
      <c r="F280" s="721"/>
      <c r="G280" s="721"/>
      <c r="I280" s="372">
        <v>0</v>
      </c>
      <c r="K280" s="372">
        <v>0</v>
      </c>
      <c r="M280" s="372">
        <v>0</v>
      </c>
      <c r="O280" s="372">
        <v>0</v>
      </c>
      <c r="Q280" s="408">
        <f>I280*K280*M280</f>
        <v>0</v>
      </c>
      <c r="S280" s="408">
        <f>I280*K280*O280</f>
        <v>0</v>
      </c>
    </row>
    <row r="281" spans="3:19" hidden="1" outlineLevel="2" x14ac:dyDescent="0.2">
      <c r="D281" s="721" t="s">
        <v>1005</v>
      </c>
      <c r="E281" s="721"/>
      <c r="F281" s="721"/>
      <c r="G281" s="721"/>
      <c r="I281" s="372">
        <v>0</v>
      </c>
      <c r="K281" s="372">
        <v>0</v>
      </c>
      <c r="M281" s="372">
        <v>0</v>
      </c>
      <c r="O281" s="372">
        <v>0</v>
      </c>
      <c r="Q281" s="408">
        <f>I281*K281*M281</f>
        <v>0</v>
      </c>
      <c r="S281" s="408">
        <f>I281*K281*O281</f>
        <v>0</v>
      </c>
    </row>
    <row r="282" spans="3:19" ht="15" hidden="1" outlineLevel="1" x14ac:dyDescent="0.2">
      <c r="D282" s="782" t="s">
        <v>1006</v>
      </c>
      <c r="E282" s="783"/>
      <c r="F282" s="783"/>
      <c r="G282" s="783"/>
      <c r="I282" s="408"/>
      <c r="K282" s="408"/>
      <c r="M282" s="408"/>
      <c r="O282" s="408"/>
      <c r="Q282" s="377">
        <f>SUM(Q277:Q281)</f>
        <v>0</v>
      </c>
      <c r="S282" s="377">
        <f>SUM(S277:S281)</f>
        <v>0</v>
      </c>
    </row>
    <row r="283" spans="3:19" hidden="1" outlineLevel="1" x14ac:dyDescent="0.2"/>
    <row r="284" spans="3:19" ht="15.75" hidden="1" outlineLevel="1" x14ac:dyDescent="0.2">
      <c r="C284" s="404" t="s">
        <v>1007</v>
      </c>
    </row>
    <row r="285" spans="3:19" hidden="1" outlineLevel="2" x14ac:dyDescent="0.2"/>
    <row r="286" spans="3:19" ht="15" hidden="1" outlineLevel="2" x14ac:dyDescent="0.2">
      <c r="D286" s="406" t="s">
        <v>998</v>
      </c>
      <c r="I286" s="409" t="s">
        <v>1084</v>
      </c>
      <c r="M286" s="409" t="s">
        <v>1038</v>
      </c>
      <c r="O286" s="409" t="s">
        <v>1050</v>
      </c>
      <c r="Q286" s="405" t="str">
        <f>"FINANCIAL COST ("&amp;INDEX(LU_PLUG_2_Train_Curr,DD_PLUG_2_Train1_Curr)&amp;")"</f>
        <v>FINANCIAL COST (USD)</v>
      </c>
      <c r="S286" s="405" t="str">
        <f>"ECONOMIC COST ("&amp;INDEX(LU_PLUG_2_Train_Curr,DD_PLUG_2_Train1_Curr)&amp;")"</f>
        <v>ECONOMIC COST (USD)</v>
      </c>
    </row>
    <row r="287" spans="3:19" hidden="1" outlineLevel="2" x14ac:dyDescent="0.2">
      <c r="D287" s="721" t="s">
        <v>1086</v>
      </c>
      <c r="E287" s="721"/>
      <c r="F287" s="721"/>
      <c r="G287" s="721"/>
      <c r="I287" s="372">
        <v>0</v>
      </c>
      <c r="M287" s="372">
        <v>0</v>
      </c>
      <c r="O287" s="372">
        <v>0</v>
      </c>
      <c r="Q287" s="408">
        <f>I287*M287</f>
        <v>0</v>
      </c>
      <c r="S287" s="408">
        <f>I287*O287</f>
        <v>0</v>
      </c>
    </row>
    <row r="288" spans="3:19" hidden="1" outlineLevel="2" x14ac:dyDescent="0.2">
      <c r="D288" s="721" t="s">
        <v>1087</v>
      </c>
      <c r="E288" s="721"/>
      <c r="F288" s="721"/>
      <c r="G288" s="721"/>
      <c r="I288" s="372">
        <v>0</v>
      </c>
      <c r="M288" s="372">
        <v>0</v>
      </c>
      <c r="O288" s="372">
        <v>0</v>
      </c>
      <c r="Q288" s="408">
        <f>I288*M288</f>
        <v>0</v>
      </c>
      <c r="S288" s="408">
        <f>I288*O288</f>
        <v>0</v>
      </c>
    </row>
    <row r="289" spans="2:23" hidden="1" outlineLevel="2" x14ac:dyDescent="0.2">
      <c r="D289" s="721" t="s">
        <v>1088</v>
      </c>
      <c r="E289" s="721"/>
      <c r="F289" s="721"/>
      <c r="G289" s="721"/>
      <c r="I289" s="372">
        <v>0</v>
      </c>
      <c r="M289" s="372">
        <v>0</v>
      </c>
      <c r="O289" s="372">
        <v>0</v>
      </c>
      <c r="Q289" s="408">
        <f>I289*M289</f>
        <v>0</v>
      </c>
      <c r="S289" s="408">
        <f>I289*O289</f>
        <v>0</v>
      </c>
    </row>
    <row r="290" spans="2:23" hidden="1" outlineLevel="2" x14ac:dyDescent="0.2">
      <c r="D290" s="721" t="s">
        <v>1089</v>
      </c>
      <c r="E290" s="721"/>
      <c r="F290" s="721"/>
      <c r="G290" s="721"/>
      <c r="I290" s="372">
        <v>0</v>
      </c>
      <c r="M290" s="372">
        <v>0</v>
      </c>
      <c r="O290" s="372">
        <v>0</v>
      </c>
      <c r="Q290" s="408">
        <f>I290*M290</f>
        <v>0</v>
      </c>
      <c r="S290" s="408">
        <f>I290*O290</f>
        <v>0</v>
      </c>
    </row>
    <row r="291" spans="2:23" hidden="1" outlineLevel="2" x14ac:dyDescent="0.2">
      <c r="D291" s="721" t="s">
        <v>1090</v>
      </c>
      <c r="E291" s="721"/>
      <c r="F291" s="721"/>
      <c r="G291" s="721"/>
      <c r="I291" s="372">
        <v>0</v>
      </c>
      <c r="M291" s="372">
        <v>0</v>
      </c>
      <c r="O291" s="372">
        <v>0</v>
      </c>
      <c r="Q291" s="408">
        <f>I291*M291</f>
        <v>0</v>
      </c>
      <c r="S291" s="408">
        <f>I291*O291</f>
        <v>0</v>
      </c>
    </row>
    <row r="292" spans="2:23" ht="15" hidden="1" outlineLevel="1" x14ac:dyDescent="0.2">
      <c r="D292" s="782" t="s">
        <v>1091</v>
      </c>
      <c r="E292" s="783"/>
      <c r="F292" s="783"/>
      <c r="G292" s="783"/>
      <c r="I292" s="408">
        <f>SUM(I287:I291)</f>
        <v>0</v>
      </c>
      <c r="M292" s="408">
        <f>SUM(M287:M291)</f>
        <v>0</v>
      </c>
      <c r="O292" s="408">
        <f>SUM(O287:O291)</f>
        <v>0</v>
      </c>
      <c r="Q292" s="377">
        <f>SUM(Q287:Q291)</f>
        <v>0</v>
      </c>
      <c r="S292" s="377">
        <f>SUM(S287:S291)</f>
        <v>0</v>
      </c>
    </row>
    <row r="293" spans="2:23" collapsed="1" x14ac:dyDescent="0.2"/>
    <row r="294" spans="2:23" ht="25.5" x14ac:dyDescent="0.2">
      <c r="Q294" s="365" t="str">
        <f>"FINANCIAL COST ("&amp;INDEX(LU_PLUG_2_Train_Curr,DD_PLUG_2_Train1_Curr)&amp;")"</f>
        <v>FINANCIAL COST (USD)</v>
      </c>
      <c r="S294" s="365" t="str">
        <f>"ECONOMIC COST ("&amp;INDEX(LU_PLUG_2_Train_Curr,DD_PLUG_2_Train1_Curr)&amp;")"</f>
        <v>ECONOMIC COST (USD)</v>
      </c>
      <c r="U294" s="365" t="str">
        <f>"FINANCIAL COST ("&amp;IF(DD_PLUG_2_Train1_Curr=2,$D$299,$D$300)&amp;")"</f>
        <v>FINANCIAL COST (ZMW)</v>
      </c>
      <c r="W294" s="365" t="str">
        <f>"ECONOMIC COST ("&amp;IF(DD_PLUG_2_Train1_Curr=2,$D$299,$D$300)&amp;")"</f>
        <v>ECONOMIC COST (ZMW)</v>
      </c>
    </row>
    <row r="295" spans="2:23" ht="15.75" thickBot="1" x14ac:dyDescent="0.25">
      <c r="B295" s="359" t="str">
        <f>"Total Estimated Costs "&amp;I159</f>
        <v>Total Estimated Costs Training of Trainers Workshop - National Level</v>
      </c>
      <c r="Q295" s="388">
        <f>SUM(Q189,Q218,Q238,Q254,Q272,Q282,Q292)</f>
        <v>0</v>
      </c>
      <c r="S295" s="388">
        <f>S189+S218+S238+S254+S272+S282+S292</f>
        <v>0</v>
      </c>
      <c r="U295" s="389">
        <f>IF(DD_PLUG_2_Train1_Curr=2,$Q295/$J$300,$Q295*$J$300)</f>
        <v>0</v>
      </c>
      <c r="W295" s="389">
        <f>IF(DD_PLUG_2_Train1_Curr=2,$S295/$J$300,$S295*$J$300)</f>
        <v>0</v>
      </c>
    </row>
    <row r="296" spans="2:23" ht="13.5" thickTop="1" x14ac:dyDescent="0.2"/>
    <row r="297" spans="2:23" x14ac:dyDescent="0.2">
      <c r="C297" s="409" t="s">
        <v>212</v>
      </c>
    </row>
    <row r="298" spans="2:23" hidden="1" outlineLevel="1" x14ac:dyDescent="0.2"/>
    <row r="299" spans="2:23" ht="12.95" hidden="1" customHeight="1" outlineLevel="1" x14ac:dyDescent="0.2">
      <c r="D299" s="785" t="str">
        <f>Econ_Ann_TA!D13</f>
        <v>USD</v>
      </c>
      <c r="E299" s="965"/>
      <c r="F299" s="965"/>
      <c r="G299" s="965"/>
      <c r="J299" s="604">
        <f>Econ_Ann_TA!J13</f>
        <v>1</v>
      </c>
      <c r="K299" s="604">
        <f>Econ_Ann_TA!K13</f>
        <v>1</v>
      </c>
      <c r="L299" s="604">
        <f>Econ_Ann_TA!L13</f>
        <v>1</v>
      </c>
      <c r="M299" s="604">
        <f>Econ_Ann_TA!M13</f>
        <v>1</v>
      </c>
      <c r="Q299" s="408"/>
    </row>
    <row r="300" spans="2:23" hidden="1" outlineLevel="1" x14ac:dyDescent="0.2">
      <c r="D300" s="785" t="str">
        <f>Econ_Ann_TA!D14</f>
        <v>ZMW</v>
      </c>
      <c r="E300" s="965"/>
      <c r="F300" s="965"/>
      <c r="G300" s="965"/>
      <c r="J300" s="604">
        <f>Econ_Ann_TA!J14</f>
        <v>10.971399999999999</v>
      </c>
      <c r="K300" s="604">
        <f>Econ_Ann_TA!K14</f>
        <v>10.971399999999999</v>
      </c>
      <c r="L300" s="604">
        <f>Econ_Ann_TA!L14</f>
        <v>10.971399999999999</v>
      </c>
      <c r="M300" s="604">
        <f>Econ_Ann_TA!M14</f>
        <v>10.971399999999999</v>
      </c>
      <c r="Q300" s="604"/>
    </row>
    <row r="301" spans="2:23" collapsed="1" x14ac:dyDescent="0.2"/>
    <row r="303" spans="2:23" ht="18.75" x14ac:dyDescent="0.2">
      <c r="B303" s="357" t="s">
        <v>1134</v>
      </c>
    </row>
    <row r="306" spans="2:19" ht="15.75" x14ac:dyDescent="0.2">
      <c r="B306" s="428" t="str">
        <f>I307</f>
        <v>Training of Service Providers - VIA Only</v>
      </c>
    </row>
    <row r="307" spans="2:19" x14ac:dyDescent="0.2">
      <c r="G307" s="360" t="s">
        <v>1135</v>
      </c>
      <c r="I307" s="721" t="s">
        <v>1190</v>
      </c>
      <c r="J307" s="721"/>
      <c r="K307" s="721"/>
      <c r="L307" s="721"/>
      <c r="M307" s="721"/>
    </row>
    <row r="308" spans="2:19" ht="10.5" hidden="1" customHeight="1" outlineLevel="1" x14ac:dyDescent="0.2">
      <c r="G308" s="360" t="s">
        <v>1120</v>
      </c>
      <c r="I308" s="361">
        <v>1</v>
      </c>
    </row>
    <row r="309" spans="2:19" ht="15.75" hidden="1" outlineLevel="1" x14ac:dyDescent="0.2">
      <c r="C309" s="358" t="s">
        <v>414</v>
      </c>
    </row>
    <row r="310" spans="2:19" hidden="1" outlineLevel="2" x14ac:dyDescent="0.2"/>
    <row r="311" spans="2:19" ht="15.75" hidden="1" outlineLevel="2" x14ac:dyDescent="0.2">
      <c r="D311" s="358" t="s">
        <v>1011</v>
      </c>
    </row>
    <row r="312" spans="2:19" ht="51" hidden="1" outlineLevel="2" x14ac:dyDescent="0.2">
      <c r="D312" s="956" t="s">
        <v>1022</v>
      </c>
      <c r="E312" s="957"/>
      <c r="F312" s="957"/>
      <c r="G312" s="957"/>
      <c r="I312" s="379" t="s">
        <v>1018</v>
      </c>
      <c r="K312" s="379" t="s">
        <v>995</v>
      </c>
      <c r="M312" s="379" t="s">
        <v>1019</v>
      </c>
      <c r="O312" s="379" t="s">
        <v>1020</v>
      </c>
      <c r="Q312" s="390" t="str">
        <f>"FINANCIAL COST ("&amp;INDEX(LU_PLUG_3_Train_Curr,DD_PLUG_3_Train1_Curr)&amp;")"</f>
        <v>FINANCIAL COST (USD)</v>
      </c>
      <c r="S312" s="390" t="str">
        <f>"ECONOMIC COST ("&amp;INDEX(LU_PLUG_3_Train_Curr,DD_PLUG_3_Train1_Curr)&amp;")"</f>
        <v>ECONOMIC COST (USD)</v>
      </c>
    </row>
    <row r="313" spans="2:19" hidden="1" outlineLevel="2" x14ac:dyDescent="0.2">
      <c r="D313" s="721" t="s">
        <v>1013</v>
      </c>
      <c r="E313" s="721"/>
      <c r="F313" s="721"/>
      <c r="G313" s="721"/>
      <c r="I313" s="372">
        <v>0</v>
      </c>
      <c r="K313" s="372">
        <v>0</v>
      </c>
      <c r="M313" s="372">
        <v>0</v>
      </c>
      <c r="O313" s="372">
        <v>0</v>
      </c>
      <c r="Q313" s="383">
        <f>I313*K313*M313</f>
        <v>0</v>
      </c>
      <c r="S313" s="383">
        <f>I313*K313*O313</f>
        <v>0</v>
      </c>
    </row>
    <row r="314" spans="2:19" hidden="1" outlineLevel="2" x14ac:dyDescent="0.2">
      <c r="D314" s="721" t="s">
        <v>1014</v>
      </c>
      <c r="E314" s="721"/>
      <c r="F314" s="721"/>
      <c r="G314" s="721"/>
      <c r="I314" s="372">
        <v>0</v>
      </c>
      <c r="K314" s="372">
        <v>0</v>
      </c>
      <c r="M314" s="372">
        <v>0</v>
      </c>
      <c r="O314" s="372">
        <v>0</v>
      </c>
      <c r="Q314" s="383">
        <f>I314*K314*M314</f>
        <v>0</v>
      </c>
      <c r="S314" s="383">
        <f>I314*K314*O314</f>
        <v>0</v>
      </c>
    </row>
    <row r="315" spans="2:19" hidden="1" outlineLevel="2" x14ac:dyDescent="0.2">
      <c r="D315" s="721" t="s">
        <v>1015</v>
      </c>
      <c r="E315" s="721"/>
      <c r="F315" s="721"/>
      <c r="G315" s="721"/>
      <c r="I315" s="372">
        <v>0</v>
      </c>
      <c r="K315" s="372">
        <v>0</v>
      </c>
      <c r="M315" s="372">
        <v>0</v>
      </c>
      <c r="O315" s="372">
        <v>0</v>
      </c>
      <c r="Q315" s="383">
        <f>I315*K315*M315</f>
        <v>0</v>
      </c>
      <c r="S315" s="383">
        <f>I315*K315*O315</f>
        <v>0</v>
      </c>
    </row>
    <row r="316" spans="2:19" hidden="1" outlineLevel="2" x14ac:dyDescent="0.2">
      <c r="D316" s="721" t="s">
        <v>1016</v>
      </c>
      <c r="E316" s="721"/>
      <c r="F316" s="721"/>
      <c r="G316" s="721"/>
      <c r="I316" s="372">
        <v>0</v>
      </c>
      <c r="K316" s="372">
        <v>0</v>
      </c>
      <c r="M316" s="372">
        <v>0</v>
      </c>
      <c r="O316" s="372">
        <v>0</v>
      </c>
      <c r="Q316" s="383">
        <f>I316*K316*M316</f>
        <v>0</v>
      </c>
      <c r="S316" s="383">
        <f>I316*K316*O316</f>
        <v>0</v>
      </c>
    </row>
    <row r="317" spans="2:19" hidden="1" outlineLevel="2" x14ac:dyDescent="0.2">
      <c r="D317" s="721" t="s">
        <v>1017</v>
      </c>
      <c r="E317" s="721"/>
      <c r="F317" s="721"/>
      <c r="G317" s="721"/>
      <c r="I317" s="372">
        <v>0</v>
      </c>
      <c r="K317" s="372">
        <v>0</v>
      </c>
      <c r="M317" s="372">
        <v>0</v>
      </c>
      <c r="O317" s="372">
        <v>0</v>
      </c>
      <c r="Q317" s="384">
        <f>I317*K317*M317</f>
        <v>0</v>
      </c>
      <c r="S317" s="384">
        <f>I317*K317*O317</f>
        <v>0</v>
      </c>
    </row>
    <row r="318" spans="2:19" hidden="1" outlineLevel="2" x14ac:dyDescent="0.2">
      <c r="D318" s="909" t="str">
        <f>"Total "&amp;D312</f>
        <v>Total Training Personnel Sub-Total 1</v>
      </c>
      <c r="E318" s="910"/>
      <c r="F318" s="910"/>
      <c r="G318" s="910"/>
      <c r="I318" s="542">
        <f>SUM(I313:I317)</f>
        <v>0</v>
      </c>
      <c r="Q318" s="368">
        <f>SUM(Q313:Q317)</f>
        <v>0</v>
      </c>
      <c r="S318" s="368">
        <f>SUM(S313:S317)</f>
        <v>0</v>
      </c>
    </row>
    <row r="319" spans="2:19" ht="6.6" hidden="1" customHeight="1" outlineLevel="2" x14ac:dyDescent="0.2"/>
    <row r="320" spans="2:19" ht="51" hidden="1" outlineLevel="2" x14ac:dyDescent="0.2">
      <c r="D320" s="956" t="s">
        <v>1023</v>
      </c>
      <c r="E320" s="957"/>
      <c r="F320" s="957"/>
      <c r="G320" s="957"/>
      <c r="I320" s="379" t="s">
        <v>1018</v>
      </c>
      <c r="K320" s="379" t="s">
        <v>995</v>
      </c>
      <c r="M320" s="379" t="s">
        <v>1019</v>
      </c>
      <c r="O320" s="379" t="s">
        <v>1020</v>
      </c>
      <c r="Q320" s="390" t="str">
        <f>"FINANCIAL COST ("&amp;INDEX(LU_PLUG_3_Train_Curr,DD_PLUG_3_Train1_Curr)&amp;")"</f>
        <v>FINANCIAL COST (USD)</v>
      </c>
      <c r="S320" s="390" t="str">
        <f>"ECONOMIC COST ("&amp;INDEX(LU_PLUG_3_Train_Curr,DD_PLUG_3_Train1_Curr)&amp;")"</f>
        <v>ECONOMIC COST (USD)</v>
      </c>
    </row>
    <row r="321" spans="4:19" hidden="1" outlineLevel="2" x14ac:dyDescent="0.2">
      <c r="D321" s="721" t="s">
        <v>1024</v>
      </c>
      <c r="E321" s="721"/>
      <c r="F321" s="721"/>
      <c r="G321" s="721"/>
      <c r="I321" s="372">
        <v>0</v>
      </c>
      <c r="K321" s="372">
        <v>0</v>
      </c>
      <c r="M321" s="372">
        <v>0</v>
      </c>
      <c r="O321" s="372">
        <v>0</v>
      </c>
      <c r="Q321" s="383">
        <f>I321*K321*M321</f>
        <v>0</v>
      </c>
      <c r="S321" s="383">
        <f>I321*K321*O321</f>
        <v>0</v>
      </c>
    </row>
    <row r="322" spans="4:19" hidden="1" outlineLevel="2" x14ac:dyDescent="0.2">
      <c r="D322" s="721" t="s">
        <v>1025</v>
      </c>
      <c r="E322" s="721"/>
      <c r="F322" s="721"/>
      <c r="G322" s="721"/>
      <c r="I322" s="372">
        <v>0</v>
      </c>
      <c r="K322" s="372">
        <v>0</v>
      </c>
      <c r="M322" s="372">
        <v>0</v>
      </c>
      <c r="O322" s="372">
        <v>0</v>
      </c>
      <c r="Q322" s="383">
        <f>I322*K322*M322</f>
        <v>0</v>
      </c>
      <c r="S322" s="383">
        <f>I322*K322*O322</f>
        <v>0</v>
      </c>
    </row>
    <row r="323" spans="4:19" hidden="1" outlineLevel="2" x14ac:dyDescent="0.2">
      <c r="D323" s="721" t="s">
        <v>1026</v>
      </c>
      <c r="E323" s="721"/>
      <c r="F323" s="721"/>
      <c r="G323" s="721"/>
      <c r="I323" s="372">
        <v>0</v>
      </c>
      <c r="K323" s="372">
        <v>0</v>
      </c>
      <c r="M323" s="372">
        <v>0</v>
      </c>
      <c r="O323" s="372">
        <v>0</v>
      </c>
      <c r="Q323" s="383">
        <f>I323*K323*M323</f>
        <v>0</v>
      </c>
      <c r="S323" s="383">
        <f>I323*K323*O323</f>
        <v>0</v>
      </c>
    </row>
    <row r="324" spans="4:19" hidden="1" outlineLevel="2" x14ac:dyDescent="0.2">
      <c r="D324" s="721" t="s">
        <v>1027</v>
      </c>
      <c r="E324" s="721"/>
      <c r="F324" s="721"/>
      <c r="G324" s="721"/>
      <c r="I324" s="372">
        <v>0</v>
      </c>
      <c r="K324" s="372">
        <v>0</v>
      </c>
      <c r="M324" s="372">
        <v>0</v>
      </c>
      <c r="O324" s="372">
        <v>0</v>
      </c>
      <c r="Q324" s="383">
        <f>I324*K324*M324</f>
        <v>0</v>
      </c>
      <c r="S324" s="383">
        <f>I324*K324*O324</f>
        <v>0</v>
      </c>
    </row>
    <row r="325" spans="4:19" hidden="1" outlineLevel="2" x14ac:dyDescent="0.2">
      <c r="D325" s="721" t="s">
        <v>1028</v>
      </c>
      <c r="E325" s="721"/>
      <c r="F325" s="721"/>
      <c r="G325" s="721"/>
      <c r="I325" s="372">
        <v>0</v>
      </c>
      <c r="K325" s="372">
        <v>0</v>
      </c>
      <c r="M325" s="372">
        <v>0</v>
      </c>
      <c r="O325" s="372">
        <v>0</v>
      </c>
      <c r="Q325" s="384">
        <f>I325*K325*M325</f>
        <v>0</v>
      </c>
      <c r="S325" s="384">
        <f>I325*K325*O325</f>
        <v>0</v>
      </c>
    </row>
    <row r="326" spans="4:19" hidden="1" outlineLevel="2" x14ac:dyDescent="0.2">
      <c r="D326" s="909" t="str">
        <f>"Total "&amp;D320</f>
        <v>Total Training Personnel Sub-Total 2</v>
      </c>
      <c r="E326" s="910"/>
      <c r="F326" s="910"/>
      <c r="G326" s="910"/>
      <c r="I326" s="542">
        <f>SUM(I321:I325)</f>
        <v>0</v>
      </c>
      <c r="Q326" s="368">
        <f>SUM(Q321:Q325)</f>
        <v>0</v>
      </c>
      <c r="S326" s="368">
        <f>SUM(S321:S325)</f>
        <v>0</v>
      </c>
    </row>
    <row r="327" spans="4:19" ht="6.6" hidden="1" customHeight="1" outlineLevel="2" x14ac:dyDescent="0.2"/>
    <row r="328" spans="4:19" ht="51" hidden="1" outlineLevel="2" x14ac:dyDescent="0.2">
      <c r="D328" s="956" t="s">
        <v>1030</v>
      </c>
      <c r="E328" s="957"/>
      <c r="F328" s="957"/>
      <c r="G328" s="957"/>
      <c r="I328" s="379" t="s">
        <v>1018</v>
      </c>
      <c r="K328" s="379" t="s">
        <v>995</v>
      </c>
      <c r="M328" s="379" t="s">
        <v>1019</v>
      </c>
      <c r="O328" s="379" t="s">
        <v>1020</v>
      </c>
      <c r="Q328" s="390" t="str">
        <f>"FINANCIAL COST ("&amp;INDEX(LU_PLUG_3_Train_Curr,DD_PLUG_3_Train1_Curr)&amp;")"</f>
        <v>FINANCIAL COST (USD)</v>
      </c>
      <c r="S328" s="390" t="str">
        <f>"ECONOMIC COST ("&amp;INDEX(LU_PLUG_3_Train_Curr,DD_PLUG_3_Train1_Curr)&amp;")"</f>
        <v>ECONOMIC COST (USD)</v>
      </c>
    </row>
    <row r="329" spans="4:19" hidden="1" outlineLevel="2" x14ac:dyDescent="0.2">
      <c r="D329" s="721" t="s">
        <v>1029</v>
      </c>
      <c r="E329" s="721"/>
      <c r="F329" s="721"/>
      <c r="G329" s="721"/>
      <c r="I329" s="372">
        <v>0</v>
      </c>
      <c r="K329" s="372">
        <v>0</v>
      </c>
      <c r="M329" s="372">
        <v>0</v>
      </c>
      <c r="O329" s="372">
        <v>0</v>
      </c>
      <c r="Q329" s="383">
        <f t="shared" ref="Q329:Q334" si="8">I329*K329*M329</f>
        <v>0</v>
      </c>
      <c r="S329" s="383">
        <f t="shared" ref="S329:S334" si="9">I329*K329*O329</f>
        <v>0</v>
      </c>
    </row>
    <row r="330" spans="4:19" hidden="1" outlineLevel="2" x14ac:dyDescent="0.2">
      <c r="D330" s="721" t="s">
        <v>1032</v>
      </c>
      <c r="E330" s="721"/>
      <c r="F330" s="721"/>
      <c r="G330" s="721"/>
      <c r="I330" s="372">
        <v>0</v>
      </c>
      <c r="K330" s="372">
        <v>0</v>
      </c>
      <c r="M330" s="372">
        <v>0</v>
      </c>
      <c r="O330" s="372">
        <v>0</v>
      </c>
      <c r="Q330" s="383">
        <f t="shared" si="8"/>
        <v>0</v>
      </c>
      <c r="S330" s="383">
        <f t="shared" si="9"/>
        <v>0</v>
      </c>
    </row>
    <row r="331" spans="4:19" hidden="1" outlineLevel="2" x14ac:dyDescent="0.2">
      <c r="D331" s="721" t="s">
        <v>1033</v>
      </c>
      <c r="E331" s="721"/>
      <c r="F331" s="721"/>
      <c r="G331" s="721"/>
      <c r="I331" s="372">
        <v>0</v>
      </c>
      <c r="K331" s="372">
        <v>0</v>
      </c>
      <c r="M331" s="372">
        <v>0</v>
      </c>
      <c r="O331" s="372">
        <v>0</v>
      </c>
      <c r="Q331" s="383">
        <f t="shared" si="8"/>
        <v>0</v>
      </c>
      <c r="S331" s="383">
        <f t="shared" si="9"/>
        <v>0</v>
      </c>
    </row>
    <row r="332" spans="4:19" hidden="1" outlineLevel="2" x14ac:dyDescent="0.2">
      <c r="D332" s="721" t="s">
        <v>1034</v>
      </c>
      <c r="E332" s="721"/>
      <c r="F332" s="721"/>
      <c r="G332" s="721"/>
      <c r="I332" s="372">
        <v>0</v>
      </c>
      <c r="K332" s="372">
        <v>0</v>
      </c>
      <c r="M332" s="372">
        <v>0</v>
      </c>
      <c r="O332" s="372">
        <v>0</v>
      </c>
      <c r="Q332" s="383">
        <f t="shared" si="8"/>
        <v>0</v>
      </c>
      <c r="S332" s="383">
        <f t="shared" si="9"/>
        <v>0</v>
      </c>
    </row>
    <row r="333" spans="4:19" hidden="1" outlineLevel="2" x14ac:dyDescent="0.2">
      <c r="D333" s="721" t="s">
        <v>1035</v>
      </c>
      <c r="E333" s="721"/>
      <c r="F333" s="721"/>
      <c r="G333" s="721"/>
      <c r="I333" s="372">
        <v>0</v>
      </c>
      <c r="K333" s="372">
        <v>0</v>
      </c>
      <c r="M333" s="372">
        <v>0</v>
      </c>
      <c r="O333" s="372">
        <v>0</v>
      </c>
      <c r="Q333" s="383">
        <f t="shared" si="8"/>
        <v>0</v>
      </c>
      <c r="S333" s="383">
        <f t="shared" si="9"/>
        <v>0</v>
      </c>
    </row>
    <row r="334" spans="4:19" hidden="1" outlineLevel="2" x14ac:dyDescent="0.2">
      <c r="D334" s="721" t="s">
        <v>1036</v>
      </c>
      <c r="E334" s="721"/>
      <c r="F334" s="721"/>
      <c r="G334" s="721"/>
      <c r="I334" s="372">
        <v>0</v>
      </c>
      <c r="K334" s="372">
        <v>0</v>
      </c>
      <c r="M334" s="372">
        <v>0</v>
      </c>
      <c r="O334" s="372">
        <v>0</v>
      </c>
      <c r="Q334" s="384">
        <f t="shared" si="8"/>
        <v>0</v>
      </c>
      <c r="S334" s="384">
        <f t="shared" si="9"/>
        <v>0</v>
      </c>
    </row>
    <row r="335" spans="4:19" hidden="1" outlineLevel="2" x14ac:dyDescent="0.2">
      <c r="D335" s="909" t="str">
        <f>"Total "&amp;D328</f>
        <v>Total Training Personnel Sub-Total 3</v>
      </c>
      <c r="E335" s="910"/>
      <c r="F335" s="910"/>
      <c r="G335" s="910"/>
      <c r="I335" s="542">
        <f>SUM(I329:I334)</f>
        <v>0</v>
      </c>
      <c r="Q335" s="368">
        <f>SUM(Q329:Q334)</f>
        <v>0</v>
      </c>
      <c r="S335" s="368">
        <f>SUM(S329:S334)</f>
        <v>0</v>
      </c>
    </row>
    <row r="336" spans="4:19" ht="6.6" hidden="1" customHeight="1" outlineLevel="2" x14ac:dyDescent="0.2"/>
    <row r="337" spans="3:19" ht="15" hidden="1" outlineLevel="1" x14ac:dyDescent="0.2">
      <c r="D337" s="782" t="s">
        <v>1052</v>
      </c>
      <c r="E337" s="783"/>
      <c r="F337" s="783"/>
      <c r="G337" s="783"/>
      <c r="I337" s="362"/>
      <c r="K337" s="362"/>
      <c r="M337" s="362"/>
      <c r="O337" s="362"/>
      <c r="Q337" s="377">
        <f>SUM(Q318,Q326,Q335)</f>
        <v>0</v>
      </c>
      <c r="S337" s="377">
        <f>SUM(S318,S326,S335)</f>
        <v>0</v>
      </c>
    </row>
    <row r="338" spans="3:19" hidden="1" outlineLevel="1" x14ac:dyDescent="0.2"/>
    <row r="339" spans="3:19" ht="15.75" hidden="1" outlineLevel="1" x14ac:dyDescent="0.2">
      <c r="C339" s="358" t="s">
        <v>996</v>
      </c>
    </row>
    <row r="340" spans="3:19" hidden="1" outlineLevel="2" x14ac:dyDescent="0.2"/>
    <row r="341" spans="3:19" ht="25.5" hidden="1" outlineLevel="2" x14ac:dyDescent="0.2">
      <c r="D341" s="791" t="str">
        <f>D312</f>
        <v>Training Personnel Sub-Total 1</v>
      </c>
      <c r="E341" s="792"/>
      <c r="F341" s="792"/>
      <c r="G341" s="792"/>
      <c r="I341" s="379" t="s">
        <v>994</v>
      </c>
      <c r="K341" s="379" t="s">
        <v>1037</v>
      </c>
      <c r="M341" s="379" t="s">
        <v>1038</v>
      </c>
      <c r="O341" s="379" t="s">
        <v>1039</v>
      </c>
      <c r="Q341" s="387" t="str">
        <f>"FINANCIAL COST ("&amp;INDEX(LU_PLUG_3_Train_Curr,DD_PLUG_3_Train1_Curr)&amp;")"</f>
        <v>FINANCIAL COST (USD)</v>
      </c>
      <c r="S341" s="387" t="str">
        <f>"ECONOMIC COST ("&amp;INDEX(LU_PLUG_3_Train_Curr,DD_PLUG_3_Train1_Curr)&amp;")"</f>
        <v>ECONOMIC COST (USD)</v>
      </c>
    </row>
    <row r="342" spans="3:19" hidden="1" outlineLevel="2" x14ac:dyDescent="0.2">
      <c r="D342" s="721" t="s">
        <v>1013</v>
      </c>
      <c r="E342" s="721"/>
      <c r="F342" s="721"/>
      <c r="G342" s="721"/>
      <c r="I342" s="372">
        <v>0</v>
      </c>
      <c r="K342" s="372">
        <v>0</v>
      </c>
      <c r="M342" s="372">
        <v>0</v>
      </c>
      <c r="O342" s="372">
        <v>0</v>
      </c>
      <c r="Q342" s="383">
        <f>I342*K342*M342</f>
        <v>0</v>
      </c>
      <c r="S342" s="383">
        <f>I342*K342*O342</f>
        <v>0</v>
      </c>
    </row>
    <row r="343" spans="3:19" hidden="1" outlineLevel="2" x14ac:dyDescent="0.2">
      <c r="D343" s="721" t="s">
        <v>1014</v>
      </c>
      <c r="E343" s="721"/>
      <c r="F343" s="721"/>
      <c r="G343" s="721"/>
      <c r="I343" s="372">
        <v>0</v>
      </c>
      <c r="K343" s="372">
        <v>0</v>
      </c>
      <c r="M343" s="372">
        <v>0</v>
      </c>
      <c r="O343" s="372">
        <v>0</v>
      </c>
      <c r="Q343" s="383">
        <f>I343*K343*M343</f>
        <v>0</v>
      </c>
      <c r="S343" s="383">
        <f>I343*K343*O343</f>
        <v>0</v>
      </c>
    </row>
    <row r="344" spans="3:19" hidden="1" outlineLevel="2" x14ac:dyDescent="0.2">
      <c r="D344" s="721" t="s">
        <v>1015</v>
      </c>
      <c r="E344" s="721"/>
      <c r="F344" s="721"/>
      <c r="G344" s="721"/>
      <c r="I344" s="372">
        <v>0</v>
      </c>
      <c r="K344" s="372">
        <v>0</v>
      </c>
      <c r="M344" s="372">
        <v>0</v>
      </c>
      <c r="O344" s="372">
        <v>0</v>
      </c>
      <c r="Q344" s="383">
        <f>I344*K344*M344</f>
        <v>0</v>
      </c>
      <c r="S344" s="383">
        <f>I344*K344*O344</f>
        <v>0</v>
      </c>
    </row>
    <row r="345" spans="3:19" hidden="1" outlineLevel="2" x14ac:dyDescent="0.2">
      <c r="D345" s="721" t="s">
        <v>1016</v>
      </c>
      <c r="E345" s="721"/>
      <c r="F345" s="721"/>
      <c r="G345" s="721"/>
      <c r="I345" s="372">
        <v>0</v>
      </c>
      <c r="K345" s="372">
        <v>0</v>
      </c>
      <c r="M345" s="372">
        <v>0</v>
      </c>
      <c r="O345" s="372">
        <v>0</v>
      </c>
      <c r="Q345" s="383">
        <f>I345*K345*M345</f>
        <v>0</v>
      </c>
      <c r="S345" s="383">
        <f>I345*K345*O345</f>
        <v>0</v>
      </c>
    </row>
    <row r="346" spans="3:19" hidden="1" outlineLevel="2" x14ac:dyDescent="0.2">
      <c r="D346" s="721" t="s">
        <v>1017</v>
      </c>
      <c r="E346" s="721"/>
      <c r="F346" s="721"/>
      <c r="G346" s="721"/>
      <c r="I346" s="372">
        <v>0</v>
      </c>
      <c r="K346" s="372">
        <v>0</v>
      </c>
      <c r="M346" s="372">
        <v>0</v>
      </c>
      <c r="O346" s="372">
        <v>0</v>
      </c>
      <c r="Q346" s="384">
        <f>I346*K346*M346</f>
        <v>0</v>
      </c>
      <c r="S346" s="384">
        <f>I346*K346*O346</f>
        <v>0</v>
      </c>
    </row>
    <row r="347" spans="3:19" hidden="1" outlineLevel="2" x14ac:dyDescent="0.2">
      <c r="D347" s="909" t="str">
        <f>"Total "&amp;D341</f>
        <v>Total Training Personnel Sub-Total 1</v>
      </c>
      <c r="E347" s="910"/>
      <c r="F347" s="910"/>
      <c r="G347" s="910"/>
      <c r="Q347" s="368">
        <f>SUM(Q342:Q346)</f>
        <v>0</v>
      </c>
      <c r="S347" s="368">
        <f>SUM(S342:S346)</f>
        <v>0</v>
      </c>
    </row>
    <row r="348" spans="3:19" ht="6.6" hidden="1" customHeight="1" outlineLevel="2" x14ac:dyDescent="0.2"/>
    <row r="349" spans="3:19" ht="25.5" hidden="1" outlineLevel="2" x14ac:dyDescent="0.2">
      <c r="D349" s="791" t="str">
        <f>D320</f>
        <v>Training Personnel Sub-Total 2</v>
      </c>
      <c r="E349" s="792"/>
      <c r="F349" s="792"/>
      <c r="G349" s="792"/>
      <c r="I349" s="379" t="s">
        <v>994</v>
      </c>
      <c r="K349" s="379" t="s">
        <v>1037</v>
      </c>
      <c r="M349" s="379" t="s">
        <v>1038</v>
      </c>
      <c r="O349" s="379" t="s">
        <v>1039</v>
      </c>
      <c r="Q349" s="387" t="str">
        <f>"FINANCIAL COST ("&amp;INDEX(LU_PLUG_3_Train_Curr,DD_PLUG_3_Train1_Curr)&amp;")"</f>
        <v>FINANCIAL COST (USD)</v>
      </c>
      <c r="S349" s="387" t="str">
        <f>"ECONOMIC COST ("&amp;INDEX(LU_PLUG_3_Train_Curr,DD_PLUG_3_Train1_Curr)&amp;")"</f>
        <v>ECONOMIC COST (USD)</v>
      </c>
    </row>
    <row r="350" spans="3:19" hidden="1" outlineLevel="2" x14ac:dyDescent="0.2">
      <c r="D350" s="721" t="s">
        <v>1024</v>
      </c>
      <c r="E350" s="721"/>
      <c r="F350" s="721"/>
      <c r="G350" s="721"/>
      <c r="I350" s="372">
        <v>0</v>
      </c>
      <c r="K350" s="372">
        <v>0</v>
      </c>
      <c r="M350" s="372">
        <v>0</v>
      </c>
      <c r="O350" s="372">
        <v>0</v>
      </c>
      <c r="Q350" s="383">
        <f>I350*K350*M350</f>
        <v>0</v>
      </c>
      <c r="S350" s="383">
        <f>I350*K350*O350</f>
        <v>0</v>
      </c>
    </row>
    <row r="351" spans="3:19" hidden="1" outlineLevel="2" x14ac:dyDescent="0.2">
      <c r="D351" s="721" t="s">
        <v>1025</v>
      </c>
      <c r="E351" s="721"/>
      <c r="F351" s="721"/>
      <c r="G351" s="721"/>
      <c r="I351" s="372">
        <v>0</v>
      </c>
      <c r="K351" s="372">
        <v>0</v>
      </c>
      <c r="M351" s="372">
        <v>0</v>
      </c>
      <c r="O351" s="372">
        <v>0</v>
      </c>
      <c r="Q351" s="383">
        <f>I351*K351*M351</f>
        <v>0</v>
      </c>
      <c r="S351" s="383">
        <f>I351*K351*O351</f>
        <v>0</v>
      </c>
    </row>
    <row r="352" spans="3:19" hidden="1" outlineLevel="2" x14ac:dyDescent="0.2">
      <c r="D352" s="721" t="s">
        <v>1026</v>
      </c>
      <c r="E352" s="721"/>
      <c r="F352" s="721"/>
      <c r="G352" s="721"/>
      <c r="I352" s="372">
        <v>0</v>
      </c>
      <c r="K352" s="372">
        <v>0</v>
      </c>
      <c r="M352" s="372">
        <v>0</v>
      </c>
      <c r="O352" s="372">
        <v>0</v>
      </c>
      <c r="Q352" s="383">
        <f>I352*K352*M352</f>
        <v>0</v>
      </c>
      <c r="S352" s="383">
        <f>I352*K352*O352</f>
        <v>0</v>
      </c>
    </row>
    <row r="353" spans="3:19" hidden="1" outlineLevel="2" x14ac:dyDescent="0.2">
      <c r="D353" s="721" t="s">
        <v>1027</v>
      </c>
      <c r="E353" s="721"/>
      <c r="F353" s="721"/>
      <c r="G353" s="721"/>
      <c r="I353" s="372">
        <v>0</v>
      </c>
      <c r="K353" s="372">
        <v>0</v>
      </c>
      <c r="M353" s="372">
        <v>0</v>
      </c>
      <c r="O353" s="372">
        <v>0</v>
      </c>
      <c r="Q353" s="383">
        <f>I353*K353*M353</f>
        <v>0</v>
      </c>
      <c r="S353" s="383">
        <f>I353*K353*O353</f>
        <v>0</v>
      </c>
    </row>
    <row r="354" spans="3:19" hidden="1" outlineLevel="2" x14ac:dyDescent="0.2">
      <c r="D354" s="721" t="s">
        <v>1028</v>
      </c>
      <c r="E354" s="721"/>
      <c r="F354" s="721"/>
      <c r="G354" s="721"/>
      <c r="I354" s="372">
        <v>0</v>
      </c>
      <c r="K354" s="372">
        <v>0</v>
      </c>
      <c r="M354" s="372">
        <v>0</v>
      </c>
      <c r="O354" s="372">
        <v>0</v>
      </c>
      <c r="Q354" s="384">
        <f>I354*K354*M354</f>
        <v>0</v>
      </c>
      <c r="S354" s="384">
        <f>I354*K354*O354</f>
        <v>0</v>
      </c>
    </row>
    <row r="355" spans="3:19" hidden="1" outlineLevel="2" x14ac:dyDescent="0.2">
      <c r="D355" s="909" t="str">
        <f>"Total "&amp;D349</f>
        <v>Total Training Personnel Sub-Total 2</v>
      </c>
      <c r="E355" s="910"/>
      <c r="F355" s="910"/>
      <c r="G355" s="910"/>
      <c r="Q355" s="368">
        <f>SUM(Q350:Q354)</f>
        <v>0</v>
      </c>
      <c r="S355" s="368">
        <f>SUM(S350:S354)</f>
        <v>0</v>
      </c>
    </row>
    <row r="356" spans="3:19" ht="6.6" hidden="1" customHeight="1" outlineLevel="2" x14ac:dyDescent="0.2"/>
    <row r="357" spans="3:19" ht="25.5" hidden="1" outlineLevel="2" x14ac:dyDescent="0.2">
      <c r="D357" s="791" t="str">
        <f>D328</f>
        <v>Training Personnel Sub-Total 3</v>
      </c>
      <c r="E357" s="792"/>
      <c r="F357" s="792"/>
      <c r="G357" s="792"/>
      <c r="I357" s="379" t="s">
        <v>994</v>
      </c>
      <c r="K357" s="379" t="s">
        <v>1037</v>
      </c>
      <c r="M357" s="379" t="s">
        <v>1038</v>
      </c>
      <c r="O357" s="379" t="s">
        <v>1039</v>
      </c>
      <c r="Q357" s="387" t="str">
        <f>"FINANCIAL COST ("&amp;INDEX(LU_PLUG_3_Train_Curr,DD_PLUG_3_Train1_Curr)&amp;")"</f>
        <v>FINANCIAL COST (USD)</v>
      </c>
      <c r="S357" s="387" t="str">
        <f>"ECONOMIC COST ("&amp;INDEX(LU_PLUG_3_Train_Curr,DD_PLUG_3_Train1_Curr)&amp;")"</f>
        <v>ECONOMIC COST (USD)</v>
      </c>
    </row>
    <row r="358" spans="3:19" hidden="1" outlineLevel="2" x14ac:dyDescent="0.2">
      <c r="D358" s="721" t="s">
        <v>1029</v>
      </c>
      <c r="E358" s="721"/>
      <c r="F358" s="721"/>
      <c r="G358" s="721"/>
      <c r="I358" s="372">
        <v>0</v>
      </c>
      <c r="K358" s="372">
        <v>0</v>
      </c>
      <c r="M358" s="372">
        <v>0</v>
      </c>
      <c r="O358" s="372">
        <v>0</v>
      </c>
      <c r="Q358" s="383">
        <f t="shared" ref="Q358:Q363" si="10">I358*K358*M358</f>
        <v>0</v>
      </c>
      <c r="S358" s="383">
        <f t="shared" ref="S358:S363" si="11">I358*K358*O358</f>
        <v>0</v>
      </c>
    </row>
    <row r="359" spans="3:19" hidden="1" outlineLevel="2" x14ac:dyDescent="0.2">
      <c r="D359" s="721" t="s">
        <v>1032</v>
      </c>
      <c r="E359" s="721"/>
      <c r="F359" s="721"/>
      <c r="G359" s="721"/>
      <c r="I359" s="372">
        <v>0</v>
      </c>
      <c r="K359" s="372">
        <v>0</v>
      </c>
      <c r="M359" s="372">
        <v>0</v>
      </c>
      <c r="O359" s="372">
        <v>0</v>
      </c>
      <c r="Q359" s="383">
        <f t="shared" si="10"/>
        <v>0</v>
      </c>
      <c r="S359" s="383">
        <f t="shared" si="11"/>
        <v>0</v>
      </c>
    </row>
    <row r="360" spans="3:19" hidden="1" outlineLevel="2" x14ac:dyDescent="0.2">
      <c r="D360" s="721" t="s">
        <v>1033</v>
      </c>
      <c r="E360" s="721"/>
      <c r="F360" s="721"/>
      <c r="G360" s="721"/>
      <c r="I360" s="372">
        <v>0</v>
      </c>
      <c r="K360" s="372">
        <v>0</v>
      </c>
      <c r="M360" s="372">
        <v>0</v>
      </c>
      <c r="O360" s="372">
        <v>0</v>
      </c>
      <c r="Q360" s="383">
        <f t="shared" si="10"/>
        <v>0</v>
      </c>
      <c r="S360" s="383">
        <f t="shared" si="11"/>
        <v>0</v>
      </c>
    </row>
    <row r="361" spans="3:19" hidden="1" outlineLevel="2" x14ac:dyDescent="0.2">
      <c r="D361" s="721" t="s">
        <v>1034</v>
      </c>
      <c r="E361" s="721"/>
      <c r="F361" s="721"/>
      <c r="G361" s="721"/>
      <c r="I361" s="372">
        <v>0</v>
      </c>
      <c r="K361" s="372">
        <v>0</v>
      </c>
      <c r="M361" s="372">
        <v>0</v>
      </c>
      <c r="O361" s="372">
        <v>0</v>
      </c>
      <c r="Q361" s="383">
        <f t="shared" si="10"/>
        <v>0</v>
      </c>
      <c r="S361" s="383">
        <f t="shared" si="11"/>
        <v>0</v>
      </c>
    </row>
    <row r="362" spans="3:19" hidden="1" outlineLevel="2" x14ac:dyDescent="0.2">
      <c r="D362" s="721" t="s">
        <v>1035</v>
      </c>
      <c r="E362" s="721"/>
      <c r="F362" s="721"/>
      <c r="G362" s="721"/>
      <c r="I362" s="372">
        <v>0</v>
      </c>
      <c r="K362" s="372">
        <v>0</v>
      </c>
      <c r="M362" s="372">
        <v>0</v>
      </c>
      <c r="O362" s="372">
        <v>0</v>
      </c>
      <c r="Q362" s="383">
        <f t="shared" si="10"/>
        <v>0</v>
      </c>
      <c r="S362" s="383">
        <f t="shared" si="11"/>
        <v>0</v>
      </c>
    </row>
    <row r="363" spans="3:19" hidden="1" outlineLevel="2" x14ac:dyDescent="0.2">
      <c r="D363" s="721" t="s">
        <v>1036</v>
      </c>
      <c r="E363" s="721"/>
      <c r="F363" s="721"/>
      <c r="G363" s="721"/>
      <c r="I363" s="372">
        <v>0</v>
      </c>
      <c r="K363" s="372">
        <v>0</v>
      </c>
      <c r="M363" s="372">
        <v>0</v>
      </c>
      <c r="O363" s="372">
        <v>0</v>
      </c>
      <c r="Q363" s="384">
        <f t="shared" si="10"/>
        <v>0</v>
      </c>
      <c r="S363" s="384">
        <f t="shared" si="11"/>
        <v>0</v>
      </c>
    </row>
    <row r="364" spans="3:19" hidden="1" outlineLevel="2" x14ac:dyDescent="0.2">
      <c r="D364" s="909" t="str">
        <f>"Total "&amp;D357</f>
        <v>Total Training Personnel Sub-Total 3</v>
      </c>
      <c r="E364" s="910"/>
      <c r="F364" s="910"/>
      <c r="G364" s="910"/>
      <c r="Q364" s="368">
        <f>SUM(Q358:Q363)</f>
        <v>0</v>
      </c>
      <c r="S364" s="368">
        <f>SUM(S358:S363)</f>
        <v>0</v>
      </c>
    </row>
    <row r="365" spans="3:19" ht="6.6" hidden="1" customHeight="1" outlineLevel="2" x14ac:dyDescent="0.2"/>
    <row r="366" spans="3:19" ht="15" hidden="1" outlineLevel="1" x14ac:dyDescent="0.2">
      <c r="D366" s="782" t="s">
        <v>1021</v>
      </c>
      <c r="E366" s="783"/>
      <c r="F366" s="783"/>
      <c r="G366" s="783"/>
      <c r="I366" s="362"/>
      <c r="K366" s="362"/>
      <c r="M366" s="362"/>
      <c r="O366" s="362"/>
      <c r="Q366" s="377">
        <f>SUM(Q347,Q355,Q364)</f>
        <v>0</v>
      </c>
      <c r="S366" s="377">
        <f>SUM(S347,S355,S364)</f>
        <v>0</v>
      </c>
    </row>
    <row r="367" spans="3:19" hidden="1" outlineLevel="1" x14ac:dyDescent="0.2"/>
    <row r="368" spans="3:19" ht="15.75" hidden="1" outlineLevel="1" x14ac:dyDescent="0.2">
      <c r="C368" s="358" t="s">
        <v>1066</v>
      </c>
    </row>
    <row r="369" spans="4:19" hidden="1" outlineLevel="2" x14ac:dyDescent="0.2"/>
    <row r="370" spans="4:19" ht="25.5" hidden="1" outlineLevel="2" x14ac:dyDescent="0.2">
      <c r="D370" s="956" t="s">
        <v>1124</v>
      </c>
      <c r="E370" s="957"/>
      <c r="F370" s="957"/>
      <c r="G370" s="957"/>
      <c r="I370" s="545" t="s">
        <v>999</v>
      </c>
      <c r="K370" s="545" t="s">
        <v>1051</v>
      </c>
      <c r="M370" s="545" t="s">
        <v>1038</v>
      </c>
      <c r="O370" s="545" t="s">
        <v>1050</v>
      </c>
      <c r="Q370" s="387" t="str">
        <f>"FINANCIAL COST ("&amp;INDEX(LU_PLUG_3_Train_Curr,DD_PLUG_3_Train1_Curr)&amp;")"</f>
        <v>FINANCIAL COST (USD)</v>
      </c>
      <c r="S370" s="387" t="str">
        <f>"ECONOMIC COST ("&amp;INDEX(LU_PLUG_3_Train_Curr,DD_PLUG_3_Train1_Curr)&amp;")"</f>
        <v>ECONOMIC COST (USD)</v>
      </c>
    </row>
    <row r="371" spans="4:19" hidden="1" outlineLevel="2" x14ac:dyDescent="0.2">
      <c r="D371" s="721" t="s">
        <v>1040</v>
      </c>
      <c r="E371" s="721"/>
      <c r="F371" s="721"/>
      <c r="G371" s="721"/>
      <c r="I371" s="372">
        <v>0</v>
      </c>
      <c r="K371" s="372">
        <v>0</v>
      </c>
      <c r="M371" s="372">
        <v>0</v>
      </c>
      <c r="O371" s="372">
        <v>0</v>
      </c>
      <c r="Q371" s="383">
        <f>I371*K371*M371</f>
        <v>0</v>
      </c>
      <c r="S371" s="383">
        <f>I371*K371*O371</f>
        <v>0</v>
      </c>
    </row>
    <row r="372" spans="4:19" hidden="1" outlineLevel="2" x14ac:dyDescent="0.2">
      <c r="D372" s="721" t="s">
        <v>1041</v>
      </c>
      <c r="E372" s="721"/>
      <c r="F372" s="721"/>
      <c r="G372" s="721"/>
      <c r="I372" s="372">
        <v>0</v>
      </c>
      <c r="K372" s="372">
        <v>0</v>
      </c>
      <c r="M372" s="372">
        <v>0</v>
      </c>
      <c r="O372" s="372">
        <v>0</v>
      </c>
      <c r="Q372" s="383">
        <f>I372*K372*M372</f>
        <v>0</v>
      </c>
      <c r="S372" s="383">
        <f>I372*K372*O372</f>
        <v>0</v>
      </c>
    </row>
    <row r="373" spans="4:19" hidden="1" outlineLevel="2" x14ac:dyDescent="0.2">
      <c r="D373" s="721" t="s">
        <v>1042</v>
      </c>
      <c r="E373" s="721"/>
      <c r="F373" s="721"/>
      <c r="G373" s="721"/>
      <c r="I373" s="372">
        <v>0</v>
      </c>
      <c r="K373" s="372">
        <v>0</v>
      </c>
      <c r="M373" s="372">
        <v>0</v>
      </c>
      <c r="O373" s="372">
        <v>0</v>
      </c>
      <c r="Q373" s="383">
        <f>I373*K373*M373</f>
        <v>0</v>
      </c>
      <c r="S373" s="383">
        <f>I373*K373*O373</f>
        <v>0</v>
      </c>
    </row>
    <row r="374" spans="4:19" hidden="1" outlineLevel="2" x14ac:dyDescent="0.2">
      <c r="D374" s="721" t="s">
        <v>1043</v>
      </c>
      <c r="E374" s="721"/>
      <c r="F374" s="721"/>
      <c r="G374" s="721"/>
      <c r="I374" s="372">
        <v>0</v>
      </c>
      <c r="K374" s="372">
        <v>0</v>
      </c>
      <c r="M374" s="372">
        <v>0</v>
      </c>
      <c r="O374" s="372">
        <v>0</v>
      </c>
      <c r="Q374" s="383">
        <f>I374*K374*M374</f>
        <v>0</v>
      </c>
      <c r="S374" s="383">
        <f>I374*K374*O374</f>
        <v>0</v>
      </c>
    </row>
    <row r="375" spans="4:19" hidden="1" outlineLevel="2" x14ac:dyDescent="0.2">
      <c r="D375" s="721" t="s">
        <v>1044</v>
      </c>
      <c r="E375" s="721"/>
      <c r="F375" s="721"/>
      <c r="G375" s="721"/>
      <c r="I375" s="372">
        <v>0</v>
      </c>
      <c r="K375" s="372">
        <v>0</v>
      </c>
      <c r="M375" s="372">
        <v>0</v>
      </c>
      <c r="O375" s="372">
        <v>0</v>
      </c>
      <c r="Q375" s="384">
        <f>I375*K375*M375</f>
        <v>0</v>
      </c>
      <c r="S375" s="384">
        <f>I375*K375*O375</f>
        <v>0</v>
      </c>
    </row>
    <row r="376" spans="4:19" hidden="1" outlineLevel="2" x14ac:dyDescent="0.2">
      <c r="D376" s="909" t="str">
        <f>"Total "&amp;D370</f>
        <v>Total Rooms Sub-Total 1</v>
      </c>
      <c r="E376" s="910"/>
      <c r="F376" s="910"/>
      <c r="G376" s="910"/>
      <c r="Q376" s="368">
        <f>SUM(Q371:Q375)</f>
        <v>0</v>
      </c>
      <c r="S376" s="368">
        <f>SUM(S371:S375)</f>
        <v>0</v>
      </c>
    </row>
    <row r="377" spans="4:19" ht="6.6" hidden="1" customHeight="1" outlineLevel="2" x14ac:dyDescent="0.2"/>
    <row r="378" spans="4:19" ht="25.5" hidden="1" outlineLevel="2" x14ac:dyDescent="0.2">
      <c r="D378" s="956" t="s">
        <v>1125</v>
      </c>
      <c r="E378" s="957"/>
      <c r="F378" s="957"/>
      <c r="G378" s="957"/>
      <c r="I378" s="545" t="s">
        <v>999</v>
      </c>
      <c r="K378" s="545" t="s">
        <v>1051</v>
      </c>
      <c r="M378" s="545" t="s">
        <v>1038</v>
      </c>
      <c r="O378" s="545" t="s">
        <v>1050</v>
      </c>
      <c r="Q378" s="387" t="str">
        <f>"FINANCIAL COST ("&amp;INDEX(LU_PLUG_3_Train_Curr,DD_PLUG_3_Train1_Curr)&amp;")"</f>
        <v>FINANCIAL COST (USD)</v>
      </c>
      <c r="S378" s="387" t="str">
        <f>"ECONOMIC COST ("&amp;INDEX(LU_PLUG_3_Train_Curr,DD_PLUG_3_Train1_Curr)&amp;")"</f>
        <v>ECONOMIC COST (USD)</v>
      </c>
    </row>
    <row r="379" spans="4:19" hidden="1" outlineLevel="2" x14ac:dyDescent="0.2">
      <c r="D379" s="721" t="s">
        <v>1045</v>
      </c>
      <c r="E379" s="721"/>
      <c r="F379" s="721"/>
      <c r="G379" s="721"/>
      <c r="I379" s="372">
        <v>0</v>
      </c>
      <c r="K379" s="372">
        <v>0</v>
      </c>
      <c r="M379" s="372">
        <v>0</v>
      </c>
      <c r="O379" s="372">
        <v>0</v>
      </c>
      <c r="Q379" s="383">
        <f>I379*K379*M379</f>
        <v>0</v>
      </c>
      <c r="S379" s="383">
        <f>I379*K379*O379</f>
        <v>0</v>
      </c>
    </row>
    <row r="380" spans="4:19" hidden="1" outlineLevel="2" x14ac:dyDescent="0.2">
      <c r="D380" s="721" t="s">
        <v>1046</v>
      </c>
      <c r="E380" s="721"/>
      <c r="F380" s="721"/>
      <c r="G380" s="721"/>
      <c r="I380" s="372">
        <v>0</v>
      </c>
      <c r="K380" s="372">
        <v>0</v>
      </c>
      <c r="M380" s="372">
        <v>0</v>
      </c>
      <c r="O380" s="372">
        <v>0</v>
      </c>
      <c r="Q380" s="383">
        <f>I380*K380*M380</f>
        <v>0</v>
      </c>
      <c r="S380" s="383">
        <f>I380*K380*O380</f>
        <v>0</v>
      </c>
    </row>
    <row r="381" spans="4:19" hidden="1" outlineLevel="2" x14ac:dyDescent="0.2">
      <c r="D381" s="721" t="s">
        <v>1047</v>
      </c>
      <c r="E381" s="721"/>
      <c r="F381" s="721"/>
      <c r="G381" s="721"/>
      <c r="I381" s="372">
        <v>0</v>
      </c>
      <c r="K381" s="372">
        <v>0</v>
      </c>
      <c r="M381" s="372">
        <v>0</v>
      </c>
      <c r="O381" s="372">
        <v>0</v>
      </c>
      <c r="Q381" s="383">
        <f>I381*K381*M381</f>
        <v>0</v>
      </c>
      <c r="S381" s="383">
        <f>I381*K381*O381</f>
        <v>0</v>
      </c>
    </row>
    <row r="382" spans="4:19" hidden="1" outlineLevel="2" x14ac:dyDescent="0.2">
      <c r="D382" s="721" t="s">
        <v>1048</v>
      </c>
      <c r="E382" s="721"/>
      <c r="F382" s="721"/>
      <c r="G382" s="721"/>
      <c r="I382" s="372">
        <v>0</v>
      </c>
      <c r="K382" s="372">
        <v>0</v>
      </c>
      <c r="M382" s="372">
        <v>0</v>
      </c>
      <c r="O382" s="372">
        <v>0</v>
      </c>
      <c r="Q382" s="383">
        <f>I382*K382*M382</f>
        <v>0</v>
      </c>
      <c r="S382" s="383">
        <f>I382*K382*O382</f>
        <v>0</v>
      </c>
    </row>
    <row r="383" spans="4:19" hidden="1" outlineLevel="2" x14ac:dyDescent="0.2">
      <c r="D383" s="721" t="s">
        <v>1049</v>
      </c>
      <c r="E383" s="721"/>
      <c r="F383" s="721"/>
      <c r="G383" s="721"/>
      <c r="I383" s="372">
        <v>0</v>
      </c>
      <c r="K383" s="372">
        <v>0</v>
      </c>
      <c r="M383" s="372">
        <v>0</v>
      </c>
      <c r="O383" s="372">
        <v>0</v>
      </c>
      <c r="Q383" s="384">
        <f>I383*K383*M383</f>
        <v>0</v>
      </c>
      <c r="S383" s="384">
        <f>I383*K383*O383</f>
        <v>0</v>
      </c>
    </row>
    <row r="384" spans="4:19" hidden="1" outlineLevel="2" x14ac:dyDescent="0.2">
      <c r="D384" s="909" t="str">
        <f>"Total "&amp;D378</f>
        <v>Total Rooms Sub-Total 2</v>
      </c>
      <c r="E384" s="910"/>
      <c r="F384" s="910"/>
      <c r="G384" s="910"/>
      <c r="Q384" s="368">
        <f>SUM(Q379:Q383)</f>
        <v>0</v>
      </c>
      <c r="S384" s="368">
        <f>SUM(S379:S383)</f>
        <v>0</v>
      </c>
    </row>
    <row r="385" spans="3:19" ht="6.6" hidden="1" customHeight="1" outlineLevel="2" x14ac:dyDescent="0.2"/>
    <row r="386" spans="3:19" ht="15" hidden="1" outlineLevel="1" x14ac:dyDescent="0.2">
      <c r="D386" s="782" t="s">
        <v>1065</v>
      </c>
      <c r="E386" s="783"/>
      <c r="F386" s="783"/>
      <c r="G386" s="783"/>
      <c r="I386" s="362"/>
      <c r="K386" s="362"/>
      <c r="M386" s="362"/>
      <c r="O386" s="362"/>
      <c r="Q386" s="377">
        <f>SUM(Q376,Q384)</f>
        <v>0</v>
      </c>
      <c r="S386" s="377">
        <f>SUM(S376,S384)</f>
        <v>0</v>
      </c>
    </row>
    <row r="387" spans="3:19" hidden="1" outlineLevel="1" x14ac:dyDescent="0.2"/>
    <row r="388" spans="3:19" ht="15.75" hidden="1" outlineLevel="1" x14ac:dyDescent="0.2">
      <c r="C388" s="358" t="s">
        <v>1064</v>
      </c>
    </row>
    <row r="389" spans="3:19" hidden="1" outlineLevel="2" x14ac:dyDescent="0.2"/>
    <row r="390" spans="3:19" ht="25.5" hidden="1" outlineLevel="2" x14ac:dyDescent="0.2">
      <c r="D390" s="956" t="s">
        <v>1059</v>
      </c>
      <c r="E390" s="957"/>
      <c r="F390" s="957"/>
      <c r="G390" s="957"/>
      <c r="I390" s="379" t="s">
        <v>1092</v>
      </c>
      <c r="K390" s="379" t="s">
        <v>995</v>
      </c>
      <c r="M390" s="379" t="s">
        <v>1038</v>
      </c>
      <c r="O390" s="379" t="s">
        <v>1062</v>
      </c>
      <c r="Q390" s="387" t="str">
        <f>"FINANCIAL COST ("&amp;INDEX(LU_PLUG_3_Train_Curr,DD_PLUG_3_Train1_Curr)&amp;")"</f>
        <v>FINANCIAL COST (USD)</v>
      </c>
      <c r="S390" s="387" t="str">
        <f>"ECONOMIC COST ("&amp;INDEX(LU_PLUG_3_Train_Curr,DD_PLUG_3_Train1_Curr)&amp;")"</f>
        <v>ECONOMIC COST (USD)</v>
      </c>
    </row>
    <row r="391" spans="3:19" hidden="1" outlineLevel="2" x14ac:dyDescent="0.2">
      <c r="D391" s="721" t="s">
        <v>1053</v>
      </c>
      <c r="E391" s="721"/>
      <c r="F391" s="721"/>
      <c r="G391" s="721"/>
      <c r="I391" s="372">
        <v>0</v>
      </c>
      <c r="K391" s="372">
        <v>0</v>
      </c>
      <c r="M391" s="372">
        <v>0</v>
      </c>
      <c r="O391" s="372">
        <v>0</v>
      </c>
      <c r="Q391" s="383">
        <f>I391*K391*M391</f>
        <v>0</v>
      </c>
      <c r="S391" s="383">
        <f>I391*K391*O391</f>
        <v>0</v>
      </c>
    </row>
    <row r="392" spans="3:19" hidden="1" outlineLevel="2" x14ac:dyDescent="0.2">
      <c r="D392" s="721" t="s">
        <v>1054</v>
      </c>
      <c r="E392" s="721"/>
      <c r="F392" s="721"/>
      <c r="G392" s="721"/>
      <c r="I392" s="372">
        <v>0</v>
      </c>
      <c r="K392" s="372">
        <v>0</v>
      </c>
      <c r="M392" s="372">
        <v>0</v>
      </c>
      <c r="O392" s="372">
        <v>0</v>
      </c>
      <c r="Q392" s="383">
        <f>I392*K392*M392</f>
        <v>0</v>
      </c>
      <c r="S392" s="383">
        <f>I392*K392*O392</f>
        <v>0</v>
      </c>
    </row>
    <row r="393" spans="3:19" hidden="1" outlineLevel="2" x14ac:dyDescent="0.2">
      <c r="D393" s="721" t="s">
        <v>1055</v>
      </c>
      <c r="E393" s="721"/>
      <c r="F393" s="721"/>
      <c r="G393" s="721"/>
      <c r="I393" s="372">
        <v>0</v>
      </c>
      <c r="K393" s="372">
        <v>0</v>
      </c>
      <c r="M393" s="372">
        <v>0</v>
      </c>
      <c r="O393" s="372">
        <v>0</v>
      </c>
      <c r="Q393" s="384">
        <f>I393*K393*M393</f>
        <v>0</v>
      </c>
      <c r="S393" s="384">
        <f>I393*K393*O393</f>
        <v>0</v>
      </c>
    </row>
    <row r="394" spans="3:19" hidden="1" outlineLevel="2" x14ac:dyDescent="0.2">
      <c r="D394" s="909" t="str">
        <f>"Total "&amp;D390</f>
        <v>Total Meals &amp; Refreshments Sub-Total 1</v>
      </c>
      <c r="E394" s="910"/>
      <c r="F394" s="910"/>
      <c r="G394" s="910"/>
      <c r="Q394" s="368">
        <f>SUM(Q391:Q393)</f>
        <v>0</v>
      </c>
      <c r="S394" s="368">
        <f>SUM(S391:S393)</f>
        <v>0</v>
      </c>
    </row>
    <row r="395" spans="3:19" ht="6.6" hidden="1" customHeight="1" outlineLevel="2" x14ac:dyDescent="0.2"/>
    <row r="396" spans="3:19" ht="25.5" hidden="1" outlineLevel="2" x14ac:dyDescent="0.2">
      <c r="D396" s="956" t="s">
        <v>1060</v>
      </c>
      <c r="E396" s="957"/>
      <c r="F396" s="957"/>
      <c r="G396" s="957"/>
      <c r="I396" s="379" t="s">
        <v>1092</v>
      </c>
      <c r="K396" s="379" t="s">
        <v>995</v>
      </c>
      <c r="M396" s="379" t="s">
        <v>1038</v>
      </c>
      <c r="O396" s="379" t="s">
        <v>1062</v>
      </c>
      <c r="Q396" s="387" t="str">
        <f>"FINANCIAL COST ("&amp;INDEX(LU_PLUG_3_Train_Curr,DD_PLUG_3_Train1_Curr)&amp;")"</f>
        <v>FINANCIAL COST (USD)</v>
      </c>
      <c r="S396" s="387" t="str">
        <f>"ECONOMIC COST ("&amp;INDEX(LU_PLUG_3_Train_Curr,DD_PLUG_3_Train1_Curr)&amp;")"</f>
        <v>ECONOMIC COST (USD)</v>
      </c>
    </row>
    <row r="397" spans="3:19" hidden="1" outlineLevel="2" x14ac:dyDescent="0.2">
      <c r="D397" s="721" t="s">
        <v>1056</v>
      </c>
      <c r="E397" s="721"/>
      <c r="F397" s="721"/>
      <c r="G397" s="721"/>
      <c r="I397" s="372">
        <v>0</v>
      </c>
      <c r="K397" s="372">
        <v>0</v>
      </c>
      <c r="M397" s="372">
        <v>0</v>
      </c>
      <c r="O397" s="372">
        <v>0</v>
      </c>
      <c r="Q397" s="383">
        <f>I397*K397*M397</f>
        <v>0</v>
      </c>
      <c r="S397" s="383">
        <f>I397*K397*O397</f>
        <v>0</v>
      </c>
    </row>
    <row r="398" spans="3:19" hidden="1" outlineLevel="2" x14ac:dyDescent="0.2">
      <c r="D398" s="721" t="s">
        <v>1057</v>
      </c>
      <c r="E398" s="721"/>
      <c r="F398" s="721"/>
      <c r="G398" s="721"/>
      <c r="I398" s="372">
        <v>0</v>
      </c>
      <c r="K398" s="372">
        <v>0</v>
      </c>
      <c r="M398" s="372">
        <v>0</v>
      </c>
      <c r="O398" s="372">
        <v>0</v>
      </c>
      <c r="Q398" s="383">
        <f>I398*K398*M398</f>
        <v>0</v>
      </c>
      <c r="S398" s="383">
        <f>I398*K398*O398</f>
        <v>0</v>
      </c>
    </row>
    <row r="399" spans="3:19" hidden="1" outlineLevel="2" x14ac:dyDescent="0.2">
      <c r="D399" s="721" t="s">
        <v>1058</v>
      </c>
      <c r="E399" s="721"/>
      <c r="F399" s="721"/>
      <c r="G399" s="721"/>
      <c r="I399" s="372">
        <v>0</v>
      </c>
      <c r="K399" s="372">
        <v>0</v>
      </c>
      <c r="M399" s="372">
        <v>0</v>
      </c>
      <c r="O399" s="372">
        <v>0</v>
      </c>
      <c r="Q399" s="384">
        <f>I399*K399*M399</f>
        <v>0</v>
      </c>
      <c r="S399" s="384">
        <f>I399*K399*O399</f>
        <v>0</v>
      </c>
    </row>
    <row r="400" spans="3:19" hidden="1" outlineLevel="2" x14ac:dyDescent="0.2">
      <c r="D400" s="909" t="str">
        <f>"Total "&amp;D396</f>
        <v>Total Meals &amp; Refreshments Sub-Total 2</v>
      </c>
      <c r="E400" s="910"/>
      <c r="F400" s="910"/>
      <c r="G400" s="910"/>
      <c r="Q400" s="368">
        <f>SUM(Q397:Q399)</f>
        <v>0</v>
      </c>
      <c r="S400" s="368">
        <f>SUM(S397:S399)</f>
        <v>0</v>
      </c>
    </row>
    <row r="401" spans="3:19" ht="6.6" hidden="1" customHeight="1" outlineLevel="2" x14ac:dyDescent="0.2"/>
    <row r="402" spans="3:19" ht="15" hidden="1" outlineLevel="1" x14ac:dyDescent="0.2">
      <c r="D402" s="782" t="s">
        <v>1061</v>
      </c>
      <c r="E402" s="783"/>
      <c r="F402" s="783"/>
      <c r="G402" s="783"/>
      <c r="I402" s="362"/>
      <c r="K402" s="362"/>
      <c r="M402" s="362"/>
      <c r="O402" s="362"/>
      <c r="Q402" s="377">
        <f>SUM(Q394,Q400)</f>
        <v>0</v>
      </c>
      <c r="S402" s="377">
        <f>SUM(S394,S400)</f>
        <v>0</v>
      </c>
    </row>
    <row r="403" spans="3:19" hidden="1" outlineLevel="1" x14ac:dyDescent="0.2"/>
    <row r="404" spans="3:19" ht="15.75" hidden="1" outlineLevel="1" x14ac:dyDescent="0.2">
      <c r="C404" s="358" t="s">
        <v>1067</v>
      </c>
    </row>
    <row r="405" spans="3:19" hidden="1" outlineLevel="2" x14ac:dyDescent="0.2"/>
    <row r="406" spans="3:19" ht="25.5" hidden="1" outlineLevel="2" x14ac:dyDescent="0.2">
      <c r="D406" s="956" t="s">
        <v>1076</v>
      </c>
      <c r="E406" s="957"/>
      <c r="F406" s="957"/>
      <c r="G406" s="957"/>
      <c r="I406" s="379" t="s">
        <v>1081</v>
      </c>
      <c r="K406" s="379" t="s">
        <v>1038</v>
      </c>
      <c r="M406" s="379" t="s">
        <v>1050</v>
      </c>
      <c r="Q406" s="387" t="str">
        <f>"FINANCIAL COST ("&amp;INDEX(LU_PLUG_3_Train_Curr,DD_PLUG_3_Train1_Curr)&amp;")"</f>
        <v>FINANCIAL COST (USD)</v>
      </c>
      <c r="S406" s="387" t="str">
        <f>"ECONOMIC COST ("&amp;INDEX(LU_PLUG_3_Train_Curr,DD_PLUG_3_Train1_Curr)&amp;")"</f>
        <v>ECONOMIC COST (USD)</v>
      </c>
    </row>
    <row r="407" spans="3:19" hidden="1" outlineLevel="2" x14ac:dyDescent="0.2">
      <c r="D407" s="721" t="s">
        <v>1068</v>
      </c>
      <c r="E407" s="721"/>
      <c r="F407" s="721"/>
      <c r="G407" s="721"/>
      <c r="I407" s="372">
        <v>0</v>
      </c>
      <c r="K407" s="372">
        <v>0</v>
      </c>
      <c r="M407" s="372">
        <v>0</v>
      </c>
      <c r="Q407" s="383">
        <f>I407*K407</f>
        <v>0</v>
      </c>
      <c r="S407" s="383">
        <f>I407*M407</f>
        <v>0</v>
      </c>
    </row>
    <row r="408" spans="3:19" hidden="1" outlineLevel="2" x14ac:dyDescent="0.2">
      <c r="D408" s="721" t="s">
        <v>1069</v>
      </c>
      <c r="E408" s="721"/>
      <c r="F408" s="721"/>
      <c r="G408" s="721"/>
      <c r="I408" s="372">
        <v>0</v>
      </c>
      <c r="K408" s="372">
        <v>0</v>
      </c>
      <c r="M408" s="372">
        <v>0</v>
      </c>
      <c r="Q408" s="383">
        <f>I408*K408</f>
        <v>0</v>
      </c>
      <c r="S408" s="383">
        <f>I408*M408</f>
        <v>0</v>
      </c>
    </row>
    <row r="409" spans="3:19" hidden="1" outlineLevel="2" x14ac:dyDescent="0.2">
      <c r="D409" s="721" t="s">
        <v>1070</v>
      </c>
      <c r="E409" s="721"/>
      <c r="F409" s="721"/>
      <c r="G409" s="721"/>
      <c r="I409" s="372">
        <v>0</v>
      </c>
      <c r="K409" s="372">
        <v>0</v>
      </c>
      <c r="M409" s="372">
        <v>0</v>
      </c>
      <c r="Q409" s="383">
        <f>I409*K409</f>
        <v>0</v>
      </c>
      <c r="S409" s="383">
        <f>I409*M409</f>
        <v>0</v>
      </c>
    </row>
    <row r="410" spans="3:19" hidden="1" outlineLevel="2" x14ac:dyDescent="0.2">
      <c r="D410" s="721" t="s">
        <v>1071</v>
      </c>
      <c r="E410" s="721"/>
      <c r="F410" s="721"/>
      <c r="G410" s="721"/>
      <c r="I410" s="372">
        <v>0</v>
      </c>
      <c r="K410" s="372">
        <v>0</v>
      </c>
      <c r="M410" s="372">
        <v>0</v>
      </c>
      <c r="Q410" s="384">
        <f>I410*K410</f>
        <v>0</v>
      </c>
      <c r="S410" s="384">
        <f>I410*M410</f>
        <v>0</v>
      </c>
    </row>
    <row r="411" spans="3:19" hidden="1" outlineLevel="2" x14ac:dyDescent="0.2">
      <c r="D411" s="909" t="str">
        <f>"Total "&amp;D406</f>
        <v>Total Materials &amp; Supplies Sub-Total 1</v>
      </c>
      <c r="E411" s="910"/>
      <c r="F411" s="910"/>
      <c r="G411" s="910"/>
      <c r="Q411" s="368">
        <f>SUM(Q407:Q410)</f>
        <v>0</v>
      </c>
      <c r="S411" s="368">
        <f>SUM(S407:S410)</f>
        <v>0</v>
      </c>
    </row>
    <row r="412" spans="3:19" ht="6.6" hidden="1" customHeight="1" outlineLevel="2" x14ac:dyDescent="0.2"/>
    <row r="413" spans="3:19" ht="25.5" hidden="1" outlineLevel="2" x14ac:dyDescent="0.2">
      <c r="D413" s="956" t="s">
        <v>1077</v>
      </c>
      <c r="E413" s="957"/>
      <c r="F413" s="957"/>
      <c r="G413" s="957"/>
      <c r="I413" s="379" t="s">
        <v>1081</v>
      </c>
      <c r="K413" s="379" t="s">
        <v>1038</v>
      </c>
      <c r="M413" s="379" t="s">
        <v>1050</v>
      </c>
      <c r="Q413" s="387" t="str">
        <f>"FINANCIAL COST ("&amp;INDEX(LU_PLUG_3_Train_Curr,DD_PLUG_3_Train1_Curr)&amp;")"</f>
        <v>FINANCIAL COST (USD)</v>
      </c>
      <c r="S413" s="387" t="str">
        <f>"ECONOMIC COST ("&amp;INDEX(LU_PLUG_3_Train_Curr,DD_PLUG_3_Train1_Curr)&amp;")"</f>
        <v>ECONOMIC COST (USD)</v>
      </c>
    </row>
    <row r="414" spans="3:19" hidden="1" outlineLevel="2" x14ac:dyDescent="0.2">
      <c r="D414" s="721" t="s">
        <v>1072</v>
      </c>
      <c r="E414" s="721"/>
      <c r="F414" s="721"/>
      <c r="G414" s="721"/>
      <c r="I414" s="372">
        <v>0</v>
      </c>
      <c r="K414" s="372">
        <v>0</v>
      </c>
      <c r="M414" s="372">
        <v>0</v>
      </c>
      <c r="Q414" s="383">
        <f>I414*K414</f>
        <v>0</v>
      </c>
      <c r="S414" s="383">
        <f>I414*M414</f>
        <v>0</v>
      </c>
    </row>
    <row r="415" spans="3:19" hidden="1" outlineLevel="2" x14ac:dyDescent="0.2">
      <c r="D415" s="721" t="s">
        <v>1073</v>
      </c>
      <c r="E415" s="721"/>
      <c r="F415" s="721"/>
      <c r="G415" s="721"/>
      <c r="I415" s="372">
        <v>0</v>
      </c>
      <c r="K415" s="372">
        <v>0</v>
      </c>
      <c r="M415" s="372">
        <v>0</v>
      </c>
      <c r="Q415" s="383">
        <f>I415*K415</f>
        <v>0</v>
      </c>
      <c r="S415" s="383">
        <f>I415*M415</f>
        <v>0</v>
      </c>
    </row>
    <row r="416" spans="3:19" hidden="1" outlineLevel="2" x14ac:dyDescent="0.2">
      <c r="D416" s="721" t="s">
        <v>1074</v>
      </c>
      <c r="E416" s="721"/>
      <c r="F416" s="721"/>
      <c r="G416" s="721"/>
      <c r="I416" s="372">
        <v>0</v>
      </c>
      <c r="K416" s="372">
        <v>0</v>
      </c>
      <c r="M416" s="372">
        <v>0</v>
      </c>
      <c r="Q416" s="383">
        <f>I416*K416</f>
        <v>0</v>
      </c>
      <c r="S416" s="383">
        <f>I416*M416</f>
        <v>0</v>
      </c>
    </row>
    <row r="417" spans="3:19" hidden="1" outlineLevel="2" x14ac:dyDescent="0.2">
      <c r="D417" s="721" t="s">
        <v>1075</v>
      </c>
      <c r="E417" s="721"/>
      <c r="F417" s="721"/>
      <c r="G417" s="721"/>
      <c r="I417" s="372">
        <v>0</v>
      </c>
      <c r="K417" s="372">
        <v>0</v>
      </c>
      <c r="M417" s="372">
        <v>0</v>
      </c>
      <c r="Q417" s="384">
        <f>I417*K417</f>
        <v>0</v>
      </c>
      <c r="S417" s="384">
        <f>I417*M417</f>
        <v>0</v>
      </c>
    </row>
    <row r="418" spans="3:19" hidden="1" outlineLevel="2" x14ac:dyDescent="0.2">
      <c r="D418" s="909" t="str">
        <f>"Total "&amp;D413</f>
        <v>Total Materials &amp; Supplies Sub-Total 2</v>
      </c>
      <c r="E418" s="910"/>
      <c r="F418" s="910"/>
      <c r="G418" s="910"/>
      <c r="Q418" s="368">
        <f>SUM(Q414:Q417)</f>
        <v>0</v>
      </c>
      <c r="S418" s="368">
        <f>SUM(S414:S417)</f>
        <v>0</v>
      </c>
    </row>
    <row r="419" spans="3:19" ht="6.6" hidden="1" customHeight="1" outlineLevel="2" x14ac:dyDescent="0.2"/>
    <row r="420" spans="3:19" ht="15" hidden="1" outlineLevel="1" x14ac:dyDescent="0.2">
      <c r="D420" s="782" t="s">
        <v>1078</v>
      </c>
      <c r="E420" s="783"/>
      <c r="F420" s="783"/>
      <c r="G420" s="783"/>
      <c r="I420" s="362"/>
      <c r="K420" s="362"/>
      <c r="M420" s="362"/>
      <c r="Q420" s="377">
        <f>SUM(Q411,Q418)</f>
        <v>0</v>
      </c>
      <c r="S420" s="377">
        <f>SUM(S411,S418)</f>
        <v>0</v>
      </c>
    </row>
    <row r="421" spans="3:19" hidden="1" outlineLevel="1" x14ac:dyDescent="0.2"/>
    <row r="422" spans="3:19" ht="15.75" hidden="1" outlineLevel="1" x14ac:dyDescent="0.2">
      <c r="C422" s="358" t="s">
        <v>1082</v>
      </c>
    </row>
    <row r="423" spans="3:19" hidden="1" outlineLevel="2" x14ac:dyDescent="0.2"/>
    <row r="424" spans="3:19" ht="15" hidden="1" outlineLevel="2" x14ac:dyDescent="0.2">
      <c r="D424" s="367" t="s">
        <v>998</v>
      </c>
      <c r="I424" s="369" t="s">
        <v>1084</v>
      </c>
      <c r="K424" s="369" t="s">
        <v>1085</v>
      </c>
      <c r="M424" s="369" t="s">
        <v>1038</v>
      </c>
      <c r="O424" s="369" t="s">
        <v>1050</v>
      </c>
      <c r="Q424" s="373" t="str">
        <f>"FINANCIAL COST ("&amp;INDEX(LU_PLUG_3_Train_Curr,DD_PLUG_3_Train1_Curr)&amp;")"</f>
        <v>FINANCIAL COST (USD)</v>
      </c>
      <c r="S424" s="373" t="str">
        <f>"ECONOMIC COST ("&amp;INDEX(LU_PLUG_3_Train_Curr,DD_PLUG_3_Train1_Curr)&amp;")"</f>
        <v>ECONOMIC COST (USD)</v>
      </c>
    </row>
    <row r="425" spans="3:19" hidden="1" outlineLevel="2" x14ac:dyDescent="0.2">
      <c r="D425" s="721" t="s">
        <v>1001</v>
      </c>
      <c r="E425" s="721"/>
      <c r="F425" s="721"/>
      <c r="G425" s="721"/>
      <c r="I425" s="372">
        <v>0</v>
      </c>
      <c r="K425" s="372">
        <v>0</v>
      </c>
      <c r="M425" s="372">
        <v>0</v>
      </c>
      <c r="O425" s="372">
        <v>0</v>
      </c>
      <c r="Q425" s="368">
        <f>I425*K425*M425</f>
        <v>0</v>
      </c>
      <c r="S425" s="368">
        <f>I425*K425*O425</f>
        <v>0</v>
      </c>
    </row>
    <row r="426" spans="3:19" hidden="1" outlineLevel="2" x14ac:dyDescent="0.2">
      <c r="D426" s="721" t="s">
        <v>1002</v>
      </c>
      <c r="E426" s="721"/>
      <c r="F426" s="721"/>
      <c r="G426" s="721"/>
      <c r="I426" s="372">
        <v>0</v>
      </c>
      <c r="K426" s="372">
        <v>0</v>
      </c>
      <c r="M426" s="372">
        <v>0</v>
      </c>
      <c r="O426" s="372">
        <v>0</v>
      </c>
      <c r="Q426" s="368">
        <f>I426*K426*M426</f>
        <v>0</v>
      </c>
      <c r="S426" s="368">
        <f>I426*K426*O426</f>
        <v>0</v>
      </c>
    </row>
    <row r="427" spans="3:19" hidden="1" outlineLevel="2" x14ac:dyDescent="0.2">
      <c r="D427" s="721" t="s">
        <v>1003</v>
      </c>
      <c r="E427" s="721"/>
      <c r="F427" s="721"/>
      <c r="G427" s="721"/>
      <c r="I427" s="372">
        <v>0</v>
      </c>
      <c r="K427" s="372">
        <v>0</v>
      </c>
      <c r="M427" s="372">
        <v>0</v>
      </c>
      <c r="O427" s="372">
        <v>0</v>
      </c>
      <c r="Q427" s="368">
        <f>I427*K427*M427</f>
        <v>0</v>
      </c>
      <c r="S427" s="368">
        <f>I427*K427*O427</f>
        <v>0</v>
      </c>
    </row>
    <row r="428" spans="3:19" hidden="1" outlineLevel="2" x14ac:dyDescent="0.2">
      <c r="D428" s="721" t="s">
        <v>1004</v>
      </c>
      <c r="E428" s="721"/>
      <c r="F428" s="721"/>
      <c r="G428" s="721"/>
      <c r="I428" s="372">
        <v>0</v>
      </c>
      <c r="K428" s="372">
        <v>0</v>
      </c>
      <c r="M428" s="372">
        <v>0</v>
      </c>
      <c r="O428" s="372">
        <v>0</v>
      </c>
      <c r="Q428" s="368">
        <f>I428*K428*M428</f>
        <v>0</v>
      </c>
      <c r="S428" s="368">
        <f>I428*K428*O428</f>
        <v>0</v>
      </c>
    </row>
    <row r="429" spans="3:19" hidden="1" outlineLevel="2" x14ac:dyDescent="0.2">
      <c r="D429" s="721" t="s">
        <v>1005</v>
      </c>
      <c r="E429" s="721"/>
      <c r="F429" s="721"/>
      <c r="G429" s="721"/>
      <c r="I429" s="372">
        <v>0</v>
      </c>
      <c r="K429" s="372">
        <v>0</v>
      </c>
      <c r="M429" s="372">
        <v>0</v>
      </c>
      <c r="O429" s="372">
        <v>0</v>
      </c>
      <c r="Q429" s="368">
        <f>I429*K429*M429</f>
        <v>0</v>
      </c>
      <c r="S429" s="368">
        <f>I429*K429*O429</f>
        <v>0</v>
      </c>
    </row>
    <row r="430" spans="3:19" ht="15" hidden="1" outlineLevel="1" x14ac:dyDescent="0.2">
      <c r="D430" s="782" t="s">
        <v>1006</v>
      </c>
      <c r="E430" s="783"/>
      <c r="F430" s="783"/>
      <c r="G430" s="783"/>
      <c r="I430" s="368"/>
      <c r="K430" s="368"/>
      <c r="M430" s="368"/>
      <c r="O430" s="368"/>
      <c r="Q430" s="377">
        <f>SUM(Q425:Q429)</f>
        <v>0</v>
      </c>
      <c r="S430" s="377">
        <f>SUM(S425:S429)</f>
        <v>0</v>
      </c>
    </row>
    <row r="431" spans="3:19" hidden="1" outlineLevel="1" x14ac:dyDescent="0.2"/>
    <row r="432" spans="3:19" ht="15.75" hidden="1" outlineLevel="1" x14ac:dyDescent="0.2">
      <c r="C432" s="358" t="s">
        <v>1007</v>
      </c>
    </row>
    <row r="433" spans="2:23" hidden="1" outlineLevel="2" x14ac:dyDescent="0.2"/>
    <row r="434" spans="2:23" ht="15" hidden="1" outlineLevel="2" x14ac:dyDescent="0.2">
      <c r="D434" s="367" t="s">
        <v>998</v>
      </c>
      <c r="I434" s="369" t="s">
        <v>1084</v>
      </c>
      <c r="M434" s="369" t="s">
        <v>1038</v>
      </c>
      <c r="O434" s="369" t="s">
        <v>1050</v>
      </c>
      <c r="Q434" s="373" t="str">
        <f>"FINANCIAL COST ("&amp;INDEX(LU_PLUG_3_Train_Curr,DD_PLUG_3_Train1_Curr)&amp;")"</f>
        <v>FINANCIAL COST (USD)</v>
      </c>
      <c r="S434" s="373" t="str">
        <f>"ECONOMIC COST ("&amp;INDEX(LU_PLUG_3_Train_Curr,DD_PLUG_3_Train1_Curr)&amp;")"</f>
        <v>ECONOMIC COST (USD)</v>
      </c>
    </row>
    <row r="435" spans="2:23" hidden="1" outlineLevel="2" x14ac:dyDescent="0.2">
      <c r="D435" s="721" t="s">
        <v>1086</v>
      </c>
      <c r="E435" s="721"/>
      <c r="F435" s="721"/>
      <c r="G435" s="721"/>
      <c r="I435" s="372">
        <v>0</v>
      </c>
      <c r="M435" s="372">
        <v>0</v>
      </c>
      <c r="O435" s="372">
        <v>0</v>
      </c>
      <c r="Q435" s="368">
        <f>I435*M435</f>
        <v>0</v>
      </c>
      <c r="S435" s="368">
        <f>I435*O435</f>
        <v>0</v>
      </c>
    </row>
    <row r="436" spans="2:23" hidden="1" outlineLevel="2" x14ac:dyDescent="0.2">
      <c r="D436" s="721" t="s">
        <v>1087</v>
      </c>
      <c r="E436" s="721"/>
      <c r="F436" s="721"/>
      <c r="G436" s="721"/>
      <c r="I436" s="372">
        <v>0</v>
      </c>
      <c r="M436" s="372">
        <v>0</v>
      </c>
      <c r="O436" s="372">
        <v>0</v>
      </c>
      <c r="Q436" s="368">
        <f>I436*M436</f>
        <v>0</v>
      </c>
      <c r="S436" s="368">
        <f>I436*O436</f>
        <v>0</v>
      </c>
    </row>
    <row r="437" spans="2:23" hidden="1" outlineLevel="2" x14ac:dyDescent="0.2">
      <c r="D437" s="721" t="s">
        <v>1088</v>
      </c>
      <c r="E437" s="721"/>
      <c r="F437" s="721"/>
      <c r="G437" s="721"/>
      <c r="I437" s="372">
        <v>0</v>
      </c>
      <c r="M437" s="372">
        <v>0</v>
      </c>
      <c r="O437" s="372">
        <v>0</v>
      </c>
      <c r="Q437" s="368">
        <f>I437*M437</f>
        <v>0</v>
      </c>
      <c r="S437" s="368">
        <f>I437*O437</f>
        <v>0</v>
      </c>
    </row>
    <row r="438" spans="2:23" hidden="1" outlineLevel="2" x14ac:dyDescent="0.2">
      <c r="D438" s="721" t="s">
        <v>1089</v>
      </c>
      <c r="E438" s="721"/>
      <c r="F438" s="721"/>
      <c r="G438" s="721"/>
      <c r="I438" s="372">
        <v>0</v>
      </c>
      <c r="M438" s="372">
        <v>0</v>
      </c>
      <c r="O438" s="372">
        <v>0</v>
      </c>
      <c r="Q438" s="368">
        <f>I438*M438</f>
        <v>0</v>
      </c>
      <c r="S438" s="368">
        <f>I438*O438</f>
        <v>0</v>
      </c>
    </row>
    <row r="439" spans="2:23" hidden="1" outlineLevel="2" x14ac:dyDescent="0.2">
      <c r="D439" s="721" t="s">
        <v>1090</v>
      </c>
      <c r="E439" s="721"/>
      <c r="F439" s="721"/>
      <c r="G439" s="721"/>
      <c r="I439" s="372">
        <v>0</v>
      </c>
      <c r="M439" s="372">
        <v>0</v>
      </c>
      <c r="O439" s="372">
        <v>0</v>
      </c>
      <c r="Q439" s="368">
        <f>I439*M439</f>
        <v>0</v>
      </c>
      <c r="S439" s="368">
        <f>I439*O439</f>
        <v>0</v>
      </c>
    </row>
    <row r="440" spans="2:23" ht="15" hidden="1" outlineLevel="1" x14ac:dyDescent="0.2">
      <c r="D440" s="782" t="s">
        <v>1091</v>
      </c>
      <c r="E440" s="783"/>
      <c r="F440" s="783"/>
      <c r="G440" s="783"/>
      <c r="I440" s="368">
        <f>SUM(I435:I439)</f>
        <v>0</v>
      </c>
      <c r="M440" s="368">
        <f>SUM(M435:M439)</f>
        <v>0</v>
      </c>
      <c r="O440" s="368">
        <f>SUM(O435:O439)</f>
        <v>0</v>
      </c>
      <c r="Q440" s="377">
        <f>SUM(Q435:Q439)</f>
        <v>0</v>
      </c>
      <c r="S440" s="377">
        <f>SUM(S435:S439)</f>
        <v>0</v>
      </c>
    </row>
    <row r="441" spans="2:23" collapsed="1" x14ac:dyDescent="0.2"/>
    <row r="442" spans="2:23" ht="25.5" x14ac:dyDescent="0.2">
      <c r="Q442" s="365" t="str">
        <f>"FINANCIAL COST ("&amp;INDEX(LU_PLUG_3_Train_Curr,DD_PLUG_3_Train1_Curr)&amp;")"</f>
        <v>FINANCIAL COST (USD)</v>
      </c>
      <c r="S442" s="365" t="str">
        <f>"ECONOMIC COST ("&amp;INDEX(LU_PLUG_3_Train_Curr,DD_PLUG_3_Train1_Curr)&amp;")"</f>
        <v>ECONOMIC COST (USD)</v>
      </c>
      <c r="U442" s="365" t="str">
        <f>"FINANCIAL COST ("&amp;IF(DD_PLUG_3_Train1_Curr=2,$D$447,$D$448)&amp;")"</f>
        <v>FINANCIAL COST (ZMW)</v>
      </c>
      <c r="W442" s="365" t="str">
        <f>"ECONOMIC COST ("&amp;IF(DD_PLUG_3_Train1_Curr=2,$D$447,$D$448)&amp;")"</f>
        <v>ECONOMIC COST (ZMW)</v>
      </c>
    </row>
    <row r="443" spans="2:23" ht="15.75" thickBot="1" x14ac:dyDescent="0.25">
      <c r="B443" s="359" t="str">
        <f>"Total Estimated Costs "&amp;I307</f>
        <v>Total Estimated Costs Training of Service Providers - VIA Only</v>
      </c>
      <c r="Q443" s="388">
        <f>SUM(Q337,Q366,Q386,Q402,Q420,Q430,Q440)</f>
        <v>0</v>
      </c>
      <c r="S443" s="388">
        <f>S337+S366+S386+S402+S420+S430+S440</f>
        <v>0</v>
      </c>
      <c r="U443" s="389">
        <f>IF(DD_PLUG_3_Train1_Curr=2,$Q443/$J$448,$Q443*$J$448)</f>
        <v>0</v>
      </c>
      <c r="W443" s="389">
        <f>IF(DD_PLUG_3_Train1_Curr=2,$S443/$J$448,$S443*$J$448)</f>
        <v>0</v>
      </c>
    </row>
    <row r="444" spans="2:23" ht="13.5" thickTop="1" x14ac:dyDescent="0.2"/>
    <row r="445" spans="2:23" x14ac:dyDescent="0.2">
      <c r="C445" s="369" t="s">
        <v>212</v>
      </c>
    </row>
    <row r="446" spans="2:23" hidden="1" outlineLevel="1" x14ac:dyDescent="0.2"/>
    <row r="447" spans="2:23" ht="12.95" hidden="1" customHeight="1" outlineLevel="1" x14ac:dyDescent="0.2">
      <c r="D447" s="785" t="str">
        <f>Econ_Ann_TA!D13</f>
        <v>USD</v>
      </c>
      <c r="E447" s="965"/>
      <c r="F447" s="965"/>
      <c r="G447" s="965"/>
      <c r="J447" s="604">
        <f>Econ_Ann_TA!J13</f>
        <v>1</v>
      </c>
      <c r="K447" s="604">
        <f>Econ_Ann_TA!K13</f>
        <v>1</v>
      </c>
      <c r="L447" s="604">
        <f>Econ_Ann_TA!L13</f>
        <v>1</v>
      </c>
      <c r="M447" s="604">
        <f>Econ_Ann_TA!M13</f>
        <v>1</v>
      </c>
      <c r="Q447" s="368"/>
    </row>
    <row r="448" spans="2:23" hidden="1" outlineLevel="1" x14ac:dyDescent="0.2">
      <c r="D448" s="785" t="str">
        <f>Econ_Ann_TA!D14</f>
        <v>ZMW</v>
      </c>
      <c r="E448" s="965"/>
      <c r="F448" s="965"/>
      <c r="G448" s="965"/>
      <c r="J448" s="604">
        <f>Econ_Ann_TA!J14</f>
        <v>10.971399999999999</v>
      </c>
      <c r="K448" s="604">
        <f>Econ_Ann_TA!K14</f>
        <v>10.971399999999999</v>
      </c>
      <c r="L448" s="604">
        <f>Econ_Ann_TA!L14</f>
        <v>10.971399999999999</v>
      </c>
      <c r="M448" s="604">
        <f>Econ_Ann_TA!M14</f>
        <v>10.971399999999999</v>
      </c>
      <c r="Q448" s="604"/>
    </row>
    <row r="449" spans="2:19" collapsed="1" x14ac:dyDescent="0.2"/>
    <row r="451" spans="2:19" ht="18.75" x14ac:dyDescent="0.2">
      <c r="B451" s="357" t="s">
        <v>1134</v>
      </c>
    </row>
    <row r="454" spans="2:19" ht="15.75" x14ac:dyDescent="0.2">
      <c r="B454" s="428" t="str">
        <f>I455</f>
        <v>Training of Service Providers - VIA and CRYO</v>
      </c>
    </row>
    <row r="455" spans="2:19" x14ac:dyDescent="0.2">
      <c r="G455" s="360" t="s">
        <v>1135</v>
      </c>
      <c r="I455" s="966" t="s">
        <v>1189</v>
      </c>
      <c r="J455" s="966"/>
      <c r="K455" s="966"/>
      <c r="L455" s="966"/>
      <c r="M455" s="966"/>
    </row>
    <row r="456" spans="2:19" ht="10.5" hidden="1" customHeight="1" outlineLevel="1" x14ac:dyDescent="0.2">
      <c r="G456" s="360" t="s">
        <v>1120</v>
      </c>
      <c r="I456" s="361">
        <v>1</v>
      </c>
    </row>
    <row r="457" spans="2:19" ht="15.75" hidden="1" outlineLevel="1" x14ac:dyDescent="0.2">
      <c r="C457" s="358" t="s">
        <v>414</v>
      </c>
    </row>
    <row r="458" spans="2:19" hidden="1" outlineLevel="2" x14ac:dyDescent="0.2"/>
    <row r="459" spans="2:19" ht="15.75" hidden="1" outlineLevel="2" x14ac:dyDescent="0.2">
      <c r="D459" s="358" t="s">
        <v>1011</v>
      </c>
    </row>
    <row r="460" spans="2:19" ht="51" hidden="1" outlineLevel="2" x14ac:dyDescent="0.2">
      <c r="D460" s="956" t="s">
        <v>1022</v>
      </c>
      <c r="E460" s="957"/>
      <c r="F460" s="957"/>
      <c r="G460" s="957"/>
      <c r="I460" s="379" t="s">
        <v>1018</v>
      </c>
      <c r="K460" s="379" t="s">
        <v>995</v>
      </c>
      <c r="M460" s="379" t="s">
        <v>1019</v>
      </c>
      <c r="O460" s="379" t="s">
        <v>1020</v>
      </c>
      <c r="Q460" s="390" t="str">
        <f>"FINANCIAL COST ("&amp;INDEX(LU_PLUG_4_Train_Curr,DD_PLUG_4_Train1_Curr)&amp;")"</f>
        <v>FINANCIAL COST (USD)</v>
      </c>
      <c r="S460" s="390" t="str">
        <f>"ECONOMIC COST ("&amp;INDEX(LU_PLUG_4_Train_Curr,DD_PLUG_4_Train1_Curr)&amp;")"</f>
        <v>ECONOMIC COST (USD)</v>
      </c>
    </row>
    <row r="461" spans="2:19" hidden="1" outlineLevel="2" x14ac:dyDescent="0.2">
      <c r="D461" s="721" t="s">
        <v>1013</v>
      </c>
      <c r="E461" s="721"/>
      <c r="F461" s="721"/>
      <c r="G461" s="721"/>
      <c r="I461" s="372">
        <v>0</v>
      </c>
      <c r="K461" s="372">
        <v>0</v>
      </c>
      <c r="M461" s="372">
        <v>0</v>
      </c>
      <c r="O461" s="372">
        <v>0</v>
      </c>
      <c r="Q461" s="383">
        <f>I461*K461*M461</f>
        <v>0</v>
      </c>
      <c r="S461" s="383">
        <f>I461*K461*O461</f>
        <v>0</v>
      </c>
    </row>
    <row r="462" spans="2:19" hidden="1" outlineLevel="2" x14ac:dyDescent="0.2">
      <c r="D462" s="721" t="s">
        <v>1014</v>
      </c>
      <c r="E462" s="721"/>
      <c r="F462" s="721"/>
      <c r="G462" s="721"/>
      <c r="I462" s="372">
        <v>0</v>
      </c>
      <c r="K462" s="372">
        <v>0</v>
      </c>
      <c r="M462" s="372">
        <v>0</v>
      </c>
      <c r="O462" s="372">
        <v>0</v>
      </c>
      <c r="Q462" s="383">
        <f>I462*K462*M462</f>
        <v>0</v>
      </c>
      <c r="S462" s="383">
        <f>I462*K462*O462</f>
        <v>0</v>
      </c>
    </row>
    <row r="463" spans="2:19" hidden="1" outlineLevel="2" x14ac:dyDescent="0.2">
      <c r="D463" s="721" t="s">
        <v>1015</v>
      </c>
      <c r="E463" s="721"/>
      <c r="F463" s="721"/>
      <c r="G463" s="721"/>
      <c r="I463" s="372">
        <v>0</v>
      </c>
      <c r="K463" s="372">
        <v>0</v>
      </c>
      <c r="M463" s="372">
        <v>0</v>
      </c>
      <c r="O463" s="372">
        <v>0</v>
      </c>
      <c r="Q463" s="383">
        <f>I463*K463*M463</f>
        <v>0</v>
      </c>
      <c r="S463" s="383">
        <f>I463*K463*O463</f>
        <v>0</v>
      </c>
    </row>
    <row r="464" spans="2:19" hidden="1" outlineLevel="2" x14ac:dyDescent="0.2">
      <c r="D464" s="721" t="s">
        <v>1016</v>
      </c>
      <c r="E464" s="721"/>
      <c r="F464" s="721"/>
      <c r="G464" s="721"/>
      <c r="I464" s="372">
        <v>0</v>
      </c>
      <c r="K464" s="372">
        <v>0</v>
      </c>
      <c r="M464" s="372">
        <v>0</v>
      </c>
      <c r="O464" s="372">
        <v>0</v>
      </c>
      <c r="Q464" s="383">
        <f>I464*K464*M464</f>
        <v>0</v>
      </c>
      <c r="S464" s="383">
        <f>I464*K464*O464</f>
        <v>0</v>
      </c>
    </row>
    <row r="465" spans="4:19" hidden="1" outlineLevel="2" x14ac:dyDescent="0.2">
      <c r="D465" s="721" t="s">
        <v>1017</v>
      </c>
      <c r="E465" s="721"/>
      <c r="F465" s="721"/>
      <c r="G465" s="721"/>
      <c r="I465" s="372">
        <v>0</v>
      </c>
      <c r="K465" s="372">
        <v>0</v>
      </c>
      <c r="M465" s="372">
        <v>0</v>
      </c>
      <c r="O465" s="372">
        <v>0</v>
      </c>
      <c r="Q465" s="384">
        <f>I465*K465*M465</f>
        <v>0</v>
      </c>
      <c r="S465" s="384">
        <f>I465*K465*O465</f>
        <v>0</v>
      </c>
    </row>
    <row r="466" spans="4:19" hidden="1" outlineLevel="2" x14ac:dyDescent="0.2">
      <c r="D466" s="909" t="str">
        <f>"Total "&amp;D460</f>
        <v>Total Training Personnel Sub-Total 1</v>
      </c>
      <c r="E466" s="910"/>
      <c r="F466" s="910"/>
      <c r="G466" s="910"/>
      <c r="I466" s="542">
        <f>SUM(I461:I465)</f>
        <v>0</v>
      </c>
      <c r="Q466" s="368">
        <f>SUM(Q461:Q465)</f>
        <v>0</v>
      </c>
      <c r="S466" s="368">
        <f>SUM(S461:S465)</f>
        <v>0</v>
      </c>
    </row>
    <row r="467" spans="4:19" ht="6.6" hidden="1" customHeight="1" outlineLevel="2" x14ac:dyDescent="0.2"/>
    <row r="468" spans="4:19" ht="51" hidden="1" outlineLevel="2" x14ac:dyDescent="0.2">
      <c r="D468" s="956" t="s">
        <v>1023</v>
      </c>
      <c r="E468" s="957"/>
      <c r="F468" s="957"/>
      <c r="G468" s="957"/>
      <c r="I468" s="379" t="s">
        <v>1018</v>
      </c>
      <c r="K468" s="379" t="s">
        <v>995</v>
      </c>
      <c r="M468" s="379" t="s">
        <v>1019</v>
      </c>
      <c r="O468" s="379" t="s">
        <v>1020</v>
      </c>
      <c r="Q468" s="390" t="str">
        <f>"FINANCIAL COST ("&amp;INDEX(LU_PLUG_4_Train_Curr,DD_PLUG_4_Train1_Curr)&amp;")"</f>
        <v>FINANCIAL COST (USD)</v>
      </c>
      <c r="S468" s="390" t="str">
        <f>"ECONOMIC COST ("&amp;INDEX(LU_PLUG_4_Train_Curr,DD_PLUG_4_Train1_Curr)&amp;")"</f>
        <v>ECONOMIC COST (USD)</v>
      </c>
    </row>
    <row r="469" spans="4:19" hidden="1" outlineLevel="2" x14ac:dyDescent="0.2">
      <c r="D469" s="721" t="s">
        <v>1024</v>
      </c>
      <c r="E469" s="721"/>
      <c r="F469" s="721"/>
      <c r="G469" s="721"/>
      <c r="I469" s="372">
        <v>0</v>
      </c>
      <c r="K469" s="372">
        <v>0</v>
      </c>
      <c r="M469" s="372">
        <v>0</v>
      </c>
      <c r="O469" s="372">
        <v>0</v>
      </c>
      <c r="Q469" s="383">
        <f>I469*K469*M469</f>
        <v>0</v>
      </c>
      <c r="S469" s="383">
        <f>I469*K469*O469</f>
        <v>0</v>
      </c>
    </row>
    <row r="470" spans="4:19" hidden="1" outlineLevel="2" x14ac:dyDescent="0.2">
      <c r="D470" s="721" t="s">
        <v>1025</v>
      </c>
      <c r="E470" s="721"/>
      <c r="F470" s="721"/>
      <c r="G470" s="721"/>
      <c r="I470" s="372">
        <v>0</v>
      </c>
      <c r="K470" s="372">
        <v>0</v>
      </c>
      <c r="M470" s="372">
        <v>0</v>
      </c>
      <c r="O470" s="372">
        <v>0</v>
      </c>
      <c r="Q470" s="383">
        <f>I470*K470*M470</f>
        <v>0</v>
      </c>
      <c r="S470" s="383">
        <f>I470*K470*O470</f>
        <v>0</v>
      </c>
    </row>
    <row r="471" spans="4:19" hidden="1" outlineLevel="2" x14ac:dyDescent="0.2">
      <c r="D471" s="721" t="s">
        <v>1026</v>
      </c>
      <c r="E471" s="721"/>
      <c r="F471" s="721"/>
      <c r="G471" s="721"/>
      <c r="I471" s="372">
        <v>0</v>
      </c>
      <c r="K471" s="372">
        <v>0</v>
      </c>
      <c r="M471" s="372">
        <v>0</v>
      </c>
      <c r="O471" s="372">
        <v>0</v>
      </c>
      <c r="Q471" s="383">
        <f>I471*K471*M471</f>
        <v>0</v>
      </c>
      <c r="S471" s="383">
        <f>I471*K471*O471</f>
        <v>0</v>
      </c>
    </row>
    <row r="472" spans="4:19" hidden="1" outlineLevel="2" x14ac:dyDescent="0.2">
      <c r="D472" s="721" t="s">
        <v>1027</v>
      </c>
      <c r="E472" s="721"/>
      <c r="F472" s="721"/>
      <c r="G472" s="721"/>
      <c r="I472" s="372">
        <v>0</v>
      </c>
      <c r="K472" s="372">
        <v>0</v>
      </c>
      <c r="M472" s="372">
        <v>0</v>
      </c>
      <c r="O472" s="372">
        <v>0</v>
      </c>
      <c r="Q472" s="383">
        <f>I472*K472*M472</f>
        <v>0</v>
      </c>
      <c r="S472" s="383">
        <f>I472*K472*O472</f>
        <v>0</v>
      </c>
    </row>
    <row r="473" spans="4:19" hidden="1" outlineLevel="2" x14ac:dyDescent="0.2">
      <c r="D473" s="721" t="s">
        <v>1028</v>
      </c>
      <c r="E473" s="721"/>
      <c r="F473" s="721"/>
      <c r="G473" s="721"/>
      <c r="I473" s="372">
        <v>0</v>
      </c>
      <c r="K473" s="372">
        <v>0</v>
      </c>
      <c r="M473" s="372">
        <v>0</v>
      </c>
      <c r="O473" s="372">
        <v>0</v>
      </c>
      <c r="Q473" s="384">
        <f>I473*K473*M473</f>
        <v>0</v>
      </c>
      <c r="S473" s="384">
        <f>I473*K473*O473</f>
        <v>0</v>
      </c>
    </row>
    <row r="474" spans="4:19" hidden="1" outlineLevel="2" x14ac:dyDescent="0.2">
      <c r="D474" s="909" t="str">
        <f>"Total "&amp;D468</f>
        <v>Total Training Personnel Sub-Total 2</v>
      </c>
      <c r="E474" s="910"/>
      <c r="F474" s="910"/>
      <c r="G474" s="910"/>
      <c r="I474" s="542">
        <f>SUM(I469:I473)</f>
        <v>0</v>
      </c>
      <c r="Q474" s="368">
        <f>SUM(Q469:Q473)</f>
        <v>0</v>
      </c>
      <c r="S474" s="368">
        <f>SUM(S469:S473)</f>
        <v>0</v>
      </c>
    </row>
    <row r="475" spans="4:19" ht="6.6" hidden="1" customHeight="1" outlineLevel="2" x14ac:dyDescent="0.2"/>
    <row r="476" spans="4:19" ht="51" hidden="1" outlineLevel="2" x14ac:dyDescent="0.2">
      <c r="D476" s="956" t="s">
        <v>1030</v>
      </c>
      <c r="E476" s="957"/>
      <c r="F476" s="957"/>
      <c r="G476" s="957"/>
      <c r="I476" s="379" t="s">
        <v>1018</v>
      </c>
      <c r="K476" s="379" t="s">
        <v>995</v>
      </c>
      <c r="M476" s="379" t="s">
        <v>1019</v>
      </c>
      <c r="O476" s="379" t="s">
        <v>1020</v>
      </c>
      <c r="Q476" s="390" t="str">
        <f>"FINANCIAL COST ("&amp;INDEX(LU_PLUG_4_Train_Curr,DD_PLUG_4_Train1_Curr)&amp;")"</f>
        <v>FINANCIAL COST (USD)</v>
      </c>
      <c r="S476" s="390" t="str">
        <f>"ECONOMIC COST ("&amp;INDEX(LU_PLUG_4_Train_Curr,DD_PLUG_4_Train1_Curr)&amp;")"</f>
        <v>ECONOMIC COST (USD)</v>
      </c>
    </row>
    <row r="477" spans="4:19" hidden="1" outlineLevel="2" x14ac:dyDescent="0.2">
      <c r="D477" s="721" t="s">
        <v>1029</v>
      </c>
      <c r="E477" s="721"/>
      <c r="F477" s="721"/>
      <c r="G477" s="721"/>
      <c r="I477" s="372">
        <v>0</v>
      </c>
      <c r="K477" s="372">
        <v>0</v>
      </c>
      <c r="M477" s="372">
        <v>0</v>
      </c>
      <c r="O477" s="372">
        <v>0</v>
      </c>
      <c r="Q477" s="383">
        <f t="shared" ref="Q477:Q482" si="12">I477*K477*M477</f>
        <v>0</v>
      </c>
      <c r="S477" s="383">
        <f t="shared" ref="S477:S482" si="13">I477*K477*O477</f>
        <v>0</v>
      </c>
    </row>
    <row r="478" spans="4:19" hidden="1" outlineLevel="2" x14ac:dyDescent="0.2">
      <c r="D478" s="721" t="s">
        <v>1032</v>
      </c>
      <c r="E478" s="721"/>
      <c r="F478" s="721"/>
      <c r="G478" s="721"/>
      <c r="I478" s="372">
        <v>0</v>
      </c>
      <c r="K478" s="372">
        <v>0</v>
      </c>
      <c r="M478" s="372">
        <v>0</v>
      </c>
      <c r="O478" s="372">
        <v>0</v>
      </c>
      <c r="Q478" s="383">
        <f t="shared" si="12"/>
        <v>0</v>
      </c>
      <c r="S478" s="383">
        <f t="shared" si="13"/>
        <v>0</v>
      </c>
    </row>
    <row r="479" spans="4:19" hidden="1" outlineLevel="2" x14ac:dyDescent="0.2">
      <c r="D479" s="721" t="s">
        <v>1033</v>
      </c>
      <c r="E479" s="721"/>
      <c r="F479" s="721"/>
      <c r="G479" s="721"/>
      <c r="I479" s="372">
        <v>0</v>
      </c>
      <c r="K479" s="372">
        <v>0</v>
      </c>
      <c r="M479" s="372">
        <v>0</v>
      </c>
      <c r="O479" s="372">
        <v>0</v>
      </c>
      <c r="Q479" s="383">
        <f t="shared" si="12"/>
        <v>0</v>
      </c>
      <c r="S479" s="383">
        <f t="shared" si="13"/>
        <v>0</v>
      </c>
    </row>
    <row r="480" spans="4:19" hidden="1" outlineLevel="2" x14ac:dyDescent="0.2">
      <c r="D480" s="721" t="s">
        <v>1034</v>
      </c>
      <c r="E480" s="721"/>
      <c r="F480" s="721"/>
      <c r="G480" s="721"/>
      <c r="I480" s="372">
        <v>0</v>
      </c>
      <c r="K480" s="372">
        <v>0</v>
      </c>
      <c r="M480" s="372">
        <v>0</v>
      </c>
      <c r="O480" s="372">
        <v>0</v>
      </c>
      <c r="Q480" s="383">
        <f t="shared" si="12"/>
        <v>0</v>
      </c>
      <c r="S480" s="383">
        <f t="shared" si="13"/>
        <v>0</v>
      </c>
    </row>
    <row r="481" spans="3:19" hidden="1" outlineLevel="2" x14ac:dyDescent="0.2">
      <c r="D481" s="721" t="s">
        <v>1035</v>
      </c>
      <c r="E481" s="721"/>
      <c r="F481" s="721"/>
      <c r="G481" s="721"/>
      <c r="I481" s="372">
        <v>0</v>
      </c>
      <c r="K481" s="372">
        <v>0</v>
      </c>
      <c r="M481" s="372">
        <v>0</v>
      </c>
      <c r="O481" s="372">
        <v>0</v>
      </c>
      <c r="Q481" s="383">
        <f t="shared" si="12"/>
        <v>0</v>
      </c>
      <c r="S481" s="383">
        <f t="shared" si="13"/>
        <v>0</v>
      </c>
    </row>
    <row r="482" spans="3:19" hidden="1" outlineLevel="2" x14ac:dyDescent="0.2">
      <c r="D482" s="721" t="s">
        <v>1036</v>
      </c>
      <c r="E482" s="721"/>
      <c r="F482" s="721"/>
      <c r="G482" s="721"/>
      <c r="I482" s="372">
        <v>0</v>
      </c>
      <c r="K482" s="372">
        <v>0</v>
      </c>
      <c r="M482" s="372">
        <v>0</v>
      </c>
      <c r="O482" s="372">
        <v>0</v>
      </c>
      <c r="Q482" s="384">
        <f t="shared" si="12"/>
        <v>0</v>
      </c>
      <c r="S482" s="384">
        <f t="shared" si="13"/>
        <v>0</v>
      </c>
    </row>
    <row r="483" spans="3:19" hidden="1" outlineLevel="2" x14ac:dyDescent="0.2">
      <c r="D483" s="909" t="str">
        <f>"Total "&amp;D476</f>
        <v>Total Training Personnel Sub-Total 3</v>
      </c>
      <c r="E483" s="910"/>
      <c r="F483" s="910"/>
      <c r="G483" s="910"/>
      <c r="I483" s="542">
        <f>SUM(I477:I482)</f>
        <v>0</v>
      </c>
      <c r="Q483" s="368">
        <f>SUM(Q477:Q482)</f>
        <v>0</v>
      </c>
      <c r="S483" s="368">
        <f>SUM(S477:S482)</f>
        <v>0</v>
      </c>
    </row>
    <row r="484" spans="3:19" ht="6.6" hidden="1" customHeight="1" outlineLevel="2" x14ac:dyDescent="0.2"/>
    <row r="485" spans="3:19" ht="15" hidden="1" outlineLevel="1" x14ac:dyDescent="0.2">
      <c r="D485" s="782" t="s">
        <v>1052</v>
      </c>
      <c r="E485" s="783"/>
      <c r="F485" s="783"/>
      <c r="G485" s="783"/>
      <c r="I485" s="362"/>
      <c r="K485" s="362"/>
      <c r="M485" s="362"/>
      <c r="O485" s="362"/>
      <c r="Q485" s="377">
        <f>SUM(Q466,Q474,Q483)</f>
        <v>0</v>
      </c>
      <c r="S485" s="377">
        <f>SUM(S466,S474,S483)</f>
        <v>0</v>
      </c>
    </row>
    <row r="486" spans="3:19" hidden="1" outlineLevel="1" x14ac:dyDescent="0.2"/>
    <row r="487" spans="3:19" ht="15.75" hidden="1" outlineLevel="1" x14ac:dyDescent="0.2">
      <c r="C487" s="358" t="s">
        <v>996</v>
      </c>
    </row>
    <row r="488" spans="3:19" hidden="1" outlineLevel="2" x14ac:dyDescent="0.2"/>
    <row r="489" spans="3:19" ht="25.5" hidden="1" outlineLevel="2" x14ac:dyDescent="0.2">
      <c r="D489" s="791" t="str">
        <f>D460</f>
        <v>Training Personnel Sub-Total 1</v>
      </c>
      <c r="E489" s="792"/>
      <c r="F489" s="792"/>
      <c r="G489" s="792"/>
      <c r="I489" s="379" t="s">
        <v>994</v>
      </c>
      <c r="K489" s="379" t="s">
        <v>1037</v>
      </c>
      <c r="M489" s="379" t="s">
        <v>1038</v>
      </c>
      <c r="O489" s="379" t="s">
        <v>1039</v>
      </c>
      <c r="Q489" s="387" t="str">
        <f>"FINANCIAL COST ("&amp;INDEX(LU_PLUG_4_Train_Curr,DD_PLUG_4_Train1_Curr)&amp;")"</f>
        <v>FINANCIAL COST (USD)</v>
      </c>
      <c r="S489" s="387" t="str">
        <f>"ECONOMIC COST ("&amp;INDEX(LU_PLUG_4_Train_Curr,DD_PLUG_4_Train1_Curr)&amp;")"</f>
        <v>ECONOMIC COST (USD)</v>
      </c>
    </row>
    <row r="490" spans="3:19" hidden="1" outlineLevel="2" x14ac:dyDescent="0.2">
      <c r="D490" s="721" t="s">
        <v>1013</v>
      </c>
      <c r="E490" s="721"/>
      <c r="F490" s="721"/>
      <c r="G490" s="721"/>
      <c r="I490" s="372">
        <v>0</v>
      </c>
      <c r="K490" s="372">
        <v>0</v>
      </c>
      <c r="M490" s="372">
        <v>0</v>
      </c>
      <c r="O490" s="372">
        <v>0</v>
      </c>
      <c r="Q490" s="383">
        <f>I490*K490*M490</f>
        <v>0</v>
      </c>
      <c r="S490" s="383">
        <f>I490*K490*O490</f>
        <v>0</v>
      </c>
    </row>
    <row r="491" spans="3:19" hidden="1" outlineLevel="2" x14ac:dyDescent="0.2">
      <c r="D491" s="721" t="s">
        <v>1014</v>
      </c>
      <c r="E491" s="721"/>
      <c r="F491" s="721"/>
      <c r="G491" s="721"/>
      <c r="I491" s="372">
        <v>0</v>
      </c>
      <c r="K491" s="372">
        <v>0</v>
      </c>
      <c r="M491" s="372">
        <v>0</v>
      </c>
      <c r="O491" s="372">
        <v>0</v>
      </c>
      <c r="Q491" s="383">
        <f>I491*K491*M491</f>
        <v>0</v>
      </c>
      <c r="S491" s="383">
        <f>I491*K491*O491</f>
        <v>0</v>
      </c>
    </row>
    <row r="492" spans="3:19" hidden="1" outlineLevel="2" x14ac:dyDescent="0.2">
      <c r="D492" s="721" t="s">
        <v>1015</v>
      </c>
      <c r="E492" s="721"/>
      <c r="F492" s="721"/>
      <c r="G492" s="721"/>
      <c r="I492" s="372">
        <v>0</v>
      </c>
      <c r="K492" s="372">
        <v>0</v>
      </c>
      <c r="M492" s="372">
        <v>0</v>
      </c>
      <c r="O492" s="372">
        <v>0</v>
      </c>
      <c r="Q492" s="383">
        <f>I492*K492*M492</f>
        <v>0</v>
      </c>
      <c r="S492" s="383">
        <f>I492*K492*O492</f>
        <v>0</v>
      </c>
    </row>
    <row r="493" spans="3:19" hidden="1" outlineLevel="2" x14ac:dyDescent="0.2">
      <c r="D493" s="721" t="s">
        <v>1016</v>
      </c>
      <c r="E493" s="721"/>
      <c r="F493" s="721"/>
      <c r="G493" s="721"/>
      <c r="I493" s="372">
        <v>0</v>
      </c>
      <c r="K493" s="372">
        <v>0</v>
      </c>
      <c r="M493" s="372">
        <v>0</v>
      </c>
      <c r="O493" s="372">
        <v>0</v>
      </c>
      <c r="Q493" s="383">
        <f>I493*K493*M493</f>
        <v>0</v>
      </c>
      <c r="S493" s="383">
        <f>I493*K493*O493</f>
        <v>0</v>
      </c>
    </row>
    <row r="494" spans="3:19" hidden="1" outlineLevel="2" x14ac:dyDescent="0.2">
      <c r="D494" s="721" t="s">
        <v>1017</v>
      </c>
      <c r="E494" s="721"/>
      <c r="F494" s="721"/>
      <c r="G494" s="721"/>
      <c r="I494" s="372">
        <v>0</v>
      </c>
      <c r="K494" s="372">
        <v>0</v>
      </c>
      <c r="M494" s="372">
        <v>0</v>
      </c>
      <c r="O494" s="372">
        <v>0</v>
      </c>
      <c r="Q494" s="384">
        <f>I494*K494*M494</f>
        <v>0</v>
      </c>
      <c r="S494" s="384">
        <f>I494*K494*O494</f>
        <v>0</v>
      </c>
    </row>
    <row r="495" spans="3:19" hidden="1" outlineLevel="2" x14ac:dyDescent="0.2">
      <c r="D495" s="909" t="str">
        <f>"Total "&amp;D489</f>
        <v>Total Training Personnel Sub-Total 1</v>
      </c>
      <c r="E495" s="910"/>
      <c r="F495" s="910"/>
      <c r="G495" s="910"/>
      <c r="Q495" s="368">
        <f>SUM(Q490:Q494)</f>
        <v>0</v>
      </c>
      <c r="S495" s="368">
        <f>SUM(S490:S494)</f>
        <v>0</v>
      </c>
    </row>
    <row r="496" spans="3:19" ht="6.6" hidden="1" customHeight="1" outlineLevel="2" x14ac:dyDescent="0.2"/>
    <row r="497" spans="4:19" ht="25.5" hidden="1" outlineLevel="2" x14ac:dyDescent="0.2">
      <c r="D497" s="791" t="str">
        <f>D468</f>
        <v>Training Personnel Sub-Total 2</v>
      </c>
      <c r="E497" s="792"/>
      <c r="F497" s="792"/>
      <c r="G497" s="792"/>
      <c r="I497" s="379" t="s">
        <v>994</v>
      </c>
      <c r="K497" s="379" t="s">
        <v>1037</v>
      </c>
      <c r="M497" s="379" t="s">
        <v>1038</v>
      </c>
      <c r="O497" s="379" t="s">
        <v>1039</v>
      </c>
      <c r="Q497" s="387" t="str">
        <f>"FINANCIAL COST ("&amp;INDEX(LU_PLUG_4_Train_Curr,DD_PLUG_4_Train1_Curr)&amp;")"</f>
        <v>FINANCIAL COST (USD)</v>
      </c>
      <c r="S497" s="387" t="str">
        <f>"ECONOMIC COST ("&amp;INDEX(LU_PLUG_4_Train_Curr,DD_PLUG_4_Train1_Curr)&amp;")"</f>
        <v>ECONOMIC COST (USD)</v>
      </c>
    </row>
    <row r="498" spans="4:19" hidden="1" outlineLevel="2" x14ac:dyDescent="0.2">
      <c r="D498" s="721" t="s">
        <v>1024</v>
      </c>
      <c r="E498" s="721"/>
      <c r="F498" s="721"/>
      <c r="G498" s="721"/>
      <c r="I498" s="372">
        <v>0</v>
      </c>
      <c r="K498" s="372">
        <v>0</v>
      </c>
      <c r="M498" s="372">
        <v>0</v>
      </c>
      <c r="O498" s="372">
        <v>0</v>
      </c>
      <c r="Q498" s="383">
        <f>I498*K498*M498</f>
        <v>0</v>
      </c>
      <c r="S498" s="383">
        <f>I498*K498*O498</f>
        <v>0</v>
      </c>
    </row>
    <row r="499" spans="4:19" hidden="1" outlineLevel="2" x14ac:dyDescent="0.2">
      <c r="D499" s="721" t="s">
        <v>1025</v>
      </c>
      <c r="E499" s="721"/>
      <c r="F499" s="721"/>
      <c r="G499" s="721"/>
      <c r="I499" s="372">
        <v>0</v>
      </c>
      <c r="K499" s="372">
        <v>0</v>
      </c>
      <c r="M499" s="372">
        <v>0</v>
      </c>
      <c r="O499" s="372">
        <v>0</v>
      </c>
      <c r="Q499" s="383">
        <f>I499*K499*M499</f>
        <v>0</v>
      </c>
      <c r="S499" s="383">
        <f>I499*K499*O499</f>
        <v>0</v>
      </c>
    </row>
    <row r="500" spans="4:19" hidden="1" outlineLevel="2" x14ac:dyDescent="0.2">
      <c r="D500" s="721" t="s">
        <v>1026</v>
      </c>
      <c r="E500" s="721"/>
      <c r="F500" s="721"/>
      <c r="G500" s="721"/>
      <c r="I500" s="372">
        <v>0</v>
      </c>
      <c r="K500" s="372">
        <v>0</v>
      </c>
      <c r="M500" s="372">
        <v>0</v>
      </c>
      <c r="O500" s="372">
        <v>0</v>
      </c>
      <c r="Q500" s="383">
        <f>I500*K500*M500</f>
        <v>0</v>
      </c>
      <c r="S500" s="383">
        <f>I500*K500*O500</f>
        <v>0</v>
      </c>
    </row>
    <row r="501" spans="4:19" hidden="1" outlineLevel="2" x14ac:dyDescent="0.2">
      <c r="D501" s="721" t="s">
        <v>1027</v>
      </c>
      <c r="E501" s="721"/>
      <c r="F501" s="721"/>
      <c r="G501" s="721"/>
      <c r="I501" s="372">
        <v>0</v>
      </c>
      <c r="K501" s="372">
        <v>0</v>
      </c>
      <c r="M501" s="372">
        <v>0</v>
      </c>
      <c r="O501" s="372">
        <v>0</v>
      </c>
      <c r="Q501" s="383">
        <f>I501*K501*M501</f>
        <v>0</v>
      </c>
      <c r="S501" s="383">
        <f>I501*K501*O501</f>
        <v>0</v>
      </c>
    </row>
    <row r="502" spans="4:19" hidden="1" outlineLevel="2" x14ac:dyDescent="0.2">
      <c r="D502" s="721" t="s">
        <v>1028</v>
      </c>
      <c r="E502" s="721"/>
      <c r="F502" s="721"/>
      <c r="G502" s="721"/>
      <c r="I502" s="372">
        <v>0</v>
      </c>
      <c r="K502" s="372">
        <v>0</v>
      </c>
      <c r="M502" s="372">
        <v>0</v>
      </c>
      <c r="O502" s="372">
        <v>0</v>
      </c>
      <c r="Q502" s="384">
        <f>I502*K502*M502</f>
        <v>0</v>
      </c>
      <c r="S502" s="384">
        <f>I502*K502*O502</f>
        <v>0</v>
      </c>
    </row>
    <row r="503" spans="4:19" hidden="1" outlineLevel="2" x14ac:dyDescent="0.2">
      <c r="D503" s="909" t="str">
        <f>"Total "&amp;D497</f>
        <v>Total Training Personnel Sub-Total 2</v>
      </c>
      <c r="E503" s="910"/>
      <c r="F503" s="910"/>
      <c r="G503" s="910"/>
      <c r="Q503" s="368">
        <f>SUM(Q498:Q502)</f>
        <v>0</v>
      </c>
      <c r="S503" s="368">
        <f>SUM(S498:S502)</f>
        <v>0</v>
      </c>
    </row>
    <row r="504" spans="4:19" ht="6.6" hidden="1" customHeight="1" outlineLevel="2" x14ac:dyDescent="0.2"/>
    <row r="505" spans="4:19" ht="25.5" hidden="1" outlineLevel="2" x14ac:dyDescent="0.2">
      <c r="D505" s="791" t="str">
        <f>D476</f>
        <v>Training Personnel Sub-Total 3</v>
      </c>
      <c r="E505" s="792"/>
      <c r="F505" s="792"/>
      <c r="G505" s="792"/>
      <c r="I505" s="379" t="s">
        <v>994</v>
      </c>
      <c r="K505" s="379" t="s">
        <v>1037</v>
      </c>
      <c r="M505" s="379" t="s">
        <v>1038</v>
      </c>
      <c r="O505" s="379" t="s">
        <v>1039</v>
      </c>
      <c r="Q505" s="387" t="str">
        <f>"FINANCIAL COST ("&amp;INDEX(LU_PLUG_4_Train_Curr,DD_PLUG_4_Train1_Curr)&amp;")"</f>
        <v>FINANCIAL COST (USD)</v>
      </c>
      <c r="S505" s="387" t="str">
        <f>"ECONOMIC COST ("&amp;INDEX(LU_PLUG_4_Train_Curr,DD_PLUG_4_Train1_Curr)&amp;")"</f>
        <v>ECONOMIC COST (USD)</v>
      </c>
    </row>
    <row r="506" spans="4:19" hidden="1" outlineLevel="2" x14ac:dyDescent="0.2">
      <c r="D506" s="721" t="s">
        <v>1029</v>
      </c>
      <c r="E506" s="721"/>
      <c r="F506" s="721"/>
      <c r="G506" s="721"/>
      <c r="I506" s="372">
        <v>0</v>
      </c>
      <c r="K506" s="372">
        <v>0</v>
      </c>
      <c r="M506" s="372">
        <v>0</v>
      </c>
      <c r="O506" s="372">
        <v>0</v>
      </c>
      <c r="Q506" s="383">
        <f t="shared" ref="Q506:Q511" si="14">I506*K506*M506</f>
        <v>0</v>
      </c>
      <c r="S506" s="383">
        <f t="shared" ref="S506:S511" si="15">I506*K506*O506</f>
        <v>0</v>
      </c>
    </row>
    <row r="507" spans="4:19" hidden="1" outlineLevel="2" x14ac:dyDescent="0.2">
      <c r="D507" s="721" t="s">
        <v>1032</v>
      </c>
      <c r="E507" s="721"/>
      <c r="F507" s="721"/>
      <c r="G507" s="721"/>
      <c r="I507" s="372">
        <v>0</v>
      </c>
      <c r="K507" s="372">
        <v>0</v>
      </c>
      <c r="M507" s="372">
        <v>0</v>
      </c>
      <c r="O507" s="372">
        <v>0</v>
      </c>
      <c r="Q507" s="383">
        <f t="shared" si="14"/>
        <v>0</v>
      </c>
      <c r="S507" s="383">
        <f t="shared" si="15"/>
        <v>0</v>
      </c>
    </row>
    <row r="508" spans="4:19" hidden="1" outlineLevel="2" x14ac:dyDescent="0.2">
      <c r="D508" s="721" t="s">
        <v>1033</v>
      </c>
      <c r="E508" s="721"/>
      <c r="F508" s="721"/>
      <c r="G508" s="721"/>
      <c r="I508" s="372">
        <v>0</v>
      </c>
      <c r="K508" s="372">
        <v>0</v>
      </c>
      <c r="M508" s="372">
        <v>0</v>
      </c>
      <c r="O508" s="372">
        <v>0</v>
      </c>
      <c r="Q508" s="383">
        <f t="shared" si="14"/>
        <v>0</v>
      </c>
      <c r="S508" s="383">
        <f t="shared" si="15"/>
        <v>0</v>
      </c>
    </row>
    <row r="509" spans="4:19" hidden="1" outlineLevel="2" x14ac:dyDescent="0.2">
      <c r="D509" s="721" t="s">
        <v>1034</v>
      </c>
      <c r="E509" s="721"/>
      <c r="F509" s="721"/>
      <c r="G509" s="721"/>
      <c r="I509" s="372">
        <v>0</v>
      </c>
      <c r="K509" s="372">
        <v>0</v>
      </c>
      <c r="M509" s="372">
        <v>0</v>
      </c>
      <c r="O509" s="372">
        <v>0</v>
      </c>
      <c r="Q509" s="383">
        <f t="shared" si="14"/>
        <v>0</v>
      </c>
      <c r="S509" s="383">
        <f t="shared" si="15"/>
        <v>0</v>
      </c>
    </row>
    <row r="510" spans="4:19" hidden="1" outlineLevel="2" x14ac:dyDescent="0.2">
      <c r="D510" s="721" t="s">
        <v>1035</v>
      </c>
      <c r="E510" s="721"/>
      <c r="F510" s="721"/>
      <c r="G510" s="721"/>
      <c r="I510" s="372">
        <v>0</v>
      </c>
      <c r="K510" s="372">
        <v>0</v>
      </c>
      <c r="M510" s="372">
        <v>0</v>
      </c>
      <c r="O510" s="372">
        <v>0</v>
      </c>
      <c r="Q510" s="383">
        <f t="shared" si="14"/>
        <v>0</v>
      </c>
      <c r="S510" s="383">
        <f t="shared" si="15"/>
        <v>0</v>
      </c>
    </row>
    <row r="511" spans="4:19" hidden="1" outlineLevel="2" x14ac:dyDescent="0.2">
      <c r="D511" s="721" t="s">
        <v>1036</v>
      </c>
      <c r="E511" s="721"/>
      <c r="F511" s="721"/>
      <c r="G511" s="721"/>
      <c r="I511" s="372">
        <v>0</v>
      </c>
      <c r="K511" s="372">
        <v>0</v>
      </c>
      <c r="M511" s="372">
        <v>0</v>
      </c>
      <c r="O511" s="372">
        <v>0</v>
      </c>
      <c r="Q511" s="384">
        <f t="shared" si="14"/>
        <v>0</v>
      </c>
      <c r="S511" s="384">
        <f t="shared" si="15"/>
        <v>0</v>
      </c>
    </row>
    <row r="512" spans="4:19" hidden="1" outlineLevel="2" x14ac:dyDescent="0.2">
      <c r="D512" s="909" t="str">
        <f>"Total "&amp;D505</f>
        <v>Total Training Personnel Sub-Total 3</v>
      </c>
      <c r="E512" s="910"/>
      <c r="F512" s="910"/>
      <c r="G512" s="910"/>
      <c r="Q512" s="368">
        <f>SUM(Q506:Q511)</f>
        <v>0</v>
      </c>
      <c r="S512" s="368">
        <f>SUM(S506:S511)</f>
        <v>0</v>
      </c>
    </row>
    <row r="513" spans="3:19" ht="6.6" hidden="1" customHeight="1" outlineLevel="2" x14ac:dyDescent="0.2"/>
    <row r="514" spans="3:19" ht="15" hidden="1" outlineLevel="1" x14ac:dyDescent="0.2">
      <c r="D514" s="782" t="s">
        <v>1021</v>
      </c>
      <c r="E514" s="783"/>
      <c r="F514" s="783"/>
      <c r="G514" s="783"/>
      <c r="I514" s="362"/>
      <c r="K514" s="362"/>
      <c r="M514" s="362"/>
      <c r="O514" s="362"/>
      <c r="Q514" s="377">
        <f>SUM(Q495,Q503,Q512)</f>
        <v>0</v>
      </c>
      <c r="S514" s="377">
        <f>SUM(S495,S503,S512)</f>
        <v>0</v>
      </c>
    </row>
    <row r="515" spans="3:19" hidden="1" outlineLevel="1" x14ac:dyDescent="0.2"/>
    <row r="516" spans="3:19" ht="15.75" hidden="1" outlineLevel="1" x14ac:dyDescent="0.2">
      <c r="C516" s="358" t="s">
        <v>1066</v>
      </c>
    </row>
    <row r="517" spans="3:19" hidden="1" outlineLevel="2" x14ac:dyDescent="0.2"/>
    <row r="518" spans="3:19" ht="25.5" hidden="1" outlineLevel="2" x14ac:dyDescent="0.2">
      <c r="D518" s="956" t="s">
        <v>1124</v>
      </c>
      <c r="E518" s="957"/>
      <c r="F518" s="957"/>
      <c r="G518" s="957"/>
      <c r="I518" s="545" t="s">
        <v>999</v>
      </c>
      <c r="K518" s="545" t="s">
        <v>1051</v>
      </c>
      <c r="M518" s="545" t="s">
        <v>1038</v>
      </c>
      <c r="O518" s="545" t="s">
        <v>1050</v>
      </c>
      <c r="Q518" s="387" t="str">
        <f>"FINANCIAL COST ("&amp;INDEX(LU_PLUG_4_Train_Curr,DD_PLUG_4_Train1_Curr)&amp;")"</f>
        <v>FINANCIAL COST (USD)</v>
      </c>
      <c r="S518" s="387" t="str">
        <f>"ECONOMIC COST ("&amp;INDEX(LU_PLUG_4_Train_Curr,DD_PLUG_4_Train1_Curr)&amp;")"</f>
        <v>ECONOMIC COST (USD)</v>
      </c>
    </row>
    <row r="519" spans="3:19" hidden="1" outlineLevel="2" x14ac:dyDescent="0.2">
      <c r="D519" s="721" t="s">
        <v>1040</v>
      </c>
      <c r="E519" s="721"/>
      <c r="F519" s="721"/>
      <c r="G519" s="721"/>
      <c r="I519" s="372">
        <v>0</v>
      </c>
      <c r="K519" s="372">
        <v>0</v>
      </c>
      <c r="M519" s="372">
        <v>0</v>
      </c>
      <c r="O519" s="372">
        <v>0</v>
      </c>
      <c r="Q519" s="383">
        <f>I519*K519*M519</f>
        <v>0</v>
      </c>
      <c r="S519" s="383">
        <f>I519*K519*O519</f>
        <v>0</v>
      </c>
    </row>
    <row r="520" spans="3:19" hidden="1" outlineLevel="2" x14ac:dyDescent="0.2">
      <c r="D520" s="721" t="s">
        <v>1041</v>
      </c>
      <c r="E520" s="721"/>
      <c r="F520" s="721"/>
      <c r="G520" s="721"/>
      <c r="I520" s="372">
        <v>0</v>
      </c>
      <c r="K520" s="372">
        <v>0</v>
      </c>
      <c r="M520" s="372">
        <v>0</v>
      </c>
      <c r="O520" s="372">
        <v>0</v>
      </c>
      <c r="Q520" s="383">
        <f>I520*K520*M520</f>
        <v>0</v>
      </c>
      <c r="S520" s="383">
        <f>I520*K520*O520</f>
        <v>0</v>
      </c>
    </row>
    <row r="521" spans="3:19" hidden="1" outlineLevel="2" x14ac:dyDescent="0.2">
      <c r="D521" s="721" t="s">
        <v>1042</v>
      </c>
      <c r="E521" s="721"/>
      <c r="F521" s="721"/>
      <c r="G521" s="721"/>
      <c r="I521" s="372">
        <v>0</v>
      </c>
      <c r="K521" s="372">
        <v>0</v>
      </c>
      <c r="M521" s="372">
        <v>0</v>
      </c>
      <c r="O521" s="372">
        <v>0</v>
      </c>
      <c r="Q521" s="383">
        <f>I521*K521*M521</f>
        <v>0</v>
      </c>
      <c r="S521" s="383">
        <f>I521*K521*O521</f>
        <v>0</v>
      </c>
    </row>
    <row r="522" spans="3:19" hidden="1" outlineLevel="2" x14ac:dyDescent="0.2">
      <c r="D522" s="721" t="s">
        <v>1043</v>
      </c>
      <c r="E522" s="721"/>
      <c r="F522" s="721"/>
      <c r="G522" s="721"/>
      <c r="I522" s="372">
        <v>0</v>
      </c>
      <c r="K522" s="372">
        <v>0</v>
      </c>
      <c r="M522" s="372">
        <v>0</v>
      </c>
      <c r="O522" s="372">
        <v>0</v>
      </c>
      <c r="Q522" s="383">
        <f>I522*K522*M522</f>
        <v>0</v>
      </c>
      <c r="S522" s="383">
        <f>I522*K522*O522</f>
        <v>0</v>
      </c>
    </row>
    <row r="523" spans="3:19" hidden="1" outlineLevel="2" x14ac:dyDescent="0.2">
      <c r="D523" s="721" t="s">
        <v>1044</v>
      </c>
      <c r="E523" s="721"/>
      <c r="F523" s="721"/>
      <c r="G523" s="721"/>
      <c r="I523" s="372">
        <v>0</v>
      </c>
      <c r="K523" s="372">
        <v>0</v>
      </c>
      <c r="M523" s="372">
        <v>0</v>
      </c>
      <c r="O523" s="372">
        <v>0</v>
      </c>
      <c r="Q523" s="384">
        <f>I523*K523*M523</f>
        <v>0</v>
      </c>
      <c r="S523" s="384">
        <f>I523*K523*O523</f>
        <v>0</v>
      </c>
    </row>
    <row r="524" spans="3:19" hidden="1" outlineLevel="2" x14ac:dyDescent="0.2">
      <c r="D524" s="909" t="str">
        <f>"Total "&amp;D518</f>
        <v>Total Rooms Sub-Total 1</v>
      </c>
      <c r="E524" s="910"/>
      <c r="F524" s="910"/>
      <c r="G524" s="910"/>
      <c r="Q524" s="368">
        <f>SUM(Q519:Q523)</f>
        <v>0</v>
      </c>
      <c r="S524" s="368">
        <f>SUM(S519:S523)</f>
        <v>0</v>
      </c>
    </row>
    <row r="525" spans="3:19" ht="6.6" hidden="1" customHeight="1" outlineLevel="2" x14ac:dyDescent="0.2"/>
    <row r="526" spans="3:19" ht="25.5" hidden="1" outlineLevel="2" x14ac:dyDescent="0.2">
      <c r="D526" s="956" t="s">
        <v>1125</v>
      </c>
      <c r="E526" s="957"/>
      <c r="F526" s="957"/>
      <c r="G526" s="957"/>
      <c r="I526" s="545" t="s">
        <v>999</v>
      </c>
      <c r="K526" s="545" t="s">
        <v>1051</v>
      </c>
      <c r="M526" s="545" t="s">
        <v>1038</v>
      </c>
      <c r="O526" s="545" t="s">
        <v>1050</v>
      </c>
      <c r="Q526" s="387" t="str">
        <f>"FINANCIAL COST ("&amp;INDEX(LU_PLUG_4_Train_Curr,DD_PLUG_4_Train1_Curr)&amp;")"</f>
        <v>FINANCIAL COST (USD)</v>
      </c>
      <c r="S526" s="387" t="str">
        <f>"ECONOMIC COST ("&amp;INDEX(LU_PLUG_4_Train_Curr,DD_PLUG_4_Train1_Curr)&amp;")"</f>
        <v>ECONOMIC COST (USD)</v>
      </c>
    </row>
    <row r="527" spans="3:19" hidden="1" outlineLevel="2" x14ac:dyDescent="0.2">
      <c r="D527" s="721" t="s">
        <v>1045</v>
      </c>
      <c r="E527" s="721"/>
      <c r="F527" s="721"/>
      <c r="G527" s="721"/>
      <c r="I527" s="372">
        <v>0</v>
      </c>
      <c r="K527" s="372">
        <v>0</v>
      </c>
      <c r="M527" s="372">
        <v>0</v>
      </c>
      <c r="O527" s="372">
        <v>0</v>
      </c>
      <c r="Q527" s="383">
        <f>I527*K527*M527</f>
        <v>0</v>
      </c>
      <c r="S527" s="383">
        <f>I527*K527*O527</f>
        <v>0</v>
      </c>
    </row>
    <row r="528" spans="3:19" hidden="1" outlineLevel="2" x14ac:dyDescent="0.2">
      <c r="D528" s="721" t="s">
        <v>1046</v>
      </c>
      <c r="E528" s="721"/>
      <c r="F528" s="721"/>
      <c r="G528" s="721"/>
      <c r="I528" s="372">
        <v>0</v>
      </c>
      <c r="K528" s="372">
        <v>0</v>
      </c>
      <c r="M528" s="372">
        <v>0</v>
      </c>
      <c r="O528" s="372">
        <v>0</v>
      </c>
      <c r="Q528" s="383">
        <f>I528*K528*M528</f>
        <v>0</v>
      </c>
      <c r="S528" s="383">
        <f>I528*K528*O528</f>
        <v>0</v>
      </c>
    </row>
    <row r="529" spans="3:19" hidden="1" outlineLevel="2" x14ac:dyDescent="0.2">
      <c r="D529" s="721" t="s">
        <v>1047</v>
      </c>
      <c r="E529" s="721"/>
      <c r="F529" s="721"/>
      <c r="G529" s="721"/>
      <c r="I529" s="372">
        <v>0</v>
      </c>
      <c r="K529" s="372">
        <v>0</v>
      </c>
      <c r="M529" s="372">
        <v>0</v>
      </c>
      <c r="O529" s="372">
        <v>0</v>
      </c>
      <c r="Q529" s="383">
        <f>I529*K529*M529</f>
        <v>0</v>
      </c>
      <c r="S529" s="383">
        <f>I529*K529*O529</f>
        <v>0</v>
      </c>
    </row>
    <row r="530" spans="3:19" hidden="1" outlineLevel="2" x14ac:dyDescent="0.2">
      <c r="D530" s="721" t="s">
        <v>1048</v>
      </c>
      <c r="E530" s="721"/>
      <c r="F530" s="721"/>
      <c r="G530" s="721"/>
      <c r="I530" s="372">
        <v>0</v>
      </c>
      <c r="K530" s="372">
        <v>0</v>
      </c>
      <c r="M530" s="372">
        <v>0</v>
      </c>
      <c r="O530" s="372">
        <v>0</v>
      </c>
      <c r="Q530" s="383">
        <f>I530*K530*M530</f>
        <v>0</v>
      </c>
      <c r="S530" s="383">
        <f>I530*K530*O530</f>
        <v>0</v>
      </c>
    </row>
    <row r="531" spans="3:19" hidden="1" outlineLevel="2" x14ac:dyDescent="0.2">
      <c r="D531" s="721" t="s">
        <v>1049</v>
      </c>
      <c r="E531" s="721"/>
      <c r="F531" s="721"/>
      <c r="G531" s="721"/>
      <c r="I531" s="372">
        <v>0</v>
      </c>
      <c r="K531" s="372">
        <v>0</v>
      </c>
      <c r="M531" s="372">
        <v>0</v>
      </c>
      <c r="O531" s="372">
        <v>0</v>
      </c>
      <c r="Q531" s="384">
        <f>I531*K531*M531</f>
        <v>0</v>
      </c>
      <c r="S531" s="384">
        <f>I531*K531*O531</f>
        <v>0</v>
      </c>
    </row>
    <row r="532" spans="3:19" hidden="1" outlineLevel="2" x14ac:dyDescent="0.2">
      <c r="D532" s="909" t="str">
        <f>"Total "&amp;D526</f>
        <v>Total Rooms Sub-Total 2</v>
      </c>
      <c r="E532" s="910"/>
      <c r="F532" s="910"/>
      <c r="G532" s="910"/>
      <c r="Q532" s="368">
        <f>SUM(Q527:Q531)</f>
        <v>0</v>
      </c>
      <c r="S532" s="368">
        <f>SUM(S527:S531)</f>
        <v>0</v>
      </c>
    </row>
    <row r="533" spans="3:19" ht="6.6" hidden="1" customHeight="1" outlineLevel="2" x14ac:dyDescent="0.2"/>
    <row r="534" spans="3:19" ht="15" hidden="1" outlineLevel="1" x14ac:dyDescent="0.2">
      <c r="D534" s="782" t="s">
        <v>1065</v>
      </c>
      <c r="E534" s="783"/>
      <c r="F534" s="783"/>
      <c r="G534" s="783"/>
      <c r="I534" s="362"/>
      <c r="K534" s="362"/>
      <c r="M534" s="362"/>
      <c r="O534" s="362"/>
      <c r="Q534" s="377">
        <f>SUM(Q524,Q532)</f>
        <v>0</v>
      </c>
      <c r="S534" s="377">
        <f>SUM(S524,S532)</f>
        <v>0</v>
      </c>
    </row>
    <row r="535" spans="3:19" hidden="1" outlineLevel="1" x14ac:dyDescent="0.2"/>
    <row r="536" spans="3:19" ht="15.75" hidden="1" outlineLevel="1" x14ac:dyDescent="0.2">
      <c r="C536" s="358" t="s">
        <v>1064</v>
      </c>
    </row>
    <row r="537" spans="3:19" hidden="1" outlineLevel="2" x14ac:dyDescent="0.2"/>
    <row r="538" spans="3:19" ht="25.5" hidden="1" outlineLevel="2" x14ac:dyDescent="0.2">
      <c r="D538" s="956" t="s">
        <v>1059</v>
      </c>
      <c r="E538" s="957"/>
      <c r="F538" s="957"/>
      <c r="G538" s="957"/>
      <c r="I538" s="379" t="s">
        <v>1092</v>
      </c>
      <c r="K538" s="379" t="s">
        <v>995</v>
      </c>
      <c r="M538" s="379" t="s">
        <v>1038</v>
      </c>
      <c r="O538" s="379" t="s">
        <v>1062</v>
      </c>
      <c r="Q538" s="387" t="str">
        <f>"FINANCIAL COST ("&amp;INDEX(LU_PLUG_4_Train_Curr,DD_PLUG_4_Train1_Curr)&amp;")"</f>
        <v>FINANCIAL COST (USD)</v>
      </c>
      <c r="S538" s="387" t="str">
        <f>"ECONOMIC COST ("&amp;INDEX(LU_PLUG_4_Train_Curr,DD_PLUG_4_Train1_Curr)&amp;")"</f>
        <v>ECONOMIC COST (USD)</v>
      </c>
    </row>
    <row r="539" spans="3:19" hidden="1" outlineLevel="2" x14ac:dyDescent="0.2">
      <c r="D539" s="721" t="s">
        <v>1053</v>
      </c>
      <c r="E539" s="721"/>
      <c r="F539" s="721"/>
      <c r="G539" s="721"/>
      <c r="I539" s="372">
        <v>0</v>
      </c>
      <c r="K539" s="372">
        <v>0</v>
      </c>
      <c r="M539" s="372">
        <v>0</v>
      </c>
      <c r="O539" s="372">
        <v>0</v>
      </c>
      <c r="Q539" s="383">
        <f>I539*K539*M539</f>
        <v>0</v>
      </c>
      <c r="S539" s="383">
        <f>I539*K539*O539</f>
        <v>0</v>
      </c>
    </row>
    <row r="540" spans="3:19" hidden="1" outlineLevel="2" x14ac:dyDescent="0.2">
      <c r="D540" s="721" t="s">
        <v>1054</v>
      </c>
      <c r="E540" s="721"/>
      <c r="F540" s="721"/>
      <c r="G540" s="721"/>
      <c r="I540" s="372">
        <v>0</v>
      </c>
      <c r="K540" s="372">
        <v>0</v>
      </c>
      <c r="M540" s="372">
        <v>0</v>
      </c>
      <c r="O540" s="372">
        <v>0</v>
      </c>
      <c r="Q540" s="383">
        <f>I540*K540*M540</f>
        <v>0</v>
      </c>
      <c r="S540" s="383">
        <f>I540*K540*O540</f>
        <v>0</v>
      </c>
    </row>
    <row r="541" spans="3:19" hidden="1" outlineLevel="2" x14ac:dyDescent="0.2">
      <c r="D541" s="721" t="s">
        <v>1055</v>
      </c>
      <c r="E541" s="721"/>
      <c r="F541" s="721"/>
      <c r="G541" s="721"/>
      <c r="I541" s="372">
        <v>0</v>
      </c>
      <c r="K541" s="372">
        <v>0</v>
      </c>
      <c r="M541" s="372">
        <v>0</v>
      </c>
      <c r="O541" s="372">
        <v>0</v>
      </c>
      <c r="Q541" s="384">
        <f>I541*K541*M541</f>
        <v>0</v>
      </c>
      <c r="S541" s="384">
        <f>I541*K541*O541</f>
        <v>0</v>
      </c>
    </row>
    <row r="542" spans="3:19" hidden="1" outlineLevel="2" x14ac:dyDescent="0.2">
      <c r="D542" s="909" t="str">
        <f>"Total "&amp;D538</f>
        <v>Total Meals &amp; Refreshments Sub-Total 1</v>
      </c>
      <c r="E542" s="910"/>
      <c r="F542" s="910"/>
      <c r="G542" s="910"/>
      <c r="Q542" s="368">
        <f>SUM(Q539:Q541)</f>
        <v>0</v>
      </c>
      <c r="S542" s="368">
        <f>SUM(S539:S541)</f>
        <v>0</v>
      </c>
    </row>
    <row r="543" spans="3:19" ht="6.6" hidden="1" customHeight="1" outlineLevel="2" x14ac:dyDescent="0.2"/>
    <row r="544" spans="3:19" ht="25.5" hidden="1" outlineLevel="2" x14ac:dyDescent="0.2">
      <c r="D544" s="956" t="s">
        <v>1060</v>
      </c>
      <c r="E544" s="957"/>
      <c r="F544" s="957"/>
      <c r="G544" s="957"/>
      <c r="I544" s="379" t="s">
        <v>1092</v>
      </c>
      <c r="K544" s="379" t="s">
        <v>995</v>
      </c>
      <c r="M544" s="379" t="s">
        <v>1038</v>
      </c>
      <c r="O544" s="379" t="s">
        <v>1062</v>
      </c>
      <c r="Q544" s="387" t="str">
        <f>"FINANCIAL COST ("&amp;INDEX(LU_PLUG_4_Train_Curr,DD_PLUG_4_Train1_Curr)&amp;")"</f>
        <v>FINANCIAL COST (USD)</v>
      </c>
      <c r="S544" s="387" t="str">
        <f>"ECONOMIC COST ("&amp;INDEX(LU_PLUG_4_Train_Curr,DD_PLUG_4_Train1_Curr)&amp;")"</f>
        <v>ECONOMIC COST (USD)</v>
      </c>
    </row>
    <row r="545" spans="3:19" hidden="1" outlineLevel="2" x14ac:dyDescent="0.2">
      <c r="D545" s="721" t="s">
        <v>1056</v>
      </c>
      <c r="E545" s="721"/>
      <c r="F545" s="721"/>
      <c r="G545" s="721"/>
      <c r="I545" s="372">
        <v>0</v>
      </c>
      <c r="K545" s="372">
        <v>0</v>
      </c>
      <c r="M545" s="372">
        <v>0</v>
      </c>
      <c r="O545" s="372">
        <v>0</v>
      </c>
      <c r="Q545" s="383">
        <f>I545*K545*M545</f>
        <v>0</v>
      </c>
      <c r="S545" s="383">
        <f>I545*K545*O545</f>
        <v>0</v>
      </c>
    </row>
    <row r="546" spans="3:19" hidden="1" outlineLevel="2" x14ac:dyDescent="0.2">
      <c r="D546" s="721" t="s">
        <v>1057</v>
      </c>
      <c r="E546" s="721"/>
      <c r="F546" s="721"/>
      <c r="G546" s="721"/>
      <c r="I546" s="372">
        <v>0</v>
      </c>
      <c r="K546" s="372">
        <v>0</v>
      </c>
      <c r="M546" s="372">
        <v>0</v>
      </c>
      <c r="O546" s="372">
        <v>0</v>
      </c>
      <c r="Q546" s="383">
        <f>I546*K546*M546</f>
        <v>0</v>
      </c>
      <c r="S546" s="383">
        <f>I546*K546*O546</f>
        <v>0</v>
      </c>
    </row>
    <row r="547" spans="3:19" hidden="1" outlineLevel="2" x14ac:dyDescent="0.2">
      <c r="D547" s="721" t="s">
        <v>1058</v>
      </c>
      <c r="E547" s="721"/>
      <c r="F547" s="721"/>
      <c r="G547" s="721"/>
      <c r="I547" s="372">
        <v>0</v>
      </c>
      <c r="K547" s="372">
        <v>0</v>
      </c>
      <c r="M547" s="372">
        <v>0</v>
      </c>
      <c r="O547" s="372">
        <v>0</v>
      </c>
      <c r="Q547" s="384">
        <f>I547*K547*M547</f>
        <v>0</v>
      </c>
      <c r="S547" s="384">
        <f>I547*K547*O547</f>
        <v>0</v>
      </c>
    </row>
    <row r="548" spans="3:19" hidden="1" outlineLevel="2" x14ac:dyDescent="0.2">
      <c r="D548" s="909" t="str">
        <f>"Total "&amp;D544</f>
        <v>Total Meals &amp; Refreshments Sub-Total 2</v>
      </c>
      <c r="E548" s="910"/>
      <c r="F548" s="910"/>
      <c r="G548" s="910"/>
      <c r="Q548" s="368">
        <f>SUM(Q545:Q547)</f>
        <v>0</v>
      </c>
      <c r="S548" s="368">
        <f>SUM(S545:S547)</f>
        <v>0</v>
      </c>
    </row>
    <row r="549" spans="3:19" ht="6.6" hidden="1" customHeight="1" outlineLevel="2" x14ac:dyDescent="0.2"/>
    <row r="550" spans="3:19" ht="15" hidden="1" outlineLevel="1" x14ac:dyDescent="0.2">
      <c r="D550" s="782" t="s">
        <v>1061</v>
      </c>
      <c r="E550" s="783"/>
      <c r="F550" s="783"/>
      <c r="G550" s="783"/>
      <c r="I550" s="362"/>
      <c r="K550" s="362"/>
      <c r="M550" s="362"/>
      <c r="O550" s="362"/>
      <c r="Q550" s="377">
        <f>SUM(Q542,Q548)</f>
        <v>0</v>
      </c>
      <c r="S550" s="377">
        <f>SUM(S542,S548)</f>
        <v>0</v>
      </c>
    </row>
    <row r="551" spans="3:19" hidden="1" outlineLevel="1" x14ac:dyDescent="0.2"/>
    <row r="552" spans="3:19" ht="15.75" hidden="1" outlineLevel="1" x14ac:dyDescent="0.2">
      <c r="C552" s="358" t="s">
        <v>1067</v>
      </c>
    </row>
    <row r="553" spans="3:19" hidden="1" outlineLevel="2" x14ac:dyDescent="0.2"/>
    <row r="554" spans="3:19" ht="25.5" hidden="1" outlineLevel="2" x14ac:dyDescent="0.2">
      <c r="D554" s="956" t="s">
        <v>1076</v>
      </c>
      <c r="E554" s="957"/>
      <c r="F554" s="957"/>
      <c r="G554" s="957"/>
      <c r="I554" s="379" t="s">
        <v>1081</v>
      </c>
      <c r="K554" s="379" t="s">
        <v>1038</v>
      </c>
      <c r="M554" s="379" t="s">
        <v>1050</v>
      </c>
      <c r="Q554" s="387" t="str">
        <f>"FINANCIAL COST ("&amp;INDEX(LU_PLUG_4_Train_Curr,DD_PLUG_4_Train1_Curr)&amp;")"</f>
        <v>FINANCIAL COST (USD)</v>
      </c>
      <c r="S554" s="387" t="str">
        <f>"ECONOMIC COST ("&amp;INDEX(LU_PLUG_4_Train_Curr,DD_PLUG_4_Train1_Curr)&amp;")"</f>
        <v>ECONOMIC COST (USD)</v>
      </c>
    </row>
    <row r="555" spans="3:19" hidden="1" outlineLevel="2" x14ac:dyDescent="0.2">
      <c r="D555" s="721" t="s">
        <v>1068</v>
      </c>
      <c r="E555" s="721"/>
      <c r="F555" s="721"/>
      <c r="G555" s="721"/>
      <c r="I555" s="372">
        <v>0</v>
      </c>
      <c r="K555" s="372">
        <v>0</v>
      </c>
      <c r="M555" s="372">
        <v>0</v>
      </c>
      <c r="Q555" s="383">
        <f>I555*K555</f>
        <v>0</v>
      </c>
      <c r="S555" s="383">
        <f>I555*M555</f>
        <v>0</v>
      </c>
    </row>
    <row r="556" spans="3:19" hidden="1" outlineLevel="2" x14ac:dyDescent="0.2">
      <c r="D556" s="721" t="s">
        <v>1069</v>
      </c>
      <c r="E556" s="721"/>
      <c r="F556" s="721"/>
      <c r="G556" s="721"/>
      <c r="I556" s="372">
        <v>0</v>
      </c>
      <c r="K556" s="372">
        <v>0</v>
      </c>
      <c r="M556" s="372">
        <v>0</v>
      </c>
      <c r="Q556" s="383">
        <f>I556*K556</f>
        <v>0</v>
      </c>
      <c r="S556" s="383">
        <f>I556*M556</f>
        <v>0</v>
      </c>
    </row>
    <row r="557" spans="3:19" hidden="1" outlineLevel="2" x14ac:dyDescent="0.2">
      <c r="D557" s="721" t="s">
        <v>1070</v>
      </c>
      <c r="E557" s="721"/>
      <c r="F557" s="721"/>
      <c r="G557" s="721"/>
      <c r="I557" s="372">
        <v>0</v>
      </c>
      <c r="K557" s="372">
        <v>0</v>
      </c>
      <c r="M557" s="372">
        <v>0</v>
      </c>
      <c r="Q557" s="383">
        <f>I557*K557</f>
        <v>0</v>
      </c>
      <c r="S557" s="383">
        <f>I557*M557</f>
        <v>0</v>
      </c>
    </row>
    <row r="558" spans="3:19" hidden="1" outlineLevel="2" x14ac:dyDescent="0.2">
      <c r="D558" s="721" t="s">
        <v>1071</v>
      </c>
      <c r="E558" s="721"/>
      <c r="F558" s="721"/>
      <c r="G558" s="721"/>
      <c r="I558" s="372">
        <v>0</v>
      </c>
      <c r="K558" s="372">
        <v>0</v>
      </c>
      <c r="M558" s="372">
        <v>0</v>
      </c>
      <c r="Q558" s="384">
        <f>I558*K558</f>
        <v>0</v>
      </c>
      <c r="S558" s="384">
        <f>I558*M558</f>
        <v>0</v>
      </c>
    </row>
    <row r="559" spans="3:19" hidden="1" outlineLevel="2" x14ac:dyDescent="0.2">
      <c r="D559" s="909" t="str">
        <f>"Total "&amp;D554</f>
        <v>Total Materials &amp; Supplies Sub-Total 1</v>
      </c>
      <c r="E559" s="910"/>
      <c r="F559" s="910"/>
      <c r="G559" s="910"/>
      <c r="Q559" s="368">
        <f>SUM(Q555:Q558)</f>
        <v>0</v>
      </c>
      <c r="S559" s="368">
        <f>SUM(S555:S558)</f>
        <v>0</v>
      </c>
    </row>
    <row r="560" spans="3:19" ht="6.6" hidden="1" customHeight="1" outlineLevel="2" x14ac:dyDescent="0.2"/>
    <row r="561" spans="3:19" ht="25.5" hidden="1" outlineLevel="2" x14ac:dyDescent="0.2">
      <c r="D561" s="956" t="s">
        <v>1077</v>
      </c>
      <c r="E561" s="957"/>
      <c r="F561" s="957"/>
      <c r="G561" s="957"/>
      <c r="I561" s="379" t="s">
        <v>1081</v>
      </c>
      <c r="K561" s="379" t="s">
        <v>1038</v>
      </c>
      <c r="M561" s="379" t="s">
        <v>1050</v>
      </c>
      <c r="Q561" s="387" t="str">
        <f>"FINANCIAL COST ("&amp;INDEX(LU_PLUG_4_Train_Curr,DD_PLUG_4_Train1_Curr)&amp;")"</f>
        <v>FINANCIAL COST (USD)</v>
      </c>
      <c r="S561" s="387" t="str">
        <f>"ECONOMIC COST ("&amp;INDEX(LU_PLUG_4_Train_Curr,DD_PLUG_4_Train1_Curr)&amp;")"</f>
        <v>ECONOMIC COST (USD)</v>
      </c>
    </row>
    <row r="562" spans="3:19" hidden="1" outlineLevel="2" x14ac:dyDescent="0.2">
      <c r="D562" s="721" t="s">
        <v>1072</v>
      </c>
      <c r="E562" s="721"/>
      <c r="F562" s="721"/>
      <c r="G562" s="721"/>
      <c r="I562" s="372">
        <v>0</v>
      </c>
      <c r="K562" s="372">
        <v>0</v>
      </c>
      <c r="M562" s="372">
        <v>0</v>
      </c>
      <c r="Q562" s="383">
        <f>I562*K562</f>
        <v>0</v>
      </c>
      <c r="S562" s="383">
        <f>I562*M562</f>
        <v>0</v>
      </c>
    </row>
    <row r="563" spans="3:19" hidden="1" outlineLevel="2" x14ac:dyDescent="0.2">
      <c r="D563" s="721" t="s">
        <v>1073</v>
      </c>
      <c r="E563" s="721"/>
      <c r="F563" s="721"/>
      <c r="G563" s="721"/>
      <c r="I563" s="372">
        <v>0</v>
      </c>
      <c r="K563" s="372">
        <v>0</v>
      </c>
      <c r="M563" s="372">
        <v>0</v>
      </c>
      <c r="Q563" s="383">
        <f>I563*K563</f>
        <v>0</v>
      </c>
      <c r="S563" s="383">
        <f>I563*M563</f>
        <v>0</v>
      </c>
    </row>
    <row r="564" spans="3:19" hidden="1" outlineLevel="2" x14ac:dyDescent="0.2">
      <c r="D564" s="721" t="s">
        <v>1074</v>
      </c>
      <c r="E564" s="721"/>
      <c r="F564" s="721"/>
      <c r="G564" s="721"/>
      <c r="I564" s="372">
        <v>0</v>
      </c>
      <c r="K564" s="372">
        <v>0</v>
      </c>
      <c r="M564" s="372">
        <v>0</v>
      </c>
      <c r="Q564" s="383">
        <f>I564*K564</f>
        <v>0</v>
      </c>
      <c r="S564" s="383">
        <f>I564*M564</f>
        <v>0</v>
      </c>
    </row>
    <row r="565" spans="3:19" hidden="1" outlineLevel="2" x14ac:dyDescent="0.2">
      <c r="D565" s="721" t="s">
        <v>1075</v>
      </c>
      <c r="E565" s="721"/>
      <c r="F565" s="721"/>
      <c r="G565" s="721"/>
      <c r="I565" s="372">
        <v>0</v>
      </c>
      <c r="K565" s="372">
        <v>0</v>
      </c>
      <c r="M565" s="372">
        <v>0</v>
      </c>
      <c r="Q565" s="384">
        <f>I565*K565</f>
        <v>0</v>
      </c>
      <c r="S565" s="384">
        <f>I565*M565</f>
        <v>0</v>
      </c>
    </row>
    <row r="566" spans="3:19" hidden="1" outlineLevel="2" x14ac:dyDescent="0.2">
      <c r="D566" s="909" t="str">
        <f>"Total "&amp;D561</f>
        <v>Total Materials &amp; Supplies Sub-Total 2</v>
      </c>
      <c r="E566" s="910"/>
      <c r="F566" s="910"/>
      <c r="G566" s="910"/>
      <c r="Q566" s="368">
        <f>SUM(Q562:Q565)</f>
        <v>0</v>
      </c>
      <c r="S566" s="368">
        <f>SUM(S562:S565)</f>
        <v>0</v>
      </c>
    </row>
    <row r="567" spans="3:19" ht="6.6" hidden="1" customHeight="1" outlineLevel="2" x14ac:dyDescent="0.2"/>
    <row r="568" spans="3:19" ht="15" hidden="1" outlineLevel="1" x14ac:dyDescent="0.2">
      <c r="D568" s="782" t="s">
        <v>1078</v>
      </c>
      <c r="E568" s="783"/>
      <c r="F568" s="783"/>
      <c r="G568" s="783"/>
      <c r="I568" s="362"/>
      <c r="K568" s="362"/>
      <c r="M568" s="362"/>
      <c r="Q568" s="377">
        <f>SUM(Q559,Q566)</f>
        <v>0</v>
      </c>
      <c r="S568" s="377">
        <f>SUM(S559,S566)</f>
        <v>0</v>
      </c>
    </row>
    <row r="569" spans="3:19" hidden="1" outlineLevel="1" x14ac:dyDescent="0.2"/>
    <row r="570" spans="3:19" ht="15.75" hidden="1" outlineLevel="1" x14ac:dyDescent="0.2">
      <c r="C570" s="358" t="s">
        <v>1082</v>
      </c>
    </row>
    <row r="571" spans="3:19" hidden="1" outlineLevel="2" x14ac:dyDescent="0.2"/>
    <row r="572" spans="3:19" ht="15" hidden="1" outlineLevel="2" x14ac:dyDescent="0.2">
      <c r="D572" s="367" t="s">
        <v>998</v>
      </c>
      <c r="I572" s="369" t="s">
        <v>1084</v>
      </c>
      <c r="K572" s="369" t="s">
        <v>1085</v>
      </c>
      <c r="M572" s="369" t="s">
        <v>1038</v>
      </c>
      <c r="O572" s="369" t="s">
        <v>1050</v>
      </c>
      <c r="Q572" s="373" t="str">
        <f>"FINANCIAL COST ("&amp;INDEX(LU_PLUG_4_Train_Curr,DD_PLUG_4_Train1_Curr)&amp;")"</f>
        <v>FINANCIAL COST (USD)</v>
      </c>
      <c r="S572" s="373" t="str">
        <f>"ECONOMIC COST ("&amp;INDEX(LU_PLUG_4_Train_Curr,DD_PLUG_4_Train1_Curr)&amp;")"</f>
        <v>ECONOMIC COST (USD)</v>
      </c>
    </row>
    <row r="573" spans="3:19" hidden="1" outlineLevel="2" x14ac:dyDescent="0.2">
      <c r="D573" s="721" t="s">
        <v>1001</v>
      </c>
      <c r="E573" s="721"/>
      <c r="F573" s="721"/>
      <c r="G573" s="721"/>
      <c r="I573" s="372">
        <v>0</v>
      </c>
      <c r="K573" s="372">
        <v>0</v>
      </c>
      <c r="M573" s="372">
        <v>0</v>
      </c>
      <c r="O573" s="372">
        <v>0</v>
      </c>
      <c r="Q573" s="368">
        <f>I573*K573*M573</f>
        <v>0</v>
      </c>
      <c r="S573" s="368">
        <f>I573*K573*O573</f>
        <v>0</v>
      </c>
    </row>
    <row r="574" spans="3:19" hidden="1" outlineLevel="2" x14ac:dyDescent="0.2">
      <c r="D574" s="721" t="s">
        <v>1002</v>
      </c>
      <c r="E574" s="721"/>
      <c r="F574" s="721"/>
      <c r="G574" s="721"/>
      <c r="I574" s="372">
        <v>0</v>
      </c>
      <c r="K574" s="372">
        <v>0</v>
      </c>
      <c r="M574" s="372">
        <v>0</v>
      </c>
      <c r="O574" s="372">
        <v>0</v>
      </c>
      <c r="Q574" s="368">
        <f>I574*K574*M574</f>
        <v>0</v>
      </c>
      <c r="S574" s="368">
        <f>I574*K574*O574</f>
        <v>0</v>
      </c>
    </row>
    <row r="575" spans="3:19" hidden="1" outlineLevel="2" x14ac:dyDescent="0.2">
      <c r="D575" s="721" t="s">
        <v>1003</v>
      </c>
      <c r="E575" s="721"/>
      <c r="F575" s="721"/>
      <c r="G575" s="721"/>
      <c r="I575" s="372">
        <v>0</v>
      </c>
      <c r="K575" s="372">
        <v>0</v>
      </c>
      <c r="M575" s="372">
        <v>0</v>
      </c>
      <c r="O575" s="372">
        <v>0</v>
      </c>
      <c r="Q575" s="368">
        <f>I575*K575*M575</f>
        <v>0</v>
      </c>
      <c r="S575" s="368">
        <f>I575*K575*O575</f>
        <v>0</v>
      </c>
    </row>
    <row r="576" spans="3:19" hidden="1" outlineLevel="2" x14ac:dyDescent="0.2">
      <c r="D576" s="721" t="s">
        <v>1004</v>
      </c>
      <c r="E576" s="721"/>
      <c r="F576" s="721"/>
      <c r="G576" s="721"/>
      <c r="I576" s="372">
        <v>0</v>
      </c>
      <c r="K576" s="372">
        <v>0</v>
      </c>
      <c r="M576" s="372">
        <v>0</v>
      </c>
      <c r="O576" s="372">
        <v>0</v>
      </c>
      <c r="Q576" s="368">
        <f>I576*K576*M576</f>
        <v>0</v>
      </c>
      <c r="S576" s="368">
        <f>I576*K576*O576</f>
        <v>0</v>
      </c>
    </row>
    <row r="577" spans="2:23" hidden="1" outlineLevel="2" x14ac:dyDescent="0.2">
      <c r="D577" s="721" t="s">
        <v>1005</v>
      </c>
      <c r="E577" s="721"/>
      <c r="F577" s="721"/>
      <c r="G577" s="721"/>
      <c r="I577" s="372">
        <v>0</v>
      </c>
      <c r="K577" s="372">
        <v>0</v>
      </c>
      <c r="M577" s="372">
        <v>0</v>
      </c>
      <c r="O577" s="372">
        <v>0</v>
      </c>
      <c r="Q577" s="368">
        <f>I577*K577*M577</f>
        <v>0</v>
      </c>
      <c r="S577" s="368">
        <f>I577*K577*O577</f>
        <v>0</v>
      </c>
    </row>
    <row r="578" spans="2:23" ht="15" hidden="1" outlineLevel="1" x14ac:dyDescent="0.2">
      <c r="D578" s="782" t="s">
        <v>1006</v>
      </c>
      <c r="E578" s="783"/>
      <c r="F578" s="783"/>
      <c r="G578" s="783"/>
      <c r="I578" s="368"/>
      <c r="K578" s="368"/>
      <c r="M578" s="368"/>
      <c r="O578" s="368"/>
      <c r="Q578" s="377">
        <f>SUM(Q573:Q577)</f>
        <v>0</v>
      </c>
      <c r="S578" s="377">
        <f>SUM(S573:S577)</f>
        <v>0</v>
      </c>
    </row>
    <row r="579" spans="2:23" hidden="1" outlineLevel="1" x14ac:dyDescent="0.2"/>
    <row r="580" spans="2:23" ht="15.75" hidden="1" outlineLevel="1" x14ac:dyDescent="0.2">
      <c r="C580" s="358" t="s">
        <v>1007</v>
      </c>
    </row>
    <row r="581" spans="2:23" hidden="1" outlineLevel="2" x14ac:dyDescent="0.2"/>
    <row r="582" spans="2:23" ht="15" hidden="1" outlineLevel="2" x14ac:dyDescent="0.2">
      <c r="D582" s="367" t="s">
        <v>998</v>
      </c>
      <c r="I582" s="369" t="s">
        <v>1084</v>
      </c>
      <c r="M582" s="369" t="s">
        <v>1038</v>
      </c>
      <c r="O582" s="369" t="s">
        <v>1050</v>
      </c>
      <c r="Q582" s="373" t="str">
        <f>"FINANCIAL COST ("&amp;INDEX(LU_PLUG_4_Train_Curr,DD_PLUG_4_Train1_Curr)&amp;")"</f>
        <v>FINANCIAL COST (USD)</v>
      </c>
      <c r="S582" s="373" t="str">
        <f>"ECONOMIC COST ("&amp;INDEX(LU_PLUG_4_Train_Curr,DD_PLUG_4_Train1_Curr)&amp;")"</f>
        <v>ECONOMIC COST (USD)</v>
      </c>
    </row>
    <row r="583" spans="2:23" hidden="1" outlineLevel="2" x14ac:dyDescent="0.2">
      <c r="D583" s="721" t="s">
        <v>1086</v>
      </c>
      <c r="E583" s="721"/>
      <c r="F583" s="721"/>
      <c r="G583" s="721"/>
      <c r="I583" s="372">
        <v>0</v>
      </c>
      <c r="M583" s="372">
        <v>0</v>
      </c>
      <c r="O583" s="372">
        <v>0</v>
      </c>
      <c r="Q583" s="368">
        <f>I583*M583</f>
        <v>0</v>
      </c>
      <c r="S583" s="368">
        <f>I583*O583</f>
        <v>0</v>
      </c>
    </row>
    <row r="584" spans="2:23" hidden="1" outlineLevel="2" x14ac:dyDescent="0.2">
      <c r="D584" s="721" t="s">
        <v>1087</v>
      </c>
      <c r="E584" s="721"/>
      <c r="F584" s="721"/>
      <c r="G584" s="721"/>
      <c r="I584" s="372">
        <v>0</v>
      </c>
      <c r="M584" s="372">
        <v>0</v>
      </c>
      <c r="O584" s="372">
        <v>0</v>
      </c>
      <c r="Q584" s="368">
        <f>I584*M584</f>
        <v>0</v>
      </c>
      <c r="S584" s="368">
        <f>I584*O584</f>
        <v>0</v>
      </c>
    </row>
    <row r="585" spans="2:23" hidden="1" outlineLevel="2" x14ac:dyDescent="0.2">
      <c r="D585" s="721" t="s">
        <v>1088</v>
      </c>
      <c r="E585" s="721"/>
      <c r="F585" s="721"/>
      <c r="G585" s="721"/>
      <c r="I585" s="372">
        <v>0</v>
      </c>
      <c r="M585" s="372">
        <v>0</v>
      </c>
      <c r="O585" s="372">
        <v>0</v>
      </c>
      <c r="Q585" s="368">
        <f>I585*M585</f>
        <v>0</v>
      </c>
      <c r="S585" s="368">
        <f>I585*O585</f>
        <v>0</v>
      </c>
    </row>
    <row r="586" spans="2:23" hidden="1" outlineLevel="2" x14ac:dyDescent="0.2">
      <c r="D586" s="721" t="s">
        <v>1089</v>
      </c>
      <c r="E586" s="721"/>
      <c r="F586" s="721"/>
      <c r="G586" s="721"/>
      <c r="I586" s="372">
        <v>0</v>
      </c>
      <c r="M586" s="372">
        <v>0</v>
      </c>
      <c r="O586" s="372">
        <v>0</v>
      </c>
      <c r="Q586" s="368">
        <f>I586*M586</f>
        <v>0</v>
      </c>
      <c r="S586" s="368">
        <f>I586*O586</f>
        <v>0</v>
      </c>
    </row>
    <row r="587" spans="2:23" hidden="1" outlineLevel="2" x14ac:dyDescent="0.2">
      <c r="D587" s="721" t="s">
        <v>1090</v>
      </c>
      <c r="E587" s="721"/>
      <c r="F587" s="721"/>
      <c r="G587" s="721"/>
      <c r="I587" s="372">
        <v>0</v>
      </c>
      <c r="M587" s="372">
        <v>0</v>
      </c>
      <c r="O587" s="372">
        <v>0</v>
      </c>
      <c r="Q587" s="368">
        <f>I587*M587</f>
        <v>0</v>
      </c>
      <c r="S587" s="368">
        <f>I587*O587</f>
        <v>0</v>
      </c>
    </row>
    <row r="588" spans="2:23" ht="15" hidden="1" outlineLevel="1" x14ac:dyDescent="0.2">
      <c r="D588" s="782" t="s">
        <v>1091</v>
      </c>
      <c r="E588" s="783"/>
      <c r="F588" s="783"/>
      <c r="G588" s="783"/>
      <c r="I588" s="368">
        <f>SUM(I583:I587)</f>
        <v>0</v>
      </c>
      <c r="M588" s="368">
        <f>SUM(M583:M587)</f>
        <v>0</v>
      </c>
      <c r="O588" s="368">
        <f>SUM(O583:O587)</f>
        <v>0</v>
      </c>
      <c r="Q588" s="377">
        <f>SUM(Q583:Q587)</f>
        <v>0</v>
      </c>
      <c r="S588" s="377">
        <f>SUM(S583:S587)</f>
        <v>0</v>
      </c>
    </row>
    <row r="589" spans="2:23" collapsed="1" x14ac:dyDescent="0.2"/>
    <row r="590" spans="2:23" ht="25.5" x14ac:dyDescent="0.2">
      <c r="Q590" s="365" t="str">
        <f>"FINANCIAL COST ("&amp;INDEX(LU_PLUG_4_Train_Curr,DD_PLUG_4_Train1_Curr)&amp;")"</f>
        <v>FINANCIAL COST (USD)</v>
      </c>
      <c r="S590" s="365" t="str">
        <f>"ECONOMIC COST ("&amp;INDEX(LU_PLUG_4_Train_Curr,DD_PLUG_4_Train1_Curr)&amp;")"</f>
        <v>ECONOMIC COST (USD)</v>
      </c>
      <c r="U590" s="365" t="str">
        <f>"FINANCIAL COST ("&amp;IF(DD_PLUG_4_Train1_Curr=2,$D$595,$D$596)&amp;")"</f>
        <v>FINANCIAL COST (ZMW)</v>
      </c>
      <c r="W590" s="365" t="str">
        <f>"ECONOMIC COST ("&amp;IF(DD_PLUG_4_Train1_Curr=2,$D$595,$D$596)&amp;")"</f>
        <v>ECONOMIC COST (ZMW)</v>
      </c>
    </row>
    <row r="591" spans="2:23" ht="15.75" thickBot="1" x14ac:dyDescent="0.25">
      <c r="B591" s="359" t="str">
        <f>"Total Estimated Costs "&amp;I455</f>
        <v>Total Estimated Costs Training of Service Providers - VIA and CRYO</v>
      </c>
      <c r="Q591" s="388">
        <f>SUM(Q485,Q514,Q534,Q550,Q568,Q578,Q588)</f>
        <v>0</v>
      </c>
      <c r="S591" s="388">
        <f>S485+S514+S534+S550+S568+S578+S588</f>
        <v>0</v>
      </c>
      <c r="U591" s="389">
        <f>IF(DD_PLUG_4_Train1_Curr=2,$Q591/$J$596,$Q591*$J$596)</f>
        <v>0</v>
      </c>
      <c r="W591" s="389">
        <f>IF(DD_PLUG_4_Train1_Curr=2,$S591/$J$596,$S591*$J$596)</f>
        <v>0</v>
      </c>
    </row>
    <row r="592" spans="2:23" ht="13.5" thickTop="1" x14ac:dyDescent="0.2"/>
    <row r="593" spans="3:17" x14ac:dyDescent="0.2">
      <c r="C593" s="369" t="s">
        <v>212</v>
      </c>
    </row>
    <row r="594" spans="3:17" hidden="1" outlineLevel="1" x14ac:dyDescent="0.2"/>
    <row r="595" spans="3:17" ht="12.95" hidden="1" customHeight="1" outlineLevel="1" x14ac:dyDescent="0.2">
      <c r="D595" s="785" t="str">
        <f>Econ_Ann_TA!D13</f>
        <v>USD</v>
      </c>
      <c r="E595" s="965"/>
      <c r="F595" s="965"/>
      <c r="G595" s="965"/>
      <c r="J595" s="604">
        <f>Econ_Ann_TA!J13</f>
        <v>1</v>
      </c>
      <c r="K595" s="604">
        <f>Econ_Ann_TA!K13</f>
        <v>1</v>
      </c>
      <c r="L595" s="604">
        <f>Econ_Ann_TA!L13</f>
        <v>1</v>
      </c>
      <c r="M595" s="604">
        <f>Econ_Ann_TA!M13</f>
        <v>1</v>
      </c>
      <c r="Q595" s="368"/>
    </row>
    <row r="596" spans="3:17" hidden="1" outlineLevel="1" collapsed="1" x14ac:dyDescent="0.2">
      <c r="D596" s="785" t="str">
        <f>Econ_Ann_TA!D14</f>
        <v>ZMW</v>
      </c>
      <c r="E596" s="965"/>
      <c r="F596" s="965"/>
      <c r="G596" s="965"/>
      <c r="J596" s="604">
        <f>Econ_Ann_TA!J14</f>
        <v>10.971399999999999</v>
      </c>
      <c r="K596" s="604">
        <f>Econ_Ann_TA!K14</f>
        <v>10.971399999999999</v>
      </c>
      <c r="L596" s="604">
        <f>Econ_Ann_TA!L14</f>
        <v>10.971399999999999</v>
      </c>
      <c r="M596" s="604">
        <f>Econ_Ann_TA!M14</f>
        <v>10.971399999999999</v>
      </c>
      <c r="Q596" s="604"/>
    </row>
  </sheetData>
  <sheetProtection password="F0F4" sheet="1" scenarios="1"/>
  <mergeCells count="401">
    <mergeCell ref="D564:G564"/>
    <mergeCell ref="D565:G565"/>
    <mergeCell ref="D566:G566"/>
    <mergeCell ref="D568:G568"/>
    <mergeCell ref="D573:G573"/>
    <mergeCell ref="D574:G574"/>
    <mergeCell ref="D557:G557"/>
    <mergeCell ref="D558:G558"/>
    <mergeCell ref="D559:G559"/>
    <mergeCell ref="D561:G561"/>
    <mergeCell ref="D562:G562"/>
    <mergeCell ref="D563:G563"/>
    <mergeCell ref="D596:G596"/>
    <mergeCell ref="D585:G585"/>
    <mergeCell ref="D586:G586"/>
    <mergeCell ref="D587:G587"/>
    <mergeCell ref="D588:G588"/>
    <mergeCell ref="D595:G595"/>
    <mergeCell ref="D575:G575"/>
    <mergeCell ref="D576:G576"/>
    <mergeCell ref="D577:G577"/>
    <mergeCell ref="D578:G578"/>
    <mergeCell ref="D583:G583"/>
    <mergeCell ref="D584:G584"/>
    <mergeCell ref="D547:G547"/>
    <mergeCell ref="D548:G548"/>
    <mergeCell ref="D550:G550"/>
    <mergeCell ref="D554:G554"/>
    <mergeCell ref="D555:G555"/>
    <mergeCell ref="D556:G556"/>
    <mergeCell ref="D540:G540"/>
    <mergeCell ref="D541:G541"/>
    <mergeCell ref="D542:G542"/>
    <mergeCell ref="D544:G544"/>
    <mergeCell ref="D545:G545"/>
    <mergeCell ref="D546:G546"/>
    <mergeCell ref="D530:G530"/>
    <mergeCell ref="D531:G531"/>
    <mergeCell ref="D532:G532"/>
    <mergeCell ref="D534:G534"/>
    <mergeCell ref="D538:G538"/>
    <mergeCell ref="D539:G539"/>
    <mergeCell ref="D523:G523"/>
    <mergeCell ref="D524:G524"/>
    <mergeCell ref="D526:G526"/>
    <mergeCell ref="D527:G527"/>
    <mergeCell ref="D528:G528"/>
    <mergeCell ref="D529:G529"/>
    <mergeCell ref="D514:G514"/>
    <mergeCell ref="D518:G518"/>
    <mergeCell ref="D519:G519"/>
    <mergeCell ref="D520:G520"/>
    <mergeCell ref="D521:G521"/>
    <mergeCell ref="D522:G522"/>
    <mergeCell ref="D507:G507"/>
    <mergeCell ref="D508:G508"/>
    <mergeCell ref="D509:G509"/>
    <mergeCell ref="D510:G510"/>
    <mergeCell ref="D511:G511"/>
    <mergeCell ref="D512:G512"/>
    <mergeCell ref="D500:G500"/>
    <mergeCell ref="D501:G501"/>
    <mergeCell ref="D502:G502"/>
    <mergeCell ref="D503:G503"/>
    <mergeCell ref="D505:G505"/>
    <mergeCell ref="D506:G506"/>
    <mergeCell ref="D493:G493"/>
    <mergeCell ref="D494:G494"/>
    <mergeCell ref="D495:G495"/>
    <mergeCell ref="D497:G497"/>
    <mergeCell ref="D498:G498"/>
    <mergeCell ref="D499:G499"/>
    <mergeCell ref="D483:G483"/>
    <mergeCell ref="D485:G485"/>
    <mergeCell ref="D489:G489"/>
    <mergeCell ref="D490:G490"/>
    <mergeCell ref="D491:G491"/>
    <mergeCell ref="D492:G492"/>
    <mergeCell ref="D477:G477"/>
    <mergeCell ref="D478:G478"/>
    <mergeCell ref="D479:G479"/>
    <mergeCell ref="D480:G480"/>
    <mergeCell ref="D481:G481"/>
    <mergeCell ref="D482:G482"/>
    <mergeCell ref="D470:G470"/>
    <mergeCell ref="D471:G471"/>
    <mergeCell ref="D472:G472"/>
    <mergeCell ref="D473:G473"/>
    <mergeCell ref="D474:G474"/>
    <mergeCell ref="D476:G476"/>
    <mergeCell ref="D463:G463"/>
    <mergeCell ref="D464:G464"/>
    <mergeCell ref="D465:G465"/>
    <mergeCell ref="D466:G466"/>
    <mergeCell ref="D468:G468"/>
    <mergeCell ref="D469:G469"/>
    <mergeCell ref="D447:G447"/>
    <mergeCell ref="I455:M455"/>
    <mergeCell ref="D460:G460"/>
    <mergeCell ref="D461:G461"/>
    <mergeCell ref="D462:G462"/>
    <mergeCell ref="D448:G448"/>
    <mergeCell ref="D435:G435"/>
    <mergeCell ref="D436:G436"/>
    <mergeCell ref="D437:G437"/>
    <mergeCell ref="D438:G438"/>
    <mergeCell ref="D439:G439"/>
    <mergeCell ref="D440:G440"/>
    <mergeCell ref="D425:G425"/>
    <mergeCell ref="D426:G426"/>
    <mergeCell ref="D427:G427"/>
    <mergeCell ref="D428:G428"/>
    <mergeCell ref="D429:G429"/>
    <mergeCell ref="D430:G430"/>
    <mergeCell ref="D414:G414"/>
    <mergeCell ref="D415:G415"/>
    <mergeCell ref="D416:G416"/>
    <mergeCell ref="D417:G417"/>
    <mergeCell ref="D418:G418"/>
    <mergeCell ref="D420:G420"/>
    <mergeCell ref="D407:G407"/>
    <mergeCell ref="D408:G408"/>
    <mergeCell ref="D409:G409"/>
    <mergeCell ref="D410:G410"/>
    <mergeCell ref="D411:G411"/>
    <mergeCell ref="D413:G413"/>
    <mergeCell ref="D397:G397"/>
    <mergeCell ref="D398:G398"/>
    <mergeCell ref="D399:G399"/>
    <mergeCell ref="D400:G400"/>
    <mergeCell ref="D402:G402"/>
    <mergeCell ref="D406:G406"/>
    <mergeCell ref="D390:G390"/>
    <mergeCell ref="D391:G391"/>
    <mergeCell ref="D392:G392"/>
    <mergeCell ref="D393:G393"/>
    <mergeCell ref="D394:G394"/>
    <mergeCell ref="D396:G396"/>
    <mergeCell ref="D380:G380"/>
    <mergeCell ref="D381:G381"/>
    <mergeCell ref="D382:G382"/>
    <mergeCell ref="D383:G383"/>
    <mergeCell ref="D384:G384"/>
    <mergeCell ref="D386:G386"/>
    <mergeCell ref="D373:G373"/>
    <mergeCell ref="D374:G374"/>
    <mergeCell ref="D375:G375"/>
    <mergeCell ref="D376:G376"/>
    <mergeCell ref="D378:G378"/>
    <mergeCell ref="D379:G379"/>
    <mergeCell ref="D363:G363"/>
    <mergeCell ref="D364:G364"/>
    <mergeCell ref="D366:G366"/>
    <mergeCell ref="D370:G370"/>
    <mergeCell ref="D371:G371"/>
    <mergeCell ref="D372:G372"/>
    <mergeCell ref="D357:G357"/>
    <mergeCell ref="D358:G358"/>
    <mergeCell ref="D359:G359"/>
    <mergeCell ref="D360:G360"/>
    <mergeCell ref="D361:G361"/>
    <mergeCell ref="D362:G362"/>
    <mergeCell ref="D350:G350"/>
    <mergeCell ref="D351:G351"/>
    <mergeCell ref="D352:G352"/>
    <mergeCell ref="D353:G353"/>
    <mergeCell ref="D354:G354"/>
    <mergeCell ref="D355:G355"/>
    <mergeCell ref="D343:G343"/>
    <mergeCell ref="D344:G344"/>
    <mergeCell ref="D345:G345"/>
    <mergeCell ref="D346:G346"/>
    <mergeCell ref="D347:G347"/>
    <mergeCell ref="D349:G349"/>
    <mergeCell ref="D333:G333"/>
    <mergeCell ref="D334:G334"/>
    <mergeCell ref="D335:G335"/>
    <mergeCell ref="D337:G337"/>
    <mergeCell ref="D341:G341"/>
    <mergeCell ref="D342:G342"/>
    <mergeCell ref="D326:G326"/>
    <mergeCell ref="D328:G328"/>
    <mergeCell ref="D329:G329"/>
    <mergeCell ref="D330:G330"/>
    <mergeCell ref="D331:G331"/>
    <mergeCell ref="D332:G332"/>
    <mergeCell ref="D320:G320"/>
    <mergeCell ref="D321:G321"/>
    <mergeCell ref="D322:G322"/>
    <mergeCell ref="D323:G323"/>
    <mergeCell ref="D324:G324"/>
    <mergeCell ref="D325:G325"/>
    <mergeCell ref="D313:G313"/>
    <mergeCell ref="D314:G314"/>
    <mergeCell ref="D315:G315"/>
    <mergeCell ref="D316:G316"/>
    <mergeCell ref="D317:G317"/>
    <mergeCell ref="D318:G318"/>
    <mergeCell ref="D291:G291"/>
    <mergeCell ref="D292:G292"/>
    <mergeCell ref="D299:G299"/>
    <mergeCell ref="I307:M307"/>
    <mergeCell ref="D312:G312"/>
    <mergeCell ref="D281:G281"/>
    <mergeCell ref="D282:G282"/>
    <mergeCell ref="D287:G287"/>
    <mergeCell ref="D288:G288"/>
    <mergeCell ref="D289:G289"/>
    <mergeCell ref="D290:G290"/>
    <mergeCell ref="D300:G300"/>
    <mergeCell ref="D270:G270"/>
    <mergeCell ref="D272:G272"/>
    <mergeCell ref="D277:G277"/>
    <mergeCell ref="D278:G278"/>
    <mergeCell ref="D279:G279"/>
    <mergeCell ref="D280:G280"/>
    <mergeCell ref="D263:G263"/>
    <mergeCell ref="D265:G265"/>
    <mergeCell ref="D266:G266"/>
    <mergeCell ref="D267:G267"/>
    <mergeCell ref="D268:G268"/>
    <mergeCell ref="D269:G269"/>
    <mergeCell ref="D254:G254"/>
    <mergeCell ref="D258:G258"/>
    <mergeCell ref="D259:G259"/>
    <mergeCell ref="D260:G260"/>
    <mergeCell ref="D261:G261"/>
    <mergeCell ref="D262:G262"/>
    <mergeCell ref="D246:G246"/>
    <mergeCell ref="D248:G248"/>
    <mergeCell ref="D249:G249"/>
    <mergeCell ref="D250:G250"/>
    <mergeCell ref="D251:G251"/>
    <mergeCell ref="D252:G252"/>
    <mergeCell ref="D236:G236"/>
    <mergeCell ref="D238:G238"/>
    <mergeCell ref="D242:G242"/>
    <mergeCell ref="D243:G243"/>
    <mergeCell ref="D244:G244"/>
    <mergeCell ref="D245:G245"/>
    <mergeCell ref="D230:G230"/>
    <mergeCell ref="D231:G231"/>
    <mergeCell ref="D232:G232"/>
    <mergeCell ref="D233:G233"/>
    <mergeCell ref="D234:G234"/>
    <mergeCell ref="D235:G235"/>
    <mergeCell ref="D223:G223"/>
    <mergeCell ref="D224:G224"/>
    <mergeCell ref="D225:G225"/>
    <mergeCell ref="D226:G226"/>
    <mergeCell ref="D227:G227"/>
    <mergeCell ref="D228:G228"/>
    <mergeCell ref="D213:G213"/>
    <mergeCell ref="D214:G214"/>
    <mergeCell ref="D215:G215"/>
    <mergeCell ref="D216:G216"/>
    <mergeCell ref="D218:G218"/>
    <mergeCell ref="D222:G222"/>
    <mergeCell ref="D206:G206"/>
    <mergeCell ref="D207:G207"/>
    <mergeCell ref="D209:G209"/>
    <mergeCell ref="D210:G210"/>
    <mergeCell ref="D211:G211"/>
    <mergeCell ref="D212:G212"/>
    <mergeCell ref="D199:G199"/>
    <mergeCell ref="D201:G201"/>
    <mergeCell ref="D202:G202"/>
    <mergeCell ref="D203:G203"/>
    <mergeCell ref="D204:G204"/>
    <mergeCell ref="D205:G205"/>
    <mergeCell ref="D193:G193"/>
    <mergeCell ref="D194:G194"/>
    <mergeCell ref="D195:G195"/>
    <mergeCell ref="D196:G196"/>
    <mergeCell ref="D197:G197"/>
    <mergeCell ref="D198:G198"/>
    <mergeCell ref="D183:G183"/>
    <mergeCell ref="D184:G184"/>
    <mergeCell ref="D185:G185"/>
    <mergeCell ref="D186:G186"/>
    <mergeCell ref="D187:G187"/>
    <mergeCell ref="D189:G189"/>
    <mergeCell ref="D176:G176"/>
    <mergeCell ref="D177:G177"/>
    <mergeCell ref="D178:G178"/>
    <mergeCell ref="D180:G180"/>
    <mergeCell ref="D181:G181"/>
    <mergeCell ref="D182:G182"/>
    <mergeCell ref="D169:G169"/>
    <mergeCell ref="D170:G170"/>
    <mergeCell ref="D172:G172"/>
    <mergeCell ref="D173:G173"/>
    <mergeCell ref="D174:G174"/>
    <mergeCell ref="D175:G175"/>
    <mergeCell ref="I159:M159"/>
    <mergeCell ref="D164:G164"/>
    <mergeCell ref="D165:G165"/>
    <mergeCell ref="D166:G166"/>
    <mergeCell ref="D167:G167"/>
    <mergeCell ref="D168:G168"/>
    <mergeCell ref="D151:G151"/>
    <mergeCell ref="D143:G143"/>
    <mergeCell ref="D141:G141"/>
    <mergeCell ref="D142:G142"/>
    <mergeCell ref="D144:G144"/>
    <mergeCell ref="D152:G152"/>
    <mergeCell ref="I11:M11"/>
    <mergeCell ref="D45:G45"/>
    <mergeCell ref="D53:G53"/>
    <mergeCell ref="D61:G61"/>
    <mergeCell ref="D70:G70"/>
    <mergeCell ref="D139:G139"/>
    <mergeCell ref="D140:G140"/>
    <mergeCell ref="D65:G65"/>
    <mergeCell ref="D66:G66"/>
    <mergeCell ref="D67:G67"/>
    <mergeCell ref="D51:G51"/>
    <mergeCell ref="D59:G59"/>
    <mergeCell ref="D68:G68"/>
    <mergeCell ref="D134:G134"/>
    <mergeCell ref="D46:G46"/>
    <mergeCell ref="D47:G47"/>
    <mergeCell ref="D48:G48"/>
    <mergeCell ref="D49:G49"/>
    <mergeCell ref="D103:G103"/>
    <mergeCell ref="D98:G98"/>
    <mergeCell ref="D104:G104"/>
    <mergeCell ref="D94:G94"/>
    <mergeCell ref="D100:G100"/>
    <mergeCell ref="D106:G106"/>
    <mergeCell ref="D90:G90"/>
    <mergeCell ref="D95:G95"/>
    <mergeCell ref="D96:G96"/>
    <mergeCell ref="D97:G97"/>
    <mergeCell ref="D101:G101"/>
    <mergeCell ref="D102:G102"/>
    <mergeCell ref="D132:G132"/>
    <mergeCell ref="D133:G133"/>
    <mergeCell ref="D120:G120"/>
    <mergeCell ref="D121:G121"/>
    <mergeCell ref="D115:G115"/>
    <mergeCell ref="D122:G122"/>
    <mergeCell ref="D110:G110"/>
    <mergeCell ref="D117:G117"/>
    <mergeCell ref="D111:G111"/>
    <mergeCell ref="D112:G112"/>
    <mergeCell ref="D113:G113"/>
    <mergeCell ref="D114:G114"/>
    <mergeCell ref="D118:G118"/>
    <mergeCell ref="D119:G119"/>
    <mergeCell ref="D124:G124"/>
    <mergeCell ref="D129:G129"/>
    <mergeCell ref="D130:G130"/>
    <mergeCell ref="D131:G131"/>
    <mergeCell ref="D75:G75"/>
    <mergeCell ref="D58:G58"/>
    <mergeCell ref="D62:G62"/>
    <mergeCell ref="D63:G63"/>
    <mergeCell ref="D64:G64"/>
    <mergeCell ref="D41:G41"/>
    <mergeCell ref="D80:G80"/>
    <mergeCell ref="D88:G88"/>
    <mergeCell ref="D74:G74"/>
    <mergeCell ref="D82:G82"/>
    <mergeCell ref="D76:G76"/>
    <mergeCell ref="D77:G77"/>
    <mergeCell ref="D78:G78"/>
    <mergeCell ref="D79:G79"/>
    <mergeCell ref="D83:G83"/>
    <mergeCell ref="D84:G84"/>
    <mergeCell ref="D50:G50"/>
    <mergeCell ref="D54:G54"/>
    <mergeCell ref="D55:G55"/>
    <mergeCell ref="D56:G56"/>
    <mergeCell ref="D57:G57"/>
    <mergeCell ref="D85:G85"/>
    <mergeCell ref="D86:G86"/>
    <mergeCell ref="D87:G87"/>
    <mergeCell ref="D39:G39"/>
    <mergeCell ref="D32:G32"/>
    <mergeCell ref="D25:G25"/>
    <mergeCell ref="D26:G26"/>
    <mergeCell ref="D22:G22"/>
    <mergeCell ref="D30:G30"/>
    <mergeCell ref="D28:G28"/>
    <mergeCell ref="D36:G36"/>
    <mergeCell ref="D35:G35"/>
    <mergeCell ref="D38:G38"/>
    <mergeCell ref="D37:G37"/>
    <mergeCell ref="D16:G16"/>
    <mergeCell ref="D24:G24"/>
    <mergeCell ref="D29:G29"/>
    <mergeCell ref="B3:F3"/>
    <mergeCell ref="D20:G20"/>
    <mergeCell ref="D21:G21"/>
    <mergeCell ref="D27:G27"/>
    <mergeCell ref="D33:G33"/>
    <mergeCell ref="D34:G34"/>
    <mergeCell ref="D17:G17"/>
    <mergeCell ref="D18:G18"/>
    <mergeCell ref="D19:G19"/>
  </mergeCells>
  <dataValidations count="9">
    <dataValidation type="custom" showErrorMessage="1" errorTitle="Invalid Assumption" error="Assumption must be a number." sqref="J595:M595 O139:O143 O583:O587 O435:O439 O287:O291 M139:M143 M583:M587 M435:M439 M287:M291 I139:I143 I583:I587 I435:I439 I287:I291 O129:O133 O573:O577 O425:O429 O277:O281 M129:M133 M573:M577 M425:M429 M277:M281 K129:K133 K573:K577 K425:K429 K277:K281 I129:I133 I573:I577 I425:I429 I277:I281 M111:M114 M118:M121 M555:M558 M562:M565 M407:M410 M414:M417 M259:M262 M266:M269 K111:K114 K118:K121 K555:K558 K562:K565 K407:K410 K414:K417 K259:K262 K266:K269 I111:I114 I118:I121 I555:I558 I562:I565 I407:I410 I414:I417 I259:I262 I266:I269 O95:O97 O101:O103 O539:O541 O545:O547 O391:O393 O397:O399 O243:O245 O249:O251 M95:M97 M101:M103 M539:M541 M545:M547 M391:M393 M397:M399 M243:M245 M249:M251 K95:K97 K101:K103 K539:K541 K545:K547 K391:K393 K397:K399 K243:K245 K249:K251 I95:I97 I101:I103 I539:I541 I545:I547 I391:I393 I397:I399 I243:I245 I249:I251 O75:O79 O83:O87 O519:O523 O527:O531 O371:O375 O379:O383 O223:O227 O231:O235 M75:M79 M83:M87 M519:M523 M527:M531 M371:M375 M379:M383 M223:M227 M231:M235 K75:K79 K83:K87 K519:K523 K527:K531 K371:K375 K379:K383 K223:K227 K231:K235 I75:I79 I83:I87 I519:I523 I527:I531 I371:I375 I379:I383 I223:I227 I231:I235 I46:I50 I54:I58 I62:I67 I490:I494 I498:I502 I506:I511 I342:I346 I350:I354 I358:I363 I194:I198 I202:I206 I210:I215 O46:O51 O54:O59 O62:O68 O490:O495 O498:O503 O506:O512 O342:O347 O350:O355 O358:O364 O194:O199 O202:O207 O210:O216 M46:M51 M54:M59 M62:M68 M490:M495 M498:M503 M506:M512 M342:M347 M350:M355 M358:M364 M194:M199 M202:M207 M210:M216 K46:K51 K54:K59 K62:K68 K490:K495 K498:K503 K506:K512 K342:K347 K350:K355 K358:K364 K194:K199 K202:K207 K210:K216 O17:O21 O25:O29 O33:O38 O461:O465 O469:O473 O477:O482 O313:O317 O321:O325 O329:O334 O165:O169 O173:O177 O181:O186 M17:M21 M25:M29 M33:M38 M461:M465 M469:M473 M477:M482 M313:M317 M321:M325 M329:M334 M165:M169 M173:M177 M181:M186 K17:K21 K25:K29 K33:K38 K461:K465 K469:K473 K477:K482 K313:K317 K321:K325 K329:K334 K165:K169 K173:K177 K181:K186 I165:I170 I173:I178 I181:I187 I17:I22 I25:I30 I33:I39 I461:I466 I469:I474 I477:I483 I313:I318 I321:I326 I329:I335 J299:M299 J151:M151 J447:M447">
      <formula1>NOT(ISERROR(I17/1))</formula1>
    </dataValidation>
    <dataValidation type="whole" showDropDown="1" showErrorMessage="1" errorTitle="Drop Down Box Cell Link" error="The value in a drop down box cell link must be a whole number within the control's lookup range rows." sqref="I12">
      <formula1>1</formula1>
      <formula2>ROWS(LU_PLUG_Train_Curr)</formula2>
    </dataValidation>
    <dataValidation type="whole" showDropDown="1" showErrorMessage="1" errorTitle="Drop Down Box Cell Link" error="The value in a drop down box cell link must be a whole number within the control's lookup range rows." sqref="I160">
      <formula1>1</formula1>
      <formula2>ROWS(LU_PLUG_2_Train_Curr)</formula2>
    </dataValidation>
    <dataValidation type="whole" showDropDown="1" showErrorMessage="1" errorTitle="Drop Down Box Cell Link" error="The value in a drop down box cell link must be a whole number within the control's lookup range rows." sqref="I308">
      <formula1>1</formula1>
      <formula2>ROWS(LU_PLUG_3_Train_Curr)</formula2>
    </dataValidation>
    <dataValidation type="whole" showDropDown="1" showErrorMessage="1" errorTitle="Drop Down Box Cell Link" error="The value in a drop down box cell link must be a whole number within the control's lookup range rows." sqref="I456">
      <formula1>1</formula1>
      <formula2>ROWS(LU_PLUG_4_Train_Curr)</formula2>
    </dataValidation>
    <dataValidation type="custom" showErrorMessage="1" errorTitle="Invalid Assumption" error="Assumption must be a number." sqref="J152:M152">
      <formula1>NOT(ISERROR(J152/1))</formula1>
    </dataValidation>
    <dataValidation type="custom" showErrorMessage="1" errorTitle="Invalid Assumption" error="Assumption must be a number." sqref="J300:M300">
      <formula1>NOT(ISERROR(J300/1))</formula1>
    </dataValidation>
    <dataValidation type="custom" showErrorMessage="1" errorTitle="Invalid Assumption" error="Assumption must be a number." sqref="J448:M448">
      <formula1>NOT(ISERROR(J448/1))</formula1>
    </dataValidation>
    <dataValidation type="custom" showErrorMessage="1" errorTitle="Invalid Assumption" error="Assumption must be a number." sqref="J596:M596">
      <formula1>NOT(ISERROR(J596/1))</formula1>
    </dataValidation>
  </dataValidations>
  <hyperlinks>
    <hyperlink ref="A4" location="$B$5" tooltip="Go to Top of Sheet" display="$B$5"/>
    <hyperlink ref="B4" location="HL_Sheet_Main_61" tooltip="Go to Previous Sheet" display="HL_Sheet_Main_61"/>
    <hyperlink ref="C4" location="HL_Sheet_Main_68" tooltip="Go to Next Sheet" display="HL_Sheet_Main_68"/>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24291" r:id="rId4" name="bpmDropDownPLUG3">
              <controlPr defaultSize="0" autoFill="0" autoPict="0">
                <anchor moveWithCells="1">
                  <from>
                    <xdr:col>8</xdr:col>
                    <xdr:colOff>123825</xdr:colOff>
                    <xdr:row>11</xdr:row>
                    <xdr:rowOff>0</xdr:rowOff>
                  </from>
                  <to>
                    <xdr:col>9</xdr:col>
                    <xdr:colOff>123825</xdr:colOff>
                    <xdr:row>12</xdr:row>
                    <xdr:rowOff>0</xdr:rowOff>
                  </to>
                </anchor>
              </controlPr>
            </control>
          </mc:Choice>
        </mc:AlternateContent>
        <mc:AlternateContent xmlns:mc="http://schemas.openxmlformats.org/markup-compatibility/2006">
          <mc:Choice Requires="x14">
            <control shapeId="524292" r:id="rId5" name="bpmDropDownPLUG_21">
              <controlPr defaultSize="0" autoFill="0" autoPict="0">
                <anchor moveWithCells="1">
                  <from>
                    <xdr:col>8</xdr:col>
                    <xdr:colOff>0</xdr:colOff>
                    <xdr:row>159</xdr:row>
                    <xdr:rowOff>0</xdr:rowOff>
                  </from>
                  <to>
                    <xdr:col>9</xdr:col>
                    <xdr:colOff>0</xdr:colOff>
                    <xdr:row>292</xdr:row>
                    <xdr:rowOff>133350</xdr:rowOff>
                  </to>
                </anchor>
              </controlPr>
            </control>
          </mc:Choice>
        </mc:AlternateContent>
        <mc:AlternateContent xmlns:mc="http://schemas.openxmlformats.org/markup-compatibility/2006">
          <mc:Choice Requires="x14">
            <control shapeId="524293" r:id="rId6" name="bpmDropDownPLUG_31">
              <controlPr defaultSize="0" autoFill="0" autoPict="0">
                <anchor moveWithCells="1">
                  <from>
                    <xdr:col>8</xdr:col>
                    <xdr:colOff>0</xdr:colOff>
                    <xdr:row>307</xdr:row>
                    <xdr:rowOff>0</xdr:rowOff>
                  </from>
                  <to>
                    <xdr:col>9</xdr:col>
                    <xdr:colOff>0</xdr:colOff>
                    <xdr:row>440</xdr:row>
                    <xdr:rowOff>133350</xdr:rowOff>
                  </to>
                </anchor>
              </controlPr>
            </control>
          </mc:Choice>
        </mc:AlternateContent>
        <mc:AlternateContent xmlns:mc="http://schemas.openxmlformats.org/markup-compatibility/2006">
          <mc:Choice Requires="x14">
            <control shapeId="524294" r:id="rId7" name="bpmDropDownPLUG_41">
              <controlPr defaultSize="0" autoFill="0" autoPict="0">
                <anchor moveWithCells="1">
                  <from>
                    <xdr:col>8</xdr:col>
                    <xdr:colOff>0</xdr:colOff>
                    <xdr:row>455</xdr:row>
                    <xdr:rowOff>0</xdr:rowOff>
                  </from>
                  <to>
                    <xdr:col>9</xdr:col>
                    <xdr:colOff>0</xdr:colOff>
                    <xdr:row>588</xdr:row>
                    <xdr:rowOff>133350</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pageSetUpPr autoPageBreaks="0"/>
  </sheetPr>
  <dimension ref="A1:W439"/>
  <sheetViews>
    <sheetView showGridLines="0" zoomScaleNormal="100" workbookViewId="0">
      <pane xSplit="1" ySplit="4" topLeftCell="B143" activePane="bottomRight" state="frozen"/>
      <selection pane="topRight"/>
      <selection pane="bottomLeft"/>
      <selection pane="bottomRight" activeCell="F4" sqref="F4"/>
    </sheetView>
  </sheetViews>
  <sheetFormatPr defaultColWidth="11.7109375" defaultRowHeight="12.75" outlineLevelRow="2" x14ac:dyDescent="0.2"/>
  <cols>
    <col min="1" max="5" width="3.7109375" style="348" customWidth="1"/>
    <col min="6" max="16384" width="11.7109375" style="348"/>
  </cols>
  <sheetData>
    <row r="1" spans="1:19" ht="23.25" x14ac:dyDescent="0.2">
      <c r="A1" s="321"/>
      <c r="B1" s="349" t="s">
        <v>1171</v>
      </c>
    </row>
    <row r="2" spans="1:19" ht="18.75" x14ac:dyDescent="0.2">
      <c r="B2" s="350" t="str">
        <f>Model_Name</f>
        <v>Zambia C4P* - Screening &amp; Treatment Tool</v>
      </c>
    </row>
    <row r="3" spans="1:19" x14ac:dyDescent="0.2">
      <c r="B3" s="722" t="s">
        <v>2</v>
      </c>
      <c r="C3" s="722"/>
      <c r="D3" s="722"/>
      <c r="E3" s="722"/>
      <c r="F3" s="722"/>
    </row>
    <row r="4" spans="1:19" x14ac:dyDescent="0.2">
      <c r="A4" s="351" t="s">
        <v>4</v>
      </c>
      <c r="B4" s="352" t="s">
        <v>6</v>
      </c>
      <c r="C4" s="353" t="s">
        <v>7</v>
      </c>
      <c r="D4" s="354" t="s">
        <v>27</v>
      </c>
      <c r="E4" s="355" t="s">
        <v>28</v>
      </c>
      <c r="F4" s="356" t="s">
        <v>29</v>
      </c>
    </row>
    <row r="5" spans="1:19" collapsed="1" x14ac:dyDescent="0.2"/>
    <row r="7" spans="1:19" ht="18.75" x14ac:dyDescent="0.2">
      <c r="B7" s="424" t="str">
        <f>I8</f>
        <v>Sensitization Meeting</v>
      </c>
    </row>
    <row r="8" spans="1:19" x14ac:dyDescent="0.2">
      <c r="G8" s="360" t="s">
        <v>1153</v>
      </c>
      <c r="I8" s="721" t="s">
        <v>1162</v>
      </c>
      <c r="J8" s="721"/>
      <c r="K8" s="721"/>
      <c r="L8" s="721"/>
      <c r="M8" s="721"/>
    </row>
    <row r="9" spans="1:19" ht="10.5" customHeight="1" x14ac:dyDescent="0.2">
      <c r="G9" s="360" t="s">
        <v>1120</v>
      </c>
      <c r="I9" s="544">
        <v>1</v>
      </c>
    </row>
    <row r="10" spans="1:19" ht="15.75" outlineLevel="1" x14ac:dyDescent="0.2">
      <c r="C10" s="538" t="s">
        <v>414</v>
      </c>
    </row>
    <row r="11" spans="1:19" outlineLevel="2" x14ac:dyDescent="0.2"/>
    <row r="12" spans="1:19" ht="15.75" outlineLevel="2" x14ac:dyDescent="0.2">
      <c r="D12" s="538" t="s">
        <v>1154</v>
      </c>
    </row>
    <row r="13" spans="1:19" ht="38.25" outlineLevel="2" x14ac:dyDescent="0.2">
      <c r="D13" s="956" t="s">
        <v>1155</v>
      </c>
      <c r="E13" s="957"/>
      <c r="F13" s="957"/>
      <c r="G13" s="957"/>
      <c r="I13" s="545" t="s">
        <v>1018</v>
      </c>
      <c r="K13" s="545" t="s">
        <v>995</v>
      </c>
      <c r="M13" s="545" t="s">
        <v>1019</v>
      </c>
      <c r="O13" s="545" t="s">
        <v>1020</v>
      </c>
      <c r="Q13" s="392" t="str">
        <f>"FINANCIAL COST ("&amp;INDEX(LU_PLUG_5_Meet_Curr,DD_PLUG_5_Meet1_Curr)&amp;")"</f>
        <v>FINANCIAL COST (USD)</v>
      </c>
      <c r="S13" s="392" t="str">
        <f>"ECONOMIC COST ("&amp;INDEX(LU_PLUG_5_Meet_Curr,DD_PLUG_5_Meet1_Curr)&amp;")"</f>
        <v>ECONOMIC COST (USD)</v>
      </c>
    </row>
    <row r="14" spans="1:19" outlineLevel="2" x14ac:dyDescent="0.2">
      <c r="D14" s="721" t="s">
        <v>1137</v>
      </c>
      <c r="E14" s="721"/>
      <c r="F14" s="721"/>
      <c r="G14" s="721"/>
      <c r="I14" s="606">
        <v>0</v>
      </c>
      <c r="K14" s="372">
        <v>0</v>
      </c>
      <c r="M14" s="372">
        <v>0</v>
      </c>
      <c r="O14" s="372">
        <v>0</v>
      </c>
      <c r="Q14" s="395">
        <f>I14*K14*M14</f>
        <v>0</v>
      </c>
      <c r="S14" s="395">
        <f>I14*K14*O14</f>
        <v>0</v>
      </c>
    </row>
    <row r="15" spans="1:19" outlineLevel="2" x14ac:dyDescent="0.2">
      <c r="D15" s="721" t="s">
        <v>1138</v>
      </c>
      <c r="E15" s="721"/>
      <c r="F15" s="721"/>
      <c r="G15" s="721"/>
      <c r="I15" s="606">
        <v>0</v>
      </c>
      <c r="K15" s="372">
        <v>0</v>
      </c>
      <c r="M15" s="372">
        <v>0</v>
      </c>
      <c r="O15" s="372">
        <v>0</v>
      </c>
      <c r="Q15" s="395">
        <f>I15*K15*M15</f>
        <v>0</v>
      </c>
      <c r="S15" s="395">
        <f>I15*K15*O15</f>
        <v>0</v>
      </c>
    </row>
    <row r="16" spans="1:19" outlineLevel="2" x14ac:dyDescent="0.2">
      <c r="D16" s="721" t="s">
        <v>1139</v>
      </c>
      <c r="E16" s="721"/>
      <c r="F16" s="721"/>
      <c r="G16" s="721"/>
      <c r="I16" s="606">
        <v>0</v>
      </c>
      <c r="K16" s="372">
        <v>0</v>
      </c>
      <c r="M16" s="372">
        <v>0</v>
      </c>
      <c r="O16" s="372">
        <v>0</v>
      </c>
      <c r="Q16" s="395">
        <f>I16*K16*M16</f>
        <v>0</v>
      </c>
      <c r="S16" s="395">
        <f>I16*K16*O16</f>
        <v>0</v>
      </c>
    </row>
    <row r="17" spans="4:19" outlineLevel="2" x14ac:dyDescent="0.2">
      <c r="D17" s="721" t="s">
        <v>1140</v>
      </c>
      <c r="E17" s="721"/>
      <c r="F17" s="721"/>
      <c r="G17" s="721"/>
      <c r="I17" s="606">
        <v>0</v>
      </c>
      <c r="K17" s="372">
        <v>0</v>
      </c>
      <c r="M17" s="372">
        <v>0</v>
      </c>
      <c r="O17" s="372">
        <v>0</v>
      </c>
      <c r="Q17" s="395">
        <f>I17*K17*M17</f>
        <v>0</v>
      </c>
      <c r="S17" s="395">
        <f>I17*K17*O17</f>
        <v>0</v>
      </c>
    </row>
    <row r="18" spans="4:19" outlineLevel="2" x14ac:dyDescent="0.2">
      <c r="D18" s="721" t="s">
        <v>1141</v>
      </c>
      <c r="E18" s="721"/>
      <c r="F18" s="721"/>
      <c r="G18" s="721"/>
      <c r="I18" s="606">
        <v>0</v>
      </c>
      <c r="K18" s="372">
        <v>0</v>
      </c>
      <c r="M18" s="372">
        <v>0</v>
      </c>
      <c r="O18" s="372">
        <v>0</v>
      </c>
      <c r="Q18" s="396">
        <f>I18*K18*M18</f>
        <v>0</v>
      </c>
      <c r="S18" s="396">
        <f>I18*K18*O18</f>
        <v>0</v>
      </c>
    </row>
    <row r="19" spans="4:19" outlineLevel="2" x14ac:dyDescent="0.2">
      <c r="D19" s="909" t="str">
        <f>"Total "&amp;D13</f>
        <v>Total Meeting Personnel Sub-Total 1</v>
      </c>
      <c r="E19" s="910"/>
      <c r="F19" s="910"/>
      <c r="G19" s="910"/>
      <c r="I19" s="593">
        <f>SUM(I14:I18)</f>
        <v>0</v>
      </c>
      <c r="Q19" s="391">
        <f>SUM(Q14:Q18)</f>
        <v>0</v>
      </c>
      <c r="S19" s="391">
        <f>SUM(S14:S18)</f>
        <v>0</v>
      </c>
    </row>
    <row r="20" spans="4:19" ht="6.6" customHeight="1" outlineLevel="2" x14ac:dyDescent="0.2"/>
    <row r="21" spans="4:19" ht="38.25" outlineLevel="2" x14ac:dyDescent="0.2">
      <c r="D21" s="956" t="s">
        <v>1156</v>
      </c>
      <c r="E21" s="957"/>
      <c r="F21" s="957"/>
      <c r="G21" s="957"/>
      <c r="I21" s="545" t="s">
        <v>1018</v>
      </c>
      <c r="K21" s="545" t="s">
        <v>995</v>
      </c>
      <c r="M21" s="545" t="s">
        <v>1019</v>
      </c>
      <c r="O21" s="545" t="s">
        <v>1020</v>
      </c>
      <c r="Q21" s="392" t="str">
        <f>"FINANCIAL COST ("&amp;INDEX(LU_PLUG_5_Meet_Curr,DD_PLUG_5_Meet1_Curr)&amp;")"</f>
        <v>FINANCIAL COST (USD)</v>
      </c>
      <c r="S21" s="392" t="str">
        <f>"ECONOMIC COST ("&amp;INDEX(LU_PLUG_5_Meet_Curr,DD_PLUG_5_Meet1_Curr)&amp;")"</f>
        <v>ECONOMIC COST (USD)</v>
      </c>
    </row>
    <row r="22" spans="4:19" outlineLevel="2" x14ac:dyDescent="0.2">
      <c r="D22" s="721" t="s">
        <v>1142</v>
      </c>
      <c r="E22" s="721"/>
      <c r="F22" s="721"/>
      <c r="G22" s="721"/>
      <c r="I22" s="606">
        <v>0</v>
      </c>
      <c r="K22" s="372">
        <v>0</v>
      </c>
      <c r="M22" s="372">
        <v>0</v>
      </c>
      <c r="O22" s="372">
        <v>0</v>
      </c>
      <c r="Q22" s="395">
        <f>I22*K22*M22</f>
        <v>0</v>
      </c>
      <c r="S22" s="395">
        <f>I22*K22*O22</f>
        <v>0</v>
      </c>
    </row>
    <row r="23" spans="4:19" outlineLevel="2" x14ac:dyDescent="0.2">
      <c r="D23" s="721" t="s">
        <v>1143</v>
      </c>
      <c r="E23" s="721"/>
      <c r="F23" s="721"/>
      <c r="G23" s="721"/>
      <c r="I23" s="606">
        <v>0</v>
      </c>
      <c r="K23" s="372">
        <v>0</v>
      </c>
      <c r="M23" s="372">
        <v>0</v>
      </c>
      <c r="O23" s="372">
        <v>0</v>
      </c>
      <c r="Q23" s="395">
        <f>I23*K23*M23</f>
        <v>0</v>
      </c>
      <c r="S23" s="395">
        <f>I23*K23*O23</f>
        <v>0</v>
      </c>
    </row>
    <row r="24" spans="4:19" outlineLevel="2" x14ac:dyDescent="0.2">
      <c r="D24" s="721" t="s">
        <v>1144</v>
      </c>
      <c r="E24" s="721"/>
      <c r="F24" s="721"/>
      <c r="G24" s="721"/>
      <c r="I24" s="606">
        <v>0</v>
      </c>
      <c r="K24" s="372">
        <v>0</v>
      </c>
      <c r="M24" s="372">
        <v>0</v>
      </c>
      <c r="O24" s="372">
        <v>0</v>
      </c>
      <c r="Q24" s="395">
        <f>I24*K24*M24</f>
        <v>0</v>
      </c>
      <c r="S24" s="395">
        <f>I24*K24*O24</f>
        <v>0</v>
      </c>
    </row>
    <row r="25" spans="4:19" outlineLevel="2" x14ac:dyDescent="0.2">
      <c r="D25" s="721" t="s">
        <v>1145</v>
      </c>
      <c r="E25" s="721"/>
      <c r="F25" s="721"/>
      <c r="G25" s="721"/>
      <c r="I25" s="606">
        <v>0</v>
      </c>
      <c r="K25" s="372">
        <v>0</v>
      </c>
      <c r="M25" s="372">
        <v>0</v>
      </c>
      <c r="O25" s="372">
        <v>0</v>
      </c>
      <c r="Q25" s="395">
        <f>I25*K25*M25</f>
        <v>0</v>
      </c>
      <c r="S25" s="395">
        <f>I25*K25*O25</f>
        <v>0</v>
      </c>
    </row>
    <row r="26" spans="4:19" outlineLevel="2" x14ac:dyDescent="0.2">
      <c r="D26" s="721" t="s">
        <v>1146</v>
      </c>
      <c r="E26" s="721"/>
      <c r="F26" s="721"/>
      <c r="G26" s="721"/>
      <c r="I26" s="606">
        <v>0</v>
      </c>
      <c r="K26" s="372">
        <v>0</v>
      </c>
      <c r="M26" s="372">
        <v>0</v>
      </c>
      <c r="O26" s="372">
        <v>0</v>
      </c>
      <c r="Q26" s="396">
        <f>I26*K26*M26</f>
        <v>0</v>
      </c>
      <c r="S26" s="396">
        <f>I26*K26*O26</f>
        <v>0</v>
      </c>
    </row>
    <row r="27" spans="4:19" outlineLevel="2" x14ac:dyDescent="0.2">
      <c r="D27" s="909" t="str">
        <f>"Total "&amp;D21</f>
        <v>Total Meeting Personnel Sub-Total 2</v>
      </c>
      <c r="E27" s="910"/>
      <c r="F27" s="910"/>
      <c r="G27" s="910"/>
      <c r="I27" s="593">
        <f>SUM(I22:I26)</f>
        <v>0</v>
      </c>
      <c r="Q27" s="391">
        <f>SUM(Q22:Q26)</f>
        <v>0</v>
      </c>
      <c r="S27" s="391">
        <f>SUM(S22:S26)</f>
        <v>0</v>
      </c>
    </row>
    <row r="28" spans="4:19" ht="6.6" customHeight="1" outlineLevel="2" x14ac:dyDescent="0.2"/>
    <row r="29" spans="4:19" ht="38.25" outlineLevel="2" x14ac:dyDescent="0.2">
      <c r="D29" s="956" t="s">
        <v>1157</v>
      </c>
      <c r="E29" s="957"/>
      <c r="F29" s="957"/>
      <c r="G29" s="957"/>
      <c r="I29" s="545" t="s">
        <v>1018</v>
      </c>
      <c r="K29" s="545" t="s">
        <v>995</v>
      </c>
      <c r="M29" s="545" t="s">
        <v>1019</v>
      </c>
      <c r="O29" s="545" t="s">
        <v>1020</v>
      </c>
      <c r="Q29" s="392" t="str">
        <f>"FINANCIAL COST ("&amp;INDEX(LU_PLUG_5_Meet_Curr,DD_PLUG_5_Meet1_Curr)&amp;")"</f>
        <v>FINANCIAL COST (USD)</v>
      </c>
      <c r="S29" s="392" t="str">
        <f>"ECONOMIC COST ("&amp;INDEX(LU_PLUG_5_Meet_Curr,DD_PLUG_5_Meet1_Curr)&amp;")"</f>
        <v>ECONOMIC COST (USD)</v>
      </c>
    </row>
    <row r="30" spans="4:19" outlineLevel="2" x14ac:dyDescent="0.2">
      <c r="D30" s="721" t="s">
        <v>1147</v>
      </c>
      <c r="E30" s="721"/>
      <c r="F30" s="721"/>
      <c r="G30" s="721"/>
      <c r="I30" s="606">
        <v>0</v>
      </c>
      <c r="K30" s="372">
        <v>0</v>
      </c>
      <c r="M30" s="372">
        <v>0</v>
      </c>
      <c r="O30" s="372">
        <v>0</v>
      </c>
      <c r="Q30" s="395">
        <f t="shared" ref="Q30:Q35" si="0">I30*K30*M30</f>
        <v>0</v>
      </c>
      <c r="S30" s="395">
        <f t="shared" ref="S30:S35" si="1">I30*K30*O30</f>
        <v>0</v>
      </c>
    </row>
    <row r="31" spans="4:19" outlineLevel="2" x14ac:dyDescent="0.2">
      <c r="D31" s="721" t="s">
        <v>1148</v>
      </c>
      <c r="E31" s="721"/>
      <c r="F31" s="721"/>
      <c r="G31" s="721"/>
      <c r="I31" s="606">
        <v>0</v>
      </c>
      <c r="K31" s="372">
        <v>0</v>
      </c>
      <c r="M31" s="372">
        <v>0</v>
      </c>
      <c r="O31" s="372">
        <v>0</v>
      </c>
      <c r="Q31" s="395">
        <f t="shared" si="0"/>
        <v>0</v>
      </c>
      <c r="S31" s="395">
        <f t="shared" si="1"/>
        <v>0</v>
      </c>
    </row>
    <row r="32" spans="4:19" outlineLevel="2" x14ac:dyDescent="0.2">
      <c r="D32" s="721" t="s">
        <v>1149</v>
      </c>
      <c r="E32" s="721"/>
      <c r="F32" s="721"/>
      <c r="G32" s="721"/>
      <c r="I32" s="606">
        <v>0</v>
      </c>
      <c r="K32" s="372">
        <v>0</v>
      </c>
      <c r="M32" s="372">
        <v>0</v>
      </c>
      <c r="O32" s="372">
        <v>0</v>
      </c>
      <c r="Q32" s="395">
        <f t="shared" si="0"/>
        <v>0</v>
      </c>
      <c r="S32" s="395">
        <f t="shared" si="1"/>
        <v>0</v>
      </c>
    </row>
    <row r="33" spans="3:19" outlineLevel="2" x14ac:dyDescent="0.2">
      <c r="D33" s="721" t="s">
        <v>1150</v>
      </c>
      <c r="E33" s="721"/>
      <c r="F33" s="721"/>
      <c r="G33" s="721"/>
      <c r="I33" s="606">
        <v>0</v>
      </c>
      <c r="K33" s="372">
        <v>0</v>
      </c>
      <c r="M33" s="372">
        <v>0</v>
      </c>
      <c r="O33" s="372">
        <v>0</v>
      </c>
      <c r="Q33" s="395">
        <f t="shared" si="0"/>
        <v>0</v>
      </c>
      <c r="S33" s="395">
        <f t="shared" si="1"/>
        <v>0</v>
      </c>
    </row>
    <row r="34" spans="3:19" outlineLevel="2" x14ac:dyDescent="0.2">
      <c r="D34" s="721" t="s">
        <v>1151</v>
      </c>
      <c r="E34" s="721"/>
      <c r="F34" s="721"/>
      <c r="G34" s="721"/>
      <c r="I34" s="606">
        <v>0</v>
      </c>
      <c r="K34" s="372">
        <v>0</v>
      </c>
      <c r="M34" s="372">
        <v>0</v>
      </c>
      <c r="O34" s="372">
        <v>0</v>
      </c>
      <c r="Q34" s="395">
        <f t="shared" si="0"/>
        <v>0</v>
      </c>
      <c r="S34" s="395">
        <f t="shared" si="1"/>
        <v>0</v>
      </c>
    </row>
    <row r="35" spans="3:19" outlineLevel="2" x14ac:dyDescent="0.2">
      <c r="D35" s="721" t="s">
        <v>1152</v>
      </c>
      <c r="E35" s="721"/>
      <c r="F35" s="721"/>
      <c r="G35" s="721"/>
      <c r="I35" s="606">
        <v>0</v>
      </c>
      <c r="K35" s="372">
        <v>0</v>
      </c>
      <c r="M35" s="372">
        <v>0</v>
      </c>
      <c r="O35" s="372">
        <v>0</v>
      </c>
      <c r="Q35" s="396">
        <f t="shared" si="0"/>
        <v>0</v>
      </c>
      <c r="S35" s="396">
        <f t="shared" si="1"/>
        <v>0</v>
      </c>
    </row>
    <row r="36" spans="3:19" outlineLevel="2" x14ac:dyDescent="0.2">
      <c r="D36" s="909" t="str">
        <f>"Total "&amp;D29</f>
        <v>Total Meeting Personnel Sub-Total 3</v>
      </c>
      <c r="E36" s="910"/>
      <c r="F36" s="910"/>
      <c r="G36" s="910"/>
      <c r="I36" s="593">
        <f>SUM(I30:I35)</f>
        <v>0</v>
      </c>
      <c r="Q36" s="391">
        <f>SUM(Q30:Q35)</f>
        <v>0</v>
      </c>
      <c r="S36" s="391">
        <f>SUM(S30:S35)</f>
        <v>0</v>
      </c>
    </row>
    <row r="37" spans="3:19" ht="6.6" customHeight="1" outlineLevel="2" x14ac:dyDescent="0.2">
      <c r="Q37" s="382"/>
      <c r="S37" s="382"/>
    </row>
    <row r="38" spans="3:19" ht="15" outlineLevel="1" x14ac:dyDescent="0.2">
      <c r="D38" s="782" t="s">
        <v>1052</v>
      </c>
      <c r="E38" s="783"/>
      <c r="F38" s="783"/>
      <c r="G38" s="783"/>
      <c r="I38" s="540"/>
      <c r="K38" s="540"/>
      <c r="M38" s="540"/>
      <c r="O38" s="540"/>
      <c r="Q38" s="397">
        <f>SUM(Q19,Q27,Q36)</f>
        <v>0</v>
      </c>
      <c r="S38" s="397">
        <f>SUM(S19,S27,S36)</f>
        <v>0</v>
      </c>
    </row>
    <row r="39" spans="3:19" outlineLevel="1" x14ac:dyDescent="0.2"/>
    <row r="40" spans="3:19" ht="15.75" outlineLevel="1" x14ac:dyDescent="0.2">
      <c r="C40" s="538" t="s">
        <v>996</v>
      </c>
    </row>
    <row r="41" spans="3:19" outlineLevel="2" x14ac:dyDescent="0.2"/>
    <row r="42" spans="3:19" ht="25.5" outlineLevel="2" x14ac:dyDescent="0.2">
      <c r="D42" s="791" t="str">
        <f>D13</f>
        <v>Meeting Personnel Sub-Total 1</v>
      </c>
      <c r="E42" s="792"/>
      <c r="F42" s="792"/>
      <c r="G42" s="792"/>
      <c r="I42" s="545" t="s">
        <v>994</v>
      </c>
      <c r="K42" s="545" t="s">
        <v>1037</v>
      </c>
      <c r="M42" s="545" t="s">
        <v>1038</v>
      </c>
      <c r="O42" s="545" t="s">
        <v>1039</v>
      </c>
      <c r="Q42" s="392" t="str">
        <f>"FINANCIAL COST ("&amp;INDEX(LU_PLUG_5_Meet_Curr,DD_PLUG_5_Meet1_Curr)&amp;")"</f>
        <v>FINANCIAL COST (USD)</v>
      </c>
      <c r="S42" s="392" t="str">
        <f>"ECONOMIC COST ("&amp;INDEX(LU_PLUG_5_Meet_Curr,DD_PLUG_5_Meet1_Curr)&amp;")"</f>
        <v>ECONOMIC COST (USD)</v>
      </c>
    </row>
    <row r="43" spans="3:19" outlineLevel="2" x14ac:dyDescent="0.2">
      <c r="D43" s="721" t="s">
        <v>1137</v>
      </c>
      <c r="E43" s="721"/>
      <c r="F43" s="721"/>
      <c r="G43" s="721"/>
      <c r="I43" s="372">
        <v>0</v>
      </c>
      <c r="K43" s="372">
        <v>0</v>
      </c>
      <c r="M43" s="372">
        <v>0</v>
      </c>
      <c r="O43" s="372">
        <v>0</v>
      </c>
      <c r="Q43" s="395">
        <f>I43*K43*M43</f>
        <v>0</v>
      </c>
      <c r="S43" s="395">
        <f>I43*K43*O43</f>
        <v>0</v>
      </c>
    </row>
    <row r="44" spans="3:19" outlineLevel="2" x14ac:dyDescent="0.2">
      <c r="D44" s="721" t="s">
        <v>1138</v>
      </c>
      <c r="E44" s="721"/>
      <c r="F44" s="721"/>
      <c r="G44" s="721"/>
      <c r="I44" s="372">
        <v>0</v>
      </c>
      <c r="K44" s="372">
        <v>0</v>
      </c>
      <c r="M44" s="372">
        <v>0</v>
      </c>
      <c r="O44" s="372">
        <v>0</v>
      </c>
      <c r="Q44" s="395">
        <f>I44*K44*M44</f>
        <v>0</v>
      </c>
      <c r="S44" s="395">
        <f>I44*K44*O44</f>
        <v>0</v>
      </c>
    </row>
    <row r="45" spans="3:19" outlineLevel="2" x14ac:dyDescent="0.2">
      <c r="D45" s="721" t="s">
        <v>1139</v>
      </c>
      <c r="E45" s="721"/>
      <c r="F45" s="721"/>
      <c r="G45" s="721"/>
      <c r="I45" s="372">
        <v>0</v>
      </c>
      <c r="K45" s="372">
        <v>0</v>
      </c>
      <c r="M45" s="372">
        <v>0</v>
      </c>
      <c r="O45" s="372">
        <v>0</v>
      </c>
      <c r="Q45" s="395">
        <f>I45*K45*M45</f>
        <v>0</v>
      </c>
      <c r="S45" s="395">
        <f>I45*K45*O45</f>
        <v>0</v>
      </c>
    </row>
    <row r="46" spans="3:19" outlineLevel="2" x14ac:dyDescent="0.2">
      <c r="D46" s="721" t="s">
        <v>1140</v>
      </c>
      <c r="E46" s="721"/>
      <c r="F46" s="721"/>
      <c r="G46" s="721"/>
      <c r="I46" s="372">
        <v>0</v>
      </c>
      <c r="K46" s="372">
        <v>0</v>
      </c>
      <c r="M46" s="372">
        <v>0</v>
      </c>
      <c r="O46" s="372">
        <v>0</v>
      </c>
      <c r="Q46" s="395">
        <f>I46*K46*M46</f>
        <v>0</v>
      </c>
      <c r="S46" s="395">
        <f>I46*K46*O46</f>
        <v>0</v>
      </c>
    </row>
    <row r="47" spans="3:19" outlineLevel="2" x14ac:dyDescent="0.2">
      <c r="D47" s="721" t="s">
        <v>1141</v>
      </c>
      <c r="E47" s="721"/>
      <c r="F47" s="721"/>
      <c r="G47" s="721"/>
      <c r="I47" s="372">
        <v>0</v>
      </c>
      <c r="K47" s="372">
        <v>0</v>
      </c>
      <c r="M47" s="372">
        <v>0</v>
      </c>
      <c r="O47" s="372">
        <v>0</v>
      </c>
      <c r="Q47" s="396">
        <f>I47*K47*M47</f>
        <v>0</v>
      </c>
      <c r="S47" s="396">
        <f>I47*K47*O47</f>
        <v>0</v>
      </c>
    </row>
    <row r="48" spans="3:19" outlineLevel="2" x14ac:dyDescent="0.2">
      <c r="D48" s="909" t="str">
        <f>"Total "&amp;D42</f>
        <v>Total Meeting Personnel Sub-Total 1</v>
      </c>
      <c r="E48" s="910"/>
      <c r="F48" s="910"/>
      <c r="G48" s="910"/>
      <c r="Q48" s="391">
        <f>SUM(Q43:Q47)</f>
        <v>0</v>
      </c>
      <c r="S48" s="391">
        <f>SUM(S43:S47)</f>
        <v>0</v>
      </c>
    </row>
    <row r="49" spans="4:19" ht="6.6" customHeight="1" outlineLevel="2" x14ac:dyDescent="0.2"/>
    <row r="50" spans="4:19" ht="25.5" outlineLevel="2" x14ac:dyDescent="0.2">
      <c r="D50" s="791" t="str">
        <f>D21</f>
        <v>Meeting Personnel Sub-Total 2</v>
      </c>
      <c r="E50" s="792"/>
      <c r="F50" s="792"/>
      <c r="G50" s="792"/>
      <c r="I50" s="545" t="s">
        <v>994</v>
      </c>
      <c r="K50" s="545" t="s">
        <v>1037</v>
      </c>
      <c r="M50" s="545" t="s">
        <v>1038</v>
      </c>
      <c r="O50" s="545" t="s">
        <v>1039</v>
      </c>
      <c r="Q50" s="392" t="str">
        <f>"FINANCIAL COST ("&amp;INDEX(LU_PLUG_5_Meet_Curr,DD_PLUG_5_Meet1_Curr)&amp;")"</f>
        <v>FINANCIAL COST (USD)</v>
      </c>
      <c r="S50" s="392" t="str">
        <f>"ECONOMIC COST ("&amp;INDEX(LU_PLUG_5_Meet_Curr,DD_PLUG_5_Meet1_Curr)&amp;")"</f>
        <v>ECONOMIC COST (USD)</v>
      </c>
    </row>
    <row r="51" spans="4:19" outlineLevel="2" x14ac:dyDescent="0.2">
      <c r="D51" s="721" t="s">
        <v>1142</v>
      </c>
      <c r="E51" s="721"/>
      <c r="F51" s="721"/>
      <c r="G51" s="721"/>
      <c r="I51" s="372">
        <v>0</v>
      </c>
      <c r="K51" s="372">
        <v>0</v>
      </c>
      <c r="M51" s="372">
        <v>0</v>
      </c>
      <c r="O51" s="372">
        <v>0</v>
      </c>
      <c r="Q51" s="395">
        <f>I51*K51*M51</f>
        <v>0</v>
      </c>
      <c r="S51" s="395">
        <f>I51*K51*O51</f>
        <v>0</v>
      </c>
    </row>
    <row r="52" spans="4:19" outlineLevel="2" x14ac:dyDescent="0.2">
      <c r="D52" s="721" t="s">
        <v>1143</v>
      </c>
      <c r="E52" s="721"/>
      <c r="F52" s="721"/>
      <c r="G52" s="721"/>
      <c r="I52" s="372">
        <v>0</v>
      </c>
      <c r="K52" s="372">
        <v>0</v>
      </c>
      <c r="M52" s="372">
        <v>0</v>
      </c>
      <c r="O52" s="372">
        <v>0</v>
      </c>
      <c r="Q52" s="395">
        <f>I52*K52*M52</f>
        <v>0</v>
      </c>
      <c r="S52" s="395">
        <f>I52*K52*O52</f>
        <v>0</v>
      </c>
    </row>
    <row r="53" spans="4:19" outlineLevel="2" x14ac:dyDescent="0.2">
      <c r="D53" s="721" t="s">
        <v>1144</v>
      </c>
      <c r="E53" s="721"/>
      <c r="F53" s="721"/>
      <c r="G53" s="721"/>
      <c r="I53" s="372">
        <v>0</v>
      </c>
      <c r="K53" s="372">
        <v>0</v>
      </c>
      <c r="M53" s="372">
        <v>0</v>
      </c>
      <c r="O53" s="372">
        <v>0</v>
      </c>
      <c r="Q53" s="395">
        <f>I53*K53*M53</f>
        <v>0</v>
      </c>
      <c r="S53" s="395">
        <f>I53*K53*O53</f>
        <v>0</v>
      </c>
    </row>
    <row r="54" spans="4:19" outlineLevel="2" x14ac:dyDescent="0.2">
      <c r="D54" s="721" t="s">
        <v>1145</v>
      </c>
      <c r="E54" s="721"/>
      <c r="F54" s="721"/>
      <c r="G54" s="721"/>
      <c r="I54" s="372">
        <v>0</v>
      </c>
      <c r="K54" s="372">
        <v>0</v>
      </c>
      <c r="M54" s="372">
        <v>0</v>
      </c>
      <c r="O54" s="372">
        <v>0</v>
      </c>
      <c r="Q54" s="395">
        <f>I54*K54*M54</f>
        <v>0</v>
      </c>
      <c r="S54" s="395">
        <f>I54*K54*O54</f>
        <v>0</v>
      </c>
    </row>
    <row r="55" spans="4:19" outlineLevel="2" x14ac:dyDescent="0.2">
      <c r="D55" s="721" t="s">
        <v>1146</v>
      </c>
      <c r="E55" s="721"/>
      <c r="F55" s="721"/>
      <c r="G55" s="721"/>
      <c r="I55" s="372">
        <v>0</v>
      </c>
      <c r="K55" s="372">
        <v>0</v>
      </c>
      <c r="M55" s="372">
        <v>0</v>
      </c>
      <c r="O55" s="372">
        <v>0</v>
      </c>
      <c r="Q55" s="396">
        <f>I55*K55*M55</f>
        <v>0</v>
      </c>
      <c r="S55" s="396">
        <f>I55*K55*O55</f>
        <v>0</v>
      </c>
    </row>
    <row r="56" spans="4:19" outlineLevel="2" x14ac:dyDescent="0.2">
      <c r="D56" s="909" t="str">
        <f>"Total "&amp;D50</f>
        <v>Total Meeting Personnel Sub-Total 2</v>
      </c>
      <c r="E56" s="910"/>
      <c r="F56" s="910"/>
      <c r="G56" s="910"/>
      <c r="Q56" s="391">
        <f>SUM(Q51:Q55)</f>
        <v>0</v>
      </c>
      <c r="S56" s="391">
        <f>SUM(S51:S55)</f>
        <v>0</v>
      </c>
    </row>
    <row r="57" spans="4:19" ht="6.6" customHeight="1" outlineLevel="2" x14ac:dyDescent="0.2"/>
    <row r="58" spans="4:19" ht="25.5" outlineLevel="2" x14ac:dyDescent="0.2">
      <c r="D58" s="791" t="str">
        <f>D29</f>
        <v>Meeting Personnel Sub-Total 3</v>
      </c>
      <c r="E58" s="792"/>
      <c r="F58" s="792"/>
      <c r="G58" s="792"/>
      <c r="I58" s="545" t="s">
        <v>994</v>
      </c>
      <c r="K58" s="545" t="s">
        <v>1037</v>
      </c>
      <c r="M58" s="545" t="s">
        <v>1038</v>
      </c>
      <c r="O58" s="545" t="s">
        <v>1039</v>
      </c>
      <c r="Q58" s="392" t="str">
        <f>"FINANCIAL COST ("&amp;INDEX(LU_PLUG_5_Meet_Curr,DD_PLUG_5_Meet1_Curr)&amp;")"</f>
        <v>FINANCIAL COST (USD)</v>
      </c>
      <c r="S58" s="392" t="str">
        <f>"ECONOMIC COST ("&amp;INDEX(LU_PLUG_5_Meet_Curr,DD_PLUG_5_Meet1_Curr)&amp;")"</f>
        <v>ECONOMIC COST (USD)</v>
      </c>
    </row>
    <row r="59" spans="4:19" outlineLevel="2" x14ac:dyDescent="0.2">
      <c r="D59" s="721" t="s">
        <v>1147</v>
      </c>
      <c r="E59" s="721"/>
      <c r="F59" s="721"/>
      <c r="G59" s="721"/>
      <c r="I59" s="372">
        <v>0</v>
      </c>
      <c r="K59" s="372">
        <v>0</v>
      </c>
      <c r="M59" s="372">
        <v>0</v>
      </c>
      <c r="O59" s="372">
        <v>0</v>
      </c>
      <c r="Q59" s="395">
        <f t="shared" ref="Q59:Q64" si="2">I59*K59*M59</f>
        <v>0</v>
      </c>
      <c r="S59" s="395">
        <f t="shared" ref="S59:S64" si="3">I59*K59*O59</f>
        <v>0</v>
      </c>
    </row>
    <row r="60" spans="4:19" outlineLevel="2" x14ac:dyDescent="0.2">
      <c r="D60" s="721" t="s">
        <v>1148</v>
      </c>
      <c r="E60" s="721"/>
      <c r="F60" s="721"/>
      <c r="G60" s="721"/>
      <c r="I60" s="372">
        <v>0</v>
      </c>
      <c r="K60" s="372">
        <v>0</v>
      </c>
      <c r="M60" s="372">
        <v>0</v>
      </c>
      <c r="O60" s="372">
        <v>0</v>
      </c>
      <c r="Q60" s="395">
        <f t="shared" si="2"/>
        <v>0</v>
      </c>
      <c r="S60" s="395">
        <f t="shared" si="3"/>
        <v>0</v>
      </c>
    </row>
    <row r="61" spans="4:19" outlineLevel="2" x14ac:dyDescent="0.2">
      <c r="D61" s="721" t="s">
        <v>1149</v>
      </c>
      <c r="E61" s="721"/>
      <c r="F61" s="721"/>
      <c r="G61" s="721"/>
      <c r="I61" s="372">
        <v>0</v>
      </c>
      <c r="K61" s="372">
        <v>0</v>
      </c>
      <c r="M61" s="372">
        <v>0</v>
      </c>
      <c r="O61" s="372">
        <v>0</v>
      </c>
      <c r="Q61" s="395">
        <f t="shared" si="2"/>
        <v>0</v>
      </c>
      <c r="S61" s="395">
        <f t="shared" si="3"/>
        <v>0</v>
      </c>
    </row>
    <row r="62" spans="4:19" outlineLevel="2" x14ac:dyDescent="0.2">
      <c r="D62" s="721" t="s">
        <v>1150</v>
      </c>
      <c r="E62" s="721"/>
      <c r="F62" s="721"/>
      <c r="G62" s="721"/>
      <c r="I62" s="372">
        <v>0</v>
      </c>
      <c r="K62" s="372">
        <v>0</v>
      </c>
      <c r="M62" s="372">
        <v>0</v>
      </c>
      <c r="O62" s="372">
        <v>0</v>
      </c>
      <c r="Q62" s="395">
        <f t="shared" si="2"/>
        <v>0</v>
      </c>
      <c r="S62" s="395">
        <f t="shared" si="3"/>
        <v>0</v>
      </c>
    </row>
    <row r="63" spans="4:19" outlineLevel="2" x14ac:dyDescent="0.2">
      <c r="D63" s="721" t="s">
        <v>1151</v>
      </c>
      <c r="E63" s="721"/>
      <c r="F63" s="721"/>
      <c r="G63" s="721"/>
      <c r="I63" s="372">
        <v>0</v>
      </c>
      <c r="K63" s="372">
        <v>0</v>
      </c>
      <c r="M63" s="372">
        <v>0</v>
      </c>
      <c r="O63" s="372">
        <v>0</v>
      </c>
      <c r="Q63" s="395">
        <f t="shared" si="2"/>
        <v>0</v>
      </c>
      <c r="S63" s="395">
        <f t="shared" si="3"/>
        <v>0</v>
      </c>
    </row>
    <row r="64" spans="4:19" outlineLevel="2" x14ac:dyDescent="0.2">
      <c r="D64" s="721" t="s">
        <v>1152</v>
      </c>
      <c r="E64" s="721"/>
      <c r="F64" s="721"/>
      <c r="G64" s="721"/>
      <c r="I64" s="372">
        <v>0</v>
      </c>
      <c r="K64" s="372">
        <v>0</v>
      </c>
      <c r="M64" s="372">
        <v>0</v>
      </c>
      <c r="O64" s="372">
        <v>0</v>
      </c>
      <c r="Q64" s="396">
        <f t="shared" si="2"/>
        <v>0</v>
      </c>
      <c r="S64" s="396">
        <f t="shared" si="3"/>
        <v>0</v>
      </c>
    </row>
    <row r="65" spans="3:19" outlineLevel="2" x14ac:dyDescent="0.2">
      <c r="D65" s="909" t="str">
        <f>"Total "&amp;D58</f>
        <v>Total Meeting Personnel Sub-Total 3</v>
      </c>
      <c r="E65" s="910"/>
      <c r="F65" s="910"/>
      <c r="G65" s="910"/>
      <c r="Q65" s="391">
        <f>SUM(Q59:Q64)</f>
        <v>0</v>
      </c>
      <c r="S65" s="391">
        <f>SUM(S59:S64)</f>
        <v>0</v>
      </c>
    </row>
    <row r="66" spans="3:19" ht="6.6" customHeight="1" outlineLevel="2" x14ac:dyDescent="0.2">
      <c r="Q66" s="382"/>
      <c r="S66" s="382"/>
    </row>
    <row r="67" spans="3:19" ht="15" outlineLevel="1" x14ac:dyDescent="0.2">
      <c r="D67" s="782" t="s">
        <v>1021</v>
      </c>
      <c r="E67" s="783"/>
      <c r="F67" s="783"/>
      <c r="G67" s="783"/>
      <c r="I67" s="540"/>
      <c r="K67" s="540"/>
      <c r="M67" s="540"/>
      <c r="O67" s="540"/>
      <c r="Q67" s="397">
        <f>SUM(Q48,Q56,Q65)</f>
        <v>0</v>
      </c>
      <c r="S67" s="397">
        <f>SUM(S48,S56,S65)</f>
        <v>0</v>
      </c>
    </row>
    <row r="68" spans="3:19" outlineLevel="1" x14ac:dyDescent="0.2"/>
    <row r="69" spans="3:19" ht="15.75" outlineLevel="1" x14ac:dyDescent="0.2">
      <c r="C69" s="538" t="s">
        <v>1066</v>
      </c>
    </row>
    <row r="70" spans="3:19" outlineLevel="2" x14ac:dyDescent="0.2"/>
    <row r="71" spans="3:19" ht="25.5" outlineLevel="2" x14ac:dyDescent="0.2">
      <c r="D71" s="956" t="s">
        <v>1124</v>
      </c>
      <c r="E71" s="957"/>
      <c r="F71" s="957"/>
      <c r="G71" s="957"/>
      <c r="I71" s="592" t="s">
        <v>999</v>
      </c>
      <c r="K71" s="592" t="s">
        <v>1051</v>
      </c>
      <c r="M71" s="592" t="s">
        <v>1038</v>
      </c>
      <c r="O71" s="592" t="s">
        <v>1050</v>
      </c>
      <c r="Q71" s="392" t="str">
        <f>"FINANCIAL COST ("&amp;INDEX(LU_PLUG_5_Meet_Curr,DD_PLUG_5_Meet1_Curr)&amp;")"</f>
        <v>FINANCIAL COST (USD)</v>
      </c>
      <c r="S71" s="392" t="str">
        <f>"ECONOMIC COST ("&amp;INDEX(LU_PLUG_5_Meet_Curr,DD_PLUG_5_Meet1_Curr)&amp;")"</f>
        <v>ECONOMIC COST (USD)</v>
      </c>
    </row>
    <row r="72" spans="3:19" outlineLevel="2" x14ac:dyDescent="0.2">
      <c r="D72" s="721" t="s">
        <v>1040</v>
      </c>
      <c r="E72" s="721"/>
      <c r="F72" s="721"/>
      <c r="G72" s="721"/>
      <c r="I72" s="372">
        <v>0</v>
      </c>
      <c r="K72" s="372">
        <v>0</v>
      </c>
      <c r="M72" s="372">
        <v>0</v>
      </c>
      <c r="O72" s="372">
        <v>0</v>
      </c>
      <c r="Q72" s="395">
        <f>I72*K72*M72</f>
        <v>0</v>
      </c>
      <c r="S72" s="395">
        <f>I72*K72*O72</f>
        <v>0</v>
      </c>
    </row>
    <row r="73" spans="3:19" outlineLevel="2" x14ac:dyDescent="0.2">
      <c r="D73" s="721" t="s">
        <v>1041</v>
      </c>
      <c r="E73" s="721"/>
      <c r="F73" s="721"/>
      <c r="G73" s="721"/>
      <c r="I73" s="372">
        <v>0</v>
      </c>
      <c r="K73" s="372">
        <v>0</v>
      </c>
      <c r="M73" s="372">
        <v>0</v>
      </c>
      <c r="O73" s="372">
        <v>0</v>
      </c>
      <c r="Q73" s="395">
        <f>I73*K73*M73</f>
        <v>0</v>
      </c>
      <c r="S73" s="395">
        <f>I73*K73*O73</f>
        <v>0</v>
      </c>
    </row>
    <row r="74" spans="3:19" outlineLevel="2" x14ac:dyDescent="0.2">
      <c r="D74" s="721" t="s">
        <v>1042</v>
      </c>
      <c r="E74" s="721"/>
      <c r="F74" s="721"/>
      <c r="G74" s="721"/>
      <c r="I74" s="372">
        <v>0</v>
      </c>
      <c r="K74" s="372">
        <v>0</v>
      </c>
      <c r="M74" s="372">
        <v>0</v>
      </c>
      <c r="O74" s="372">
        <v>0</v>
      </c>
      <c r="Q74" s="395">
        <f>I74*K74*M74</f>
        <v>0</v>
      </c>
      <c r="S74" s="395">
        <f>I74*K74*O74</f>
        <v>0</v>
      </c>
    </row>
    <row r="75" spans="3:19" outlineLevel="2" x14ac:dyDescent="0.2">
      <c r="D75" s="721" t="s">
        <v>1043</v>
      </c>
      <c r="E75" s="721"/>
      <c r="F75" s="721"/>
      <c r="G75" s="721"/>
      <c r="I75" s="372">
        <v>0</v>
      </c>
      <c r="K75" s="372">
        <v>0</v>
      </c>
      <c r="M75" s="372">
        <v>0</v>
      </c>
      <c r="O75" s="372">
        <v>0</v>
      </c>
      <c r="Q75" s="395">
        <f>I75*K75*M75</f>
        <v>0</v>
      </c>
      <c r="S75" s="395">
        <f>I75*K75*O75</f>
        <v>0</v>
      </c>
    </row>
    <row r="76" spans="3:19" outlineLevel="2" x14ac:dyDescent="0.2">
      <c r="D76" s="721" t="s">
        <v>1044</v>
      </c>
      <c r="E76" s="721"/>
      <c r="F76" s="721"/>
      <c r="G76" s="721"/>
      <c r="I76" s="372">
        <v>0</v>
      </c>
      <c r="K76" s="372">
        <v>0</v>
      </c>
      <c r="M76" s="372">
        <v>0</v>
      </c>
      <c r="O76" s="372">
        <v>0</v>
      </c>
      <c r="Q76" s="396">
        <f>I76*K76*M76</f>
        <v>0</v>
      </c>
      <c r="S76" s="396">
        <f>I76*K76*O76</f>
        <v>0</v>
      </c>
    </row>
    <row r="77" spans="3:19" outlineLevel="2" x14ac:dyDescent="0.2">
      <c r="D77" s="909" t="str">
        <f>"Total "&amp;D71</f>
        <v>Total Rooms Sub-Total 1</v>
      </c>
      <c r="E77" s="910"/>
      <c r="F77" s="910"/>
      <c r="G77" s="910"/>
      <c r="Q77" s="391">
        <f>SUM(Q72:Q76)</f>
        <v>0</v>
      </c>
      <c r="S77" s="391">
        <f>SUM(S72:S76)</f>
        <v>0</v>
      </c>
    </row>
    <row r="78" spans="3:19" ht="6.6" customHeight="1" outlineLevel="2" x14ac:dyDescent="0.2"/>
    <row r="79" spans="3:19" ht="25.5" outlineLevel="2" x14ac:dyDescent="0.2">
      <c r="D79" s="956" t="s">
        <v>1125</v>
      </c>
      <c r="E79" s="957"/>
      <c r="F79" s="957"/>
      <c r="G79" s="957"/>
      <c r="I79" s="592" t="s">
        <v>999</v>
      </c>
      <c r="K79" s="592" t="s">
        <v>1051</v>
      </c>
      <c r="M79" s="592" t="s">
        <v>1038</v>
      </c>
      <c r="O79" s="592" t="s">
        <v>1050</v>
      </c>
      <c r="Q79" s="392" t="str">
        <f>"FINANCIAL COST ("&amp;INDEX(LU_PLUG_5_Meet_Curr,DD_PLUG_5_Meet1_Curr)&amp;")"</f>
        <v>FINANCIAL COST (USD)</v>
      </c>
      <c r="S79" s="392" t="str">
        <f>"ECONOMIC COST ("&amp;INDEX(LU_PLUG_5_Meet_Curr,DD_PLUG_5_Meet1_Curr)&amp;")"</f>
        <v>ECONOMIC COST (USD)</v>
      </c>
    </row>
    <row r="80" spans="3:19" outlineLevel="2" x14ac:dyDescent="0.2">
      <c r="D80" s="721" t="s">
        <v>1045</v>
      </c>
      <c r="E80" s="721"/>
      <c r="F80" s="721"/>
      <c r="G80" s="721"/>
      <c r="I80" s="372">
        <v>0</v>
      </c>
      <c r="K80" s="372">
        <v>0</v>
      </c>
      <c r="M80" s="372">
        <v>0</v>
      </c>
      <c r="O80" s="372">
        <v>0</v>
      </c>
      <c r="Q80" s="395">
        <f>I80*K80*M80</f>
        <v>0</v>
      </c>
      <c r="S80" s="395">
        <f>I80*K80*O80</f>
        <v>0</v>
      </c>
    </row>
    <row r="81" spans="3:19" outlineLevel="2" x14ac:dyDescent="0.2">
      <c r="D81" s="721" t="s">
        <v>1046</v>
      </c>
      <c r="E81" s="721"/>
      <c r="F81" s="721"/>
      <c r="G81" s="721"/>
      <c r="I81" s="372">
        <v>0</v>
      </c>
      <c r="K81" s="372">
        <v>0</v>
      </c>
      <c r="M81" s="372">
        <v>0</v>
      </c>
      <c r="O81" s="372">
        <v>0</v>
      </c>
      <c r="Q81" s="395">
        <f>I81*K81*M81</f>
        <v>0</v>
      </c>
      <c r="S81" s="395">
        <f>I81*K81*O81</f>
        <v>0</v>
      </c>
    </row>
    <row r="82" spans="3:19" outlineLevel="2" x14ac:dyDescent="0.2">
      <c r="D82" s="721" t="s">
        <v>1047</v>
      </c>
      <c r="E82" s="721"/>
      <c r="F82" s="721"/>
      <c r="G82" s="721"/>
      <c r="I82" s="372">
        <v>0</v>
      </c>
      <c r="K82" s="372">
        <v>0</v>
      </c>
      <c r="M82" s="372">
        <v>0</v>
      </c>
      <c r="O82" s="372">
        <v>0</v>
      </c>
      <c r="Q82" s="395">
        <f>I82*K82*M82</f>
        <v>0</v>
      </c>
      <c r="S82" s="395">
        <f>I82*K82*O82</f>
        <v>0</v>
      </c>
    </row>
    <row r="83" spans="3:19" outlineLevel="2" x14ac:dyDescent="0.2">
      <c r="D83" s="721" t="s">
        <v>1048</v>
      </c>
      <c r="E83" s="721"/>
      <c r="F83" s="721"/>
      <c r="G83" s="721"/>
      <c r="I83" s="372">
        <v>0</v>
      </c>
      <c r="K83" s="372">
        <v>0</v>
      </c>
      <c r="M83" s="372">
        <v>0</v>
      </c>
      <c r="O83" s="372">
        <v>0</v>
      </c>
      <c r="Q83" s="395">
        <f>I83*K83*M83</f>
        <v>0</v>
      </c>
      <c r="S83" s="395">
        <f>I83*K83*O83</f>
        <v>0</v>
      </c>
    </row>
    <row r="84" spans="3:19" outlineLevel="2" x14ac:dyDescent="0.2">
      <c r="D84" s="721" t="s">
        <v>1049</v>
      </c>
      <c r="E84" s="721"/>
      <c r="F84" s="721"/>
      <c r="G84" s="721"/>
      <c r="I84" s="372">
        <v>0</v>
      </c>
      <c r="K84" s="372">
        <v>0</v>
      </c>
      <c r="M84" s="372">
        <v>0</v>
      </c>
      <c r="O84" s="372">
        <v>0</v>
      </c>
      <c r="Q84" s="396">
        <f>I84*K84*M84</f>
        <v>0</v>
      </c>
      <c r="S84" s="396">
        <f>I84*K84*O84</f>
        <v>0</v>
      </c>
    </row>
    <row r="85" spans="3:19" outlineLevel="2" x14ac:dyDescent="0.2">
      <c r="D85" s="909" t="str">
        <f>"Total "&amp;D79</f>
        <v>Total Rooms Sub-Total 2</v>
      </c>
      <c r="E85" s="910"/>
      <c r="F85" s="910"/>
      <c r="G85" s="910"/>
      <c r="Q85" s="391">
        <f>SUM(Q80:Q84)</f>
        <v>0</v>
      </c>
      <c r="S85" s="391">
        <f>SUM(S80:S84)</f>
        <v>0</v>
      </c>
    </row>
    <row r="86" spans="3:19" ht="6.6" customHeight="1" outlineLevel="2" x14ac:dyDescent="0.2">
      <c r="Q86" s="382"/>
      <c r="S86" s="382"/>
    </row>
    <row r="87" spans="3:19" ht="15" outlineLevel="1" x14ac:dyDescent="0.2">
      <c r="D87" s="782" t="s">
        <v>1065</v>
      </c>
      <c r="E87" s="783"/>
      <c r="F87" s="783"/>
      <c r="G87" s="783"/>
      <c r="I87" s="540"/>
      <c r="K87" s="540"/>
      <c r="M87" s="540"/>
      <c r="O87" s="540"/>
      <c r="Q87" s="397">
        <f>SUM(Q77,Q85)</f>
        <v>0</v>
      </c>
      <c r="S87" s="397">
        <f>SUM(S77,S85)</f>
        <v>0</v>
      </c>
    </row>
    <row r="88" spans="3:19" outlineLevel="1" x14ac:dyDescent="0.2"/>
    <row r="89" spans="3:19" ht="15.75" outlineLevel="1" x14ac:dyDescent="0.2">
      <c r="C89" s="538" t="s">
        <v>1064</v>
      </c>
    </row>
    <row r="90" spans="3:19" outlineLevel="2" x14ac:dyDescent="0.2"/>
    <row r="91" spans="3:19" ht="25.5" outlineLevel="2" x14ac:dyDescent="0.2">
      <c r="D91" s="956" t="s">
        <v>1059</v>
      </c>
      <c r="E91" s="957"/>
      <c r="F91" s="957"/>
      <c r="G91" s="957"/>
      <c r="I91" s="545" t="s">
        <v>1092</v>
      </c>
      <c r="K91" s="545" t="s">
        <v>995</v>
      </c>
      <c r="M91" s="545" t="s">
        <v>1038</v>
      </c>
      <c r="O91" s="545" t="s">
        <v>1062</v>
      </c>
      <c r="Q91" s="392" t="str">
        <f>"FINANCIAL COST ("&amp;INDEX(LU_PLUG_5_Meet_Curr,DD_PLUG_5_Meet1_Curr)&amp;")"</f>
        <v>FINANCIAL COST (USD)</v>
      </c>
      <c r="S91" s="392" t="str">
        <f>"ECONOMIC COST ("&amp;INDEX(LU_PLUG_5_Meet_Curr,DD_PLUG_5_Meet1_Curr)&amp;")"</f>
        <v>ECONOMIC COST (USD)</v>
      </c>
    </row>
    <row r="92" spans="3:19" outlineLevel="2" x14ac:dyDescent="0.2">
      <c r="D92" s="721" t="s">
        <v>1053</v>
      </c>
      <c r="E92" s="721"/>
      <c r="F92" s="721"/>
      <c r="G92" s="721"/>
      <c r="I92" s="372">
        <v>0</v>
      </c>
      <c r="K92" s="372">
        <v>0</v>
      </c>
      <c r="M92" s="372">
        <v>0</v>
      </c>
      <c r="O92" s="372">
        <v>0</v>
      </c>
      <c r="Q92" s="395">
        <f>I92*K92*M92</f>
        <v>0</v>
      </c>
      <c r="S92" s="395">
        <f>I92*K92*O92</f>
        <v>0</v>
      </c>
    </row>
    <row r="93" spans="3:19" outlineLevel="2" x14ac:dyDescent="0.2">
      <c r="D93" s="721" t="s">
        <v>1054</v>
      </c>
      <c r="E93" s="721"/>
      <c r="F93" s="721"/>
      <c r="G93" s="721"/>
      <c r="I93" s="372">
        <v>0</v>
      </c>
      <c r="K93" s="372">
        <v>0</v>
      </c>
      <c r="M93" s="372">
        <v>0</v>
      </c>
      <c r="O93" s="372">
        <v>0</v>
      </c>
      <c r="Q93" s="395">
        <f>I93*K93*M93</f>
        <v>0</v>
      </c>
      <c r="S93" s="395">
        <f>I93*K93*O93</f>
        <v>0</v>
      </c>
    </row>
    <row r="94" spans="3:19" outlineLevel="2" x14ac:dyDescent="0.2">
      <c r="D94" s="721" t="s">
        <v>1055</v>
      </c>
      <c r="E94" s="721"/>
      <c r="F94" s="721"/>
      <c r="G94" s="721"/>
      <c r="I94" s="372">
        <v>0</v>
      </c>
      <c r="K94" s="372">
        <v>0</v>
      </c>
      <c r="M94" s="372">
        <v>0</v>
      </c>
      <c r="O94" s="372">
        <v>0</v>
      </c>
      <c r="Q94" s="396">
        <f>I94*K94*M94</f>
        <v>0</v>
      </c>
      <c r="S94" s="396">
        <f>I94*K94*O94</f>
        <v>0</v>
      </c>
    </row>
    <row r="95" spans="3:19" outlineLevel="2" x14ac:dyDescent="0.2">
      <c r="D95" s="909" t="str">
        <f>"Total "&amp;D91</f>
        <v>Total Meals &amp; Refreshments Sub-Total 1</v>
      </c>
      <c r="E95" s="910"/>
      <c r="F95" s="910"/>
      <c r="G95" s="910"/>
      <c r="Q95" s="391">
        <f>SUM(Q92:Q94)</f>
        <v>0</v>
      </c>
      <c r="S95" s="391">
        <f>SUM(S92:S94)</f>
        <v>0</v>
      </c>
    </row>
    <row r="96" spans="3:19" ht="6.6" customHeight="1" outlineLevel="2" x14ac:dyDescent="0.2"/>
    <row r="97" spans="3:19" ht="25.5" outlineLevel="2" x14ac:dyDescent="0.2">
      <c r="D97" s="956" t="s">
        <v>1060</v>
      </c>
      <c r="E97" s="957"/>
      <c r="F97" s="957"/>
      <c r="G97" s="957"/>
      <c r="I97" s="545" t="s">
        <v>1092</v>
      </c>
      <c r="K97" s="545" t="s">
        <v>995</v>
      </c>
      <c r="M97" s="545" t="s">
        <v>1038</v>
      </c>
      <c r="O97" s="545" t="s">
        <v>1062</v>
      </c>
      <c r="Q97" s="392" t="str">
        <f>"FINANCIAL COST ("&amp;INDEX(LU_PLUG_5_Meet_Curr,DD_PLUG_5_Meet1_Curr)&amp;")"</f>
        <v>FINANCIAL COST (USD)</v>
      </c>
      <c r="S97" s="392" t="str">
        <f>"ECONOMIC COST ("&amp;INDEX(LU_PLUG_5_Meet_Curr,DD_PLUG_5_Meet1_Curr)&amp;")"</f>
        <v>ECONOMIC COST (USD)</v>
      </c>
    </row>
    <row r="98" spans="3:19" outlineLevel="2" x14ac:dyDescent="0.2">
      <c r="D98" s="721" t="s">
        <v>1056</v>
      </c>
      <c r="E98" s="721"/>
      <c r="F98" s="721"/>
      <c r="G98" s="721"/>
      <c r="I98" s="372">
        <v>0</v>
      </c>
      <c r="K98" s="372">
        <v>0</v>
      </c>
      <c r="M98" s="372">
        <v>0</v>
      </c>
      <c r="O98" s="372">
        <v>0</v>
      </c>
      <c r="Q98" s="395">
        <f>I98*K98*M98</f>
        <v>0</v>
      </c>
      <c r="S98" s="395">
        <f>I98*K98*O98</f>
        <v>0</v>
      </c>
    </row>
    <row r="99" spans="3:19" outlineLevel="2" x14ac:dyDescent="0.2">
      <c r="D99" s="721" t="s">
        <v>1057</v>
      </c>
      <c r="E99" s="721"/>
      <c r="F99" s="721"/>
      <c r="G99" s="721"/>
      <c r="I99" s="372">
        <v>0</v>
      </c>
      <c r="K99" s="372">
        <v>0</v>
      </c>
      <c r="M99" s="372">
        <v>0</v>
      </c>
      <c r="O99" s="372">
        <v>0</v>
      </c>
      <c r="Q99" s="395">
        <f>I99*K99*M99</f>
        <v>0</v>
      </c>
      <c r="S99" s="395">
        <f>I99*K99*O99</f>
        <v>0</v>
      </c>
    </row>
    <row r="100" spans="3:19" outlineLevel="2" x14ac:dyDescent="0.2">
      <c r="D100" s="721" t="s">
        <v>1058</v>
      </c>
      <c r="E100" s="721"/>
      <c r="F100" s="721"/>
      <c r="G100" s="721"/>
      <c r="I100" s="372">
        <v>0</v>
      </c>
      <c r="K100" s="372">
        <v>0</v>
      </c>
      <c r="M100" s="372">
        <v>0</v>
      </c>
      <c r="O100" s="372">
        <v>0</v>
      </c>
      <c r="Q100" s="396">
        <f>I100*K100*M100</f>
        <v>0</v>
      </c>
      <c r="S100" s="396">
        <f>I100*K100*O100</f>
        <v>0</v>
      </c>
    </row>
    <row r="101" spans="3:19" outlineLevel="2" x14ac:dyDescent="0.2">
      <c r="D101" s="909" t="str">
        <f>"Total "&amp;D97</f>
        <v>Total Meals &amp; Refreshments Sub-Total 2</v>
      </c>
      <c r="E101" s="910"/>
      <c r="F101" s="910"/>
      <c r="G101" s="910"/>
      <c r="Q101" s="391">
        <f>SUM(Q98:Q100)</f>
        <v>0</v>
      </c>
      <c r="S101" s="391">
        <f>SUM(S98:S100)</f>
        <v>0</v>
      </c>
    </row>
    <row r="102" spans="3:19" ht="6.6" customHeight="1" outlineLevel="2" x14ac:dyDescent="0.2">
      <c r="Q102" s="382"/>
      <c r="S102" s="382"/>
    </row>
    <row r="103" spans="3:19" ht="15" outlineLevel="1" x14ac:dyDescent="0.2">
      <c r="D103" s="782" t="s">
        <v>1061</v>
      </c>
      <c r="E103" s="783"/>
      <c r="F103" s="783"/>
      <c r="G103" s="783"/>
      <c r="I103" s="540"/>
      <c r="K103" s="540"/>
      <c r="M103" s="540"/>
      <c r="O103" s="540"/>
      <c r="Q103" s="397">
        <f>SUM(Q95,Q101)</f>
        <v>0</v>
      </c>
      <c r="S103" s="397">
        <f>SUM(S95,S101)</f>
        <v>0</v>
      </c>
    </row>
    <row r="104" spans="3:19" outlineLevel="1" x14ac:dyDescent="0.2"/>
    <row r="105" spans="3:19" ht="15.75" outlineLevel="1" x14ac:dyDescent="0.2">
      <c r="C105" s="538" t="s">
        <v>1067</v>
      </c>
    </row>
    <row r="106" spans="3:19" outlineLevel="2" x14ac:dyDescent="0.2"/>
    <row r="107" spans="3:19" ht="25.5" outlineLevel="2" x14ac:dyDescent="0.2">
      <c r="D107" s="956" t="s">
        <v>1076</v>
      </c>
      <c r="E107" s="957"/>
      <c r="F107" s="957"/>
      <c r="G107" s="957"/>
      <c r="I107" s="545" t="s">
        <v>1081</v>
      </c>
      <c r="K107" s="545" t="s">
        <v>1038</v>
      </c>
      <c r="M107" s="545" t="s">
        <v>1050</v>
      </c>
      <c r="Q107" s="392" t="str">
        <f>"FINANCIAL COST ("&amp;INDEX(LU_PLUG_5_Meet_Curr,DD_PLUG_5_Meet1_Curr)&amp;")"</f>
        <v>FINANCIAL COST (USD)</v>
      </c>
      <c r="S107" s="392" t="str">
        <f>"ECONOMIC COST ("&amp;INDEX(LU_PLUG_5_Meet_Curr,DD_PLUG_5_Meet1_Curr)&amp;")"</f>
        <v>ECONOMIC COST (USD)</v>
      </c>
    </row>
    <row r="108" spans="3:19" outlineLevel="2" x14ac:dyDescent="0.2">
      <c r="D108" s="721" t="s">
        <v>1068</v>
      </c>
      <c r="E108" s="721"/>
      <c r="F108" s="721"/>
      <c r="G108" s="721"/>
      <c r="I108" s="372">
        <v>0</v>
      </c>
      <c r="K108" s="372">
        <v>0</v>
      </c>
      <c r="M108" s="372">
        <v>0</v>
      </c>
      <c r="Q108" s="398">
        <f>I108*K108</f>
        <v>0</v>
      </c>
      <c r="S108" s="395">
        <f>I108*M108</f>
        <v>0</v>
      </c>
    </row>
    <row r="109" spans="3:19" outlineLevel="2" x14ac:dyDescent="0.2">
      <c r="D109" s="721" t="s">
        <v>1069</v>
      </c>
      <c r="E109" s="721"/>
      <c r="F109" s="721"/>
      <c r="G109" s="721"/>
      <c r="I109" s="372">
        <v>0</v>
      </c>
      <c r="K109" s="372">
        <v>0</v>
      </c>
      <c r="M109" s="372">
        <v>0</v>
      </c>
      <c r="Q109" s="398">
        <f>I109*K109</f>
        <v>0</v>
      </c>
      <c r="S109" s="395">
        <f>I109*M109</f>
        <v>0</v>
      </c>
    </row>
    <row r="110" spans="3:19" outlineLevel="2" x14ac:dyDescent="0.2">
      <c r="D110" s="721" t="s">
        <v>1070</v>
      </c>
      <c r="E110" s="721"/>
      <c r="F110" s="721"/>
      <c r="G110" s="721"/>
      <c r="I110" s="372">
        <v>0</v>
      </c>
      <c r="K110" s="372">
        <v>0</v>
      </c>
      <c r="M110" s="372">
        <v>0</v>
      </c>
      <c r="Q110" s="398">
        <f>I110*K110</f>
        <v>0</v>
      </c>
      <c r="S110" s="395">
        <f>I110*M110</f>
        <v>0</v>
      </c>
    </row>
    <row r="111" spans="3:19" outlineLevel="2" x14ac:dyDescent="0.2">
      <c r="D111" s="721" t="s">
        <v>1071</v>
      </c>
      <c r="E111" s="721"/>
      <c r="F111" s="721"/>
      <c r="G111" s="721"/>
      <c r="I111" s="372">
        <v>0</v>
      </c>
      <c r="K111" s="372">
        <v>0</v>
      </c>
      <c r="M111" s="372">
        <v>0</v>
      </c>
      <c r="Q111" s="399">
        <f>I111*K111</f>
        <v>0</v>
      </c>
      <c r="S111" s="396">
        <f>I111*M111</f>
        <v>0</v>
      </c>
    </row>
    <row r="112" spans="3:19" outlineLevel="2" x14ac:dyDescent="0.2">
      <c r="D112" s="909" t="str">
        <f>"Total "&amp;D107</f>
        <v>Total Materials &amp; Supplies Sub-Total 1</v>
      </c>
      <c r="E112" s="910"/>
      <c r="F112" s="910"/>
      <c r="G112" s="910"/>
      <c r="Q112" s="364">
        <f>SUM(Q108:Q111)</f>
        <v>0</v>
      </c>
      <c r="S112" s="391">
        <f>SUM(S108:S111)</f>
        <v>0</v>
      </c>
    </row>
    <row r="113" spans="3:19" ht="6.6" customHeight="1" outlineLevel="2" x14ac:dyDescent="0.2"/>
    <row r="114" spans="3:19" ht="25.5" outlineLevel="2" x14ac:dyDescent="0.2">
      <c r="D114" s="956" t="s">
        <v>1077</v>
      </c>
      <c r="E114" s="957"/>
      <c r="F114" s="957"/>
      <c r="G114" s="957"/>
      <c r="I114" s="545" t="s">
        <v>1081</v>
      </c>
      <c r="K114" s="545" t="s">
        <v>1038</v>
      </c>
      <c r="M114" s="545" t="s">
        <v>1050</v>
      </c>
      <c r="Q114" s="392" t="str">
        <f>"FINANCIAL COST ("&amp;INDEX(LU_PLUG_5_Meet_Curr,DD_PLUG_5_Meet1_Curr)&amp;")"</f>
        <v>FINANCIAL COST (USD)</v>
      </c>
      <c r="S114" s="392" t="str">
        <f>"ECONOMIC COST ("&amp;INDEX(LU_PLUG_5_Meet_Curr,DD_PLUG_5_Meet1_Curr)&amp;")"</f>
        <v>ECONOMIC COST (USD)</v>
      </c>
    </row>
    <row r="115" spans="3:19" outlineLevel="2" x14ac:dyDescent="0.2">
      <c r="D115" s="721" t="s">
        <v>1072</v>
      </c>
      <c r="E115" s="721"/>
      <c r="F115" s="721"/>
      <c r="G115" s="721"/>
      <c r="I115" s="372">
        <v>0</v>
      </c>
      <c r="K115" s="372">
        <v>0</v>
      </c>
      <c r="M115" s="372">
        <v>0</v>
      </c>
      <c r="Q115" s="398">
        <f>I115*K115</f>
        <v>0</v>
      </c>
      <c r="S115" s="395">
        <f>I115*M115</f>
        <v>0</v>
      </c>
    </row>
    <row r="116" spans="3:19" outlineLevel="2" x14ac:dyDescent="0.2">
      <c r="D116" s="721" t="s">
        <v>1073</v>
      </c>
      <c r="E116" s="721"/>
      <c r="F116" s="721"/>
      <c r="G116" s="721"/>
      <c r="I116" s="372">
        <v>0</v>
      </c>
      <c r="K116" s="372">
        <v>0</v>
      </c>
      <c r="M116" s="372">
        <v>0</v>
      </c>
      <c r="Q116" s="398">
        <f>I116*K116</f>
        <v>0</v>
      </c>
      <c r="S116" s="395">
        <f>I116*M116</f>
        <v>0</v>
      </c>
    </row>
    <row r="117" spans="3:19" outlineLevel="2" x14ac:dyDescent="0.2">
      <c r="D117" s="721" t="s">
        <v>1074</v>
      </c>
      <c r="E117" s="721"/>
      <c r="F117" s="721"/>
      <c r="G117" s="721"/>
      <c r="I117" s="372">
        <v>0</v>
      </c>
      <c r="K117" s="372">
        <v>0</v>
      </c>
      <c r="M117" s="372">
        <v>0</v>
      </c>
      <c r="Q117" s="398">
        <f>I117*K117</f>
        <v>0</v>
      </c>
      <c r="S117" s="395">
        <f>I117*M117</f>
        <v>0</v>
      </c>
    </row>
    <row r="118" spans="3:19" outlineLevel="2" x14ac:dyDescent="0.2">
      <c r="D118" s="721" t="s">
        <v>1075</v>
      </c>
      <c r="E118" s="721"/>
      <c r="F118" s="721"/>
      <c r="G118" s="721"/>
      <c r="I118" s="372">
        <v>0</v>
      </c>
      <c r="K118" s="372">
        <v>0</v>
      </c>
      <c r="M118" s="372">
        <v>0</v>
      </c>
      <c r="Q118" s="399">
        <f>I118*K118</f>
        <v>0</v>
      </c>
      <c r="S118" s="396">
        <f>I118*M118</f>
        <v>0</v>
      </c>
    </row>
    <row r="119" spans="3:19" outlineLevel="2" x14ac:dyDescent="0.2">
      <c r="D119" s="909" t="str">
        <f>"Total "&amp;D114</f>
        <v>Total Materials &amp; Supplies Sub-Total 2</v>
      </c>
      <c r="E119" s="910"/>
      <c r="F119" s="910"/>
      <c r="G119" s="910"/>
      <c r="Q119" s="364">
        <f>SUM(Q115:Q118)</f>
        <v>0</v>
      </c>
      <c r="S119" s="391">
        <f>SUM(S115:S118)</f>
        <v>0</v>
      </c>
    </row>
    <row r="120" spans="3:19" ht="6.6" customHeight="1" outlineLevel="2" x14ac:dyDescent="0.2">
      <c r="Q120" s="382"/>
      <c r="S120" s="382"/>
    </row>
    <row r="121" spans="3:19" ht="15" outlineLevel="1" x14ac:dyDescent="0.2">
      <c r="D121" s="782" t="s">
        <v>1078</v>
      </c>
      <c r="E121" s="783"/>
      <c r="F121" s="783"/>
      <c r="G121" s="783"/>
      <c r="I121" s="540"/>
      <c r="K121" s="540"/>
      <c r="M121" s="540"/>
      <c r="Q121" s="400">
        <f>SUM(Q112,Q119)</f>
        <v>0</v>
      </c>
      <c r="S121" s="397">
        <f>SUM(S112,S119)</f>
        <v>0</v>
      </c>
    </row>
    <row r="122" spans="3:19" outlineLevel="1" x14ac:dyDescent="0.2"/>
    <row r="123" spans="3:19" ht="15.75" outlineLevel="1" x14ac:dyDescent="0.2">
      <c r="C123" s="538" t="s">
        <v>1082</v>
      </c>
    </row>
    <row r="124" spans="3:19" outlineLevel="2" x14ac:dyDescent="0.2"/>
    <row r="125" spans="3:19" ht="25.5" outlineLevel="2" x14ac:dyDescent="0.2">
      <c r="D125" s="539" t="s">
        <v>998</v>
      </c>
      <c r="I125" s="541" t="s">
        <v>1084</v>
      </c>
      <c r="K125" s="541" t="s">
        <v>1085</v>
      </c>
      <c r="M125" s="541" t="s">
        <v>1038</v>
      </c>
      <c r="O125" s="541" t="s">
        <v>1050</v>
      </c>
      <c r="Q125" s="365" t="str">
        <f>"FINANCIAL COST ("&amp;INDEX(LU_PLUG_5_Meet_Curr,DD_PLUG_5_Meet1_Curr)&amp;")"</f>
        <v>FINANCIAL COST (USD)</v>
      </c>
      <c r="S125" s="365" t="str">
        <f>"ECONOMIC COST ("&amp;INDEX(LU_PLUG_5_Meet_Curr,DD_PLUG_5_Meet1_Curr)&amp;")"</f>
        <v>ECONOMIC COST (USD)</v>
      </c>
    </row>
    <row r="126" spans="3:19" outlineLevel="2" x14ac:dyDescent="0.2">
      <c r="D126" s="721" t="s">
        <v>1001</v>
      </c>
      <c r="E126" s="721"/>
      <c r="F126" s="721"/>
      <c r="G126" s="721"/>
      <c r="I126" s="372">
        <v>0</v>
      </c>
      <c r="K126" s="372">
        <v>0</v>
      </c>
      <c r="M126" s="372">
        <v>0</v>
      </c>
      <c r="O126" s="372">
        <v>0</v>
      </c>
      <c r="Q126" s="391">
        <f>I126*K126*M126</f>
        <v>0</v>
      </c>
      <c r="S126" s="391">
        <f>I126*K126*O126</f>
        <v>0</v>
      </c>
    </row>
    <row r="127" spans="3:19" outlineLevel="2" x14ac:dyDescent="0.2">
      <c r="D127" s="721" t="s">
        <v>1002</v>
      </c>
      <c r="E127" s="721"/>
      <c r="F127" s="721"/>
      <c r="G127" s="721"/>
      <c r="I127" s="372">
        <v>0</v>
      </c>
      <c r="K127" s="372">
        <v>0</v>
      </c>
      <c r="M127" s="372">
        <v>0</v>
      </c>
      <c r="O127" s="372">
        <v>0</v>
      </c>
      <c r="Q127" s="391">
        <f>I127*K127*M127</f>
        <v>0</v>
      </c>
      <c r="S127" s="391">
        <f>I127*K127*O127</f>
        <v>0</v>
      </c>
    </row>
    <row r="128" spans="3:19" outlineLevel="2" x14ac:dyDescent="0.2">
      <c r="D128" s="721" t="s">
        <v>1003</v>
      </c>
      <c r="E128" s="721"/>
      <c r="F128" s="721"/>
      <c r="G128" s="721"/>
      <c r="I128" s="372">
        <v>0</v>
      </c>
      <c r="K128" s="372">
        <v>0</v>
      </c>
      <c r="M128" s="372">
        <v>0</v>
      </c>
      <c r="O128" s="372">
        <v>0</v>
      </c>
      <c r="Q128" s="391">
        <f>I128*K128*M128</f>
        <v>0</v>
      </c>
      <c r="S128" s="391">
        <f>I128*K128*O128</f>
        <v>0</v>
      </c>
    </row>
    <row r="129" spans="2:23" outlineLevel="2" x14ac:dyDescent="0.2">
      <c r="D129" s="721" t="s">
        <v>1004</v>
      </c>
      <c r="E129" s="721"/>
      <c r="F129" s="721"/>
      <c r="G129" s="721"/>
      <c r="I129" s="372">
        <v>0</v>
      </c>
      <c r="K129" s="372">
        <v>0</v>
      </c>
      <c r="M129" s="372">
        <v>0</v>
      </c>
      <c r="O129" s="372">
        <v>0</v>
      </c>
      <c r="Q129" s="391">
        <f>I129*K129*M129</f>
        <v>0</v>
      </c>
      <c r="S129" s="391">
        <f>I129*K129*O129</f>
        <v>0</v>
      </c>
    </row>
    <row r="130" spans="2:23" outlineLevel="2" x14ac:dyDescent="0.2">
      <c r="D130" s="721" t="s">
        <v>1005</v>
      </c>
      <c r="E130" s="721"/>
      <c r="F130" s="721"/>
      <c r="G130" s="721"/>
      <c r="I130" s="372">
        <v>0</v>
      </c>
      <c r="K130" s="372">
        <v>0</v>
      </c>
      <c r="M130" s="372">
        <v>0</v>
      </c>
      <c r="O130" s="372">
        <v>0</v>
      </c>
      <c r="Q130" s="391">
        <f>I130*K130*M130</f>
        <v>0</v>
      </c>
      <c r="S130" s="391">
        <f>I130*K130*O130</f>
        <v>0</v>
      </c>
    </row>
    <row r="131" spans="2:23" ht="15" outlineLevel="1" x14ac:dyDescent="0.2">
      <c r="D131" s="782" t="s">
        <v>1006</v>
      </c>
      <c r="E131" s="783"/>
      <c r="F131" s="783"/>
      <c r="G131" s="783"/>
      <c r="I131" s="542"/>
      <c r="K131" s="542"/>
      <c r="M131" s="542"/>
      <c r="O131" s="542"/>
      <c r="Q131" s="397">
        <f>SUM(Q126:Q130)</f>
        <v>0</v>
      </c>
      <c r="S131" s="397">
        <f>SUM(S126:S130)</f>
        <v>0</v>
      </c>
    </row>
    <row r="132" spans="2:23" outlineLevel="1" x14ac:dyDescent="0.2"/>
    <row r="133" spans="2:23" ht="15.75" outlineLevel="1" x14ac:dyDescent="0.2">
      <c r="C133" s="538" t="s">
        <v>1007</v>
      </c>
    </row>
    <row r="134" spans="2:23" outlineLevel="2" x14ac:dyDescent="0.2"/>
    <row r="135" spans="2:23" ht="25.5" outlineLevel="2" x14ac:dyDescent="0.2">
      <c r="D135" s="539" t="s">
        <v>998</v>
      </c>
      <c r="I135" s="541" t="s">
        <v>1084</v>
      </c>
      <c r="M135" s="545" t="s">
        <v>1038</v>
      </c>
      <c r="O135" s="545" t="s">
        <v>1050</v>
      </c>
      <c r="Q135" s="365" t="str">
        <f>"FINANCIAL COST ("&amp;INDEX(LU_PLUG_5_Meet_Curr,DD_PLUG_5_Meet1_Curr)&amp;")"</f>
        <v>FINANCIAL COST (USD)</v>
      </c>
      <c r="S135" s="365" t="str">
        <f>"ECONOMIC COST ("&amp;INDEX(LU_PLUG_5_Meet_Curr,DD_PLUG_5_Meet1_Curr)&amp;")"</f>
        <v>ECONOMIC COST (USD)</v>
      </c>
    </row>
    <row r="136" spans="2:23" outlineLevel="2" x14ac:dyDescent="0.2">
      <c r="D136" s="721" t="s">
        <v>1086</v>
      </c>
      <c r="E136" s="721"/>
      <c r="F136" s="721"/>
      <c r="G136" s="721"/>
      <c r="I136" s="372">
        <v>0</v>
      </c>
      <c r="M136" s="372">
        <v>0</v>
      </c>
      <c r="O136" s="372">
        <v>0</v>
      </c>
      <c r="Q136" s="391">
        <f>I136*M136</f>
        <v>0</v>
      </c>
      <c r="S136" s="391">
        <f>I136*O136</f>
        <v>0</v>
      </c>
    </row>
    <row r="137" spans="2:23" outlineLevel="2" x14ac:dyDescent="0.2">
      <c r="D137" s="721" t="s">
        <v>1087</v>
      </c>
      <c r="E137" s="721"/>
      <c r="F137" s="721"/>
      <c r="G137" s="721"/>
      <c r="I137" s="372">
        <v>0</v>
      </c>
      <c r="M137" s="372">
        <v>0</v>
      </c>
      <c r="O137" s="372">
        <v>0</v>
      </c>
      <c r="Q137" s="391">
        <f>I137*M137</f>
        <v>0</v>
      </c>
      <c r="S137" s="391">
        <f>I137*O137</f>
        <v>0</v>
      </c>
    </row>
    <row r="138" spans="2:23" outlineLevel="2" x14ac:dyDescent="0.2">
      <c r="D138" s="721" t="s">
        <v>1088</v>
      </c>
      <c r="E138" s="721"/>
      <c r="F138" s="721"/>
      <c r="G138" s="721"/>
      <c r="I138" s="372">
        <v>0</v>
      </c>
      <c r="M138" s="372">
        <v>0</v>
      </c>
      <c r="O138" s="372">
        <v>0</v>
      </c>
      <c r="Q138" s="391">
        <f>I138*M138</f>
        <v>0</v>
      </c>
      <c r="S138" s="391">
        <f>I138*O138</f>
        <v>0</v>
      </c>
    </row>
    <row r="139" spans="2:23" outlineLevel="2" x14ac:dyDescent="0.2">
      <c r="D139" s="721" t="s">
        <v>1089</v>
      </c>
      <c r="E139" s="721"/>
      <c r="F139" s="721"/>
      <c r="G139" s="721"/>
      <c r="I139" s="372">
        <v>0</v>
      </c>
      <c r="M139" s="372">
        <v>0</v>
      </c>
      <c r="O139" s="372">
        <v>0</v>
      </c>
      <c r="Q139" s="391">
        <f>I139*M139</f>
        <v>0</v>
      </c>
      <c r="S139" s="391">
        <f>I139*O139</f>
        <v>0</v>
      </c>
    </row>
    <row r="140" spans="2:23" outlineLevel="2" x14ac:dyDescent="0.2">
      <c r="D140" s="721" t="s">
        <v>1090</v>
      </c>
      <c r="E140" s="721"/>
      <c r="F140" s="721"/>
      <c r="G140" s="721"/>
      <c r="I140" s="372">
        <v>0</v>
      </c>
      <c r="M140" s="372">
        <v>0</v>
      </c>
      <c r="O140" s="372">
        <v>0</v>
      </c>
      <c r="Q140" s="391">
        <f>I140*M140</f>
        <v>0</v>
      </c>
      <c r="S140" s="391">
        <f>I140*O140</f>
        <v>0</v>
      </c>
    </row>
    <row r="141" spans="2:23" ht="15" outlineLevel="1" x14ac:dyDescent="0.2">
      <c r="D141" s="782" t="s">
        <v>1091</v>
      </c>
      <c r="E141" s="783"/>
      <c r="F141" s="783"/>
      <c r="G141" s="783"/>
      <c r="I141" s="542"/>
      <c r="M141" s="542"/>
      <c r="O141" s="542"/>
      <c r="Q141" s="397">
        <f>SUM(Q136:Q140)</f>
        <v>0</v>
      </c>
      <c r="S141" s="397">
        <f>SUM(S136:S140)</f>
        <v>0</v>
      </c>
    </row>
    <row r="143" spans="2:23" ht="25.5" x14ac:dyDescent="0.2">
      <c r="Q143" s="365" t="str">
        <f>"FINANCIAL COST ("&amp;INDEX(LU_PLUG_5_Meet_Curr,DD_PLUG_5_Meet1_Curr)&amp;")"</f>
        <v>FINANCIAL COST (USD)</v>
      </c>
      <c r="S143" s="365" t="str">
        <f>"ECONOMIC COST ("&amp;INDEX(LU_PLUG_5_Meet_Curr,DD_PLUG_5_Meet1_Curr)&amp;")"</f>
        <v>ECONOMIC COST (USD)</v>
      </c>
      <c r="U143" s="365" t="str">
        <f>"FINANCIAL COST ("&amp;IF(DD_PLUG_5_Meet1_Curr=2,$D$148,$D$149)&amp;")"</f>
        <v>FINANCIAL COST (ZMW)</v>
      </c>
      <c r="W143" s="365" t="str">
        <f>"ECONOMIC COST ("&amp;IF(DD_PLUG_5_Meet1_Curr=2,$D$148,$D$149)&amp;")"</f>
        <v>ECONOMIC COST (ZMW)</v>
      </c>
    </row>
    <row r="144" spans="2:23" ht="19.5" thickBot="1" x14ac:dyDescent="0.25">
      <c r="B144" s="357" t="s">
        <v>1093</v>
      </c>
      <c r="Q144" s="401">
        <f>SUM(Q38,Q67,Q87,Q103,Q121,Q131,Q141)</f>
        <v>0</v>
      </c>
      <c r="S144" s="401">
        <f>S38+S67+S87+S103+S121+S131+S141</f>
        <v>0</v>
      </c>
      <c r="U144" s="389">
        <f>IF(DD_PLUG_5_Meet1_Curr=2,$Q144/$J$149,$Q144*$J$149)</f>
        <v>0</v>
      </c>
      <c r="W144" s="389">
        <f>IF(DD_PLUG_5_Meet1_Curr=2,$S144/$J$149,$S144*$J$149)</f>
        <v>0</v>
      </c>
    </row>
    <row r="145" spans="2:19" ht="13.5" thickTop="1" x14ac:dyDescent="0.2"/>
    <row r="146" spans="2:19" ht="15.75" x14ac:dyDescent="0.2">
      <c r="C146" s="538" t="s">
        <v>1158</v>
      </c>
    </row>
    <row r="147" spans="2:19" outlineLevel="1" x14ac:dyDescent="0.2"/>
    <row r="148" spans="2:19" ht="12.95" customHeight="1" outlineLevel="1" x14ac:dyDescent="0.2">
      <c r="D148" s="785" t="str">
        <f>Econ_Ann_TA!D13</f>
        <v>USD</v>
      </c>
      <c r="E148" s="965"/>
      <c r="F148" s="965"/>
      <c r="G148" s="965"/>
      <c r="J148" s="604">
        <f>Econ_Ann_TA!J13</f>
        <v>1</v>
      </c>
      <c r="K148" s="604">
        <f>Econ_Ann_TA!K13</f>
        <v>1</v>
      </c>
      <c r="L148" s="604">
        <f>Econ_Ann_TA!L13</f>
        <v>1</v>
      </c>
      <c r="M148" s="604">
        <f>Econ_Ann_TA!M13</f>
        <v>1</v>
      </c>
      <c r="Q148" s="391"/>
    </row>
    <row r="149" spans="2:19" outlineLevel="1" x14ac:dyDescent="0.2">
      <c r="D149" s="785" t="str">
        <f>Econ_Ann_TA!D14</f>
        <v>ZMW</v>
      </c>
      <c r="E149" s="965"/>
      <c r="F149" s="965"/>
      <c r="G149" s="965"/>
      <c r="J149" s="604">
        <f>Econ_Ann_TA!J14</f>
        <v>10.971399999999999</v>
      </c>
      <c r="K149" s="604">
        <f>Econ_Ann_TA!K14</f>
        <v>10.971399999999999</v>
      </c>
      <c r="L149" s="604">
        <f>Econ_Ann_TA!L14</f>
        <v>10.971399999999999</v>
      </c>
      <c r="M149" s="604">
        <f>Econ_Ann_TA!M14</f>
        <v>10.971399999999999</v>
      </c>
      <c r="Q149" s="391"/>
    </row>
    <row r="152" spans="2:19" ht="18.75" x14ac:dyDescent="0.2">
      <c r="B152" s="424" t="str">
        <f>I153</f>
        <v>Microplanning Meeting</v>
      </c>
    </row>
    <row r="153" spans="2:19" x14ac:dyDescent="0.2">
      <c r="G153" s="360" t="s">
        <v>1153</v>
      </c>
      <c r="I153" s="721" t="s">
        <v>1170</v>
      </c>
      <c r="J153" s="721"/>
      <c r="K153" s="721"/>
      <c r="L153" s="721"/>
      <c r="M153" s="721"/>
    </row>
    <row r="154" spans="2:19" ht="10.5" customHeight="1" x14ac:dyDescent="0.2">
      <c r="G154" s="360" t="s">
        <v>1120</v>
      </c>
      <c r="I154" s="544">
        <v>1</v>
      </c>
    </row>
    <row r="155" spans="2:19" ht="15.75" outlineLevel="1" x14ac:dyDescent="0.2">
      <c r="C155" s="538" t="s">
        <v>414</v>
      </c>
    </row>
    <row r="156" spans="2:19" outlineLevel="2" x14ac:dyDescent="0.2"/>
    <row r="157" spans="2:19" ht="15.75" outlineLevel="2" x14ac:dyDescent="0.2">
      <c r="D157" s="538" t="s">
        <v>1154</v>
      </c>
    </row>
    <row r="158" spans="2:19" ht="38.25" outlineLevel="2" x14ac:dyDescent="0.2">
      <c r="D158" s="956" t="s">
        <v>1155</v>
      </c>
      <c r="E158" s="957"/>
      <c r="F158" s="957"/>
      <c r="G158" s="957"/>
      <c r="I158" s="545" t="s">
        <v>1018</v>
      </c>
      <c r="K158" s="545" t="s">
        <v>995</v>
      </c>
      <c r="M158" s="545" t="s">
        <v>1019</v>
      </c>
      <c r="O158" s="545" t="s">
        <v>1020</v>
      </c>
      <c r="Q158" s="392" t="str">
        <f>"FINANCIAL COST ("&amp;INDEX(LU_PLUG_7_Meet_Curr,DD_PLUG_7_Meet1_Curr)&amp;")"</f>
        <v>FINANCIAL COST (USD)</v>
      </c>
      <c r="S158" s="392" t="str">
        <f>"ECONOMIC COST ("&amp;INDEX(LU_PLUG_7_Meet_Curr,DD_PLUG_7_Meet1_Curr)&amp;")"</f>
        <v>ECONOMIC COST (USD)</v>
      </c>
    </row>
    <row r="159" spans="2:19" outlineLevel="2" x14ac:dyDescent="0.2">
      <c r="D159" s="721" t="s">
        <v>1137</v>
      </c>
      <c r="E159" s="721"/>
      <c r="F159" s="721"/>
      <c r="G159" s="721"/>
      <c r="I159" s="606">
        <v>0</v>
      </c>
      <c r="K159" s="372">
        <v>0</v>
      </c>
      <c r="M159" s="372">
        <v>0</v>
      </c>
      <c r="O159" s="372">
        <v>0</v>
      </c>
      <c r="Q159" s="395">
        <f>I159*K159*M159</f>
        <v>0</v>
      </c>
      <c r="S159" s="395">
        <f>I159*K159*O159</f>
        <v>0</v>
      </c>
    </row>
    <row r="160" spans="2:19" outlineLevel="2" x14ac:dyDescent="0.2">
      <c r="D160" s="721" t="s">
        <v>1138</v>
      </c>
      <c r="E160" s="721"/>
      <c r="F160" s="721"/>
      <c r="G160" s="721"/>
      <c r="I160" s="606">
        <v>0</v>
      </c>
      <c r="K160" s="372">
        <v>0</v>
      </c>
      <c r="M160" s="372">
        <v>0</v>
      </c>
      <c r="O160" s="372">
        <v>0</v>
      </c>
      <c r="Q160" s="395">
        <f>I160*K160*M160</f>
        <v>0</v>
      </c>
      <c r="S160" s="395">
        <f>I160*K160*O160</f>
        <v>0</v>
      </c>
    </row>
    <row r="161" spans="4:19" outlineLevel="2" x14ac:dyDescent="0.2">
      <c r="D161" s="721" t="s">
        <v>1139</v>
      </c>
      <c r="E161" s="721"/>
      <c r="F161" s="721"/>
      <c r="G161" s="721"/>
      <c r="I161" s="606">
        <v>0</v>
      </c>
      <c r="K161" s="372">
        <v>0</v>
      </c>
      <c r="M161" s="372">
        <v>0</v>
      </c>
      <c r="O161" s="372">
        <v>0</v>
      </c>
      <c r="Q161" s="395">
        <f>I161*K161*M161</f>
        <v>0</v>
      </c>
      <c r="S161" s="395">
        <f>I161*K161*O161</f>
        <v>0</v>
      </c>
    </row>
    <row r="162" spans="4:19" outlineLevel="2" x14ac:dyDescent="0.2">
      <c r="D162" s="721" t="s">
        <v>1140</v>
      </c>
      <c r="E162" s="721"/>
      <c r="F162" s="721"/>
      <c r="G162" s="721"/>
      <c r="I162" s="606">
        <v>0</v>
      </c>
      <c r="K162" s="372">
        <v>0</v>
      </c>
      <c r="M162" s="372">
        <v>0</v>
      </c>
      <c r="O162" s="372">
        <v>0</v>
      </c>
      <c r="Q162" s="395">
        <f>I162*K162*M162</f>
        <v>0</v>
      </c>
      <c r="S162" s="395">
        <f>I162*K162*O162</f>
        <v>0</v>
      </c>
    </row>
    <row r="163" spans="4:19" outlineLevel="2" x14ac:dyDescent="0.2">
      <c r="D163" s="721" t="s">
        <v>1141</v>
      </c>
      <c r="E163" s="721"/>
      <c r="F163" s="721"/>
      <c r="G163" s="721"/>
      <c r="I163" s="606">
        <v>0</v>
      </c>
      <c r="K163" s="372">
        <v>0</v>
      </c>
      <c r="M163" s="372">
        <v>0</v>
      </c>
      <c r="O163" s="372">
        <v>0</v>
      </c>
      <c r="Q163" s="396">
        <f>I163*K163*M163</f>
        <v>0</v>
      </c>
      <c r="S163" s="396">
        <f>I163*K163*O163</f>
        <v>0</v>
      </c>
    </row>
    <row r="164" spans="4:19" outlineLevel="2" x14ac:dyDescent="0.2">
      <c r="D164" s="909" t="str">
        <f>"Total "&amp;D158</f>
        <v>Total Meeting Personnel Sub-Total 1</v>
      </c>
      <c r="E164" s="910"/>
      <c r="F164" s="910"/>
      <c r="G164" s="910"/>
      <c r="I164" s="593">
        <f>SUM(I159:I163)</f>
        <v>0</v>
      </c>
      <c r="Q164" s="391">
        <f>SUM(Q159:Q163)</f>
        <v>0</v>
      </c>
      <c r="S164" s="391">
        <f>SUM(S159:S163)</f>
        <v>0</v>
      </c>
    </row>
    <row r="165" spans="4:19" ht="6.6" customHeight="1" outlineLevel="2" x14ac:dyDescent="0.2"/>
    <row r="166" spans="4:19" ht="38.25" outlineLevel="2" x14ac:dyDescent="0.2">
      <c r="D166" s="956" t="s">
        <v>1156</v>
      </c>
      <c r="E166" s="957"/>
      <c r="F166" s="957"/>
      <c r="G166" s="957"/>
      <c r="I166" s="545" t="s">
        <v>1018</v>
      </c>
      <c r="K166" s="545" t="s">
        <v>995</v>
      </c>
      <c r="M166" s="545" t="s">
        <v>1019</v>
      </c>
      <c r="O166" s="545" t="s">
        <v>1020</v>
      </c>
      <c r="Q166" s="392" t="str">
        <f>"FINANCIAL COST ("&amp;INDEX(LU_PLUG_7_Meet_Curr,DD_PLUG_7_Meet1_Curr)&amp;")"</f>
        <v>FINANCIAL COST (USD)</v>
      </c>
      <c r="S166" s="392" t="str">
        <f>"ECONOMIC COST ("&amp;INDEX(LU_PLUG_7_Meet_Curr,DD_PLUG_7_Meet1_Curr)&amp;")"</f>
        <v>ECONOMIC COST (USD)</v>
      </c>
    </row>
    <row r="167" spans="4:19" outlineLevel="2" x14ac:dyDescent="0.2">
      <c r="D167" s="721" t="s">
        <v>1142</v>
      </c>
      <c r="E167" s="721"/>
      <c r="F167" s="721"/>
      <c r="G167" s="721"/>
      <c r="I167" s="606">
        <v>0</v>
      </c>
      <c r="K167" s="372">
        <v>0</v>
      </c>
      <c r="M167" s="372">
        <v>0</v>
      </c>
      <c r="O167" s="372">
        <v>0</v>
      </c>
      <c r="Q167" s="395">
        <f>I167*K167*M167</f>
        <v>0</v>
      </c>
      <c r="S167" s="395">
        <f>I167*K167*O167</f>
        <v>0</v>
      </c>
    </row>
    <row r="168" spans="4:19" outlineLevel="2" x14ac:dyDescent="0.2">
      <c r="D168" s="721" t="s">
        <v>1143</v>
      </c>
      <c r="E168" s="721"/>
      <c r="F168" s="721"/>
      <c r="G168" s="721"/>
      <c r="I168" s="606">
        <v>0</v>
      </c>
      <c r="K168" s="372">
        <v>0</v>
      </c>
      <c r="M168" s="372">
        <v>0</v>
      </c>
      <c r="O168" s="372">
        <v>0</v>
      </c>
      <c r="Q168" s="395">
        <f>I168*K168*M168</f>
        <v>0</v>
      </c>
      <c r="S168" s="395">
        <f>I168*K168*O168</f>
        <v>0</v>
      </c>
    </row>
    <row r="169" spans="4:19" outlineLevel="2" x14ac:dyDescent="0.2">
      <c r="D169" s="721" t="s">
        <v>1144</v>
      </c>
      <c r="E169" s="721"/>
      <c r="F169" s="721"/>
      <c r="G169" s="721"/>
      <c r="I169" s="606">
        <v>0</v>
      </c>
      <c r="K169" s="372">
        <v>0</v>
      </c>
      <c r="M169" s="372">
        <v>0</v>
      </c>
      <c r="O169" s="372">
        <v>0</v>
      </c>
      <c r="Q169" s="395">
        <f>I169*K169*M169</f>
        <v>0</v>
      </c>
      <c r="S169" s="395">
        <f>I169*K169*O169</f>
        <v>0</v>
      </c>
    </row>
    <row r="170" spans="4:19" outlineLevel="2" x14ac:dyDescent="0.2">
      <c r="D170" s="721" t="s">
        <v>1145</v>
      </c>
      <c r="E170" s="721"/>
      <c r="F170" s="721"/>
      <c r="G170" s="721"/>
      <c r="I170" s="606">
        <v>0</v>
      </c>
      <c r="K170" s="372">
        <v>0</v>
      </c>
      <c r="M170" s="372">
        <v>0</v>
      </c>
      <c r="O170" s="372">
        <v>0</v>
      </c>
      <c r="Q170" s="395">
        <f>I170*K170*M170</f>
        <v>0</v>
      </c>
      <c r="S170" s="395">
        <f>I170*K170*O170</f>
        <v>0</v>
      </c>
    </row>
    <row r="171" spans="4:19" outlineLevel="2" x14ac:dyDescent="0.2">
      <c r="D171" s="721" t="s">
        <v>1146</v>
      </c>
      <c r="E171" s="721"/>
      <c r="F171" s="721"/>
      <c r="G171" s="721"/>
      <c r="I171" s="606">
        <v>0</v>
      </c>
      <c r="K171" s="372">
        <v>0</v>
      </c>
      <c r="M171" s="372">
        <v>0</v>
      </c>
      <c r="O171" s="372">
        <v>0</v>
      </c>
      <c r="Q171" s="396">
        <f>I171*K171*M171</f>
        <v>0</v>
      </c>
      <c r="S171" s="396">
        <f>I171*K171*O171</f>
        <v>0</v>
      </c>
    </row>
    <row r="172" spans="4:19" outlineLevel="2" x14ac:dyDescent="0.2">
      <c r="D172" s="909" t="str">
        <f>"Total "&amp;D166</f>
        <v>Total Meeting Personnel Sub-Total 2</v>
      </c>
      <c r="E172" s="910"/>
      <c r="F172" s="910"/>
      <c r="G172" s="910"/>
      <c r="I172" s="593">
        <f>SUM(I167:I171)</f>
        <v>0</v>
      </c>
      <c r="Q172" s="391">
        <f>SUM(Q167:Q171)</f>
        <v>0</v>
      </c>
      <c r="S172" s="391">
        <f>SUM(S167:S171)</f>
        <v>0</v>
      </c>
    </row>
    <row r="173" spans="4:19" ht="6.6" customHeight="1" outlineLevel="2" x14ac:dyDescent="0.2"/>
    <row r="174" spans="4:19" ht="38.25" outlineLevel="2" x14ac:dyDescent="0.2">
      <c r="D174" s="956" t="s">
        <v>1157</v>
      </c>
      <c r="E174" s="957"/>
      <c r="F174" s="957"/>
      <c r="G174" s="957"/>
      <c r="I174" s="545" t="s">
        <v>1018</v>
      </c>
      <c r="K174" s="545" t="s">
        <v>995</v>
      </c>
      <c r="M174" s="545" t="s">
        <v>1019</v>
      </c>
      <c r="O174" s="545" t="s">
        <v>1020</v>
      </c>
      <c r="Q174" s="392" t="str">
        <f>"FINANCIAL COST ("&amp;INDEX(LU_PLUG_7_Meet_Curr,DD_PLUG_7_Meet1_Curr)&amp;")"</f>
        <v>FINANCIAL COST (USD)</v>
      </c>
      <c r="S174" s="392" t="str">
        <f>"ECONOMIC COST ("&amp;INDEX(LU_PLUG_7_Meet_Curr,DD_PLUG_7_Meet1_Curr)&amp;")"</f>
        <v>ECONOMIC COST (USD)</v>
      </c>
    </row>
    <row r="175" spans="4:19" outlineLevel="2" x14ac:dyDescent="0.2">
      <c r="D175" s="721" t="s">
        <v>1147</v>
      </c>
      <c r="E175" s="721"/>
      <c r="F175" s="721"/>
      <c r="G175" s="721"/>
      <c r="I175" s="606">
        <v>0</v>
      </c>
      <c r="K175" s="372">
        <v>0</v>
      </c>
      <c r="M175" s="372">
        <v>0</v>
      </c>
      <c r="O175" s="372">
        <v>0</v>
      </c>
      <c r="Q175" s="395">
        <f t="shared" ref="Q175:Q180" si="4">I175*K175*M175</f>
        <v>0</v>
      </c>
      <c r="S175" s="395">
        <f t="shared" ref="S175:S180" si="5">I175*K175*O175</f>
        <v>0</v>
      </c>
    </row>
    <row r="176" spans="4:19" outlineLevel="2" x14ac:dyDescent="0.2">
      <c r="D176" s="721" t="s">
        <v>1148</v>
      </c>
      <c r="E176" s="721"/>
      <c r="F176" s="721"/>
      <c r="G176" s="721"/>
      <c r="I176" s="606">
        <v>0</v>
      </c>
      <c r="K176" s="372">
        <v>0</v>
      </c>
      <c r="M176" s="372">
        <v>0</v>
      </c>
      <c r="O176" s="372">
        <v>0</v>
      </c>
      <c r="Q176" s="395">
        <f t="shared" si="4"/>
        <v>0</v>
      </c>
      <c r="S176" s="395">
        <f t="shared" si="5"/>
        <v>0</v>
      </c>
    </row>
    <row r="177" spans="3:19" outlineLevel="2" x14ac:dyDescent="0.2">
      <c r="D177" s="721" t="s">
        <v>1149</v>
      </c>
      <c r="E177" s="721"/>
      <c r="F177" s="721"/>
      <c r="G177" s="721"/>
      <c r="I177" s="606">
        <v>0</v>
      </c>
      <c r="K177" s="372">
        <v>0</v>
      </c>
      <c r="M177" s="372">
        <v>0</v>
      </c>
      <c r="O177" s="372">
        <v>0</v>
      </c>
      <c r="Q177" s="395">
        <f t="shared" si="4"/>
        <v>0</v>
      </c>
      <c r="S177" s="395">
        <f t="shared" si="5"/>
        <v>0</v>
      </c>
    </row>
    <row r="178" spans="3:19" outlineLevel="2" x14ac:dyDescent="0.2">
      <c r="D178" s="721" t="s">
        <v>1150</v>
      </c>
      <c r="E178" s="721"/>
      <c r="F178" s="721"/>
      <c r="G178" s="721"/>
      <c r="I178" s="606">
        <v>0</v>
      </c>
      <c r="K178" s="372">
        <v>0</v>
      </c>
      <c r="M178" s="372">
        <v>0</v>
      </c>
      <c r="O178" s="372">
        <v>0</v>
      </c>
      <c r="Q178" s="395">
        <f t="shared" si="4"/>
        <v>0</v>
      </c>
      <c r="S178" s="395">
        <f t="shared" si="5"/>
        <v>0</v>
      </c>
    </row>
    <row r="179" spans="3:19" outlineLevel="2" x14ac:dyDescent="0.2">
      <c r="D179" s="721" t="s">
        <v>1151</v>
      </c>
      <c r="E179" s="721"/>
      <c r="F179" s="721"/>
      <c r="G179" s="721"/>
      <c r="I179" s="606">
        <v>0</v>
      </c>
      <c r="K179" s="372">
        <v>0</v>
      </c>
      <c r="M179" s="372">
        <v>0</v>
      </c>
      <c r="O179" s="372">
        <v>0</v>
      </c>
      <c r="Q179" s="395">
        <f t="shared" si="4"/>
        <v>0</v>
      </c>
      <c r="S179" s="395">
        <f t="shared" si="5"/>
        <v>0</v>
      </c>
    </row>
    <row r="180" spans="3:19" outlineLevel="2" x14ac:dyDescent="0.2">
      <c r="D180" s="721" t="s">
        <v>1152</v>
      </c>
      <c r="E180" s="721"/>
      <c r="F180" s="721"/>
      <c r="G180" s="721"/>
      <c r="I180" s="606">
        <v>0</v>
      </c>
      <c r="K180" s="372">
        <v>0</v>
      </c>
      <c r="M180" s="372">
        <v>0</v>
      </c>
      <c r="O180" s="372">
        <v>0</v>
      </c>
      <c r="Q180" s="396">
        <f t="shared" si="4"/>
        <v>0</v>
      </c>
      <c r="S180" s="396">
        <f t="shared" si="5"/>
        <v>0</v>
      </c>
    </row>
    <row r="181" spans="3:19" outlineLevel="2" x14ac:dyDescent="0.2">
      <c r="D181" s="909" t="str">
        <f>"Total "&amp;D174</f>
        <v>Total Meeting Personnel Sub-Total 3</v>
      </c>
      <c r="E181" s="910"/>
      <c r="F181" s="910"/>
      <c r="G181" s="910"/>
      <c r="I181" s="593">
        <f>SUM(I175:I180)</f>
        <v>0</v>
      </c>
      <c r="Q181" s="391">
        <f>SUM(Q175:Q180)</f>
        <v>0</v>
      </c>
      <c r="S181" s="391">
        <f>SUM(S175:S180)</f>
        <v>0</v>
      </c>
    </row>
    <row r="182" spans="3:19" ht="6.6" customHeight="1" outlineLevel="2" x14ac:dyDescent="0.2">
      <c r="Q182" s="382"/>
      <c r="S182" s="382"/>
    </row>
    <row r="183" spans="3:19" ht="15" outlineLevel="1" x14ac:dyDescent="0.2">
      <c r="D183" s="782" t="s">
        <v>1052</v>
      </c>
      <c r="E183" s="783"/>
      <c r="F183" s="783"/>
      <c r="G183" s="783"/>
      <c r="I183" s="540"/>
      <c r="K183" s="540"/>
      <c r="M183" s="540"/>
      <c r="O183" s="540"/>
      <c r="Q183" s="397">
        <f>SUM(Q164,Q172,Q181)</f>
        <v>0</v>
      </c>
      <c r="S183" s="397">
        <f>SUM(S164,S172,S181)</f>
        <v>0</v>
      </c>
    </row>
    <row r="184" spans="3:19" outlineLevel="1" x14ac:dyDescent="0.2"/>
    <row r="185" spans="3:19" ht="15.75" outlineLevel="1" x14ac:dyDescent="0.2">
      <c r="C185" s="538" t="s">
        <v>996</v>
      </c>
    </row>
    <row r="186" spans="3:19" outlineLevel="2" x14ac:dyDescent="0.2"/>
    <row r="187" spans="3:19" ht="25.5" outlineLevel="2" x14ac:dyDescent="0.2">
      <c r="D187" s="791" t="str">
        <f>D158</f>
        <v>Meeting Personnel Sub-Total 1</v>
      </c>
      <c r="E187" s="792"/>
      <c r="F187" s="792"/>
      <c r="G187" s="792"/>
      <c r="I187" s="545" t="s">
        <v>994</v>
      </c>
      <c r="K187" s="545" t="s">
        <v>1037</v>
      </c>
      <c r="M187" s="545" t="s">
        <v>1038</v>
      </c>
      <c r="O187" s="545" t="s">
        <v>1039</v>
      </c>
      <c r="Q187" s="392" t="str">
        <f>"FINANCIAL COST ("&amp;INDEX(LU_PLUG_7_Meet_Curr,DD_PLUG_7_Meet1_Curr)&amp;")"</f>
        <v>FINANCIAL COST (USD)</v>
      </c>
      <c r="S187" s="392" t="str">
        <f>"ECONOMIC COST ("&amp;INDEX(LU_PLUG_7_Meet_Curr,DD_PLUG_7_Meet1_Curr)&amp;")"</f>
        <v>ECONOMIC COST (USD)</v>
      </c>
    </row>
    <row r="188" spans="3:19" outlineLevel="2" x14ac:dyDescent="0.2">
      <c r="D188" s="721" t="s">
        <v>1137</v>
      </c>
      <c r="E188" s="721"/>
      <c r="F188" s="721"/>
      <c r="G188" s="721"/>
      <c r="I188" s="372">
        <v>0</v>
      </c>
      <c r="K188" s="372">
        <v>0</v>
      </c>
      <c r="M188" s="372">
        <v>0</v>
      </c>
      <c r="O188" s="372">
        <v>0</v>
      </c>
      <c r="Q188" s="395">
        <f>I188*K188*M188</f>
        <v>0</v>
      </c>
      <c r="S188" s="395">
        <f>I188*K188*O188</f>
        <v>0</v>
      </c>
    </row>
    <row r="189" spans="3:19" outlineLevel="2" x14ac:dyDescent="0.2">
      <c r="D189" s="721" t="s">
        <v>1138</v>
      </c>
      <c r="E189" s="721"/>
      <c r="F189" s="721"/>
      <c r="G189" s="721"/>
      <c r="I189" s="372">
        <v>0</v>
      </c>
      <c r="K189" s="372">
        <v>0</v>
      </c>
      <c r="M189" s="372">
        <v>0</v>
      </c>
      <c r="O189" s="372">
        <v>0</v>
      </c>
      <c r="Q189" s="395">
        <f>I189*K189*M189</f>
        <v>0</v>
      </c>
      <c r="S189" s="395">
        <f>I189*K189*O189</f>
        <v>0</v>
      </c>
    </row>
    <row r="190" spans="3:19" outlineLevel="2" x14ac:dyDescent="0.2">
      <c r="D190" s="721" t="s">
        <v>1139</v>
      </c>
      <c r="E190" s="721"/>
      <c r="F190" s="721"/>
      <c r="G190" s="721"/>
      <c r="I190" s="372">
        <v>0</v>
      </c>
      <c r="K190" s="372">
        <v>0</v>
      </c>
      <c r="M190" s="372">
        <v>0</v>
      </c>
      <c r="O190" s="372">
        <v>0</v>
      </c>
      <c r="Q190" s="395">
        <f>I190*K190*M190</f>
        <v>0</v>
      </c>
      <c r="S190" s="395">
        <f>I190*K190*O190</f>
        <v>0</v>
      </c>
    </row>
    <row r="191" spans="3:19" outlineLevel="2" x14ac:dyDescent="0.2">
      <c r="D191" s="721" t="s">
        <v>1140</v>
      </c>
      <c r="E191" s="721"/>
      <c r="F191" s="721"/>
      <c r="G191" s="721"/>
      <c r="I191" s="372">
        <v>0</v>
      </c>
      <c r="K191" s="372">
        <v>0</v>
      </c>
      <c r="M191" s="372">
        <v>0</v>
      </c>
      <c r="O191" s="372">
        <v>0</v>
      </c>
      <c r="Q191" s="395">
        <f>I191*K191*M191</f>
        <v>0</v>
      </c>
      <c r="S191" s="395">
        <f>I191*K191*O191</f>
        <v>0</v>
      </c>
    </row>
    <row r="192" spans="3:19" outlineLevel="2" x14ac:dyDescent="0.2">
      <c r="D192" s="721" t="s">
        <v>1141</v>
      </c>
      <c r="E192" s="721"/>
      <c r="F192" s="721"/>
      <c r="G192" s="721"/>
      <c r="I192" s="372">
        <v>0</v>
      </c>
      <c r="K192" s="372">
        <v>0</v>
      </c>
      <c r="M192" s="372">
        <v>0</v>
      </c>
      <c r="O192" s="372">
        <v>0</v>
      </c>
      <c r="Q192" s="396">
        <f>I192*K192*M192</f>
        <v>0</v>
      </c>
      <c r="S192" s="396">
        <f>I192*K192*O192</f>
        <v>0</v>
      </c>
    </row>
    <row r="193" spans="4:19" outlineLevel="2" x14ac:dyDescent="0.2">
      <c r="D193" s="909" t="str">
        <f>"Total "&amp;D187</f>
        <v>Total Meeting Personnel Sub-Total 1</v>
      </c>
      <c r="E193" s="910"/>
      <c r="F193" s="910"/>
      <c r="G193" s="910"/>
      <c r="Q193" s="391">
        <f>SUM(Q188:Q192)</f>
        <v>0</v>
      </c>
      <c r="S193" s="391">
        <f>SUM(S188:S192)</f>
        <v>0</v>
      </c>
    </row>
    <row r="194" spans="4:19" ht="6.6" customHeight="1" outlineLevel="2" x14ac:dyDescent="0.2"/>
    <row r="195" spans="4:19" ht="25.5" outlineLevel="2" x14ac:dyDescent="0.2">
      <c r="D195" s="791" t="str">
        <f>D166</f>
        <v>Meeting Personnel Sub-Total 2</v>
      </c>
      <c r="E195" s="792"/>
      <c r="F195" s="792"/>
      <c r="G195" s="792"/>
      <c r="I195" s="545" t="s">
        <v>994</v>
      </c>
      <c r="K195" s="545" t="s">
        <v>1037</v>
      </c>
      <c r="M195" s="545" t="s">
        <v>1038</v>
      </c>
      <c r="O195" s="545" t="s">
        <v>1039</v>
      </c>
      <c r="Q195" s="392" t="str">
        <f>"FINANCIAL COST ("&amp;INDEX(LU_PLUG_7_Meet_Curr,DD_PLUG_7_Meet1_Curr)&amp;")"</f>
        <v>FINANCIAL COST (USD)</v>
      </c>
      <c r="S195" s="392" t="str">
        <f>"ECONOMIC COST ("&amp;INDEX(LU_PLUG_7_Meet_Curr,DD_PLUG_7_Meet1_Curr)&amp;")"</f>
        <v>ECONOMIC COST (USD)</v>
      </c>
    </row>
    <row r="196" spans="4:19" outlineLevel="2" x14ac:dyDescent="0.2">
      <c r="D196" s="721" t="s">
        <v>1142</v>
      </c>
      <c r="E196" s="721"/>
      <c r="F196" s="721"/>
      <c r="G196" s="721"/>
      <c r="I196" s="372">
        <v>0</v>
      </c>
      <c r="K196" s="372">
        <v>0</v>
      </c>
      <c r="M196" s="372">
        <v>0</v>
      </c>
      <c r="O196" s="372">
        <v>0</v>
      </c>
      <c r="Q196" s="395">
        <f>I196*K196*M196</f>
        <v>0</v>
      </c>
      <c r="S196" s="395">
        <f>I196*K196*O196</f>
        <v>0</v>
      </c>
    </row>
    <row r="197" spans="4:19" outlineLevel="2" x14ac:dyDescent="0.2">
      <c r="D197" s="721" t="s">
        <v>1143</v>
      </c>
      <c r="E197" s="721"/>
      <c r="F197" s="721"/>
      <c r="G197" s="721"/>
      <c r="I197" s="372">
        <v>0</v>
      </c>
      <c r="K197" s="372">
        <v>0</v>
      </c>
      <c r="M197" s="372">
        <v>0</v>
      </c>
      <c r="O197" s="372">
        <v>0</v>
      </c>
      <c r="Q197" s="395">
        <f>I197*K197*M197</f>
        <v>0</v>
      </c>
      <c r="S197" s="395">
        <f>I197*K197*O197</f>
        <v>0</v>
      </c>
    </row>
    <row r="198" spans="4:19" outlineLevel="2" x14ac:dyDescent="0.2">
      <c r="D198" s="721" t="s">
        <v>1144</v>
      </c>
      <c r="E198" s="721"/>
      <c r="F198" s="721"/>
      <c r="G198" s="721"/>
      <c r="I198" s="372">
        <v>0</v>
      </c>
      <c r="K198" s="372">
        <v>0</v>
      </c>
      <c r="M198" s="372">
        <v>0</v>
      </c>
      <c r="O198" s="372">
        <v>0</v>
      </c>
      <c r="Q198" s="395">
        <f>I198*K198*M198</f>
        <v>0</v>
      </c>
      <c r="S198" s="395">
        <f>I198*K198*O198</f>
        <v>0</v>
      </c>
    </row>
    <row r="199" spans="4:19" outlineLevel="2" x14ac:dyDescent="0.2">
      <c r="D199" s="721" t="s">
        <v>1145</v>
      </c>
      <c r="E199" s="721"/>
      <c r="F199" s="721"/>
      <c r="G199" s="721"/>
      <c r="I199" s="372">
        <v>0</v>
      </c>
      <c r="K199" s="372">
        <v>0</v>
      </c>
      <c r="M199" s="372">
        <v>0</v>
      </c>
      <c r="O199" s="372">
        <v>0</v>
      </c>
      <c r="Q199" s="395">
        <f>I199*K199*M199</f>
        <v>0</v>
      </c>
      <c r="S199" s="395">
        <f>I199*K199*O199</f>
        <v>0</v>
      </c>
    </row>
    <row r="200" spans="4:19" outlineLevel="2" x14ac:dyDescent="0.2">
      <c r="D200" s="721" t="s">
        <v>1146</v>
      </c>
      <c r="E200" s="721"/>
      <c r="F200" s="721"/>
      <c r="G200" s="721"/>
      <c r="I200" s="372">
        <v>0</v>
      </c>
      <c r="K200" s="372">
        <v>0</v>
      </c>
      <c r="M200" s="372">
        <v>0</v>
      </c>
      <c r="O200" s="372">
        <v>0</v>
      </c>
      <c r="Q200" s="396">
        <f>I200*K200*M200</f>
        <v>0</v>
      </c>
      <c r="S200" s="396">
        <f>I200*K200*O200</f>
        <v>0</v>
      </c>
    </row>
    <row r="201" spans="4:19" outlineLevel="2" x14ac:dyDescent="0.2">
      <c r="D201" s="909" t="str">
        <f>"Total "&amp;D195</f>
        <v>Total Meeting Personnel Sub-Total 2</v>
      </c>
      <c r="E201" s="910"/>
      <c r="F201" s="910"/>
      <c r="G201" s="910"/>
      <c r="Q201" s="391">
        <f>SUM(Q196:Q200)</f>
        <v>0</v>
      </c>
      <c r="S201" s="391">
        <f>SUM(S196:S200)</f>
        <v>0</v>
      </c>
    </row>
    <row r="202" spans="4:19" ht="6.6" customHeight="1" outlineLevel="2" x14ac:dyDescent="0.2"/>
    <row r="203" spans="4:19" ht="25.5" outlineLevel="2" x14ac:dyDescent="0.2">
      <c r="D203" s="791" t="str">
        <f>D174</f>
        <v>Meeting Personnel Sub-Total 3</v>
      </c>
      <c r="E203" s="792"/>
      <c r="F203" s="792"/>
      <c r="G203" s="792"/>
      <c r="I203" s="545" t="s">
        <v>994</v>
      </c>
      <c r="K203" s="545" t="s">
        <v>1037</v>
      </c>
      <c r="M203" s="545" t="s">
        <v>1038</v>
      </c>
      <c r="O203" s="545" t="s">
        <v>1039</v>
      </c>
      <c r="Q203" s="392" t="str">
        <f>"FINANCIAL COST ("&amp;INDEX(LU_PLUG_7_Meet_Curr,DD_PLUG_7_Meet1_Curr)&amp;")"</f>
        <v>FINANCIAL COST (USD)</v>
      </c>
      <c r="S203" s="392" t="str">
        <f>"ECONOMIC COST ("&amp;INDEX(LU_PLUG_7_Meet_Curr,DD_PLUG_7_Meet1_Curr)&amp;")"</f>
        <v>ECONOMIC COST (USD)</v>
      </c>
    </row>
    <row r="204" spans="4:19" outlineLevel="2" x14ac:dyDescent="0.2">
      <c r="D204" s="721" t="s">
        <v>1147</v>
      </c>
      <c r="E204" s="721"/>
      <c r="F204" s="721"/>
      <c r="G204" s="721"/>
      <c r="I204" s="372">
        <v>0</v>
      </c>
      <c r="K204" s="372">
        <v>0</v>
      </c>
      <c r="M204" s="372">
        <v>0</v>
      </c>
      <c r="O204" s="372">
        <v>0</v>
      </c>
      <c r="Q204" s="395">
        <f t="shared" ref="Q204:Q209" si="6">I204*K204*M204</f>
        <v>0</v>
      </c>
      <c r="S204" s="395">
        <f t="shared" ref="S204:S209" si="7">I204*K204*O204</f>
        <v>0</v>
      </c>
    </row>
    <row r="205" spans="4:19" outlineLevel="2" x14ac:dyDescent="0.2">
      <c r="D205" s="721" t="s">
        <v>1148</v>
      </c>
      <c r="E205" s="721"/>
      <c r="F205" s="721"/>
      <c r="G205" s="721"/>
      <c r="I205" s="372">
        <v>0</v>
      </c>
      <c r="K205" s="372">
        <v>0</v>
      </c>
      <c r="M205" s="372">
        <v>0</v>
      </c>
      <c r="O205" s="372">
        <v>0</v>
      </c>
      <c r="Q205" s="395">
        <f t="shared" si="6"/>
        <v>0</v>
      </c>
      <c r="S205" s="395">
        <f t="shared" si="7"/>
        <v>0</v>
      </c>
    </row>
    <row r="206" spans="4:19" outlineLevel="2" x14ac:dyDescent="0.2">
      <c r="D206" s="721" t="s">
        <v>1149</v>
      </c>
      <c r="E206" s="721"/>
      <c r="F206" s="721"/>
      <c r="G206" s="721"/>
      <c r="I206" s="372">
        <v>0</v>
      </c>
      <c r="K206" s="372">
        <v>0</v>
      </c>
      <c r="M206" s="372">
        <v>0</v>
      </c>
      <c r="O206" s="372">
        <v>0</v>
      </c>
      <c r="Q206" s="395">
        <f t="shared" si="6"/>
        <v>0</v>
      </c>
      <c r="S206" s="395">
        <f t="shared" si="7"/>
        <v>0</v>
      </c>
    </row>
    <row r="207" spans="4:19" outlineLevel="2" x14ac:dyDescent="0.2">
      <c r="D207" s="721" t="s">
        <v>1150</v>
      </c>
      <c r="E207" s="721"/>
      <c r="F207" s="721"/>
      <c r="G207" s="721"/>
      <c r="I207" s="372">
        <v>0</v>
      </c>
      <c r="K207" s="372">
        <v>0</v>
      </c>
      <c r="M207" s="372">
        <v>0</v>
      </c>
      <c r="O207" s="372">
        <v>0</v>
      </c>
      <c r="Q207" s="395">
        <f t="shared" si="6"/>
        <v>0</v>
      </c>
      <c r="S207" s="395">
        <f t="shared" si="7"/>
        <v>0</v>
      </c>
    </row>
    <row r="208" spans="4:19" outlineLevel="2" x14ac:dyDescent="0.2">
      <c r="D208" s="721" t="s">
        <v>1151</v>
      </c>
      <c r="E208" s="721"/>
      <c r="F208" s="721"/>
      <c r="G208" s="721"/>
      <c r="I208" s="372">
        <v>0</v>
      </c>
      <c r="K208" s="372">
        <v>0</v>
      </c>
      <c r="M208" s="372">
        <v>0</v>
      </c>
      <c r="O208" s="372">
        <v>0</v>
      </c>
      <c r="Q208" s="395">
        <f t="shared" si="6"/>
        <v>0</v>
      </c>
      <c r="S208" s="395">
        <f t="shared" si="7"/>
        <v>0</v>
      </c>
    </row>
    <row r="209" spans="3:19" outlineLevel="2" x14ac:dyDescent="0.2">
      <c r="D209" s="721" t="s">
        <v>1152</v>
      </c>
      <c r="E209" s="721"/>
      <c r="F209" s="721"/>
      <c r="G209" s="721"/>
      <c r="I209" s="372">
        <v>0</v>
      </c>
      <c r="K209" s="372">
        <v>0</v>
      </c>
      <c r="M209" s="372">
        <v>0</v>
      </c>
      <c r="O209" s="372">
        <v>0</v>
      </c>
      <c r="Q209" s="396">
        <f t="shared" si="6"/>
        <v>0</v>
      </c>
      <c r="S209" s="396">
        <f t="shared" si="7"/>
        <v>0</v>
      </c>
    </row>
    <row r="210" spans="3:19" outlineLevel="2" x14ac:dyDescent="0.2">
      <c r="D210" s="909" t="str">
        <f>"Total "&amp;D203</f>
        <v>Total Meeting Personnel Sub-Total 3</v>
      </c>
      <c r="E210" s="910"/>
      <c r="F210" s="910"/>
      <c r="G210" s="910"/>
      <c r="Q210" s="391">
        <f>SUM(Q204:Q209)</f>
        <v>0</v>
      </c>
      <c r="S210" s="391">
        <f>SUM(S204:S209)</f>
        <v>0</v>
      </c>
    </row>
    <row r="211" spans="3:19" ht="6.6" customHeight="1" outlineLevel="2" x14ac:dyDescent="0.2">
      <c r="Q211" s="382"/>
      <c r="S211" s="382"/>
    </row>
    <row r="212" spans="3:19" ht="15" outlineLevel="1" x14ac:dyDescent="0.2">
      <c r="D212" s="782" t="s">
        <v>1021</v>
      </c>
      <c r="E212" s="783"/>
      <c r="F212" s="783"/>
      <c r="G212" s="783"/>
      <c r="I212" s="540"/>
      <c r="K212" s="540"/>
      <c r="M212" s="540"/>
      <c r="O212" s="540"/>
      <c r="Q212" s="397">
        <f>SUM(Q193,Q201,Q210)</f>
        <v>0</v>
      </c>
      <c r="S212" s="397">
        <f>SUM(S193,S201,S210)</f>
        <v>0</v>
      </c>
    </row>
    <row r="213" spans="3:19" outlineLevel="1" x14ac:dyDescent="0.2"/>
    <row r="214" spans="3:19" ht="15.75" outlineLevel="1" x14ac:dyDescent="0.2">
      <c r="C214" s="538" t="s">
        <v>1066</v>
      </c>
    </row>
    <row r="215" spans="3:19" outlineLevel="2" x14ac:dyDescent="0.2"/>
    <row r="216" spans="3:19" ht="25.5" outlineLevel="2" x14ac:dyDescent="0.2">
      <c r="D216" s="956" t="s">
        <v>1124</v>
      </c>
      <c r="E216" s="957"/>
      <c r="F216" s="957"/>
      <c r="G216" s="957"/>
      <c r="I216" s="592" t="s">
        <v>999</v>
      </c>
      <c r="K216" s="592" t="s">
        <v>1051</v>
      </c>
      <c r="M216" s="592" t="s">
        <v>1038</v>
      </c>
      <c r="O216" s="592" t="s">
        <v>1050</v>
      </c>
      <c r="Q216" s="392" t="str">
        <f>"FINANCIAL COST ("&amp;INDEX(LU_PLUG_7_Meet_Curr,DD_PLUG_7_Meet1_Curr)&amp;")"</f>
        <v>FINANCIAL COST (USD)</v>
      </c>
      <c r="S216" s="392" t="str">
        <f>"ECONOMIC COST ("&amp;INDEX(LU_PLUG_7_Meet_Curr,DD_PLUG_7_Meet1_Curr)&amp;")"</f>
        <v>ECONOMIC COST (USD)</v>
      </c>
    </row>
    <row r="217" spans="3:19" outlineLevel="2" x14ac:dyDescent="0.2">
      <c r="D217" s="721" t="s">
        <v>1040</v>
      </c>
      <c r="E217" s="721"/>
      <c r="F217" s="721"/>
      <c r="G217" s="721"/>
      <c r="I217" s="372">
        <v>0</v>
      </c>
      <c r="K217" s="372">
        <v>0</v>
      </c>
      <c r="M217" s="372">
        <v>0</v>
      </c>
      <c r="O217" s="372">
        <v>0</v>
      </c>
      <c r="Q217" s="395">
        <f>I217*K217*M217</f>
        <v>0</v>
      </c>
      <c r="S217" s="395">
        <f>I217*K217*O217</f>
        <v>0</v>
      </c>
    </row>
    <row r="218" spans="3:19" outlineLevel="2" x14ac:dyDescent="0.2">
      <c r="D218" s="721" t="s">
        <v>1041</v>
      </c>
      <c r="E218" s="721"/>
      <c r="F218" s="721"/>
      <c r="G218" s="721"/>
      <c r="I218" s="372">
        <v>0</v>
      </c>
      <c r="K218" s="372">
        <v>0</v>
      </c>
      <c r="M218" s="372">
        <v>0</v>
      </c>
      <c r="O218" s="372">
        <v>0</v>
      </c>
      <c r="Q218" s="395">
        <f>I218*K218*M218</f>
        <v>0</v>
      </c>
      <c r="S218" s="395">
        <f>I218*K218*O218</f>
        <v>0</v>
      </c>
    </row>
    <row r="219" spans="3:19" outlineLevel="2" x14ac:dyDescent="0.2">
      <c r="D219" s="721" t="s">
        <v>1042</v>
      </c>
      <c r="E219" s="721"/>
      <c r="F219" s="721"/>
      <c r="G219" s="721"/>
      <c r="I219" s="372">
        <v>0</v>
      </c>
      <c r="K219" s="372">
        <v>0</v>
      </c>
      <c r="M219" s="372">
        <v>0</v>
      </c>
      <c r="O219" s="372">
        <v>0</v>
      </c>
      <c r="Q219" s="395">
        <f>I219*K219*M219</f>
        <v>0</v>
      </c>
      <c r="S219" s="395">
        <f>I219*K219*O219</f>
        <v>0</v>
      </c>
    </row>
    <row r="220" spans="3:19" outlineLevel="2" x14ac:dyDescent="0.2">
      <c r="D220" s="721" t="s">
        <v>1043</v>
      </c>
      <c r="E220" s="721"/>
      <c r="F220" s="721"/>
      <c r="G220" s="721"/>
      <c r="I220" s="372">
        <v>0</v>
      </c>
      <c r="K220" s="372">
        <v>0</v>
      </c>
      <c r="M220" s="372">
        <v>0</v>
      </c>
      <c r="O220" s="372">
        <v>0</v>
      </c>
      <c r="Q220" s="395">
        <f>I220*K220*M220</f>
        <v>0</v>
      </c>
      <c r="S220" s="395">
        <f>I220*K220*O220</f>
        <v>0</v>
      </c>
    </row>
    <row r="221" spans="3:19" outlineLevel="2" x14ac:dyDescent="0.2">
      <c r="D221" s="721" t="s">
        <v>1044</v>
      </c>
      <c r="E221" s="721"/>
      <c r="F221" s="721"/>
      <c r="G221" s="721"/>
      <c r="I221" s="372">
        <v>0</v>
      </c>
      <c r="K221" s="372">
        <v>0</v>
      </c>
      <c r="M221" s="372">
        <v>0</v>
      </c>
      <c r="O221" s="372">
        <v>0</v>
      </c>
      <c r="Q221" s="396">
        <f>I221*K221*M221</f>
        <v>0</v>
      </c>
      <c r="S221" s="396">
        <f>I221*K221*O221</f>
        <v>0</v>
      </c>
    </row>
    <row r="222" spans="3:19" outlineLevel="2" x14ac:dyDescent="0.2">
      <c r="D222" s="909" t="str">
        <f>"Total "&amp;D216</f>
        <v>Total Rooms Sub-Total 1</v>
      </c>
      <c r="E222" s="910"/>
      <c r="F222" s="910"/>
      <c r="G222" s="910"/>
      <c r="Q222" s="391">
        <f>SUM(Q217:Q221)</f>
        <v>0</v>
      </c>
      <c r="S222" s="391">
        <f>SUM(S217:S221)</f>
        <v>0</v>
      </c>
    </row>
    <row r="223" spans="3:19" ht="6.6" customHeight="1" outlineLevel="2" x14ac:dyDescent="0.2"/>
    <row r="224" spans="3:19" ht="25.5" outlineLevel="2" x14ac:dyDescent="0.2">
      <c r="D224" s="956" t="s">
        <v>1125</v>
      </c>
      <c r="E224" s="957"/>
      <c r="F224" s="957"/>
      <c r="G224" s="957"/>
      <c r="I224" s="592" t="s">
        <v>999</v>
      </c>
      <c r="K224" s="592" t="s">
        <v>1051</v>
      </c>
      <c r="M224" s="592" t="s">
        <v>1038</v>
      </c>
      <c r="O224" s="592" t="s">
        <v>1050</v>
      </c>
      <c r="Q224" s="392" t="str">
        <f>"FINANCIAL COST ("&amp;INDEX(LU_PLUG_7_Meet_Curr,DD_PLUG_7_Meet1_Curr)&amp;")"</f>
        <v>FINANCIAL COST (USD)</v>
      </c>
      <c r="S224" s="392" t="str">
        <f>"ECONOMIC COST ("&amp;INDEX(LU_PLUG_7_Meet_Curr,DD_PLUG_7_Meet1_Curr)&amp;")"</f>
        <v>ECONOMIC COST (USD)</v>
      </c>
    </row>
    <row r="225" spans="3:19" outlineLevel="2" x14ac:dyDescent="0.2">
      <c r="D225" s="721" t="s">
        <v>1045</v>
      </c>
      <c r="E225" s="721"/>
      <c r="F225" s="721"/>
      <c r="G225" s="721"/>
      <c r="I225" s="372">
        <v>0</v>
      </c>
      <c r="K225" s="372">
        <v>0</v>
      </c>
      <c r="M225" s="372">
        <v>0</v>
      </c>
      <c r="O225" s="372">
        <v>0</v>
      </c>
      <c r="Q225" s="395">
        <f>I225*K225*M225</f>
        <v>0</v>
      </c>
      <c r="S225" s="395">
        <f>I225*K225*O225</f>
        <v>0</v>
      </c>
    </row>
    <row r="226" spans="3:19" outlineLevel="2" x14ac:dyDescent="0.2">
      <c r="D226" s="721" t="s">
        <v>1046</v>
      </c>
      <c r="E226" s="721"/>
      <c r="F226" s="721"/>
      <c r="G226" s="721"/>
      <c r="I226" s="372">
        <v>0</v>
      </c>
      <c r="K226" s="372">
        <v>0</v>
      </c>
      <c r="M226" s="372">
        <v>0</v>
      </c>
      <c r="O226" s="372">
        <v>0</v>
      </c>
      <c r="Q226" s="395">
        <f>I226*K226*M226</f>
        <v>0</v>
      </c>
      <c r="S226" s="395">
        <f>I226*K226*O226</f>
        <v>0</v>
      </c>
    </row>
    <row r="227" spans="3:19" outlineLevel="2" x14ac:dyDescent="0.2">
      <c r="D227" s="721" t="s">
        <v>1047</v>
      </c>
      <c r="E227" s="721"/>
      <c r="F227" s="721"/>
      <c r="G227" s="721"/>
      <c r="I227" s="372">
        <v>0</v>
      </c>
      <c r="K227" s="372">
        <v>0</v>
      </c>
      <c r="M227" s="372">
        <v>0</v>
      </c>
      <c r="O227" s="372">
        <v>0</v>
      </c>
      <c r="Q227" s="395">
        <f>I227*K227*M227</f>
        <v>0</v>
      </c>
      <c r="S227" s="395">
        <f>I227*K227*O227</f>
        <v>0</v>
      </c>
    </row>
    <row r="228" spans="3:19" outlineLevel="2" x14ac:dyDescent="0.2">
      <c r="D228" s="721" t="s">
        <v>1048</v>
      </c>
      <c r="E228" s="721"/>
      <c r="F228" s="721"/>
      <c r="G228" s="721"/>
      <c r="I228" s="372">
        <v>0</v>
      </c>
      <c r="K228" s="372">
        <v>0</v>
      </c>
      <c r="M228" s="372">
        <v>0</v>
      </c>
      <c r="O228" s="372">
        <v>0</v>
      </c>
      <c r="Q228" s="395">
        <f>I228*K228*M228</f>
        <v>0</v>
      </c>
      <c r="S228" s="395">
        <f>I228*K228*O228</f>
        <v>0</v>
      </c>
    </row>
    <row r="229" spans="3:19" outlineLevel="2" x14ac:dyDescent="0.2">
      <c r="D229" s="721" t="s">
        <v>1049</v>
      </c>
      <c r="E229" s="721"/>
      <c r="F229" s="721"/>
      <c r="G229" s="721"/>
      <c r="I229" s="372">
        <v>0</v>
      </c>
      <c r="K229" s="372">
        <v>0</v>
      </c>
      <c r="M229" s="372">
        <v>0</v>
      </c>
      <c r="O229" s="372">
        <v>0</v>
      </c>
      <c r="Q229" s="396">
        <f>I229*K229*M229</f>
        <v>0</v>
      </c>
      <c r="S229" s="396">
        <f>I229*K229*O229</f>
        <v>0</v>
      </c>
    </row>
    <row r="230" spans="3:19" outlineLevel="2" x14ac:dyDescent="0.2">
      <c r="D230" s="909" t="str">
        <f>"Total "&amp;D224</f>
        <v>Total Rooms Sub-Total 2</v>
      </c>
      <c r="E230" s="910"/>
      <c r="F230" s="910"/>
      <c r="G230" s="910"/>
      <c r="Q230" s="391">
        <f>SUM(Q225:Q229)</f>
        <v>0</v>
      </c>
      <c r="S230" s="391">
        <f>SUM(S225:S229)</f>
        <v>0</v>
      </c>
    </row>
    <row r="231" spans="3:19" ht="6.6" customHeight="1" outlineLevel="2" x14ac:dyDescent="0.2">
      <c r="Q231" s="382"/>
      <c r="S231" s="382"/>
    </row>
    <row r="232" spans="3:19" ht="15" outlineLevel="1" x14ac:dyDescent="0.2">
      <c r="D232" s="782" t="s">
        <v>1065</v>
      </c>
      <c r="E232" s="783"/>
      <c r="F232" s="783"/>
      <c r="G232" s="783"/>
      <c r="I232" s="540"/>
      <c r="K232" s="540"/>
      <c r="M232" s="540"/>
      <c r="O232" s="540"/>
      <c r="Q232" s="397">
        <f>SUM(Q222,Q230)</f>
        <v>0</v>
      </c>
      <c r="S232" s="397">
        <f>SUM(S222,S230)</f>
        <v>0</v>
      </c>
    </row>
    <row r="233" spans="3:19" outlineLevel="1" x14ac:dyDescent="0.2"/>
    <row r="234" spans="3:19" ht="15.75" outlineLevel="1" x14ac:dyDescent="0.2">
      <c r="C234" s="538" t="s">
        <v>1064</v>
      </c>
    </row>
    <row r="235" spans="3:19" outlineLevel="2" x14ac:dyDescent="0.2"/>
    <row r="236" spans="3:19" ht="25.5" outlineLevel="2" x14ac:dyDescent="0.2">
      <c r="D236" s="956" t="s">
        <v>1059</v>
      </c>
      <c r="E236" s="957"/>
      <c r="F236" s="957"/>
      <c r="G236" s="957"/>
      <c r="I236" s="545" t="s">
        <v>1092</v>
      </c>
      <c r="K236" s="545" t="s">
        <v>995</v>
      </c>
      <c r="M236" s="545" t="s">
        <v>1038</v>
      </c>
      <c r="O236" s="545" t="s">
        <v>1062</v>
      </c>
      <c r="Q236" s="392" t="str">
        <f>"FINANCIAL COST ("&amp;INDEX(LU_PLUG_7_Meet_Curr,DD_PLUG_7_Meet1_Curr)&amp;")"</f>
        <v>FINANCIAL COST (USD)</v>
      </c>
      <c r="S236" s="392" t="str">
        <f>"ECONOMIC COST ("&amp;INDEX(LU_PLUG_7_Meet_Curr,DD_PLUG_7_Meet1_Curr)&amp;")"</f>
        <v>ECONOMIC COST (USD)</v>
      </c>
    </row>
    <row r="237" spans="3:19" outlineLevel="2" x14ac:dyDescent="0.2">
      <c r="D237" s="721" t="s">
        <v>1053</v>
      </c>
      <c r="E237" s="721"/>
      <c r="F237" s="721"/>
      <c r="G237" s="721"/>
      <c r="I237" s="372">
        <v>0</v>
      </c>
      <c r="K237" s="372">
        <v>0</v>
      </c>
      <c r="M237" s="372">
        <v>0</v>
      </c>
      <c r="O237" s="372">
        <v>0</v>
      </c>
      <c r="Q237" s="395">
        <f>I237*K237*M237</f>
        <v>0</v>
      </c>
      <c r="S237" s="395">
        <f>I237*K237*O237</f>
        <v>0</v>
      </c>
    </row>
    <row r="238" spans="3:19" outlineLevel="2" x14ac:dyDescent="0.2">
      <c r="D238" s="721" t="s">
        <v>1054</v>
      </c>
      <c r="E238" s="721"/>
      <c r="F238" s="721"/>
      <c r="G238" s="721"/>
      <c r="I238" s="372">
        <v>0</v>
      </c>
      <c r="K238" s="372">
        <v>0</v>
      </c>
      <c r="M238" s="372">
        <v>0</v>
      </c>
      <c r="O238" s="372">
        <v>0</v>
      </c>
      <c r="Q238" s="395">
        <f>I238*K238*M238</f>
        <v>0</v>
      </c>
      <c r="S238" s="395">
        <f>I238*K238*O238</f>
        <v>0</v>
      </c>
    </row>
    <row r="239" spans="3:19" outlineLevel="2" x14ac:dyDescent="0.2">
      <c r="D239" s="721" t="s">
        <v>1055</v>
      </c>
      <c r="E239" s="721"/>
      <c r="F239" s="721"/>
      <c r="G239" s="721"/>
      <c r="I239" s="372">
        <v>0</v>
      </c>
      <c r="K239" s="372">
        <v>0</v>
      </c>
      <c r="M239" s="372">
        <v>0</v>
      </c>
      <c r="O239" s="372">
        <v>0</v>
      </c>
      <c r="Q239" s="396">
        <f>I239*K239*M239</f>
        <v>0</v>
      </c>
      <c r="S239" s="396">
        <f>I239*K239*O239</f>
        <v>0</v>
      </c>
    </row>
    <row r="240" spans="3:19" outlineLevel="2" x14ac:dyDescent="0.2">
      <c r="D240" s="909" t="str">
        <f>"Total "&amp;D236</f>
        <v>Total Meals &amp; Refreshments Sub-Total 1</v>
      </c>
      <c r="E240" s="910"/>
      <c r="F240" s="910"/>
      <c r="G240" s="910"/>
      <c r="Q240" s="391">
        <f>SUM(Q237:Q239)</f>
        <v>0</v>
      </c>
      <c r="S240" s="391">
        <f>SUM(S237:S239)</f>
        <v>0</v>
      </c>
    </row>
    <row r="241" spans="3:19" ht="6.6" customHeight="1" outlineLevel="2" x14ac:dyDescent="0.2"/>
    <row r="242" spans="3:19" ht="25.5" outlineLevel="2" x14ac:dyDescent="0.2">
      <c r="D242" s="956" t="s">
        <v>1060</v>
      </c>
      <c r="E242" s="957"/>
      <c r="F242" s="957"/>
      <c r="G242" s="957"/>
      <c r="I242" s="545" t="s">
        <v>1092</v>
      </c>
      <c r="K242" s="545" t="s">
        <v>995</v>
      </c>
      <c r="M242" s="545" t="s">
        <v>1038</v>
      </c>
      <c r="O242" s="545" t="s">
        <v>1062</v>
      </c>
      <c r="Q242" s="392" t="str">
        <f>"FINANCIAL COST ("&amp;INDEX(LU_PLUG_7_Meet_Curr,DD_PLUG_7_Meet1_Curr)&amp;")"</f>
        <v>FINANCIAL COST (USD)</v>
      </c>
      <c r="S242" s="392" t="str">
        <f>"ECONOMIC COST ("&amp;INDEX(LU_PLUG_7_Meet_Curr,DD_PLUG_7_Meet1_Curr)&amp;")"</f>
        <v>ECONOMIC COST (USD)</v>
      </c>
    </row>
    <row r="243" spans="3:19" outlineLevel="2" x14ac:dyDescent="0.2">
      <c r="D243" s="721" t="s">
        <v>1056</v>
      </c>
      <c r="E243" s="721"/>
      <c r="F243" s="721"/>
      <c r="G243" s="721"/>
      <c r="I243" s="372">
        <v>0</v>
      </c>
      <c r="K243" s="372">
        <v>0</v>
      </c>
      <c r="M243" s="372">
        <v>0</v>
      </c>
      <c r="O243" s="372">
        <v>0</v>
      </c>
      <c r="Q243" s="395">
        <f>I243*K243*M243</f>
        <v>0</v>
      </c>
      <c r="S243" s="395">
        <f>I243*K243*O243</f>
        <v>0</v>
      </c>
    </row>
    <row r="244" spans="3:19" outlineLevel="2" x14ac:dyDescent="0.2">
      <c r="D244" s="721" t="s">
        <v>1057</v>
      </c>
      <c r="E244" s="721"/>
      <c r="F244" s="721"/>
      <c r="G244" s="721"/>
      <c r="I244" s="372">
        <v>0</v>
      </c>
      <c r="K244" s="372">
        <v>0</v>
      </c>
      <c r="M244" s="372">
        <v>0</v>
      </c>
      <c r="O244" s="372">
        <v>0</v>
      </c>
      <c r="Q244" s="395">
        <f>I244*K244*M244</f>
        <v>0</v>
      </c>
      <c r="S244" s="395">
        <f>I244*K244*O244</f>
        <v>0</v>
      </c>
    </row>
    <row r="245" spans="3:19" outlineLevel="2" x14ac:dyDescent="0.2">
      <c r="D245" s="721" t="s">
        <v>1058</v>
      </c>
      <c r="E245" s="721"/>
      <c r="F245" s="721"/>
      <c r="G245" s="721"/>
      <c r="I245" s="372">
        <v>0</v>
      </c>
      <c r="K245" s="372">
        <v>0</v>
      </c>
      <c r="M245" s="372">
        <v>0</v>
      </c>
      <c r="O245" s="372">
        <v>0</v>
      </c>
      <c r="Q245" s="396">
        <f>I245*K245*M245</f>
        <v>0</v>
      </c>
      <c r="S245" s="396">
        <f>I245*K245*O245</f>
        <v>0</v>
      </c>
    </row>
    <row r="246" spans="3:19" outlineLevel="2" x14ac:dyDescent="0.2">
      <c r="D246" s="909" t="str">
        <f>"Total "&amp;D242</f>
        <v>Total Meals &amp; Refreshments Sub-Total 2</v>
      </c>
      <c r="E246" s="910"/>
      <c r="F246" s="910"/>
      <c r="G246" s="910"/>
      <c r="Q246" s="391">
        <f>SUM(Q243:Q245)</f>
        <v>0</v>
      </c>
      <c r="S246" s="391">
        <f>SUM(S243:S245)</f>
        <v>0</v>
      </c>
    </row>
    <row r="247" spans="3:19" ht="6.6" customHeight="1" outlineLevel="2" x14ac:dyDescent="0.2">
      <c r="Q247" s="382"/>
      <c r="S247" s="382"/>
    </row>
    <row r="248" spans="3:19" ht="15" outlineLevel="1" x14ac:dyDescent="0.2">
      <c r="D248" s="782" t="s">
        <v>1061</v>
      </c>
      <c r="E248" s="783"/>
      <c r="F248" s="783"/>
      <c r="G248" s="783"/>
      <c r="I248" s="540"/>
      <c r="K248" s="540"/>
      <c r="M248" s="540"/>
      <c r="O248" s="540"/>
      <c r="Q248" s="397">
        <f>SUM(Q240,Q246)</f>
        <v>0</v>
      </c>
      <c r="S248" s="397">
        <f>SUM(S240,S246)</f>
        <v>0</v>
      </c>
    </row>
    <row r="249" spans="3:19" outlineLevel="1" x14ac:dyDescent="0.2"/>
    <row r="250" spans="3:19" ht="15.75" outlineLevel="1" x14ac:dyDescent="0.2">
      <c r="C250" s="538" t="s">
        <v>1067</v>
      </c>
    </row>
    <row r="251" spans="3:19" outlineLevel="2" x14ac:dyDescent="0.2"/>
    <row r="252" spans="3:19" ht="25.5" outlineLevel="2" x14ac:dyDescent="0.2">
      <c r="D252" s="956" t="s">
        <v>1076</v>
      </c>
      <c r="E252" s="957"/>
      <c r="F252" s="957"/>
      <c r="G252" s="957"/>
      <c r="I252" s="545" t="s">
        <v>1081</v>
      </c>
      <c r="K252" s="545" t="s">
        <v>1038</v>
      </c>
      <c r="M252" s="545" t="s">
        <v>1050</v>
      </c>
      <c r="Q252" s="392" t="str">
        <f>"FINANCIAL COST ("&amp;INDEX(LU_PLUG_7_Meet_Curr,DD_PLUG_7_Meet1_Curr)&amp;")"</f>
        <v>FINANCIAL COST (USD)</v>
      </c>
      <c r="S252" s="392" t="str">
        <f>"ECONOMIC COST ("&amp;INDEX(LU_PLUG_7_Meet_Curr,DD_PLUG_7_Meet1_Curr)&amp;")"</f>
        <v>ECONOMIC COST (USD)</v>
      </c>
    </row>
    <row r="253" spans="3:19" outlineLevel="2" x14ac:dyDescent="0.2">
      <c r="D253" s="721" t="s">
        <v>1068</v>
      </c>
      <c r="E253" s="721"/>
      <c r="F253" s="721"/>
      <c r="G253" s="721"/>
      <c r="I253" s="372">
        <v>0</v>
      </c>
      <c r="K253" s="372">
        <v>0</v>
      </c>
      <c r="M253" s="372">
        <v>0</v>
      </c>
      <c r="Q253" s="398">
        <f>I253*K253</f>
        <v>0</v>
      </c>
      <c r="S253" s="395">
        <f>I253*M253</f>
        <v>0</v>
      </c>
    </row>
    <row r="254" spans="3:19" outlineLevel="2" x14ac:dyDescent="0.2">
      <c r="D254" s="721" t="s">
        <v>1069</v>
      </c>
      <c r="E254" s="721"/>
      <c r="F254" s="721"/>
      <c r="G254" s="721"/>
      <c r="I254" s="372">
        <v>0</v>
      </c>
      <c r="K254" s="372">
        <v>0</v>
      </c>
      <c r="M254" s="372">
        <v>0</v>
      </c>
      <c r="Q254" s="398">
        <f>I254*K254</f>
        <v>0</v>
      </c>
      <c r="S254" s="395">
        <f>I254*M254</f>
        <v>0</v>
      </c>
    </row>
    <row r="255" spans="3:19" outlineLevel="2" x14ac:dyDescent="0.2">
      <c r="D255" s="721" t="s">
        <v>1070</v>
      </c>
      <c r="E255" s="721"/>
      <c r="F255" s="721"/>
      <c r="G255" s="721"/>
      <c r="I255" s="372">
        <v>0</v>
      </c>
      <c r="K255" s="372">
        <v>0</v>
      </c>
      <c r="M255" s="372">
        <v>0</v>
      </c>
      <c r="Q255" s="398">
        <f>I255*K255</f>
        <v>0</v>
      </c>
      <c r="S255" s="395">
        <f>I255*M255</f>
        <v>0</v>
      </c>
    </row>
    <row r="256" spans="3:19" outlineLevel="2" x14ac:dyDescent="0.2">
      <c r="D256" s="721" t="s">
        <v>1071</v>
      </c>
      <c r="E256" s="721"/>
      <c r="F256" s="721"/>
      <c r="G256" s="721"/>
      <c r="I256" s="372">
        <v>0</v>
      </c>
      <c r="K256" s="372">
        <v>0</v>
      </c>
      <c r="M256" s="372">
        <v>0</v>
      </c>
      <c r="Q256" s="399">
        <f>I256*K256</f>
        <v>0</v>
      </c>
      <c r="S256" s="396">
        <f>I256*M256</f>
        <v>0</v>
      </c>
    </row>
    <row r="257" spans="3:19" outlineLevel="2" x14ac:dyDescent="0.2">
      <c r="D257" s="909" t="str">
        <f>"Total "&amp;D252</f>
        <v>Total Materials &amp; Supplies Sub-Total 1</v>
      </c>
      <c r="E257" s="910"/>
      <c r="F257" s="910"/>
      <c r="G257" s="910"/>
      <c r="Q257" s="364">
        <f>SUM(Q253:Q256)</f>
        <v>0</v>
      </c>
      <c r="S257" s="391">
        <f>SUM(S253:S256)</f>
        <v>0</v>
      </c>
    </row>
    <row r="258" spans="3:19" ht="6.6" customHeight="1" outlineLevel="2" x14ac:dyDescent="0.2"/>
    <row r="259" spans="3:19" ht="25.5" outlineLevel="2" x14ac:dyDescent="0.2">
      <c r="D259" s="956" t="s">
        <v>1077</v>
      </c>
      <c r="E259" s="957"/>
      <c r="F259" s="957"/>
      <c r="G259" s="957"/>
      <c r="I259" s="545" t="s">
        <v>1081</v>
      </c>
      <c r="K259" s="545" t="s">
        <v>1038</v>
      </c>
      <c r="M259" s="545" t="s">
        <v>1050</v>
      </c>
      <c r="Q259" s="392" t="str">
        <f>"FINANCIAL COST ("&amp;INDEX(LU_PLUG_7_Meet_Curr,DD_PLUG_7_Meet1_Curr)&amp;")"</f>
        <v>FINANCIAL COST (USD)</v>
      </c>
      <c r="S259" s="392" t="str">
        <f>"ECONOMIC COST ("&amp;INDEX(LU_PLUG_7_Meet_Curr,DD_PLUG_7_Meet1_Curr)&amp;")"</f>
        <v>ECONOMIC COST (USD)</v>
      </c>
    </row>
    <row r="260" spans="3:19" outlineLevel="2" x14ac:dyDescent="0.2">
      <c r="D260" s="721" t="s">
        <v>1072</v>
      </c>
      <c r="E260" s="721"/>
      <c r="F260" s="721"/>
      <c r="G260" s="721"/>
      <c r="I260" s="372">
        <v>0</v>
      </c>
      <c r="K260" s="372">
        <v>0</v>
      </c>
      <c r="M260" s="372">
        <v>0</v>
      </c>
      <c r="Q260" s="398">
        <f>I260*K260</f>
        <v>0</v>
      </c>
      <c r="S260" s="395">
        <f>I260*M260</f>
        <v>0</v>
      </c>
    </row>
    <row r="261" spans="3:19" outlineLevel="2" x14ac:dyDescent="0.2">
      <c r="D261" s="721" t="s">
        <v>1073</v>
      </c>
      <c r="E261" s="721"/>
      <c r="F261" s="721"/>
      <c r="G261" s="721"/>
      <c r="I261" s="372">
        <v>0</v>
      </c>
      <c r="K261" s="372">
        <v>0</v>
      </c>
      <c r="M261" s="372">
        <v>0</v>
      </c>
      <c r="Q261" s="398">
        <f>I261*K261</f>
        <v>0</v>
      </c>
      <c r="S261" s="395">
        <f>I261*M261</f>
        <v>0</v>
      </c>
    </row>
    <row r="262" spans="3:19" outlineLevel="2" x14ac:dyDescent="0.2">
      <c r="D262" s="721" t="s">
        <v>1074</v>
      </c>
      <c r="E262" s="721"/>
      <c r="F262" s="721"/>
      <c r="G262" s="721"/>
      <c r="I262" s="372">
        <v>0</v>
      </c>
      <c r="K262" s="372">
        <v>0</v>
      </c>
      <c r="M262" s="372">
        <v>0</v>
      </c>
      <c r="Q262" s="398">
        <f>I262*K262</f>
        <v>0</v>
      </c>
      <c r="S262" s="395">
        <f>I262*M262</f>
        <v>0</v>
      </c>
    </row>
    <row r="263" spans="3:19" outlineLevel="2" x14ac:dyDescent="0.2">
      <c r="D263" s="721" t="s">
        <v>1075</v>
      </c>
      <c r="E263" s="721"/>
      <c r="F263" s="721"/>
      <c r="G263" s="721"/>
      <c r="I263" s="372">
        <v>0</v>
      </c>
      <c r="K263" s="372">
        <v>0</v>
      </c>
      <c r="M263" s="372">
        <v>0</v>
      </c>
      <c r="Q263" s="399">
        <f>I263*K263</f>
        <v>0</v>
      </c>
      <c r="S263" s="396">
        <f>I263*M263</f>
        <v>0</v>
      </c>
    </row>
    <row r="264" spans="3:19" outlineLevel="2" x14ac:dyDescent="0.2">
      <c r="D264" s="909" t="str">
        <f>"Total "&amp;D259</f>
        <v>Total Materials &amp; Supplies Sub-Total 2</v>
      </c>
      <c r="E264" s="910"/>
      <c r="F264" s="910"/>
      <c r="G264" s="910"/>
      <c r="Q264" s="364">
        <f>SUM(Q260:Q263)</f>
        <v>0</v>
      </c>
      <c r="S264" s="391">
        <f>SUM(S260:S263)</f>
        <v>0</v>
      </c>
    </row>
    <row r="265" spans="3:19" ht="6.6" customHeight="1" outlineLevel="2" x14ac:dyDescent="0.2">
      <c r="Q265" s="382"/>
      <c r="S265" s="382"/>
    </row>
    <row r="266" spans="3:19" ht="15" outlineLevel="1" x14ac:dyDescent="0.2">
      <c r="D266" s="782" t="s">
        <v>1078</v>
      </c>
      <c r="E266" s="783"/>
      <c r="F266" s="783"/>
      <c r="G266" s="783"/>
      <c r="I266" s="540"/>
      <c r="K266" s="540"/>
      <c r="M266" s="540"/>
      <c r="Q266" s="400">
        <f>SUM(Q257,Q264)</f>
        <v>0</v>
      </c>
      <c r="S266" s="397">
        <f>SUM(S257,S264)</f>
        <v>0</v>
      </c>
    </row>
    <row r="267" spans="3:19" outlineLevel="1" x14ac:dyDescent="0.2"/>
    <row r="268" spans="3:19" ht="15.75" outlineLevel="1" x14ac:dyDescent="0.2">
      <c r="C268" s="538" t="s">
        <v>1082</v>
      </c>
    </row>
    <row r="269" spans="3:19" outlineLevel="2" x14ac:dyDescent="0.2"/>
    <row r="270" spans="3:19" ht="25.5" outlineLevel="2" x14ac:dyDescent="0.2">
      <c r="D270" s="539" t="s">
        <v>998</v>
      </c>
      <c r="I270" s="541" t="s">
        <v>1084</v>
      </c>
      <c r="K270" s="541" t="s">
        <v>1085</v>
      </c>
      <c r="M270" s="541" t="s">
        <v>1038</v>
      </c>
      <c r="O270" s="541" t="s">
        <v>1050</v>
      </c>
      <c r="Q270" s="365" t="str">
        <f>"FINANCIAL COST ("&amp;INDEX(LU_PLUG_7_Meet_Curr,DD_PLUG_7_Meet1_Curr)&amp;")"</f>
        <v>FINANCIAL COST (USD)</v>
      </c>
      <c r="S270" s="365" t="str">
        <f>"ECONOMIC COST ("&amp;INDEX(LU_PLUG_7_Meet_Curr,DD_PLUG_7_Meet1_Curr)&amp;")"</f>
        <v>ECONOMIC COST (USD)</v>
      </c>
    </row>
    <row r="271" spans="3:19" outlineLevel="2" x14ac:dyDescent="0.2">
      <c r="D271" s="721" t="s">
        <v>1001</v>
      </c>
      <c r="E271" s="721"/>
      <c r="F271" s="721"/>
      <c r="G271" s="721"/>
      <c r="I271" s="372">
        <v>0</v>
      </c>
      <c r="K271" s="372">
        <v>0</v>
      </c>
      <c r="M271" s="372">
        <v>0</v>
      </c>
      <c r="O271" s="372">
        <v>0</v>
      </c>
      <c r="Q271" s="391">
        <f>I271*K271*M271</f>
        <v>0</v>
      </c>
      <c r="S271" s="391">
        <f>I271*K271*O271</f>
        <v>0</v>
      </c>
    </row>
    <row r="272" spans="3:19" outlineLevel="2" x14ac:dyDescent="0.2">
      <c r="D272" s="721" t="s">
        <v>1002</v>
      </c>
      <c r="E272" s="721"/>
      <c r="F272" s="721"/>
      <c r="G272" s="721"/>
      <c r="I272" s="372">
        <v>0</v>
      </c>
      <c r="K272" s="372">
        <v>0</v>
      </c>
      <c r="M272" s="372">
        <v>0</v>
      </c>
      <c r="O272" s="372">
        <v>0</v>
      </c>
      <c r="Q272" s="391">
        <f>I272*K272*M272</f>
        <v>0</v>
      </c>
      <c r="S272" s="391">
        <f>I272*K272*O272</f>
        <v>0</v>
      </c>
    </row>
    <row r="273" spans="3:23" outlineLevel="2" x14ac:dyDescent="0.2">
      <c r="D273" s="721" t="s">
        <v>1003</v>
      </c>
      <c r="E273" s="721"/>
      <c r="F273" s="721"/>
      <c r="G273" s="721"/>
      <c r="I273" s="372">
        <v>0</v>
      </c>
      <c r="K273" s="372">
        <v>0</v>
      </c>
      <c r="M273" s="372">
        <v>0</v>
      </c>
      <c r="O273" s="372">
        <v>0</v>
      </c>
      <c r="Q273" s="391">
        <f>I273*K273*M273</f>
        <v>0</v>
      </c>
      <c r="S273" s="391">
        <f>I273*K273*O273</f>
        <v>0</v>
      </c>
    </row>
    <row r="274" spans="3:23" outlineLevel="2" x14ac:dyDescent="0.2">
      <c r="D274" s="721" t="s">
        <v>1004</v>
      </c>
      <c r="E274" s="721"/>
      <c r="F274" s="721"/>
      <c r="G274" s="721"/>
      <c r="I274" s="372">
        <v>0</v>
      </c>
      <c r="K274" s="372">
        <v>0</v>
      </c>
      <c r="M274" s="372">
        <v>0</v>
      </c>
      <c r="O274" s="372">
        <v>0</v>
      </c>
      <c r="Q274" s="391">
        <f>I274*K274*M274</f>
        <v>0</v>
      </c>
      <c r="S274" s="391">
        <f>I274*K274*O274</f>
        <v>0</v>
      </c>
    </row>
    <row r="275" spans="3:23" outlineLevel="2" x14ac:dyDescent="0.2">
      <c r="D275" s="721" t="s">
        <v>1005</v>
      </c>
      <c r="E275" s="721"/>
      <c r="F275" s="721"/>
      <c r="G275" s="721"/>
      <c r="I275" s="372">
        <v>0</v>
      </c>
      <c r="K275" s="372">
        <v>0</v>
      </c>
      <c r="M275" s="372">
        <v>0</v>
      </c>
      <c r="O275" s="372">
        <v>0</v>
      </c>
      <c r="Q275" s="391">
        <f>I275*K275*M275</f>
        <v>0</v>
      </c>
      <c r="S275" s="391">
        <f>I275*K275*O275</f>
        <v>0</v>
      </c>
    </row>
    <row r="276" spans="3:23" ht="15" outlineLevel="1" x14ac:dyDescent="0.2">
      <c r="D276" s="782" t="s">
        <v>1006</v>
      </c>
      <c r="E276" s="783"/>
      <c r="F276" s="783"/>
      <c r="G276" s="783"/>
      <c r="I276" s="542"/>
      <c r="K276" s="542"/>
      <c r="M276" s="542"/>
      <c r="O276" s="542"/>
      <c r="Q276" s="397">
        <f>SUM(Q271:Q275)</f>
        <v>0</v>
      </c>
      <c r="S276" s="397">
        <f>SUM(S271:S275)</f>
        <v>0</v>
      </c>
    </row>
    <row r="277" spans="3:23" outlineLevel="1" x14ac:dyDescent="0.2"/>
    <row r="278" spans="3:23" ht="15.75" outlineLevel="1" x14ac:dyDescent="0.2">
      <c r="C278" s="538" t="s">
        <v>1007</v>
      </c>
    </row>
    <row r="279" spans="3:23" outlineLevel="2" x14ac:dyDescent="0.2"/>
    <row r="280" spans="3:23" ht="25.5" outlineLevel="2" x14ac:dyDescent="0.2">
      <c r="D280" s="539" t="s">
        <v>998</v>
      </c>
      <c r="I280" s="541" t="s">
        <v>1084</v>
      </c>
      <c r="M280" s="545" t="s">
        <v>1038</v>
      </c>
      <c r="O280" s="545" t="s">
        <v>1050</v>
      </c>
      <c r="Q280" s="365" t="str">
        <f>"FINANCIAL COST ("&amp;INDEX(LU_PLUG_7_Meet_Curr,DD_PLUG_7_Meet1_Curr)&amp;")"</f>
        <v>FINANCIAL COST (USD)</v>
      </c>
      <c r="S280" s="365" t="str">
        <f>"ECONOMIC COST ("&amp;INDEX(LU_PLUG_7_Meet_Curr,DD_PLUG_7_Meet1_Curr)&amp;")"</f>
        <v>ECONOMIC COST (USD)</v>
      </c>
    </row>
    <row r="281" spans="3:23" outlineLevel="2" x14ac:dyDescent="0.2">
      <c r="D281" s="721" t="s">
        <v>1086</v>
      </c>
      <c r="E281" s="721"/>
      <c r="F281" s="721"/>
      <c r="G281" s="721"/>
      <c r="I281" s="372">
        <v>0</v>
      </c>
      <c r="M281" s="372">
        <v>0</v>
      </c>
      <c r="O281" s="372">
        <v>0</v>
      </c>
      <c r="Q281" s="391">
        <f>I281*M281</f>
        <v>0</v>
      </c>
      <c r="S281" s="391">
        <f>I281*O281</f>
        <v>0</v>
      </c>
    </row>
    <row r="282" spans="3:23" outlineLevel="2" x14ac:dyDescent="0.2">
      <c r="D282" s="721" t="s">
        <v>1087</v>
      </c>
      <c r="E282" s="721"/>
      <c r="F282" s="721"/>
      <c r="G282" s="721"/>
      <c r="I282" s="372">
        <v>0</v>
      </c>
      <c r="M282" s="372">
        <v>0</v>
      </c>
      <c r="O282" s="372">
        <v>0</v>
      </c>
      <c r="Q282" s="391">
        <f>I282*M282</f>
        <v>0</v>
      </c>
      <c r="S282" s="391">
        <f>I282*O282</f>
        <v>0</v>
      </c>
    </row>
    <row r="283" spans="3:23" outlineLevel="2" x14ac:dyDescent="0.2">
      <c r="D283" s="721" t="s">
        <v>1088</v>
      </c>
      <c r="E283" s="721"/>
      <c r="F283" s="721"/>
      <c r="G283" s="721"/>
      <c r="I283" s="372">
        <v>0</v>
      </c>
      <c r="M283" s="372">
        <v>0</v>
      </c>
      <c r="O283" s="372">
        <v>0</v>
      </c>
      <c r="Q283" s="391">
        <f>I283*M283</f>
        <v>0</v>
      </c>
      <c r="S283" s="391">
        <f>I283*O283</f>
        <v>0</v>
      </c>
    </row>
    <row r="284" spans="3:23" outlineLevel="2" x14ac:dyDescent="0.2">
      <c r="D284" s="721" t="s">
        <v>1089</v>
      </c>
      <c r="E284" s="721"/>
      <c r="F284" s="721"/>
      <c r="G284" s="721"/>
      <c r="I284" s="372">
        <v>0</v>
      </c>
      <c r="M284" s="372">
        <v>0</v>
      </c>
      <c r="O284" s="372">
        <v>0</v>
      </c>
      <c r="Q284" s="391">
        <f>I284*M284</f>
        <v>0</v>
      </c>
      <c r="S284" s="391">
        <f>I284*O284</f>
        <v>0</v>
      </c>
    </row>
    <row r="285" spans="3:23" outlineLevel="2" x14ac:dyDescent="0.2">
      <c r="D285" s="721" t="s">
        <v>1090</v>
      </c>
      <c r="E285" s="721"/>
      <c r="F285" s="721"/>
      <c r="G285" s="721"/>
      <c r="I285" s="372">
        <v>0</v>
      </c>
      <c r="M285" s="372">
        <v>0</v>
      </c>
      <c r="O285" s="372">
        <v>0</v>
      </c>
      <c r="Q285" s="391">
        <f>I285*M285</f>
        <v>0</v>
      </c>
      <c r="S285" s="391">
        <f>I285*O285</f>
        <v>0</v>
      </c>
    </row>
    <row r="286" spans="3:23" ht="15" outlineLevel="1" x14ac:dyDescent="0.2">
      <c r="D286" s="782" t="s">
        <v>1091</v>
      </c>
      <c r="E286" s="783"/>
      <c r="F286" s="783"/>
      <c r="G286" s="783"/>
      <c r="I286" s="542"/>
      <c r="M286" s="542"/>
      <c r="O286" s="542"/>
      <c r="Q286" s="397">
        <f>SUM(Q281:Q285)</f>
        <v>0</v>
      </c>
      <c r="S286" s="397">
        <f>SUM(S281:S285)</f>
        <v>0</v>
      </c>
    </row>
    <row r="288" spans="3:23" ht="25.5" x14ac:dyDescent="0.2">
      <c r="Q288" s="365" t="str">
        <f>"FINANCIAL COST ("&amp;INDEX(LU_PLUG_7_Meet_Curr,DD_PLUG_7_Meet1_Curr)&amp;")"</f>
        <v>FINANCIAL COST (USD)</v>
      </c>
      <c r="S288" s="365" t="str">
        <f>"ECONOMIC COST ("&amp;INDEX(LU_PLUG_7_Meet_Curr,DD_PLUG_7_Meet1_Curr)&amp;")"</f>
        <v>ECONOMIC COST (USD)</v>
      </c>
      <c r="U288" s="365" t="str">
        <f>"FINANCIAL COST ("&amp;IF(DD_PLUG_7_Meet1_Curr=2,$D$293,$D$294)&amp;")"</f>
        <v>FINANCIAL COST (ZMW)</v>
      </c>
      <c r="W288" s="365" t="str">
        <f>"ECONOMIC COST ("&amp;IF(DD_PLUG_7_Meet1_Curr=2,$D$293,$D$294)&amp;")"</f>
        <v>ECONOMIC COST (ZMW)</v>
      </c>
    </row>
    <row r="289" spans="2:23" ht="19.5" thickBot="1" x14ac:dyDescent="0.25">
      <c r="B289" s="357" t="s">
        <v>1093</v>
      </c>
      <c r="Q289" s="401">
        <f>SUM(Q183,Q212,Q232,Q248,Q266,Q276,Q286)</f>
        <v>0</v>
      </c>
      <c r="S289" s="401">
        <f>S183+S212+S232+S248+S266+S276+S286</f>
        <v>0</v>
      </c>
      <c r="U289" s="389">
        <f>IF(DD_PLUG_7_Meet1_Curr=2,$Q289/$J$294,$Q289*$J$294)</f>
        <v>0</v>
      </c>
      <c r="W289" s="389">
        <f>IF(DD_PLUG_7_Meet1_Curr=2,$S289/$J$294,$S289*$J$294)</f>
        <v>0</v>
      </c>
    </row>
    <row r="290" spans="2:23" ht="13.5" thickTop="1" x14ac:dyDescent="0.2"/>
    <row r="291" spans="2:23" ht="15.75" x14ac:dyDescent="0.2">
      <c r="C291" s="538" t="s">
        <v>1158</v>
      </c>
    </row>
    <row r="292" spans="2:23" outlineLevel="1" x14ac:dyDescent="0.2"/>
    <row r="293" spans="2:23" ht="12.95" customHeight="1" outlineLevel="1" x14ac:dyDescent="0.2">
      <c r="D293" s="785" t="str">
        <f>Econ_Ann_TA!D13</f>
        <v>USD</v>
      </c>
      <c r="E293" s="965"/>
      <c r="F293" s="965"/>
      <c r="G293" s="965"/>
      <c r="J293" s="604">
        <f>Econ_Ann_TA!J13</f>
        <v>1</v>
      </c>
      <c r="K293" s="604">
        <f>Econ_Ann_TA!K13</f>
        <v>1</v>
      </c>
      <c r="L293" s="604">
        <f>Econ_Ann_TA!L13</f>
        <v>1</v>
      </c>
      <c r="M293" s="604">
        <f>Econ_Ann_TA!M13</f>
        <v>1</v>
      </c>
      <c r="Q293" s="391"/>
    </row>
    <row r="294" spans="2:23" outlineLevel="1" x14ac:dyDescent="0.2">
      <c r="D294" s="785" t="str">
        <f>Econ_Ann_TA!D14</f>
        <v>ZMW</v>
      </c>
      <c r="E294" s="965"/>
      <c r="F294" s="965"/>
      <c r="G294" s="965"/>
      <c r="J294" s="604">
        <f>Econ_Ann_TA!J14</f>
        <v>10.971399999999999</v>
      </c>
      <c r="K294" s="604">
        <f>Econ_Ann_TA!K14</f>
        <v>10.971399999999999</v>
      </c>
      <c r="L294" s="604">
        <f>Econ_Ann_TA!L14</f>
        <v>10.971399999999999</v>
      </c>
      <c r="M294" s="604">
        <f>Econ_Ann_TA!M14</f>
        <v>10.971399999999999</v>
      </c>
      <c r="Q294" s="391"/>
    </row>
    <row r="297" spans="2:23" ht="18.75" x14ac:dyDescent="0.2">
      <c r="B297" s="424" t="str">
        <f>I298</f>
        <v>Community Mobilization Meeting</v>
      </c>
    </row>
    <row r="298" spans="2:23" x14ac:dyDescent="0.2">
      <c r="G298" s="360" t="s">
        <v>1153</v>
      </c>
      <c r="I298" s="721" t="s">
        <v>1166</v>
      </c>
      <c r="J298" s="721"/>
      <c r="K298" s="721"/>
      <c r="L298" s="721"/>
      <c r="M298" s="721"/>
    </row>
    <row r="299" spans="2:23" ht="10.5" customHeight="1" x14ac:dyDescent="0.2">
      <c r="G299" s="360" t="s">
        <v>1120</v>
      </c>
      <c r="I299" s="544">
        <v>1</v>
      </c>
    </row>
    <row r="300" spans="2:23" ht="15.75" outlineLevel="1" x14ac:dyDescent="0.2">
      <c r="C300" s="538" t="s">
        <v>414</v>
      </c>
    </row>
    <row r="301" spans="2:23" outlineLevel="2" x14ac:dyDescent="0.2"/>
    <row r="302" spans="2:23" ht="15.75" outlineLevel="2" x14ac:dyDescent="0.2">
      <c r="D302" s="538" t="s">
        <v>1154</v>
      </c>
    </row>
    <row r="303" spans="2:23" ht="38.25" outlineLevel="2" x14ac:dyDescent="0.2">
      <c r="D303" s="956" t="s">
        <v>1155</v>
      </c>
      <c r="E303" s="957"/>
      <c r="F303" s="957"/>
      <c r="G303" s="957"/>
      <c r="I303" s="545" t="s">
        <v>1018</v>
      </c>
      <c r="K303" s="545" t="s">
        <v>995</v>
      </c>
      <c r="M303" s="545" t="s">
        <v>1019</v>
      </c>
      <c r="O303" s="545" t="s">
        <v>1020</v>
      </c>
      <c r="Q303" s="392" t="str">
        <f>"FINANCIAL COST ("&amp;INDEX(LU_PLUG_6_Meet_Curr,DD_PLUG_6_Meet1_Curr)&amp;")"</f>
        <v>FINANCIAL COST (USD)</v>
      </c>
      <c r="S303" s="392" t="str">
        <f>"ECONOMIC COST ("&amp;INDEX(LU_PLUG_6_Meet_Curr,DD_PLUG_6_Meet1_Curr)&amp;")"</f>
        <v>ECONOMIC COST (USD)</v>
      </c>
    </row>
    <row r="304" spans="2:23" outlineLevel="2" x14ac:dyDescent="0.2">
      <c r="D304" s="721" t="s">
        <v>1137</v>
      </c>
      <c r="E304" s="721"/>
      <c r="F304" s="721"/>
      <c r="G304" s="721"/>
      <c r="I304" s="606">
        <v>0</v>
      </c>
      <c r="K304" s="372">
        <v>0</v>
      </c>
      <c r="M304" s="372">
        <v>0</v>
      </c>
      <c r="O304" s="372">
        <v>0</v>
      </c>
      <c r="Q304" s="395">
        <f>I304*K304*M304</f>
        <v>0</v>
      </c>
      <c r="S304" s="395">
        <f>I304*K304*O304</f>
        <v>0</v>
      </c>
    </row>
    <row r="305" spans="4:19" outlineLevel="2" x14ac:dyDescent="0.2">
      <c r="D305" s="721" t="s">
        <v>1138</v>
      </c>
      <c r="E305" s="721"/>
      <c r="F305" s="721"/>
      <c r="G305" s="721"/>
      <c r="I305" s="606">
        <v>0</v>
      </c>
      <c r="K305" s="372">
        <v>0</v>
      </c>
      <c r="M305" s="372">
        <v>0</v>
      </c>
      <c r="O305" s="372">
        <v>0</v>
      </c>
      <c r="Q305" s="395">
        <f>I305*K305*M305</f>
        <v>0</v>
      </c>
      <c r="S305" s="395">
        <f>I305*K305*O305</f>
        <v>0</v>
      </c>
    </row>
    <row r="306" spans="4:19" outlineLevel="2" x14ac:dyDescent="0.2">
      <c r="D306" s="721" t="s">
        <v>1139</v>
      </c>
      <c r="E306" s="721"/>
      <c r="F306" s="721"/>
      <c r="G306" s="721"/>
      <c r="I306" s="606">
        <v>0</v>
      </c>
      <c r="K306" s="372">
        <v>0</v>
      </c>
      <c r="M306" s="372">
        <v>0</v>
      </c>
      <c r="O306" s="372">
        <v>0</v>
      </c>
      <c r="Q306" s="395">
        <f>I306*K306*M306</f>
        <v>0</v>
      </c>
      <c r="S306" s="395">
        <f>I306*K306*O306</f>
        <v>0</v>
      </c>
    </row>
    <row r="307" spans="4:19" outlineLevel="2" x14ac:dyDescent="0.2">
      <c r="D307" s="721" t="s">
        <v>1140</v>
      </c>
      <c r="E307" s="721"/>
      <c r="F307" s="721"/>
      <c r="G307" s="721"/>
      <c r="I307" s="606">
        <v>0</v>
      </c>
      <c r="K307" s="372">
        <v>0</v>
      </c>
      <c r="M307" s="372">
        <v>0</v>
      </c>
      <c r="O307" s="372">
        <v>0</v>
      </c>
      <c r="Q307" s="395">
        <f>I307*K307*M307</f>
        <v>0</v>
      </c>
      <c r="S307" s="395">
        <f>I307*K307*O307</f>
        <v>0</v>
      </c>
    </row>
    <row r="308" spans="4:19" outlineLevel="2" x14ac:dyDescent="0.2">
      <c r="D308" s="721" t="s">
        <v>1141</v>
      </c>
      <c r="E308" s="721"/>
      <c r="F308" s="721"/>
      <c r="G308" s="721"/>
      <c r="I308" s="606">
        <v>0</v>
      </c>
      <c r="K308" s="372">
        <v>0</v>
      </c>
      <c r="M308" s="372">
        <v>0</v>
      </c>
      <c r="O308" s="372">
        <v>0</v>
      </c>
      <c r="Q308" s="396">
        <f>I308*K308*M308</f>
        <v>0</v>
      </c>
      <c r="S308" s="396">
        <f>I308*K308*O308</f>
        <v>0</v>
      </c>
    </row>
    <row r="309" spans="4:19" outlineLevel="2" x14ac:dyDescent="0.2">
      <c r="D309" s="909" t="str">
        <f>"Total "&amp;D303</f>
        <v>Total Meeting Personnel Sub-Total 1</v>
      </c>
      <c r="E309" s="910"/>
      <c r="F309" s="910"/>
      <c r="G309" s="910"/>
      <c r="I309" s="593">
        <f>SUM(I304:I308)</f>
        <v>0</v>
      </c>
      <c r="Q309" s="391">
        <f>SUM(Q304:Q308)</f>
        <v>0</v>
      </c>
      <c r="S309" s="391">
        <f>SUM(S304:S308)</f>
        <v>0</v>
      </c>
    </row>
    <row r="310" spans="4:19" ht="6.6" customHeight="1" outlineLevel="2" x14ac:dyDescent="0.2"/>
    <row r="311" spans="4:19" ht="38.25" outlineLevel="2" x14ac:dyDescent="0.2">
      <c r="D311" s="956" t="s">
        <v>1156</v>
      </c>
      <c r="E311" s="957"/>
      <c r="F311" s="957"/>
      <c r="G311" s="957"/>
      <c r="I311" s="545" t="s">
        <v>1018</v>
      </c>
      <c r="K311" s="545" t="s">
        <v>995</v>
      </c>
      <c r="M311" s="545" t="s">
        <v>1019</v>
      </c>
      <c r="O311" s="545" t="s">
        <v>1020</v>
      </c>
      <c r="Q311" s="392" t="str">
        <f>"FINANCIAL COST ("&amp;INDEX(LU_PLUG_6_Meet_Curr,DD_PLUG_6_Meet1_Curr)&amp;")"</f>
        <v>FINANCIAL COST (USD)</v>
      </c>
      <c r="S311" s="392" t="str">
        <f>"ECONOMIC COST ("&amp;INDEX(LU_PLUG_6_Meet_Curr,DD_PLUG_6_Meet1_Curr)&amp;")"</f>
        <v>ECONOMIC COST (USD)</v>
      </c>
    </row>
    <row r="312" spans="4:19" outlineLevel="2" x14ac:dyDescent="0.2">
      <c r="D312" s="721" t="s">
        <v>1142</v>
      </c>
      <c r="E312" s="721"/>
      <c r="F312" s="721"/>
      <c r="G312" s="721"/>
      <c r="I312" s="606">
        <v>0</v>
      </c>
      <c r="K312" s="372">
        <v>0</v>
      </c>
      <c r="M312" s="372">
        <v>0</v>
      </c>
      <c r="O312" s="372">
        <v>0</v>
      </c>
      <c r="Q312" s="395">
        <f>I312*K312*M312</f>
        <v>0</v>
      </c>
      <c r="S312" s="395">
        <f>I312*K312*O312</f>
        <v>0</v>
      </c>
    </row>
    <row r="313" spans="4:19" outlineLevel="2" x14ac:dyDescent="0.2">
      <c r="D313" s="721" t="s">
        <v>1143</v>
      </c>
      <c r="E313" s="721"/>
      <c r="F313" s="721"/>
      <c r="G313" s="721"/>
      <c r="I313" s="606">
        <v>0</v>
      </c>
      <c r="K313" s="372">
        <v>0</v>
      </c>
      <c r="M313" s="372">
        <v>0</v>
      </c>
      <c r="O313" s="372">
        <v>0</v>
      </c>
      <c r="Q313" s="395">
        <f>I313*K313*M313</f>
        <v>0</v>
      </c>
      <c r="S313" s="395">
        <f>I313*K313*O313</f>
        <v>0</v>
      </c>
    </row>
    <row r="314" spans="4:19" outlineLevel="2" x14ac:dyDescent="0.2">
      <c r="D314" s="721" t="s">
        <v>1144</v>
      </c>
      <c r="E314" s="721"/>
      <c r="F314" s="721"/>
      <c r="G314" s="721"/>
      <c r="I314" s="606">
        <v>0</v>
      </c>
      <c r="K314" s="372">
        <v>0</v>
      </c>
      <c r="M314" s="372">
        <v>0</v>
      </c>
      <c r="O314" s="372">
        <v>0</v>
      </c>
      <c r="Q314" s="395">
        <f>I314*K314*M314</f>
        <v>0</v>
      </c>
      <c r="S314" s="395">
        <f>I314*K314*O314</f>
        <v>0</v>
      </c>
    </row>
    <row r="315" spans="4:19" outlineLevel="2" x14ac:dyDescent="0.2">
      <c r="D315" s="721" t="s">
        <v>1145</v>
      </c>
      <c r="E315" s="721"/>
      <c r="F315" s="721"/>
      <c r="G315" s="721"/>
      <c r="I315" s="606">
        <v>0</v>
      </c>
      <c r="K315" s="372">
        <v>0</v>
      </c>
      <c r="M315" s="372">
        <v>0</v>
      </c>
      <c r="O315" s="372">
        <v>0</v>
      </c>
      <c r="Q315" s="395">
        <f>I315*K315*M315</f>
        <v>0</v>
      </c>
      <c r="S315" s="395">
        <f>I315*K315*O315</f>
        <v>0</v>
      </c>
    </row>
    <row r="316" spans="4:19" outlineLevel="2" x14ac:dyDescent="0.2">
      <c r="D316" s="721" t="s">
        <v>1146</v>
      </c>
      <c r="E316" s="721"/>
      <c r="F316" s="721"/>
      <c r="G316" s="721"/>
      <c r="I316" s="606">
        <v>0</v>
      </c>
      <c r="K316" s="372">
        <v>0</v>
      </c>
      <c r="M316" s="372">
        <v>0</v>
      </c>
      <c r="O316" s="372">
        <v>0</v>
      </c>
      <c r="Q316" s="396">
        <f>I316*K316*M316</f>
        <v>0</v>
      </c>
      <c r="S316" s="396">
        <f>I316*K316*O316</f>
        <v>0</v>
      </c>
    </row>
    <row r="317" spans="4:19" outlineLevel="2" x14ac:dyDescent="0.2">
      <c r="D317" s="909" t="str">
        <f>"Total "&amp;D311</f>
        <v>Total Meeting Personnel Sub-Total 2</v>
      </c>
      <c r="E317" s="910"/>
      <c r="F317" s="910"/>
      <c r="G317" s="910"/>
      <c r="I317" s="593">
        <f>SUM(I312:I316)</f>
        <v>0</v>
      </c>
      <c r="Q317" s="391">
        <f>SUM(Q312:Q316)</f>
        <v>0</v>
      </c>
      <c r="S317" s="391">
        <f>SUM(S312:S316)</f>
        <v>0</v>
      </c>
    </row>
    <row r="318" spans="4:19" ht="6.6" customHeight="1" outlineLevel="2" x14ac:dyDescent="0.2"/>
    <row r="319" spans="4:19" ht="38.25" outlineLevel="2" x14ac:dyDescent="0.2">
      <c r="D319" s="956" t="s">
        <v>1157</v>
      </c>
      <c r="E319" s="957"/>
      <c r="F319" s="957"/>
      <c r="G319" s="957"/>
      <c r="I319" s="545" t="s">
        <v>1018</v>
      </c>
      <c r="K319" s="545" t="s">
        <v>995</v>
      </c>
      <c r="M319" s="545" t="s">
        <v>1019</v>
      </c>
      <c r="O319" s="545" t="s">
        <v>1020</v>
      </c>
      <c r="Q319" s="392" t="str">
        <f>"FINANCIAL COST ("&amp;INDEX(LU_PLUG_6_Meet_Curr,DD_PLUG_6_Meet1_Curr)&amp;")"</f>
        <v>FINANCIAL COST (USD)</v>
      </c>
      <c r="S319" s="392" t="str">
        <f>"ECONOMIC COST ("&amp;INDEX(LU_PLUG_6_Meet_Curr,DD_PLUG_6_Meet1_Curr)&amp;")"</f>
        <v>ECONOMIC COST (USD)</v>
      </c>
    </row>
    <row r="320" spans="4:19" outlineLevel="2" x14ac:dyDescent="0.2">
      <c r="D320" s="721" t="s">
        <v>1147</v>
      </c>
      <c r="E320" s="721"/>
      <c r="F320" s="721"/>
      <c r="G320" s="721"/>
      <c r="I320" s="606">
        <v>0</v>
      </c>
      <c r="K320" s="372">
        <v>0</v>
      </c>
      <c r="M320" s="372">
        <v>0</v>
      </c>
      <c r="O320" s="372">
        <v>0</v>
      </c>
      <c r="Q320" s="395">
        <f t="shared" ref="Q320:Q325" si="8">I320*K320*M320</f>
        <v>0</v>
      </c>
      <c r="S320" s="395">
        <f t="shared" ref="S320:S325" si="9">I320*K320*O320</f>
        <v>0</v>
      </c>
    </row>
    <row r="321" spans="3:19" outlineLevel="2" x14ac:dyDescent="0.2">
      <c r="D321" s="721" t="s">
        <v>1148</v>
      </c>
      <c r="E321" s="721"/>
      <c r="F321" s="721"/>
      <c r="G321" s="721"/>
      <c r="I321" s="606">
        <v>0</v>
      </c>
      <c r="K321" s="372">
        <v>0</v>
      </c>
      <c r="M321" s="372">
        <v>0</v>
      </c>
      <c r="O321" s="372">
        <v>0</v>
      </c>
      <c r="Q321" s="395">
        <f t="shared" si="8"/>
        <v>0</v>
      </c>
      <c r="S321" s="395">
        <f t="shared" si="9"/>
        <v>0</v>
      </c>
    </row>
    <row r="322" spans="3:19" outlineLevel="2" x14ac:dyDescent="0.2">
      <c r="D322" s="721" t="s">
        <v>1149</v>
      </c>
      <c r="E322" s="721"/>
      <c r="F322" s="721"/>
      <c r="G322" s="721"/>
      <c r="I322" s="606">
        <v>0</v>
      </c>
      <c r="K322" s="372">
        <v>0</v>
      </c>
      <c r="M322" s="372">
        <v>0</v>
      </c>
      <c r="O322" s="372">
        <v>0</v>
      </c>
      <c r="Q322" s="395">
        <f t="shared" si="8"/>
        <v>0</v>
      </c>
      <c r="S322" s="395">
        <f t="shared" si="9"/>
        <v>0</v>
      </c>
    </row>
    <row r="323" spans="3:19" outlineLevel="2" x14ac:dyDescent="0.2">
      <c r="D323" s="721" t="s">
        <v>1150</v>
      </c>
      <c r="E323" s="721"/>
      <c r="F323" s="721"/>
      <c r="G323" s="721"/>
      <c r="I323" s="606">
        <v>0</v>
      </c>
      <c r="K323" s="372">
        <v>0</v>
      </c>
      <c r="M323" s="372">
        <v>0</v>
      </c>
      <c r="O323" s="372">
        <v>0</v>
      </c>
      <c r="Q323" s="395">
        <f t="shared" si="8"/>
        <v>0</v>
      </c>
      <c r="S323" s="395">
        <f t="shared" si="9"/>
        <v>0</v>
      </c>
    </row>
    <row r="324" spans="3:19" outlineLevel="2" x14ac:dyDescent="0.2">
      <c r="D324" s="721" t="s">
        <v>1151</v>
      </c>
      <c r="E324" s="721"/>
      <c r="F324" s="721"/>
      <c r="G324" s="721"/>
      <c r="I324" s="606">
        <v>0</v>
      </c>
      <c r="K324" s="372">
        <v>0</v>
      </c>
      <c r="M324" s="372">
        <v>0</v>
      </c>
      <c r="O324" s="372">
        <v>0</v>
      </c>
      <c r="Q324" s="395">
        <f t="shared" si="8"/>
        <v>0</v>
      </c>
      <c r="S324" s="395">
        <f t="shared" si="9"/>
        <v>0</v>
      </c>
    </row>
    <row r="325" spans="3:19" outlineLevel="2" x14ac:dyDescent="0.2">
      <c r="D325" s="721" t="s">
        <v>1152</v>
      </c>
      <c r="E325" s="721"/>
      <c r="F325" s="721"/>
      <c r="G325" s="721"/>
      <c r="I325" s="606">
        <v>0</v>
      </c>
      <c r="K325" s="372">
        <v>0</v>
      </c>
      <c r="M325" s="372">
        <v>0</v>
      </c>
      <c r="O325" s="372">
        <v>0</v>
      </c>
      <c r="Q325" s="396">
        <f t="shared" si="8"/>
        <v>0</v>
      </c>
      <c r="S325" s="396">
        <f t="shared" si="9"/>
        <v>0</v>
      </c>
    </row>
    <row r="326" spans="3:19" outlineLevel="2" x14ac:dyDescent="0.2">
      <c r="D326" s="909" t="str">
        <f>"Total "&amp;D319</f>
        <v>Total Meeting Personnel Sub-Total 3</v>
      </c>
      <c r="E326" s="910"/>
      <c r="F326" s="910"/>
      <c r="G326" s="910"/>
      <c r="I326" s="593">
        <f>SUM(I320:I325)</f>
        <v>0</v>
      </c>
      <c r="Q326" s="391">
        <f>SUM(Q320:Q325)</f>
        <v>0</v>
      </c>
      <c r="S326" s="391">
        <f>SUM(S320:S325)</f>
        <v>0</v>
      </c>
    </row>
    <row r="327" spans="3:19" ht="6.6" customHeight="1" outlineLevel="2" x14ac:dyDescent="0.2">
      <c r="Q327" s="382"/>
      <c r="S327" s="382"/>
    </row>
    <row r="328" spans="3:19" ht="15" outlineLevel="1" x14ac:dyDescent="0.2">
      <c r="D328" s="782" t="s">
        <v>1052</v>
      </c>
      <c r="E328" s="783"/>
      <c r="F328" s="783"/>
      <c r="G328" s="783"/>
      <c r="I328" s="540"/>
      <c r="K328" s="540"/>
      <c r="M328" s="540"/>
      <c r="O328" s="540"/>
      <c r="Q328" s="397">
        <f>SUM(Q309,Q317,Q326)</f>
        <v>0</v>
      </c>
      <c r="S328" s="397">
        <f>SUM(S309,S317,S326)</f>
        <v>0</v>
      </c>
    </row>
    <row r="329" spans="3:19" outlineLevel="1" x14ac:dyDescent="0.2"/>
    <row r="330" spans="3:19" ht="15.75" outlineLevel="1" x14ac:dyDescent="0.2">
      <c r="C330" s="538" t="s">
        <v>996</v>
      </c>
    </row>
    <row r="331" spans="3:19" outlineLevel="2" x14ac:dyDescent="0.2"/>
    <row r="332" spans="3:19" ht="25.5" outlineLevel="2" x14ac:dyDescent="0.2">
      <c r="D332" s="791" t="str">
        <f>D303</f>
        <v>Meeting Personnel Sub-Total 1</v>
      </c>
      <c r="E332" s="792"/>
      <c r="F332" s="792"/>
      <c r="G332" s="792"/>
      <c r="I332" s="545" t="s">
        <v>994</v>
      </c>
      <c r="K332" s="545" t="s">
        <v>1037</v>
      </c>
      <c r="M332" s="545" t="s">
        <v>1038</v>
      </c>
      <c r="O332" s="545" t="s">
        <v>1039</v>
      </c>
      <c r="Q332" s="392" t="str">
        <f>"FINANCIAL COST ("&amp;INDEX(LU_PLUG_6_Meet_Curr,DD_PLUG_6_Meet1_Curr)&amp;")"</f>
        <v>FINANCIAL COST (USD)</v>
      </c>
      <c r="S332" s="392" t="str">
        <f>"ECONOMIC COST ("&amp;INDEX(LU_PLUG_6_Meet_Curr,DD_PLUG_6_Meet1_Curr)&amp;")"</f>
        <v>ECONOMIC COST (USD)</v>
      </c>
    </row>
    <row r="333" spans="3:19" outlineLevel="2" x14ac:dyDescent="0.2">
      <c r="D333" s="721" t="s">
        <v>1137</v>
      </c>
      <c r="E333" s="721"/>
      <c r="F333" s="721"/>
      <c r="G333" s="721"/>
      <c r="I333" s="372">
        <v>0</v>
      </c>
      <c r="K333" s="372">
        <v>0</v>
      </c>
      <c r="M333" s="372">
        <v>0</v>
      </c>
      <c r="O333" s="372">
        <v>0</v>
      </c>
      <c r="Q333" s="395">
        <f>I333*K333*M333</f>
        <v>0</v>
      </c>
      <c r="S333" s="395">
        <f>I333*K333*O333</f>
        <v>0</v>
      </c>
    </row>
    <row r="334" spans="3:19" outlineLevel="2" x14ac:dyDescent="0.2">
      <c r="D334" s="721" t="s">
        <v>1138</v>
      </c>
      <c r="E334" s="721"/>
      <c r="F334" s="721"/>
      <c r="G334" s="721"/>
      <c r="I334" s="372">
        <v>0</v>
      </c>
      <c r="K334" s="372">
        <v>0</v>
      </c>
      <c r="M334" s="372">
        <v>0</v>
      </c>
      <c r="O334" s="372">
        <v>0</v>
      </c>
      <c r="Q334" s="395">
        <f>I334*K334*M334</f>
        <v>0</v>
      </c>
      <c r="S334" s="395">
        <f>I334*K334*O334</f>
        <v>0</v>
      </c>
    </row>
    <row r="335" spans="3:19" outlineLevel="2" x14ac:dyDescent="0.2">
      <c r="D335" s="721" t="s">
        <v>1139</v>
      </c>
      <c r="E335" s="721"/>
      <c r="F335" s="721"/>
      <c r="G335" s="721"/>
      <c r="I335" s="372">
        <v>0</v>
      </c>
      <c r="K335" s="372">
        <v>0</v>
      </c>
      <c r="M335" s="372">
        <v>0</v>
      </c>
      <c r="O335" s="372">
        <v>0</v>
      </c>
      <c r="Q335" s="395">
        <f>I335*K335*M335</f>
        <v>0</v>
      </c>
      <c r="S335" s="395">
        <f>I335*K335*O335</f>
        <v>0</v>
      </c>
    </row>
    <row r="336" spans="3:19" outlineLevel="2" x14ac:dyDescent="0.2">
      <c r="D336" s="721" t="s">
        <v>1140</v>
      </c>
      <c r="E336" s="721"/>
      <c r="F336" s="721"/>
      <c r="G336" s="721"/>
      <c r="I336" s="372">
        <v>0</v>
      </c>
      <c r="K336" s="372">
        <v>0</v>
      </c>
      <c r="M336" s="372">
        <v>0</v>
      </c>
      <c r="O336" s="372">
        <v>0</v>
      </c>
      <c r="Q336" s="395">
        <f>I336*K336*M336</f>
        <v>0</v>
      </c>
      <c r="S336" s="395">
        <f>I336*K336*O336</f>
        <v>0</v>
      </c>
    </row>
    <row r="337" spans="4:19" outlineLevel="2" x14ac:dyDescent="0.2">
      <c r="D337" s="721" t="s">
        <v>1141</v>
      </c>
      <c r="E337" s="721"/>
      <c r="F337" s="721"/>
      <c r="G337" s="721"/>
      <c r="I337" s="372">
        <v>0</v>
      </c>
      <c r="K337" s="372">
        <v>0</v>
      </c>
      <c r="M337" s="372">
        <v>0</v>
      </c>
      <c r="O337" s="372">
        <v>0</v>
      </c>
      <c r="Q337" s="396">
        <f>I337*K337*M337</f>
        <v>0</v>
      </c>
      <c r="S337" s="396">
        <f>I337*K337*O337</f>
        <v>0</v>
      </c>
    </row>
    <row r="338" spans="4:19" outlineLevel="2" x14ac:dyDescent="0.2">
      <c r="D338" s="909" t="str">
        <f>"Total "&amp;D332</f>
        <v>Total Meeting Personnel Sub-Total 1</v>
      </c>
      <c r="E338" s="910"/>
      <c r="F338" s="910"/>
      <c r="G338" s="910"/>
      <c r="Q338" s="391">
        <f>SUM(Q333:Q337)</f>
        <v>0</v>
      </c>
      <c r="S338" s="391">
        <f>SUM(S333:S337)</f>
        <v>0</v>
      </c>
    </row>
    <row r="339" spans="4:19" ht="6.6" customHeight="1" outlineLevel="2" x14ac:dyDescent="0.2"/>
    <row r="340" spans="4:19" ht="25.5" outlineLevel="2" x14ac:dyDescent="0.2">
      <c r="D340" s="791" t="str">
        <f>D311</f>
        <v>Meeting Personnel Sub-Total 2</v>
      </c>
      <c r="E340" s="792"/>
      <c r="F340" s="792"/>
      <c r="G340" s="792"/>
      <c r="I340" s="545" t="s">
        <v>994</v>
      </c>
      <c r="K340" s="545" t="s">
        <v>1037</v>
      </c>
      <c r="M340" s="545" t="s">
        <v>1038</v>
      </c>
      <c r="O340" s="545" t="s">
        <v>1039</v>
      </c>
      <c r="Q340" s="392" t="str">
        <f>"FINANCIAL COST ("&amp;INDEX(LU_PLUG_6_Meet_Curr,DD_PLUG_6_Meet1_Curr)&amp;")"</f>
        <v>FINANCIAL COST (USD)</v>
      </c>
      <c r="S340" s="392" t="str">
        <f>"ECONOMIC COST ("&amp;INDEX(LU_PLUG_6_Meet_Curr,DD_PLUG_6_Meet1_Curr)&amp;")"</f>
        <v>ECONOMIC COST (USD)</v>
      </c>
    </row>
    <row r="341" spans="4:19" outlineLevel="2" x14ac:dyDescent="0.2">
      <c r="D341" s="721" t="s">
        <v>1142</v>
      </c>
      <c r="E341" s="721"/>
      <c r="F341" s="721"/>
      <c r="G341" s="721"/>
      <c r="I341" s="372">
        <v>0</v>
      </c>
      <c r="K341" s="372">
        <v>0</v>
      </c>
      <c r="M341" s="372">
        <v>0</v>
      </c>
      <c r="O341" s="372">
        <v>0</v>
      </c>
      <c r="Q341" s="395">
        <f>I341*K341*M341</f>
        <v>0</v>
      </c>
      <c r="S341" s="395">
        <f>I341*K341*O341</f>
        <v>0</v>
      </c>
    </row>
    <row r="342" spans="4:19" outlineLevel="2" x14ac:dyDescent="0.2">
      <c r="D342" s="721" t="s">
        <v>1143</v>
      </c>
      <c r="E342" s="721"/>
      <c r="F342" s="721"/>
      <c r="G342" s="721"/>
      <c r="I342" s="372">
        <v>0</v>
      </c>
      <c r="K342" s="372">
        <v>0</v>
      </c>
      <c r="M342" s="372">
        <v>0</v>
      </c>
      <c r="O342" s="372">
        <v>0</v>
      </c>
      <c r="Q342" s="395">
        <f>I342*K342*M342</f>
        <v>0</v>
      </c>
      <c r="S342" s="395">
        <f>I342*K342*O342</f>
        <v>0</v>
      </c>
    </row>
    <row r="343" spans="4:19" outlineLevel="2" x14ac:dyDescent="0.2">
      <c r="D343" s="721" t="s">
        <v>1144</v>
      </c>
      <c r="E343" s="721"/>
      <c r="F343" s="721"/>
      <c r="G343" s="721"/>
      <c r="I343" s="372">
        <v>0</v>
      </c>
      <c r="K343" s="372">
        <v>0</v>
      </c>
      <c r="M343" s="372">
        <v>0</v>
      </c>
      <c r="O343" s="372">
        <v>0</v>
      </c>
      <c r="Q343" s="395">
        <f>I343*K343*M343</f>
        <v>0</v>
      </c>
      <c r="S343" s="395">
        <f>I343*K343*O343</f>
        <v>0</v>
      </c>
    </row>
    <row r="344" spans="4:19" outlineLevel="2" x14ac:dyDescent="0.2">
      <c r="D344" s="721" t="s">
        <v>1145</v>
      </c>
      <c r="E344" s="721"/>
      <c r="F344" s="721"/>
      <c r="G344" s="721"/>
      <c r="I344" s="372">
        <v>0</v>
      </c>
      <c r="K344" s="372">
        <v>0</v>
      </c>
      <c r="M344" s="372">
        <v>0</v>
      </c>
      <c r="O344" s="372">
        <v>0</v>
      </c>
      <c r="Q344" s="395">
        <f>I344*K344*M344</f>
        <v>0</v>
      </c>
      <c r="S344" s="395">
        <f>I344*K344*O344</f>
        <v>0</v>
      </c>
    </row>
    <row r="345" spans="4:19" outlineLevel="2" x14ac:dyDescent="0.2">
      <c r="D345" s="721" t="s">
        <v>1146</v>
      </c>
      <c r="E345" s="721"/>
      <c r="F345" s="721"/>
      <c r="G345" s="721"/>
      <c r="I345" s="372">
        <v>0</v>
      </c>
      <c r="K345" s="372">
        <v>0</v>
      </c>
      <c r="M345" s="372">
        <v>0</v>
      </c>
      <c r="O345" s="372">
        <v>0</v>
      </c>
      <c r="Q345" s="396">
        <f>I345*K345*M345</f>
        <v>0</v>
      </c>
      <c r="S345" s="396">
        <f>I345*K345*O345</f>
        <v>0</v>
      </c>
    </row>
    <row r="346" spans="4:19" outlineLevel="2" x14ac:dyDescent="0.2">
      <c r="D346" s="909" t="str">
        <f>"Total "&amp;D340</f>
        <v>Total Meeting Personnel Sub-Total 2</v>
      </c>
      <c r="E346" s="910"/>
      <c r="F346" s="910"/>
      <c r="G346" s="910"/>
      <c r="Q346" s="391">
        <f>SUM(Q341:Q345)</f>
        <v>0</v>
      </c>
      <c r="S346" s="391">
        <f>SUM(S341:S345)</f>
        <v>0</v>
      </c>
    </row>
    <row r="347" spans="4:19" ht="6.6" customHeight="1" outlineLevel="2" x14ac:dyDescent="0.2"/>
    <row r="348" spans="4:19" ht="25.5" outlineLevel="2" x14ac:dyDescent="0.2">
      <c r="D348" s="791" t="str">
        <f>D319</f>
        <v>Meeting Personnel Sub-Total 3</v>
      </c>
      <c r="E348" s="792"/>
      <c r="F348" s="792"/>
      <c r="G348" s="792"/>
      <c r="I348" s="545" t="s">
        <v>994</v>
      </c>
      <c r="K348" s="545" t="s">
        <v>1037</v>
      </c>
      <c r="M348" s="545" t="s">
        <v>1038</v>
      </c>
      <c r="O348" s="545" t="s">
        <v>1039</v>
      </c>
      <c r="Q348" s="392" t="str">
        <f>"FINANCIAL COST ("&amp;INDEX(LU_PLUG_6_Meet_Curr,DD_PLUG_6_Meet1_Curr)&amp;")"</f>
        <v>FINANCIAL COST (USD)</v>
      </c>
      <c r="S348" s="392" t="str">
        <f>"ECONOMIC COST ("&amp;INDEX(LU_PLUG_6_Meet_Curr,DD_PLUG_6_Meet1_Curr)&amp;")"</f>
        <v>ECONOMIC COST (USD)</v>
      </c>
    </row>
    <row r="349" spans="4:19" outlineLevel="2" x14ac:dyDescent="0.2">
      <c r="D349" s="721" t="s">
        <v>1147</v>
      </c>
      <c r="E349" s="721"/>
      <c r="F349" s="721"/>
      <c r="G349" s="721"/>
      <c r="I349" s="372">
        <v>0</v>
      </c>
      <c r="K349" s="372">
        <v>0</v>
      </c>
      <c r="M349" s="372">
        <v>0</v>
      </c>
      <c r="O349" s="372">
        <v>0</v>
      </c>
      <c r="Q349" s="395">
        <f t="shared" ref="Q349:Q354" si="10">I349*K349*M349</f>
        <v>0</v>
      </c>
      <c r="S349" s="395">
        <f t="shared" ref="S349:S354" si="11">I349*K349*O349</f>
        <v>0</v>
      </c>
    </row>
    <row r="350" spans="4:19" outlineLevel="2" x14ac:dyDescent="0.2">
      <c r="D350" s="721" t="s">
        <v>1148</v>
      </c>
      <c r="E350" s="721"/>
      <c r="F350" s="721"/>
      <c r="G350" s="721"/>
      <c r="I350" s="372">
        <v>0</v>
      </c>
      <c r="K350" s="372">
        <v>0</v>
      </c>
      <c r="M350" s="372">
        <v>0</v>
      </c>
      <c r="O350" s="372">
        <v>0</v>
      </c>
      <c r="Q350" s="395">
        <f t="shared" si="10"/>
        <v>0</v>
      </c>
      <c r="S350" s="395">
        <f t="shared" si="11"/>
        <v>0</v>
      </c>
    </row>
    <row r="351" spans="4:19" outlineLevel="2" x14ac:dyDescent="0.2">
      <c r="D351" s="721" t="s">
        <v>1149</v>
      </c>
      <c r="E351" s="721"/>
      <c r="F351" s="721"/>
      <c r="G351" s="721"/>
      <c r="I351" s="372">
        <v>0</v>
      </c>
      <c r="K351" s="372">
        <v>0</v>
      </c>
      <c r="M351" s="372">
        <v>0</v>
      </c>
      <c r="O351" s="372">
        <v>0</v>
      </c>
      <c r="Q351" s="395">
        <f t="shared" si="10"/>
        <v>0</v>
      </c>
      <c r="S351" s="395">
        <f t="shared" si="11"/>
        <v>0</v>
      </c>
    </row>
    <row r="352" spans="4:19" outlineLevel="2" x14ac:dyDescent="0.2">
      <c r="D352" s="721" t="s">
        <v>1150</v>
      </c>
      <c r="E352" s="721"/>
      <c r="F352" s="721"/>
      <c r="G352" s="721"/>
      <c r="I352" s="372">
        <v>0</v>
      </c>
      <c r="K352" s="372">
        <v>0</v>
      </c>
      <c r="M352" s="372">
        <v>0</v>
      </c>
      <c r="O352" s="372">
        <v>0</v>
      </c>
      <c r="Q352" s="395">
        <f t="shared" si="10"/>
        <v>0</v>
      </c>
      <c r="S352" s="395">
        <f t="shared" si="11"/>
        <v>0</v>
      </c>
    </row>
    <row r="353" spans="3:19" outlineLevel="2" x14ac:dyDescent="0.2">
      <c r="D353" s="721" t="s">
        <v>1151</v>
      </c>
      <c r="E353" s="721"/>
      <c r="F353" s="721"/>
      <c r="G353" s="721"/>
      <c r="I353" s="372">
        <v>0</v>
      </c>
      <c r="K353" s="372">
        <v>0</v>
      </c>
      <c r="M353" s="372">
        <v>0</v>
      </c>
      <c r="O353" s="372">
        <v>0</v>
      </c>
      <c r="Q353" s="395">
        <f t="shared" si="10"/>
        <v>0</v>
      </c>
      <c r="S353" s="395">
        <f t="shared" si="11"/>
        <v>0</v>
      </c>
    </row>
    <row r="354" spans="3:19" outlineLevel="2" x14ac:dyDescent="0.2">
      <c r="D354" s="721" t="s">
        <v>1152</v>
      </c>
      <c r="E354" s="721"/>
      <c r="F354" s="721"/>
      <c r="G354" s="721"/>
      <c r="I354" s="372">
        <v>0</v>
      </c>
      <c r="K354" s="372">
        <v>0</v>
      </c>
      <c r="M354" s="372">
        <v>0</v>
      </c>
      <c r="O354" s="372">
        <v>0</v>
      </c>
      <c r="Q354" s="396">
        <f t="shared" si="10"/>
        <v>0</v>
      </c>
      <c r="S354" s="396">
        <f t="shared" si="11"/>
        <v>0</v>
      </c>
    </row>
    <row r="355" spans="3:19" outlineLevel="2" x14ac:dyDescent="0.2">
      <c r="D355" s="909" t="str">
        <f>"Total "&amp;D348</f>
        <v>Total Meeting Personnel Sub-Total 3</v>
      </c>
      <c r="E355" s="910"/>
      <c r="F355" s="910"/>
      <c r="G355" s="910"/>
      <c r="Q355" s="391">
        <f>SUM(Q349:Q354)</f>
        <v>0</v>
      </c>
      <c r="S355" s="391">
        <f>SUM(S349:S354)</f>
        <v>0</v>
      </c>
    </row>
    <row r="356" spans="3:19" ht="6.6" customHeight="1" outlineLevel="2" x14ac:dyDescent="0.2">
      <c r="Q356" s="382"/>
      <c r="S356" s="382"/>
    </row>
    <row r="357" spans="3:19" ht="15" outlineLevel="1" x14ac:dyDescent="0.2">
      <c r="D357" s="782" t="s">
        <v>1021</v>
      </c>
      <c r="E357" s="783"/>
      <c r="F357" s="783"/>
      <c r="G357" s="783"/>
      <c r="I357" s="540"/>
      <c r="K357" s="540"/>
      <c r="M357" s="540"/>
      <c r="O357" s="540"/>
      <c r="Q357" s="397">
        <f>SUM(Q338,Q346,Q355)</f>
        <v>0</v>
      </c>
      <c r="S357" s="397">
        <f>SUM(S338,S346,S355)</f>
        <v>0</v>
      </c>
    </row>
    <row r="358" spans="3:19" outlineLevel="1" x14ac:dyDescent="0.2"/>
    <row r="359" spans="3:19" ht="15.75" outlineLevel="1" x14ac:dyDescent="0.2">
      <c r="C359" s="538" t="s">
        <v>1066</v>
      </c>
    </row>
    <row r="360" spans="3:19" outlineLevel="2" x14ac:dyDescent="0.2"/>
    <row r="361" spans="3:19" ht="25.5" outlineLevel="2" x14ac:dyDescent="0.2">
      <c r="D361" s="956" t="s">
        <v>1124</v>
      </c>
      <c r="E361" s="957"/>
      <c r="F361" s="957"/>
      <c r="G361" s="957"/>
      <c r="I361" s="592" t="s">
        <v>999</v>
      </c>
      <c r="K361" s="592" t="s">
        <v>1051</v>
      </c>
      <c r="M361" s="592" t="s">
        <v>1038</v>
      </c>
      <c r="O361" s="592" t="s">
        <v>1050</v>
      </c>
      <c r="Q361" s="392" t="str">
        <f>"FINANCIAL COST ("&amp;INDEX(LU_PLUG_6_Meet_Curr,DD_PLUG_6_Meet1_Curr)&amp;")"</f>
        <v>FINANCIAL COST (USD)</v>
      </c>
      <c r="S361" s="392" t="str">
        <f>"ECONOMIC COST ("&amp;INDEX(LU_PLUG_6_Meet_Curr,DD_PLUG_6_Meet1_Curr)&amp;")"</f>
        <v>ECONOMIC COST (USD)</v>
      </c>
    </row>
    <row r="362" spans="3:19" outlineLevel="2" x14ac:dyDescent="0.2">
      <c r="D362" s="721" t="s">
        <v>1040</v>
      </c>
      <c r="E362" s="721"/>
      <c r="F362" s="721"/>
      <c r="G362" s="721"/>
      <c r="I362" s="372">
        <v>0</v>
      </c>
      <c r="K362" s="372">
        <v>0</v>
      </c>
      <c r="M362" s="372">
        <v>0</v>
      </c>
      <c r="O362" s="372">
        <v>0</v>
      </c>
      <c r="Q362" s="395">
        <f>I362*K362*M362</f>
        <v>0</v>
      </c>
      <c r="S362" s="395">
        <f>I362*K362*O362</f>
        <v>0</v>
      </c>
    </row>
    <row r="363" spans="3:19" outlineLevel="2" x14ac:dyDescent="0.2">
      <c r="D363" s="721" t="s">
        <v>1041</v>
      </c>
      <c r="E363" s="721"/>
      <c r="F363" s="721"/>
      <c r="G363" s="721"/>
      <c r="I363" s="372">
        <v>0</v>
      </c>
      <c r="K363" s="372">
        <v>0</v>
      </c>
      <c r="M363" s="372">
        <v>0</v>
      </c>
      <c r="O363" s="372">
        <v>0</v>
      </c>
      <c r="Q363" s="395">
        <f>I363*K363*M363</f>
        <v>0</v>
      </c>
      <c r="S363" s="395">
        <f>I363*K363*O363</f>
        <v>0</v>
      </c>
    </row>
    <row r="364" spans="3:19" outlineLevel="2" x14ac:dyDescent="0.2">
      <c r="D364" s="721" t="s">
        <v>1042</v>
      </c>
      <c r="E364" s="721"/>
      <c r="F364" s="721"/>
      <c r="G364" s="721"/>
      <c r="I364" s="372">
        <v>0</v>
      </c>
      <c r="K364" s="372">
        <v>0</v>
      </c>
      <c r="M364" s="372">
        <v>0</v>
      </c>
      <c r="O364" s="372">
        <v>0</v>
      </c>
      <c r="Q364" s="395">
        <f>I364*K364*M364</f>
        <v>0</v>
      </c>
      <c r="S364" s="395">
        <f>I364*K364*O364</f>
        <v>0</v>
      </c>
    </row>
    <row r="365" spans="3:19" outlineLevel="2" x14ac:dyDescent="0.2">
      <c r="D365" s="721" t="s">
        <v>1043</v>
      </c>
      <c r="E365" s="721"/>
      <c r="F365" s="721"/>
      <c r="G365" s="721"/>
      <c r="I365" s="372">
        <v>0</v>
      </c>
      <c r="K365" s="372">
        <v>0</v>
      </c>
      <c r="M365" s="372">
        <v>0</v>
      </c>
      <c r="O365" s="372">
        <v>0</v>
      </c>
      <c r="Q365" s="395">
        <f>I365*K365*M365</f>
        <v>0</v>
      </c>
      <c r="S365" s="395">
        <f>I365*K365*O365</f>
        <v>0</v>
      </c>
    </row>
    <row r="366" spans="3:19" outlineLevel="2" x14ac:dyDescent="0.2">
      <c r="D366" s="721" t="s">
        <v>1044</v>
      </c>
      <c r="E366" s="721"/>
      <c r="F366" s="721"/>
      <c r="G366" s="721"/>
      <c r="I366" s="372">
        <v>0</v>
      </c>
      <c r="K366" s="372">
        <v>0</v>
      </c>
      <c r="M366" s="372">
        <v>0</v>
      </c>
      <c r="O366" s="372">
        <v>0</v>
      </c>
      <c r="Q366" s="396">
        <f>I366*K366*M366</f>
        <v>0</v>
      </c>
      <c r="S366" s="396">
        <f>I366*K366*O366</f>
        <v>0</v>
      </c>
    </row>
    <row r="367" spans="3:19" outlineLevel="2" x14ac:dyDescent="0.2">
      <c r="D367" s="909" t="str">
        <f>"Total "&amp;D361</f>
        <v>Total Rooms Sub-Total 1</v>
      </c>
      <c r="E367" s="910"/>
      <c r="F367" s="910"/>
      <c r="G367" s="910"/>
      <c r="Q367" s="391">
        <f>SUM(Q362:Q366)</f>
        <v>0</v>
      </c>
      <c r="S367" s="391">
        <f>SUM(S362:S366)</f>
        <v>0</v>
      </c>
    </row>
    <row r="368" spans="3:19" ht="6.6" customHeight="1" outlineLevel="2" x14ac:dyDescent="0.2"/>
    <row r="369" spans="3:19" ht="25.5" outlineLevel="2" x14ac:dyDescent="0.2">
      <c r="D369" s="956" t="s">
        <v>1125</v>
      </c>
      <c r="E369" s="957"/>
      <c r="F369" s="957"/>
      <c r="G369" s="957"/>
      <c r="I369" s="592" t="s">
        <v>999</v>
      </c>
      <c r="K369" s="592" t="s">
        <v>1051</v>
      </c>
      <c r="M369" s="592" t="s">
        <v>1038</v>
      </c>
      <c r="O369" s="592" t="s">
        <v>1050</v>
      </c>
      <c r="Q369" s="392" t="str">
        <f>"FINANCIAL COST ("&amp;INDEX(LU_PLUG_6_Meet_Curr,DD_PLUG_6_Meet1_Curr)&amp;")"</f>
        <v>FINANCIAL COST (USD)</v>
      </c>
      <c r="S369" s="392" t="str">
        <f>"ECONOMIC COST ("&amp;INDEX(LU_PLUG_6_Meet_Curr,DD_PLUG_6_Meet1_Curr)&amp;")"</f>
        <v>ECONOMIC COST (USD)</v>
      </c>
    </row>
    <row r="370" spans="3:19" outlineLevel="2" x14ac:dyDescent="0.2">
      <c r="D370" s="721" t="s">
        <v>1045</v>
      </c>
      <c r="E370" s="721"/>
      <c r="F370" s="721"/>
      <c r="G370" s="721"/>
      <c r="I370" s="372">
        <v>0</v>
      </c>
      <c r="K370" s="372">
        <v>0</v>
      </c>
      <c r="M370" s="372">
        <v>0</v>
      </c>
      <c r="O370" s="372">
        <v>0</v>
      </c>
      <c r="Q370" s="395">
        <f>I370*K370*M370</f>
        <v>0</v>
      </c>
      <c r="S370" s="395">
        <f>I370*K370*O370</f>
        <v>0</v>
      </c>
    </row>
    <row r="371" spans="3:19" outlineLevel="2" x14ac:dyDescent="0.2">
      <c r="D371" s="721" t="s">
        <v>1046</v>
      </c>
      <c r="E371" s="721"/>
      <c r="F371" s="721"/>
      <c r="G371" s="721"/>
      <c r="I371" s="372">
        <v>0</v>
      </c>
      <c r="K371" s="372">
        <v>0</v>
      </c>
      <c r="M371" s="372">
        <v>0</v>
      </c>
      <c r="O371" s="372">
        <v>0</v>
      </c>
      <c r="Q371" s="395">
        <f>I371*K371*M371</f>
        <v>0</v>
      </c>
      <c r="S371" s="395">
        <f>I371*K371*O371</f>
        <v>0</v>
      </c>
    </row>
    <row r="372" spans="3:19" outlineLevel="2" x14ac:dyDescent="0.2">
      <c r="D372" s="721" t="s">
        <v>1047</v>
      </c>
      <c r="E372" s="721"/>
      <c r="F372" s="721"/>
      <c r="G372" s="721"/>
      <c r="I372" s="372">
        <v>0</v>
      </c>
      <c r="K372" s="372">
        <v>0</v>
      </c>
      <c r="M372" s="372">
        <v>0</v>
      </c>
      <c r="O372" s="372">
        <v>0</v>
      </c>
      <c r="Q372" s="395">
        <f>I372*K372*M372</f>
        <v>0</v>
      </c>
      <c r="S372" s="395">
        <f>I372*K372*O372</f>
        <v>0</v>
      </c>
    </row>
    <row r="373" spans="3:19" outlineLevel="2" x14ac:dyDescent="0.2">
      <c r="D373" s="721" t="s">
        <v>1048</v>
      </c>
      <c r="E373" s="721"/>
      <c r="F373" s="721"/>
      <c r="G373" s="721"/>
      <c r="I373" s="372">
        <v>0</v>
      </c>
      <c r="K373" s="372">
        <v>0</v>
      </c>
      <c r="M373" s="372">
        <v>0</v>
      </c>
      <c r="O373" s="372">
        <v>0</v>
      </c>
      <c r="Q373" s="395">
        <f>I373*K373*M373</f>
        <v>0</v>
      </c>
      <c r="S373" s="395">
        <f>I373*K373*O373</f>
        <v>0</v>
      </c>
    </row>
    <row r="374" spans="3:19" outlineLevel="2" x14ac:dyDescent="0.2">
      <c r="D374" s="721" t="s">
        <v>1049</v>
      </c>
      <c r="E374" s="721"/>
      <c r="F374" s="721"/>
      <c r="G374" s="721"/>
      <c r="I374" s="372">
        <v>0</v>
      </c>
      <c r="K374" s="372">
        <v>0</v>
      </c>
      <c r="M374" s="372">
        <v>0</v>
      </c>
      <c r="O374" s="372">
        <v>0</v>
      </c>
      <c r="Q374" s="396">
        <f>I374*K374*M374</f>
        <v>0</v>
      </c>
      <c r="S374" s="396">
        <f>I374*K374*O374</f>
        <v>0</v>
      </c>
    </row>
    <row r="375" spans="3:19" outlineLevel="2" x14ac:dyDescent="0.2">
      <c r="D375" s="909" t="str">
        <f>"Total "&amp;D369</f>
        <v>Total Rooms Sub-Total 2</v>
      </c>
      <c r="E375" s="910"/>
      <c r="F375" s="910"/>
      <c r="G375" s="910"/>
      <c r="Q375" s="391">
        <f>SUM(Q370:Q374)</f>
        <v>0</v>
      </c>
      <c r="S375" s="391">
        <f>SUM(S370:S374)</f>
        <v>0</v>
      </c>
    </row>
    <row r="376" spans="3:19" ht="6.6" customHeight="1" outlineLevel="2" x14ac:dyDescent="0.2">
      <c r="Q376" s="382"/>
      <c r="S376" s="382"/>
    </row>
    <row r="377" spans="3:19" ht="15" outlineLevel="1" x14ac:dyDescent="0.2">
      <c r="D377" s="782" t="s">
        <v>1065</v>
      </c>
      <c r="E377" s="783"/>
      <c r="F377" s="783"/>
      <c r="G377" s="783"/>
      <c r="I377" s="540"/>
      <c r="K377" s="540"/>
      <c r="M377" s="540"/>
      <c r="O377" s="540"/>
      <c r="Q377" s="397">
        <f>SUM(Q367,Q375)</f>
        <v>0</v>
      </c>
      <c r="S377" s="397">
        <f>SUM(S367,S375)</f>
        <v>0</v>
      </c>
    </row>
    <row r="378" spans="3:19" outlineLevel="1" x14ac:dyDescent="0.2"/>
    <row r="379" spans="3:19" ht="15.75" outlineLevel="1" x14ac:dyDescent="0.2">
      <c r="C379" s="538" t="s">
        <v>1064</v>
      </c>
    </row>
    <row r="380" spans="3:19" outlineLevel="2" x14ac:dyDescent="0.2"/>
    <row r="381" spans="3:19" ht="25.5" outlineLevel="2" x14ac:dyDescent="0.2">
      <c r="D381" s="956" t="s">
        <v>1059</v>
      </c>
      <c r="E381" s="957"/>
      <c r="F381" s="957"/>
      <c r="G381" s="957"/>
      <c r="I381" s="545" t="s">
        <v>1092</v>
      </c>
      <c r="K381" s="545" t="s">
        <v>995</v>
      </c>
      <c r="M381" s="545" t="s">
        <v>1038</v>
      </c>
      <c r="O381" s="545" t="s">
        <v>1062</v>
      </c>
      <c r="Q381" s="392" t="str">
        <f>"FINANCIAL COST ("&amp;INDEX(LU_PLUG_6_Meet_Curr,DD_PLUG_6_Meet1_Curr)&amp;")"</f>
        <v>FINANCIAL COST (USD)</v>
      </c>
      <c r="S381" s="392" t="str">
        <f>"ECONOMIC COST ("&amp;INDEX(LU_PLUG_6_Meet_Curr,DD_PLUG_6_Meet1_Curr)&amp;")"</f>
        <v>ECONOMIC COST (USD)</v>
      </c>
    </row>
    <row r="382" spans="3:19" outlineLevel="2" x14ac:dyDescent="0.2">
      <c r="D382" s="721" t="s">
        <v>1053</v>
      </c>
      <c r="E382" s="721"/>
      <c r="F382" s="721"/>
      <c r="G382" s="721"/>
      <c r="I382" s="372">
        <v>0</v>
      </c>
      <c r="K382" s="372">
        <v>0</v>
      </c>
      <c r="M382" s="372">
        <v>0</v>
      </c>
      <c r="O382" s="372">
        <v>0</v>
      </c>
      <c r="Q382" s="395">
        <f>I382*K382*M382</f>
        <v>0</v>
      </c>
      <c r="S382" s="395">
        <f>I382*K382*O382</f>
        <v>0</v>
      </c>
    </row>
    <row r="383" spans="3:19" outlineLevel="2" x14ac:dyDescent="0.2">
      <c r="D383" s="721" t="s">
        <v>1054</v>
      </c>
      <c r="E383" s="721"/>
      <c r="F383" s="721"/>
      <c r="G383" s="721"/>
      <c r="I383" s="372">
        <v>0</v>
      </c>
      <c r="K383" s="372">
        <v>0</v>
      </c>
      <c r="M383" s="372">
        <v>0</v>
      </c>
      <c r="O383" s="372">
        <v>0</v>
      </c>
      <c r="Q383" s="395">
        <f>I383*K383*M383</f>
        <v>0</v>
      </c>
      <c r="S383" s="395">
        <f>I383*K383*O383</f>
        <v>0</v>
      </c>
    </row>
    <row r="384" spans="3:19" outlineLevel="2" x14ac:dyDescent="0.2">
      <c r="D384" s="721" t="s">
        <v>1055</v>
      </c>
      <c r="E384" s="721"/>
      <c r="F384" s="721"/>
      <c r="G384" s="721"/>
      <c r="I384" s="372">
        <v>0</v>
      </c>
      <c r="K384" s="372">
        <v>0</v>
      </c>
      <c r="M384" s="372">
        <v>0</v>
      </c>
      <c r="O384" s="372">
        <v>0</v>
      </c>
      <c r="Q384" s="396">
        <f>I384*K384*M384</f>
        <v>0</v>
      </c>
      <c r="S384" s="396">
        <f>I384*K384*O384</f>
        <v>0</v>
      </c>
    </row>
    <row r="385" spans="3:19" outlineLevel="2" x14ac:dyDescent="0.2">
      <c r="D385" s="909" t="str">
        <f>"Total "&amp;D381</f>
        <v>Total Meals &amp; Refreshments Sub-Total 1</v>
      </c>
      <c r="E385" s="910"/>
      <c r="F385" s="910"/>
      <c r="G385" s="910"/>
      <c r="Q385" s="391">
        <f>SUM(Q382:Q384)</f>
        <v>0</v>
      </c>
      <c r="S385" s="391">
        <f>SUM(S382:S384)</f>
        <v>0</v>
      </c>
    </row>
    <row r="386" spans="3:19" ht="6.6" customHeight="1" outlineLevel="2" x14ac:dyDescent="0.2"/>
    <row r="387" spans="3:19" ht="25.5" outlineLevel="2" x14ac:dyDescent="0.2">
      <c r="D387" s="956" t="s">
        <v>1060</v>
      </c>
      <c r="E387" s="957"/>
      <c r="F387" s="957"/>
      <c r="G387" s="957"/>
      <c r="I387" s="545" t="s">
        <v>1092</v>
      </c>
      <c r="K387" s="545" t="s">
        <v>995</v>
      </c>
      <c r="M387" s="545" t="s">
        <v>1038</v>
      </c>
      <c r="O387" s="545" t="s">
        <v>1062</v>
      </c>
      <c r="Q387" s="392" t="str">
        <f>"FINANCIAL COST ("&amp;INDEX(LU_PLUG_6_Meet_Curr,DD_PLUG_6_Meet1_Curr)&amp;")"</f>
        <v>FINANCIAL COST (USD)</v>
      </c>
      <c r="S387" s="392" t="str">
        <f>"ECONOMIC COST ("&amp;INDEX(LU_PLUG_6_Meet_Curr,DD_PLUG_6_Meet1_Curr)&amp;")"</f>
        <v>ECONOMIC COST (USD)</v>
      </c>
    </row>
    <row r="388" spans="3:19" outlineLevel="2" x14ac:dyDescent="0.2">
      <c r="D388" s="721" t="s">
        <v>1056</v>
      </c>
      <c r="E388" s="721"/>
      <c r="F388" s="721"/>
      <c r="G388" s="721"/>
      <c r="I388" s="372">
        <v>0</v>
      </c>
      <c r="K388" s="372">
        <v>0</v>
      </c>
      <c r="M388" s="372">
        <v>0</v>
      </c>
      <c r="O388" s="372">
        <v>0</v>
      </c>
      <c r="Q388" s="395">
        <f>I388*K388*M388</f>
        <v>0</v>
      </c>
      <c r="S388" s="395">
        <f>I388*K388*O388</f>
        <v>0</v>
      </c>
    </row>
    <row r="389" spans="3:19" outlineLevel="2" x14ac:dyDescent="0.2">
      <c r="D389" s="721" t="s">
        <v>1057</v>
      </c>
      <c r="E389" s="721"/>
      <c r="F389" s="721"/>
      <c r="G389" s="721"/>
      <c r="I389" s="372">
        <v>0</v>
      </c>
      <c r="K389" s="372">
        <v>0</v>
      </c>
      <c r="M389" s="372">
        <v>0</v>
      </c>
      <c r="O389" s="372">
        <v>0</v>
      </c>
      <c r="Q389" s="395">
        <f>I389*K389*M389</f>
        <v>0</v>
      </c>
      <c r="S389" s="395">
        <f>I389*K389*O389</f>
        <v>0</v>
      </c>
    </row>
    <row r="390" spans="3:19" outlineLevel="2" x14ac:dyDescent="0.2">
      <c r="D390" s="721" t="s">
        <v>1058</v>
      </c>
      <c r="E390" s="721"/>
      <c r="F390" s="721"/>
      <c r="G390" s="721"/>
      <c r="I390" s="372">
        <v>0</v>
      </c>
      <c r="K390" s="372">
        <v>0</v>
      </c>
      <c r="M390" s="372">
        <v>0</v>
      </c>
      <c r="O390" s="372">
        <v>0</v>
      </c>
      <c r="Q390" s="396">
        <f>I390*K390*M390</f>
        <v>0</v>
      </c>
      <c r="S390" s="396">
        <f>I390*K390*O390</f>
        <v>0</v>
      </c>
    </row>
    <row r="391" spans="3:19" outlineLevel="2" x14ac:dyDescent="0.2">
      <c r="D391" s="909" t="str">
        <f>"Total "&amp;D387</f>
        <v>Total Meals &amp; Refreshments Sub-Total 2</v>
      </c>
      <c r="E391" s="910"/>
      <c r="F391" s="910"/>
      <c r="G391" s="910"/>
      <c r="Q391" s="391">
        <f>SUM(Q388:Q390)</f>
        <v>0</v>
      </c>
      <c r="S391" s="391">
        <f>SUM(S388:S390)</f>
        <v>0</v>
      </c>
    </row>
    <row r="392" spans="3:19" ht="6.6" customHeight="1" outlineLevel="2" x14ac:dyDescent="0.2">
      <c r="Q392" s="382"/>
      <c r="S392" s="382"/>
    </row>
    <row r="393" spans="3:19" ht="15" outlineLevel="1" x14ac:dyDescent="0.2">
      <c r="D393" s="782" t="s">
        <v>1061</v>
      </c>
      <c r="E393" s="783"/>
      <c r="F393" s="783"/>
      <c r="G393" s="783"/>
      <c r="I393" s="540"/>
      <c r="K393" s="540"/>
      <c r="M393" s="540"/>
      <c r="O393" s="540"/>
      <c r="Q393" s="397">
        <f>SUM(Q385,Q391)</f>
        <v>0</v>
      </c>
      <c r="S393" s="397">
        <f>SUM(S385,S391)</f>
        <v>0</v>
      </c>
    </row>
    <row r="394" spans="3:19" outlineLevel="1" x14ac:dyDescent="0.2"/>
    <row r="395" spans="3:19" ht="15.75" outlineLevel="1" x14ac:dyDescent="0.2">
      <c r="C395" s="538" t="s">
        <v>1067</v>
      </c>
    </row>
    <row r="396" spans="3:19" outlineLevel="2" x14ac:dyDescent="0.2"/>
    <row r="397" spans="3:19" ht="25.5" outlineLevel="2" x14ac:dyDescent="0.2">
      <c r="D397" s="956" t="s">
        <v>1076</v>
      </c>
      <c r="E397" s="957"/>
      <c r="F397" s="957"/>
      <c r="G397" s="957"/>
      <c r="I397" s="545" t="s">
        <v>1081</v>
      </c>
      <c r="K397" s="545" t="s">
        <v>1038</v>
      </c>
      <c r="M397" s="545" t="s">
        <v>1050</v>
      </c>
      <c r="Q397" s="392" t="str">
        <f>"FINANCIAL COST ("&amp;INDEX(LU_PLUG_6_Meet_Curr,DD_PLUG_6_Meet1_Curr)&amp;")"</f>
        <v>FINANCIAL COST (USD)</v>
      </c>
      <c r="S397" s="392" t="str">
        <f>"ECONOMIC COST ("&amp;INDEX(LU_PLUG_6_Meet_Curr,DD_PLUG_6_Meet1_Curr)&amp;")"</f>
        <v>ECONOMIC COST (USD)</v>
      </c>
    </row>
    <row r="398" spans="3:19" outlineLevel="2" x14ac:dyDescent="0.2">
      <c r="D398" s="721" t="s">
        <v>1068</v>
      </c>
      <c r="E398" s="721"/>
      <c r="F398" s="721"/>
      <c r="G398" s="721"/>
      <c r="I398" s="372">
        <v>0</v>
      </c>
      <c r="K398" s="372">
        <v>0</v>
      </c>
      <c r="M398" s="372">
        <v>0</v>
      </c>
      <c r="Q398" s="398">
        <f>I398*K398</f>
        <v>0</v>
      </c>
      <c r="S398" s="395">
        <f>I398*M398</f>
        <v>0</v>
      </c>
    </row>
    <row r="399" spans="3:19" outlineLevel="2" x14ac:dyDescent="0.2">
      <c r="D399" s="721" t="s">
        <v>1069</v>
      </c>
      <c r="E399" s="721"/>
      <c r="F399" s="721"/>
      <c r="G399" s="721"/>
      <c r="I399" s="372">
        <v>0</v>
      </c>
      <c r="K399" s="372">
        <v>0</v>
      </c>
      <c r="M399" s="372">
        <v>0</v>
      </c>
      <c r="Q399" s="398">
        <f>I399*K399</f>
        <v>0</v>
      </c>
      <c r="S399" s="395">
        <f>I399*M399</f>
        <v>0</v>
      </c>
    </row>
    <row r="400" spans="3:19" outlineLevel="2" x14ac:dyDescent="0.2">
      <c r="D400" s="721" t="s">
        <v>1070</v>
      </c>
      <c r="E400" s="721"/>
      <c r="F400" s="721"/>
      <c r="G400" s="721"/>
      <c r="I400" s="372">
        <v>0</v>
      </c>
      <c r="K400" s="372">
        <v>0</v>
      </c>
      <c r="M400" s="372">
        <v>0</v>
      </c>
      <c r="Q400" s="398">
        <f>I400*K400</f>
        <v>0</v>
      </c>
      <c r="S400" s="395">
        <f>I400*M400</f>
        <v>0</v>
      </c>
    </row>
    <row r="401" spans="3:19" outlineLevel="2" x14ac:dyDescent="0.2">
      <c r="D401" s="721" t="s">
        <v>1071</v>
      </c>
      <c r="E401" s="721"/>
      <c r="F401" s="721"/>
      <c r="G401" s="721"/>
      <c r="I401" s="372">
        <v>0</v>
      </c>
      <c r="K401" s="372">
        <v>0</v>
      </c>
      <c r="M401" s="372">
        <v>0</v>
      </c>
      <c r="Q401" s="399">
        <f>I401*K401</f>
        <v>0</v>
      </c>
      <c r="S401" s="396">
        <f>I401*M401</f>
        <v>0</v>
      </c>
    </row>
    <row r="402" spans="3:19" outlineLevel="2" x14ac:dyDescent="0.2">
      <c r="D402" s="909" t="str">
        <f>"Total "&amp;D397</f>
        <v>Total Materials &amp; Supplies Sub-Total 1</v>
      </c>
      <c r="E402" s="910"/>
      <c r="F402" s="910"/>
      <c r="G402" s="910"/>
      <c r="Q402" s="364">
        <f>SUM(Q398:Q401)</f>
        <v>0</v>
      </c>
      <c r="S402" s="391">
        <f>SUM(S398:S401)</f>
        <v>0</v>
      </c>
    </row>
    <row r="403" spans="3:19" ht="6.6" customHeight="1" outlineLevel="2" x14ac:dyDescent="0.2"/>
    <row r="404" spans="3:19" ht="25.5" outlineLevel="2" x14ac:dyDescent="0.2">
      <c r="D404" s="956" t="s">
        <v>1077</v>
      </c>
      <c r="E404" s="957"/>
      <c r="F404" s="957"/>
      <c r="G404" s="957"/>
      <c r="I404" s="545" t="s">
        <v>1081</v>
      </c>
      <c r="K404" s="545" t="s">
        <v>1038</v>
      </c>
      <c r="M404" s="545" t="s">
        <v>1050</v>
      </c>
      <c r="Q404" s="392" t="str">
        <f>"FINANCIAL COST ("&amp;INDEX(LU_PLUG_6_Meet_Curr,DD_PLUG_6_Meet1_Curr)&amp;")"</f>
        <v>FINANCIAL COST (USD)</v>
      </c>
      <c r="S404" s="392" t="str">
        <f>"ECONOMIC COST ("&amp;INDEX(LU_PLUG_6_Meet_Curr,DD_PLUG_6_Meet1_Curr)&amp;")"</f>
        <v>ECONOMIC COST (USD)</v>
      </c>
    </row>
    <row r="405" spans="3:19" outlineLevel="2" x14ac:dyDescent="0.2">
      <c r="D405" s="721" t="s">
        <v>1072</v>
      </c>
      <c r="E405" s="721"/>
      <c r="F405" s="721"/>
      <c r="G405" s="721"/>
      <c r="I405" s="372">
        <v>0</v>
      </c>
      <c r="K405" s="372">
        <v>0</v>
      </c>
      <c r="M405" s="372">
        <v>0</v>
      </c>
      <c r="Q405" s="398">
        <f>I405*K405</f>
        <v>0</v>
      </c>
      <c r="S405" s="395">
        <f>I405*M405</f>
        <v>0</v>
      </c>
    </row>
    <row r="406" spans="3:19" outlineLevel="2" x14ac:dyDescent="0.2">
      <c r="D406" s="721" t="s">
        <v>1073</v>
      </c>
      <c r="E406" s="721"/>
      <c r="F406" s="721"/>
      <c r="G406" s="721"/>
      <c r="I406" s="372">
        <v>0</v>
      </c>
      <c r="K406" s="372">
        <v>0</v>
      </c>
      <c r="M406" s="372">
        <v>0</v>
      </c>
      <c r="Q406" s="398">
        <f>I406*K406</f>
        <v>0</v>
      </c>
      <c r="S406" s="395">
        <f>I406*M406</f>
        <v>0</v>
      </c>
    </row>
    <row r="407" spans="3:19" outlineLevel="2" x14ac:dyDescent="0.2">
      <c r="D407" s="721" t="s">
        <v>1074</v>
      </c>
      <c r="E407" s="721"/>
      <c r="F407" s="721"/>
      <c r="G407" s="721"/>
      <c r="I407" s="372">
        <v>0</v>
      </c>
      <c r="K407" s="372">
        <v>0</v>
      </c>
      <c r="M407" s="372">
        <v>0</v>
      </c>
      <c r="Q407" s="398">
        <f>I407*K407</f>
        <v>0</v>
      </c>
      <c r="S407" s="395">
        <f>I407*M407</f>
        <v>0</v>
      </c>
    </row>
    <row r="408" spans="3:19" outlineLevel="2" x14ac:dyDescent="0.2">
      <c r="D408" s="721" t="s">
        <v>1075</v>
      </c>
      <c r="E408" s="721"/>
      <c r="F408" s="721"/>
      <c r="G408" s="721"/>
      <c r="I408" s="372">
        <v>0</v>
      </c>
      <c r="K408" s="372">
        <v>0</v>
      </c>
      <c r="M408" s="372">
        <v>0</v>
      </c>
      <c r="Q408" s="399">
        <f>I408*K408</f>
        <v>0</v>
      </c>
      <c r="S408" s="396">
        <f>I408*M408</f>
        <v>0</v>
      </c>
    </row>
    <row r="409" spans="3:19" outlineLevel="2" x14ac:dyDescent="0.2">
      <c r="D409" s="909" t="str">
        <f>"Total "&amp;D404</f>
        <v>Total Materials &amp; Supplies Sub-Total 2</v>
      </c>
      <c r="E409" s="910"/>
      <c r="F409" s="910"/>
      <c r="G409" s="910"/>
      <c r="Q409" s="364">
        <f>SUM(Q405:Q408)</f>
        <v>0</v>
      </c>
      <c r="S409" s="391">
        <f>SUM(S405:S408)</f>
        <v>0</v>
      </c>
    </row>
    <row r="410" spans="3:19" ht="6.6" customHeight="1" outlineLevel="2" x14ac:dyDescent="0.2">
      <c r="Q410" s="382"/>
      <c r="S410" s="382"/>
    </row>
    <row r="411" spans="3:19" ht="15" outlineLevel="1" x14ac:dyDescent="0.2">
      <c r="D411" s="782" t="s">
        <v>1078</v>
      </c>
      <c r="E411" s="783"/>
      <c r="F411" s="783"/>
      <c r="G411" s="783"/>
      <c r="I411" s="540"/>
      <c r="K411" s="540"/>
      <c r="M411" s="540"/>
      <c r="Q411" s="400">
        <f>SUM(Q402,Q409)</f>
        <v>0</v>
      </c>
      <c r="S411" s="397">
        <f>SUM(S402,S409)</f>
        <v>0</v>
      </c>
    </row>
    <row r="412" spans="3:19" outlineLevel="1" x14ac:dyDescent="0.2"/>
    <row r="413" spans="3:19" ht="15.75" outlineLevel="1" x14ac:dyDescent="0.2">
      <c r="C413" s="538" t="s">
        <v>1082</v>
      </c>
    </row>
    <row r="414" spans="3:19" outlineLevel="2" x14ac:dyDescent="0.2"/>
    <row r="415" spans="3:19" ht="25.5" outlineLevel="2" x14ac:dyDescent="0.2">
      <c r="D415" s="539" t="s">
        <v>998</v>
      </c>
      <c r="I415" s="541" t="s">
        <v>1084</v>
      </c>
      <c r="K415" s="541" t="s">
        <v>1085</v>
      </c>
      <c r="M415" s="541" t="s">
        <v>1038</v>
      </c>
      <c r="O415" s="541" t="s">
        <v>1050</v>
      </c>
      <c r="Q415" s="365" t="str">
        <f>"FINANCIAL COST ("&amp;INDEX(LU_PLUG_6_Meet_Curr,DD_PLUG_6_Meet1_Curr)&amp;")"</f>
        <v>FINANCIAL COST (USD)</v>
      </c>
      <c r="S415" s="365" t="str">
        <f>"ECONOMIC COST ("&amp;INDEX(LU_PLUG_6_Meet_Curr,DD_PLUG_6_Meet1_Curr)&amp;")"</f>
        <v>ECONOMIC COST (USD)</v>
      </c>
    </row>
    <row r="416" spans="3:19" outlineLevel="2" x14ac:dyDescent="0.2">
      <c r="D416" s="721" t="s">
        <v>1001</v>
      </c>
      <c r="E416" s="721"/>
      <c r="F416" s="721"/>
      <c r="G416" s="721"/>
      <c r="I416" s="372">
        <v>0</v>
      </c>
      <c r="K416" s="372">
        <v>0</v>
      </c>
      <c r="M416" s="372">
        <v>0</v>
      </c>
      <c r="O416" s="372">
        <v>0</v>
      </c>
      <c r="Q416" s="391">
        <f>I416*K416*M416</f>
        <v>0</v>
      </c>
      <c r="S416" s="391">
        <f>I416*K416*O416</f>
        <v>0</v>
      </c>
    </row>
    <row r="417" spans="3:19" outlineLevel="2" x14ac:dyDescent="0.2">
      <c r="D417" s="721" t="s">
        <v>1002</v>
      </c>
      <c r="E417" s="721"/>
      <c r="F417" s="721"/>
      <c r="G417" s="721"/>
      <c r="I417" s="372">
        <v>0</v>
      </c>
      <c r="K417" s="372">
        <v>0</v>
      </c>
      <c r="M417" s="372">
        <v>0</v>
      </c>
      <c r="O417" s="372">
        <v>0</v>
      </c>
      <c r="Q417" s="391">
        <f>I417*K417*M417</f>
        <v>0</v>
      </c>
      <c r="S417" s="391">
        <f>I417*K417*O417</f>
        <v>0</v>
      </c>
    </row>
    <row r="418" spans="3:19" outlineLevel="2" x14ac:dyDescent="0.2">
      <c r="D418" s="721" t="s">
        <v>1003</v>
      </c>
      <c r="E418" s="721"/>
      <c r="F418" s="721"/>
      <c r="G418" s="721"/>
      <c r="I418" s="372">
        <v>0</v>
      </c>
      <c r="K418" s="372">
        <v>0</v>
      </c>
      <c r="M418" s="372">
        <v>0</v>
      </c>
      <c r="O418" s="372">
        <v>0</v>
      </c>
      <c r="Q418" s="391">
        <f>I418*K418*M418</f>
        <v>0</v>
      </c>
      <c r="S418" s="391">
        <f>I418*K418*O418</f>
        <v>0</v>
      </c>
    </row>
    <row r="419" spans="3:19" outlineLevel="2" x14ac:dyDescent="0.2">
      <c r="D419" s="721" t="s">
        <v>1004</v>
      </c>
      <c r="E419" s="721"/>
      <c r="F419" s="721"/>
      <c r="G419" s="721"/>
      <c r="I419" s="372">
        <v>0</v>
      </c>
      <c r="K419" s="372">
        <v>0</v>
      </c>
      <c r="M419" s="372">
        <v>0</v>
      </c>
      <c r="O419" s="372">
        <v>0</v>
      </c>
      <c r="Q419" s="391">
        <f>I419*K419*M419</f>
        <v>0</v>
      </c>
      <c r="S419" s="391">
        <f>I419*K419*O419</f>
        <v>0</v>
      </c>
    </row>
    <row r="420" spans="3:19" outlineLevel="2" x14ac:dyDescent="0.2">
      <c r="D420" s="721" t="s">
        <v>1005</v>
      </c>
      <c r="E420" s="721"/>
      <c r="F420" s="721"/>
      <c r="G420" s="721"/>
      <c r="I420" s="372">
        <v>0</v>
      </c>
      <c r="K420" s="372">
        <v>0</v>
      </c>
      <c r="M420" s="372">
        <v>0</v>
      </c>
      <c r="O420" s="372">
        <v>0</v>
      </c>
      <c r="Q420" s="391">
        <f>I420*K420*M420</f>
        <v>0</v>
      </c>
      <c r="S420" s="391">
        <f>I420*K420*O420</f>
        <v>0</v>
      </c>
    </row>
    <row r="421" spans="3:19" ht="15" outlineLevel="1" x14ac:dyDescent="0.2">
      <c r="D421" s="782" t="s">
        <v>1006</v>
      </c>
      <c r="E421" s="783"/>
      <c r="F421" s="783"/>
      <c r="G421" s="783"/>
      <c r="I421" s="542"/>
      <c r="K421" s="542"/>
      <c r="M421" s="542"/>
      <c r="O421" s="542"/>
      <c r="Q421" s="397">
        <f>SUM(Q416:Q420)</f>
        <v>0</v>
      </c>
      <c r="S421" s="397">
        <f>SUM(S416:S420)</f>
        <v>0</v>
      </c>
    </row>
    <row r="422" spans="3:19" outlineLevel="1" x14ac:dyDescent="0.2"/>
    <row r="423" spans="3:19" ht="15.75" outlineLevel="1" x14ac:dyDescent="0.2">
      <c r="C423" s="538" t="s">
        <v>1007</v>
      </c>
    </row>
    <row r="424" spans="3:19" outlineLevel="2" x14ac:dyDescent="0.2"/>
    <row r="425" spans="3:19" ht="25.5" outlineLevel="2" x14ac:dyDescent="0.2">
      <c r="D425" s="539" t="s">
        <v>998</v>
      </c>
      <c r="I425" s="541" t="s">
        <v>1084</v>
      </c>
      <c r="M425" s="545" t="s">
        <v>1038</v>
      </c>
      <c r="O425" s="545" t="s">
        <v>1050</v>
      </c>
      <c r="Q425" s="365" t="str">
        <f>"FINANCIAL COST ("&amp;INDEX(LU_PLUG_6_Meet_Curr,DD_PLUG_6_Meet1_Curr)&amp;")"</f>
        <v>FINANCIAL COST (USD)</v>
      </c>
      <c r="S425" s="365" t="str">
        <f>"ECONOMIC COST ("&amp;INDEX(LU_PLUG_6_Meet_Curr,DD_PLUG_6_Meet1_Curr)&amp;")"</f>
        <v>ECONOMIC COST (USD)</v>
      </c>
    </row>
    <row r="426" spans="3:19" outlineLevel="2" x14ac:dyDescent="0.2">
      <c r="D426" s="721" t="s">
        <v>1086</v>
      </c>
      <c r="E426" s="721"/>
      <c r="F426" s="721"/>
      <c r="G426" s="721"/>
      <c r="I426" s="372">
        <v>0</v>
      </c>
      <c r="M426" s="372">
        <v>0</v>
      </c>
      <c r="O426" s="372">
        <v>0</v>
      </c>
      <c r="Q426" s="391">
        <f>I426*M426</f>
        <v>0</v>
      </c>
      <c r="S426" s="391">
        <f>I426*O426</f>
        <v>0</v>
      </c>
    </row>
    <row r="427" spans="3:19" outlineLevel="2" x14ac:dyDescent="0.2">
      <c r="D427" s="721" t="s">
        <v>1087</v>
      </c>
      <c r="E427" s="721"/>
      <c r="F427" s="721"/>
      <c r="G427" s="721"/>
      <c r="I427" s="372">
        <v>0</v>
      </c>
      <c r="M427" s="372">
        <v>0</v>
      </c>
      <c r="O427" s="372">
        <v>0</v>
      </c>
      <c r="Q427" s="391">
        <f>I427*M427</f>
        <v>0</v>
      </c>
      <c r="S427" s="391">
        <f>I427*O427</f>
        <v>0</v>
      </c>
    </row>
    <row r="428" spans="3:19" outlineLevel="2" x14ac:dyDescent="0.2">
      <c r="D428" s="721" t="s">
        <v>1088</v>
      </c>
      <c r="E428" s="721"/>
      <c r="F428" s="721"/>
      <c r="G428" s="721"/>
      <c r="I428" s="372">
        <v>0</v>
      </c>
      <c r="M428" s="372">
        <v>0</v>
      </c>
      <c r="O428" s="372">
        <v>0</v>
      </c>
      <c r="Q428" s="391">
        <f>I428*M428</f>
        <v>0</v>
      </c>
      <c r="S428" s="391">
        <f>I428*O428</f>
        <v>0</v>
      </c>
    </row>
    <row r="429" spans="3:19" outlineLevel="2" x14ac:dyDescent="0.2">
      <c r="D429" s="721" t="s">
        <v>1089</v>
      </c>
      <c r="E429" s="721"/>
      <c r="F429" s="721"/>
      <c r="G429" s="721"/>
      <c r="I429" s="372">
        <v>0</v>
      </c>
      <c r="M429" s="372">
        <v>0</v>
      </c>
      <c r="O429" s="372">
        <v>0</v>
      </c>
      <c r="Q429" s="391">
        <f>I429*M429</f>
        <v>0</v>
      </c>
      <c r="S429" s="391">
        <f>I429*O429</f>
        <v>0</v>
      </c>
    </row>
    <row r="430" spans="3:19" outlineLevel="2" x14ac:dyDescent="0.2">
      <c r="D430" s="721" t="s">
        <v>1090</v>
      </c>
      <c r="E430" s="721"/>
      <c r="F430" s="721"/>
      <c r="G430" s="721"/>
      <c r="I430" s="372">
        <v>0</v>
      </c>
      <c r="M430" s="372">
        <v>0</v>
      </c>
      <c r="O430" s="372">
        <v>0</v>
      </c>
      <c r="Q430" s="391">
        <f>I430*M430</f>
        <v>0</v>
      </c>
      <c r="S430" s="391">
        <f>I430*O430</f>
        <v>0</v>
      </c>
    </row>
    <row r="431" spans="3:19" ht="15" outlineLevel="1" x14ac:dyDescent="0.2">
      <c r="D431" s="782" t="s">
        <v>1091</v>
      </c>
      <c r="E431" s="783"/>
      <c r="F431" s="783"/>
      <c r="G431" s="783"/>
      <c r="I431" s="542"/>
      <c r="M431" s="542"/>
      <c r="O431" s="542"/>
      <c r="Q431" s="397">
        <f>SUM(Q426:Q430)</f>
        <v>0</v>
      </c>
      <c r="S431" s="397">
        <f>SUM(S426:S430)</f>
        <v>0</v>
      </c>
    </row>
    <row r="433" spans="2:23" ht="25.5" x14ac:dyDescent="0.2">
      <c r="Q433" s="365" t="str">
        <f>"FINANCIAL COST ("&amp;INDEX(LU_PLUG_6_Meet_Curr,DD_PLUG_6_Meet1_Curr)&amp;")"</f>
        <v>FINANCIAL COST (USD)</v>
      </c>
      <c r="S433" s="365" t="str">
        <f>"ECONOMIC COST ("&amp;INDEX(LU_PLUG_6_Meet_Curr,DD_PLUG_6_Meet1_Curr)&amp;")"</f>
        <v>ECONOMIC COST (USD)</v>
      </c>
      <c r="U433" s="365" t="str">
        <f>"FINANCIAL COST ("&amp;IF(DD_PLUG_6_Meet1_Curr=2,$D$438,$D$439)&amp;")"</f>
        <v>FINANCIAL COST (ZMW)</v>
      </c>
      <c r="W433" s="365" t="str">
        <f>"ECONOMIC COST ("&amp;IF(DD_PLUG_6_Meet1_Curr=2,$D$438,$D$439)&amp;")"</f>
        <v>ECONOMIC COST (ZMW)</v>
      </c>
    </row>
    <row r="434" spans="2:23" ht="19.5" thickBot="1" x14ac:dyDescent="0.25">
      <c r="B434" s="357" t="s">
        <v>1093</v>
      </c>
      <c r="Q434" s="401">
        <f>SUM(Q328,Q357,Q377,Q393,Q411,Q421,Q431)</f>
        <v>0</v>
      </c>
      <c r="S434" s="401">
        <f>S328+S357+S377+S393+S411+S421+S431</f>
        <v>0</v>
      </c>
      <c r="U434" s="389">
        <f>IF(DD_PLUG_6_Meet1_Curr=2,$Q434/$J$439,$Q434*$J$439)</f>
        <v>0</v>
      </c>
      <c r="W434" s="389">
        <f>IF(DD_PLUG_6_Meet1_Curr=2,$S434/$J$439,$S434*$J$439)</f>
        <v>0</v>
      </c>
    </row>
    <row r="435" spans="2:23" ht="13.5" thickTop="1" x14ac:dyDescent="0.2"/>
    <row r="436" spans="2:23" ht="15.75" x14ac:dyDescent="0.2">
      <c r="C436" s="538" t="s">
        <v>1158</v>
      </c>
    </row>
    <row r="437" spans="2:23" outlineLevel="1" x14ac:dyDescent="0.2"/>
    <row r="438" spans="2:23" ht="12.95" customHeight="1" outlineLevel="1" x14ac:dyDescent="0.2">
      <c r="D438" s="785" t="str">
        <f>Econ_Ann_TA!D13</f>
        <v>USD</v>
      </c>
      <c r="E438" s="965"/>
      <c r="F438" s="965"/>
      <c r="G438" s="965"/>
      <c r="J438" s="604">
        <f>Econ_Ann_TA!J13</f>
        <v>1</v>
      </c>
      <c r="K438" s="604">
        <f>Econ_Ann_TA!K13</f>
        <v>1</v>
      </c>
      <c r="L438" s="604">
        <f>Econ_Ann_TA!L13</f>
        <v>1</v>
      </c>
      <c r="M438" s="604">
        <f>Econ_Ann_TA!M13</f>
        <v>1</v>
      </c>
      <c r="Q438" s="391"/>
    </row>
    <row r="439" spans="2:23" outlineLevel="1" x14ac:dyDescent="0.2">
      <c r="D439" s="785" t="str">
        <f>Econ_Ann_TA!D14</f>
        <v>ZMW</v>
      </c>
      <c r="E439" s="965"/>
      <c r="F439" s="965"/>
      <c r="G439" s="965"/>
      <c r="J439" s="604">
        <f>Econ_Ann_TA!J14</f>
        <v>10.971399999999999</v>
      </c>
      <c r="K439" s="604">
        <f>Econ_Ann_TA!K14</f>
        <v>10.971399999999999</v>
      </c>
      <c r="L439" s="604">
        <f>Econ_Ann_TA!L14</f>
        <v>10.971399999999999</v>
      </c>
      <c r="M439" s="604">
        <f>Econ_Ann_TA!M14</f>
        <v>10.971399999999999</v>
      </c>
      <c r="Q439" s="391"/>
    </row>
  </sheetData>
  <sheetProtection password="F0F4" sheet="1" scenarios="1"/>
  <mergeCells count="301">
    <mergeCell ref="D149:G149"/>
    <mergeCell ref="D294:G294"/>
    <mergeCell ref="D439:G439"/>
    <mergeCell ref="D285:G285"/>
    <mergeCell ref="D286:G286"/>
    <mergeCell ref="D293:G293"/>
    <mergeCell ref="D275:G275"/>
    <mergeCell ref="D276:G276"/>
    <mergeCell ref="D281:G281"/>
    <mergeCell ref="D282:G282"/>
    <mergeCell ref="D283:G283"/>
    <mergeCell ref="D284:G284"/>
    <mergeCell ref="D264:G264"/>
    <mergeCell ref="D266:G266"/>
    <mergeCell ref="D271:G271"/>
    <mergeCell ref="D272:G272"/>
    <mergeCell ref="D273:G273"/>
    <mergeCell ref="D274:G274"/>
    <mergeCell ref="D257:G257"/>
    <mergeCell ref="D259:G259"/>
    <mergeCell ref="D260:G260"/>
    <mergeCell ref="D261:G261"/>
    <mergeCell ref="D262:G262"/>
    <mergeCell ref="D263:G263"/>
    <mergeCell ref="D248:G248"/>
    <mergeCell ref="D252:G252"/>
    <mergeCell ref="D253:G253"/>
    <mergeCell ref="D254:G254"/>
    <mergeCell ref="D255:G255"/>
    <mergeCell ref="D256:G256"/>
    <mergeCell ref="D240:G240"/>
    <mergeCell ref="D242:G242"/>
    <mergeCell ref="D243:G243"/>
    <mergeCell ref="D244:G244"/>
    <mergeCell ref="D245:G245"/>
    <mergeCell ref="D246:G246"/>
    <mergeCell ref="D230:G230"/>
    <mergeCell ref="D232:G232"/>
    <mergeCell ref="D236:G236"/>
    <mergeCell ref="D237:G237"/>
    <mergeCell ref="D238:G238"/>
    <mergeCell ref="D239:G239"/>
    <mergeCell ref="D224:G224"/>
    <mergeCell ref="D225:G225"/>
    <mergeCell ref="D226:G226"/>
    <mergeCell ref="D227:G227"/>
    <mergeCell ref="D228:G228"/>
    <mergeCell ref="D229:G229"/>
    <mergeCell ref="D217:G217"/>
    <mergeCell ref="D218:G218"/>
    <mergeCell ref="D219:G219"/>
    <mergeCell ref="D220:G220"/>
    <mergeCell ref="D221:G221"/>
    <mergeCell ref="D222:G222"/>
    <mergeCell ref="D207:G207"/>
    <mergeCell ref="D208:G208"/>
    <mergeCell ref="D209:G209"/>
    <mergeCell ref="D210:G210"/>
    <mergeCell ref="D212:G212"/>
    <mergeCell ref="D216:G216"/>
    <mergeCell ref="D200:G200"/>
    <mergeCell ref="D201:G201"/>
    <mergeCell ref="D203:G203"/>
    <mergeCell ref="D204:G204"/>
    <mergeCell ref="D205:G205"/>
    <mergeCell ref="D206:G206"/>
    <mergeCell ref="D193:G193"/>
    <mergeCell ref="D195:G195"/>
    <mergeCell ref="D196:G196"/>
    <mergeCell ref="D197:G197"/>
    <mergeCell ref="D198:G198"/>
    <mergeCell ref="D199:G199"/>
    <mergeCell ref="D187:G187"/>
    <mergeCell ref="D188:G188"/>
    <mergeCell ref="D189:G189"/>
    <mergeCell ref="D190:G190"/>
    <mergeCell ref="D191:G191"/>
    <mergeCell ref="D192:G192"/>
    <mergeCell ref="D177:G177"/>
    <mergeCell ref="D178:G178"/>
    <mergeCell ref="D179:G179"/>
    <mergeCell ref="D180:G180"/>
    <mergeCell ref="D181:G181"/>
    <mergeCell ref="D183:G183"/>
    <mergeCell ref="D170:G170"/>
    <mergeCell ref="D171:G171"/>
    <mergeCell ref="D172:G172"/>
    <mergeCell ref="D174:G174"/>
    <mergeCell ref="D175:G175"/>
    <mergeCell ref="D176:G176"/>
    <mergeCell ref="D163:G163"/>
    <mergeCell ref="D164:G164"/>
    <mergeCell ref="D166:G166"/>
    <mergeCell ref="D167:G167"/>
    <mergeCell ref="D168:G168"/>
    <mergeCell ref="D169:G169"/>
    <mergeCell ref="D430:G430"/>
    <mergeCell ref="D431:G431"/>
    <mergeCell ref="D438:G438"/>
    <mergeCell ref="I153:M153"/>
    <mergeCell ref="D158:G158"/>
    <mergeCell ref="D159:G159"/>
    <mergeCell ref="D160:G160"/>
    <mergeCell ref="D161:G161"/>
    <mergeCell ref="D162:G162"/>
    <mergeCell ref="D420:G420"/>
    <mergeCell ref="D421:G421"/>
    <mergeCell ref="D426:G426"/>
    <mergeCell ref="D427:G427"/>
    <mergeCell ref="D428:G428"/>
    <mergeCell ref="D429:G429"/>
    <mergeCell ref="D409:G409"/>
    <mergeCell ref="D411:G411"/>
    <mergeCell ref="D416:G416"/>
    <mergeCell ref="D417:G417"/>
    <mergeCell ref="D418:G418"/>
    <mergeCell ref="D419:G419"/>
    <mergeCell ref="D402:G402"/>
    <mergeCell ref="D404:G404"/>
    <mergeCell ref="D405:G405"/>
    <mergeCell ref="D406:G406"/>
    <mergeCell ref="D407:G407"/>
    <mergeCell ref="D408:G408"/>
    <mergeCell ref="D393:G393"/>
    <mergeCell ref="D397:G397"/>
    <mergeCell ref="D398:G398"/>
    <mergeCell ref="D399:G399"/>
    <mergeCell ref="D400:G400"/>
    <mergeCell ref="D401:G401"/>
    <mergeCell ref="D385:G385"/>
    <mergeCell ref="D387:G387"/>
    <mergeCell ref="D388:G388"/>
    <mergeCell ref="D389:G389"/>
    <mergeCell ref="D390:G390"/>
    <mergeCell ref="D391:G391"/>
    <mergeCell ref="D375:G375"/>
    <mergeCell ref="D377:G377"/>
    <mergeCell ref="D381:G381"/>
    <mergeCell ref="D382:G382"/>
    <mergeCell ref="D383:G383"/>
    <mergeCell ref="D384:G384"/>
    <mergeCell ref="D369:G369"/>
    <mergeCell ref="D370:G370"/>
    <mergeCell ref="D371:G371"/>
    <mergeCell ref="D372:G372"/>
    <mergeCell ref="D373:G373"/>
    <mergeCell ref="D374:G374"/>
    <mergeCell ref="D362:G362"/>
    <mergeCell ref="D363:G363"/>
    <mergeCell ref="D364:G364"/>
    <mergeCell ref="D365:G365"/>
    <mergeCell ref="D366:G366"/>
    <mergeCell ref="D367:G367"/>
    <mergeCell ref="D352:G352"/>
    <mergeCell ref="D353:G353"/>
    <mergeCell ref="D354:G354"/>
    <mergeCell ref="D355:G355"/>
    <mergeCell ref="D357:G357"/>
    <mergeCell ref="D361:G361"/>
    <mergeCell ref="D345:G345"/>
    <mergeCell ref="D346:G346"/>
    <mergeCell ref="D348:G348"/>
    <mergeCell ref="D349:G349"/>
    <mergeCell ref="D350:G350"/>
    <mergeCell ref="D351:G351"/>
    <mergeCell ref="D338:G338"/>
    <mergeCell ref="D340:G340"/>
    <mergeCell ref="D341:G341"/>
    <mergeCell ref="D342:G342"/>
    <mergeCell ref="D343:G343"/>
    <mergeCell ref="D344:G344"/>
    <mergeCell ref="D332:G332"/>
    <mergeCell ref="D333:G333"/>
    <mergeCell ref="D334:G334"/>
    <mergeCell ref="D335:G335"/>
    <mergeCell ref="D336:G336"/>
    <mergeCell ref="D337:G337"/>
    <mergeCell ref="D322:G322"/>
    <mergeCell ref="D323:G323"/>
    <mergeCell ref="D324:G324"/>
    <mergeCell ref="D325:G325"/>
    <mergeCell ref="D326:G326"/>
    <mergeCell ref="D328:G328"/>
    <mergeCell ref="D315:G315"/>
    <mergeCell ref="D316:G316"/>
    <mergeCell ref="D317:G317"/>
    <mergeCell ref="D319:G319"/>
    <mergeCell ref="D320:G320"/>
    <mergeCell ref="D321:G321"/>
    <mergeCell ref="D308:G308"/>
    <mergeCell ref="D309:G309"/>
    <mergeCell ref="D311:G311"/>
    <mergeCell ref="D312:G312"/>
    <mergeCell ref="D313:G313"/>
    <mergeCell ref="D314:G314"/>
    <mergeCell ref="I298:M298"/>
    <mergeCell ref="D303:G303"/>
    <mergeCell ref="D304:G304"/>
    <mergeCell ref="D305:G305"/>
    <mergeCell ref="D306:G306"/>
    <mergeCell ref="D307:G307"/>
    <mergeCell ref="I8:M8"/>
    <mergeCell ref="D13:G13"/>
    <mergeCell ref="D14:G14"/>
    <mergeCell ref="D15:G15"/>
    <mergeCell ref="D16:G16"/>
    <mergeCell ref="D17:G17"/>
    <mergeCell ref="D18:G18"/>
    <mergeCell ref="D19:G19"/>
    <mergeCell ref="D21:G21"/>
    <mergeCell ref="D22:G22"/>
    <mergeCell ref="D23:G23"/>
    <mergeCell ref="D24:G24"/>
    <mergeCell ref="D25:G25"/>
    <mergeCell ref="D26:G26"/>
    <mergeCell ref="D27:G27"/>
    <mergeCell ref="D29:G29"/>
    <mergeCell ref="D30:G30"/>
    <mergeCell ref="D31:G31"/>
    <mergeCell ref="D32:G32"/>
    <mergeCell ref="D33:G33"/>
    <mergeCell ref="D34:G34"/>
    <mergeCell ref="D35:G35"/>
    <mergeCell ref="D36:G36"/>
    <mergeCell ref="D38:G38"/>
    <mergeCell ref="D42:G42"/>
    <mergeCell ref="D43:G43"/>
    <mergeCell ref="D44:G44"/>
    <mergeCell ref="D45:G45"/>
    <mergeCell ref="D46:G46"/>
    <mergeCell ref="D47:G47"/>
    <mergeCell ref="D48:G48"/>
    <mergeCell ref="D50:G50"/>
    <mergeCell ref="D51:G51"/>
    <mergeCell ref="D52:G52"/>
    <mergeCell ref="D53:G53"/>
    <mergeCell ref="D54:G54"/>
    <mergeCell ref="D55:G55"/>
    <mergeCell ref="D56:G56"/>
    <mergeCell ref="D58:G58"/>
    <mergeCell ref="D59:G59"/>
    <mergeCell ref="D60:G60"/>
    <mergeCell ref="D61:G61"/>
    <mergeCell ref="D62:G62"/>
    <mergeCell ref="D63:G63"/>
    <mergeCell ref="D64:G64"/>
    <mergeCell ref="D65:G65"/>
    <mergeCell ref="D67:G67"/>
    <mergeCell ref="D71:G71"/>
    <mergeCell ref="D72:G72"/>
    <mergeCell ref="D73:G73"/>
    <mergeCell ref="D74:G74"/>
    <mergeCell ref="D75:G75"/>
    <mergeCell ref="D76:G76"/>
    <mergeCell ref="D77:G77"/>
    <mergeCell ref="D79:G79"/>
    <mergeCell ref="D80:G80"/>
    <mergeCell ref="D81:G81"/>
    <mergeCell ref="D82:G82"/>
    <mergeCell ref="D83:G83"/>
    <mergeCell ref="D84:G84"/>
    <mergeCell ref="D85:G85"/>
    <mergeCell ref="D87:G87"/>
    <mergeCell ref="D91:G91"/>
    <mergeCell ref="D115:G115"/>
    <mergeCell ref="D116:G116"/>
    <mergeCell ref="D117:G117"/>
    <mergeCell ref="D118:G118"/>
    <mergeCell ref="D92:G92"/>
    <mergeCell ref="D93:G93"/>
    <mergeCell ref="D94:G94"/>
    <mergeCell ref="D95:G95"/>
    <mergeCell ref="D97:G97"/>
    <mergeCell ref="D98:G98"/>
    <mergeCell ref="D99:G99"/>
    <mergeCell ref="D100:G100"/>
    <mergeCell ref="D101:G101"/>
    <mergeCell ref="D148:G148"/>
    <mergeCell ref="D130:G130"/>
    <mergeCell ref="D131:G131"/>
    <mergeCell ref="D136:G136"/>
    <mergeCell ref="D137:G137"/>
    <mergeCell ref="D138:G138"/>
    <mergeCell ref="D139:G139"/>
    <mergeCell ref="B3:F3"/>
    <mergeCell ref="D140:G140"/>
    <mergeCell ref="D141:G141"/>
    <mergeCell ref="D119:G119"/>
    <mergeCell ref="D121:G121"/>
    <mergeCell ref="D126:G126"/>
    <mergeCell ref="D127:G127"/>
    <mergeCell ref="D103:G103"/>
    <mergeCell ref="D107:G107"/>
    <mergeCell ref="D108:G108"/>
    <mergeCell ref="D109:G109"/>
    <mergeCell ref="D110:G110"/>
    <mergeCell ref="D111:G111"/>
    <mergeCell ref="D128:G128"/>
    <mergeCell ref="D129:G129"/>
    <mergeCell ref="D112:G112"/>
    <mergeCell ref="D114:G114"/>
  </mergeCells>
  <dataValidations count="8">
    <dataValidation type="custom" showErrorMessage="1" errorTitle="Invalid Assumption" error="Assumption must be a number." sqref="I309 I317 I326 I19 I27 I36 I164 I172 I181">
      <formula1>NOT(ISERROR(I19/1))</formula1>
    </dataValidation>
    <dataValidation type="decimal" operator="greaterThanOrEqual" allowBlank="1" showDropDown="1" showErrorMessage="1" errorTitle="Invalid Assumption" error="Assumption must be a value greater than or equal to zero." sqref="I304:I308 I312:I316 I320:I325 J438:M438 O136:O140 O281:O285 O426:O430 M136:M140 M281:M285 M426:M430 I136:I140 I281:I285 I426:I430 O126:O130 O271:O275 O416:O420 M126:M130 M271:M275 M416:M420 K126:K130 K271:K275 K416:K420 I126:I130 I271:I275 I416:I420 M108:M111 M115:M118 M253:M256 M260:M263 M398:M401 M405:M408 K108:K111 K115:K118 K253:K256 K260:K263 K398:K401 K405:K408 I108:I111 I115:I118 I253:I256 I260:I263 I398:I401 I405:I408 O92:O94 O98:O100 O237:O239 O243:O245 O382:O384 O388:O390 M92:M94 M98:M100 M237:M239 M243:M245 M382:M384 M388:M390 K92:K94 K98:K100 K237:K239 K243:K245 K382:K384 K388:K390 I92:I94 I98:I100 I237:I239 I243:I245 I382:I384 I388:I390 O72:O76 O80:O84 O217:O221 O225:O229 O362:O366 O370:O374 M72:M76 M80:M84 M217:M221 M225:M229 M362:M366 M370:M374 K72:K76 K80:K84 K217:K221 K225:K229 K362:K366 K370:K374 I72:I76 I80:I84 I217:I221 I225:I229 I362:I366 I370:I374 O43:O47 O51:O55 O59:O64 O188:O192 O196:O200 O204:O209 O333:O337 O341:O345 O349:O354 M43:M47 M51:M55 M59:M64 M188:M192 M196:M200 M204:M209 M333:M337 M341:M345 M349:M354 K43:K47 K51:K55 K59:K64 K188:K192 K196:K200 K204:K209 K333:K337 K341:K345 K349:K354 I43:I47 I51:I55 I59:I64 I188:I192 I196:I200 I204:I209 I333:I337 I341:I345 I349:I354 O14:O18 O22:O26 O30:O35 O159:O163 O167:O171 O175:O180 O304:O308 O312:O316 O320:O325 M14:M18 M22:M26 M30:M35 M159:M163 M167:M171 M175:M180 M304:M308 M312:M316 M320:M325 K14:K18 K22:K26 K30:K35 K159:K163 K167:K171 K175:K180 K304:K308 K312:K316 K320:K325 I14:I18 I22:I26 I30:I35 I159:I163 I167:I171 I175:I180 J148:M148 J293:M293">
      <formula1>0</formula1>
    </dataValidation>
    <dataValidation type="whole" showDropDown="1" showErrorMessage="1" errorTitle="Drop Down Box Cell Link" error="The value in a drop down box cell link must be a whole number within the control's lookup range rows." sqref="I9">
      <formula1>1</formula1>
      <formula2>ROWS(LU_PLUG_5_Meet_Curr)</formula2>
    </dataValidation>
    <dataValidation type="whole" showDropDown="1" showErrorMessage="1" errorTitle="Drop Down Box Cell Link" error="The value in a drop down box cell link must be a whole number within the control's lookup range rows." sqref="I154">
      <formula1>1</formula1>
      <formula2>ROWS(LU_PLUG_7_Meet_Curr)</formula2>
    </dataValidation>
    <dataValidation type="whole" showDropDown="1" showErrorMessage="1" errorTitle="Drop Down Box Cell Link" error="The value in a drop down box cell link must be a whole number within the control's lookup range rows." sqref="I299">
      <formula1>1</formula1>
      <formula2>ROWS(LU_PLUG_6_Meet_Curr)</formula2>
    </dataValidation>
    <dataValidation type="decimal" operator="greaterThanOrEqual" allowBlank="1" showDropDown="1" showErrorMessage="1" errorTitle="Invalid Assumption" error="Assumption must be a value greater than or equal to zero." sqref="J149:M149">
      <formula1>0</formula1>
    </dataValidation>
    <dataValidation type="decimal" operator="greaterThanOrEqual" allowBlank="1" showDropDown="1" showErrorMessage="1" errorTitle="Invalid Assumption" error="Assumption must be a value greater than or equal to zero." sqref="J294:M294">
      <formula1>0</formula1>
    </dataValidation>
    <dataValidation type="decimal" operator="greaterThanOrEqual" allowBlank="1" showDropDown="1" showErrorMessage="1" errorTitle="Invalid Assumption" error="Assumption must be a value greater than or equal to zero." sqref="J439:M439">
      <formula1>0</formula1>
    </dataValidation>
  </dataValidations>
  <hyperlinks>
    <hyperlink ref="A4" location="$B$5" tooltip="Go to Top of Sheet" display="$B$5"/>
    <hyperlink ref="B4" location="HL_Sheet_Main_53" tooltip="Go to Previous Sheet" display="HL_Sheet_Main_53"/>
    <hyperlink ref="C4" location="HL_Sheet_Main_66" tooltip="Go to Next Sheet" display="HL_Sheet_Main_66"/>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56033" r:id="rId4" name="bpmDropDownPLUG_51">
              <controlPr defaultSize="0" autoFill="0" autoPict="0">
                <anchor moveWithCells="1">
                  <from>
                    <xdr:col>8</xdr:col>
                    <xdr:colOff>0</xdr:colOff>
                    <xdr:row>8</xdr:row>
                    <xdr:rowOff>0</xdr:rowOff>
                  </from>
                  <to>
                    <xdr:col>9</xdr:col>
                    <xdr:colOff>0</xdr:colOff>
                    <xdr:row>9</xdr:row>
                    <xdr:rowOff>0</xdr:rowOff>
                  </to>
                </anchor>
              </controlPr>
            </control>
          </mc:Choice>
        </mc:AlternateContent>
        <mc:AlternateContent xmlns:mc="http://schemas.openxmlformats.org/markup-compatibility/2006">
          <mc:Choice Requires="x14">
            <control shapeId="556034" r:id="rId5" name="bpmDropDownPLUG_61">
              <controlPr defaultSize="0" autoFill="0" autoPict="0">
                <anchor moveWithCells="1">
                  <from>
                    <xdr:col>8</xdr:col>
                    <xdr:colOff>0</xdr:colOff>
                    <xdr:row>298</xdr:row>
                    <xdr:rowOff>0</xdr:rowOff>
                  </from>
                  <to>
                    <xdr:col>9</xdr:col>
                    <xdr:colOff>0</xdr:colOff>
                    <xdr:row>299</xdr:row>
                    <xdr:rowOff>0</xdr:rowOff>
                  </to>
                </anchor>
              </controlPr>
            </control>
          </mc:Choice>
        </mc:AlternateContent>
        <mc:AlternateContent xmlns:mc="http://schemas.openxmlformats.org/markup-compatibility/2006">
          <mc:Choice Requires="x14">
            <control shapeId="556035" r:id="rId6" name="bpmDropDownPLUG_71">
              <controlPr defaultSize="0" autoFill="0" autoPict="0">
                <anchor moveWithCells="1">
                  <from>
                    <xdr:col>8</xdr:col>
                    <xdr:colOff>0</xdr:colOff>
                    <xdr:row>153</xdr:row>
                    <xdr:rowOff>0</xdr:rowOff>
                  </from>
                  <to>
                    <xdr:col>9</xdr:col>
                    <xdr:colOff>0</xdr:colOff>
                    <xdr:row>154</xdr:row>
                    <xdr:rowOff>0</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pageSetUpPr autoPageBreaks="0"/>
  </sheetPr>
  <dimension ref="A1:Q47"/>
  <sheetViews>
    <sheetView showGridLines="0" zoomScaleNormal="100" workbookViewId="0">
      <pane xSplit="1" ySplit="4" topLeftCell="B5" activePane="bottomRight" state="frozen"/>
      <selection pane="topRight"/>
      <selection pane="bottomLeft"/>
      <selection pane="bottomRight" activeCell="F4" sqref="F4"/>
    </sheetView>
  </sheetViews>
  <sheetFormatPr defaultColWidth="11.7109375" defaultRowHeight="12.75" x14ac:dyDescent="0.2"/>
  <cols>
    <col min="1" max="5" width="3.7109375" customWidth="1"/>
  </cols>
  <sheetData>
    <row r="1" spans="1:17" ht="23.25" x14ac:dyDescent="0.2">
      <c r="A1" s="420"/>
      <c r="B1" s="333" t="s">
        <v>1172</v>
      </c>
    </row>
    <row r="2" spans="1:17" ht="18.75" x14ac:dyDescent="0.2">
      <c r="B2" s="334" t="str">
        <f>Model_Name</f>
        <v>Zambia C4P* - Screening &amp; Treatment Tool</v>
      </c>
    </row>
    <row r="3" spans="1:17" x14ac:dyDescent="0.2">
      <c r="B3" s="702" t="s">
        <v>2</v>
      </c>
      <c r="C3" s="702"/>
      <c r="D3" s="702"/>
      <c r="E3" s="702"/>
      <c r="F3" s="702"/>
    </row>
    <row r="4" spans="1:17" x14ac:dyDescent="0.2">
      <c r="A4" s="323" t="s">
        <v>4</v>
      </c>
      <c r="B4" s="337" t="s">
        <v>6</v>
      </c>
      <c r="C4" s="324" t="s">
        <v>7</v>
      </c>
      <c r="D4" s="655" t="s">
        <v>27</v>
      </c>
      <c r="E4" s="656" t="s">
        <v>28</v>
      </c>
      <c r="F4" s="654" t="s">
        <v>29</v>
      </c>
    </row>
    <row r="7" spans="1:17" ht="18.75" x14ac:dyDescent="0.2">
      <c r="B7" s="427" t="s">
        <v>1159</v>
      </c>
    </row>
    <row r="9" spans="1:17" ht="15" x14ac:dyDescent="0.2">
      <c r="C9" s="338" t="str">
        <f>PLUG_IN_4_MEET_BA!B7</f>
        <v>Sensitization Meeting</v>
      </c>
    </row>
    <row r="10" spans="1:17" ht="25.5" x14ac:dyDescent="0.2">
      <c r="J10" s="393" t="str">
        <f>"FINANCIAL COST ("&amp;INDEX(LU_PLUG_5_Meet_Curr,DD_PLUG_5_Meet1_Curr)&amp;")"</f>
        <v>FINANCIAL COST (USD)</v>
      </c>
      <c r="L10" s="393" t="str">
        <f>"ECONOMIC COST ("&amp;INDEX(LU_PLUG_5_Meet_Curr,DD_PLUG_5_Meet1_Curr)&amp;")"</f>
        <v>ECONOMIC COST (USD)</v>
      </c>
      <c r="O10" s="393" t="str">
        <f>"FINANCIAL COST ("&amp;IF(DD_PLUG_5_Meet1_Curr=2,PLUG_IN_4_MEET_BA!$D$148,PLUG_IN_4_MEET_BA!$D$149)&amp;")"</f>
        <v>FINANCIAL COST (ZMW)</v>
      </c>
      <c r="Q10" s="393" t="str">
        <f>"FINANCIAL COST ("&amp;IF(DD_PLUG_5_Meet1_Curr=2,PLUG_IN_4_MEET_BA!$D$148,PLUG_IN_4_MEET_BA!$D$149)&amp;")"</f>
        <v>FINANCIAL COST (ZMW)</v>
      </c>
    </row>
    <row r="11" spans="1:17" x14ac:dyDescent="0.2">
      <c r="D11" s="378" t="str">
        <f>PLUG_IN_4_MEET_BA!D12</f>
        <v>Meeting Personnel</v>
      </c>
      <c r="J11" s="371">
        <f>PLUG_IN_4_MEET_BA!Q38</f>
        <v>0</v>
      </c>
      <c r="L11" s="371">
        <f>PLUG_IN_4_MEET_BA!S38</f>
        <v>0</v>
      </c>
      <c r="O11" s="394">
        <f>IF(DD_PLUG_5_Meet1_Curr=2,J11/PLUG_IN_4_MEET_BA!$J$149,J11*PLUG_IN_4_MEET_BA!$J$149)</f>
        <v>0</v>
      </c>
      <c r="Q11" s="394">
        <f>IF(DD_PLUG_5_Meet1_Curr=2,L11/PLUG_IN_4_MEET_BA!$J$149,L11*PLUG_IN_4_MEET_BA!$J$149)</f>
        <v>0</v>
      </c>
    </row>
    <row r="12" spans="1:17" x14ac:dyDescent="0.2">
      <c r="D12" s="378" t="str">
        <f>PLUG_IN_4_MEET_BA!C40</f>
        <v>Travel and Allowances</v>
      </c>
      <c r="J12" s="371">
        <f>PLUG_IN_4_MEET_BA!Q67</f>
        <v>0</v>
      </c>
      <c r="L12" s="371">
        <f>PLUG_IN_4_MEET_BA!S67</f>
        <v>0</v>
      </c>
      <c r="O12" s="394">
        <f>IF(DD_PLUG_5_Meet1_Curr=2,J12/PLUG_IN_4_MEET_BA!$J$149,J12*PLUG_IN_4_MEET_BA!$J$149)</f>
        <v>0</v>
      </c>
      <c r="Q12" s="394">
        <f>IF(DD_PLUG_5_Meet1_Curr=2,L12/PLUG_IN_4_MEET_BA!$J$149,L12*PLUG_IN_4_MEET_BA!$J$149)</f>
        <v>0</v>
      </c>
    </row>
    <row r="13" spans="1:17" x14ac:dyDescent="0.2">
      <c r="D13" s="378" t="str">
        <f>PLUG_IN_4_MEET_BA!C69</f>
        <v>Lodging &amp; Rooms</v>
      </c>
      <c r="J13" s="371">
        <f>PLUG_IN_4_MEET_BA!Q87</f>
        <v>0</v>
      </c>
      <c r="L13" s="371">
        <f>PLUG_IN_4_MEET_BA!S87</f>
        <v>0</v>
      </c>
      <c r="O13" s="394">
        <f>IF(DD_PLUG_5_Meet1_Curr=2,J13/PLUG_IN_4_MEET_BA!$J$149,J13*PLUG_IN_4_MEET_BA!$J$149)</f>
        <v>0</v>
      </c>
      <c r="Q13" s="394">
        <f>IF(DD_PLUG_5_Meet1_Curr=2,L13/PLUG_IN_4_MEET_BA!$J$149,L13*PLUG_IN_4_MEET_BA!$J$149)</f>
        <v>0</v>
      </c>
    </row>
    <row r="14" spans="1:17" x14ac:dyDescent="0.2">
      <c r="D14" s="378" t="str">
        <f>PLUG_IN_4_MEET_BA!C89</f>
        <v>Meals &amp; Refreshments (M/R)</v>
      </c>
      <c r="J14" s="371">
        <f>PLUG_IN_4_MEET_BA!Q103</f>
        <v>0</v>
      </c>
      <c r="L14" s="371">
        <f>PLUG_IN_4_MEET_BA!S103</f>
        <v>0</v>
      </c>
      <c r="O14" s="394">
        <f>IF(DD_PLUG_5_Meet1_Curr=2,J14/PLUG_IN_4_MEET_BA!$J$149,J14*PLUG_IN_4_MEET_BA!$J$149)</f>
        <v>0</v>
      </c>
      <c r="Q14" s="394">
        <f>IF(DD_PLUG_5_Meet1_Curr=2,L14/PLUG_IN_4_MEET_BA!$J$149,L14*PLUG_IN_4_MEET_BA!$J$149)</f>
        <v>0</v>
      </c>
    </row>
    <row r="15" spans="1:17" x14ac:dyDescent="0.2">
      <c r="D15" s="378" t="str">
        <f>PLUG_IN_4_MEET_BA!C105</f>
        <v>Materials &amp; Supplies</v>
      </c>
      <c r="J15" s="371">
        <f>PLUG_IN_4_MEET_BA!Q121</f>
        <v>0</v>
      </c>
      <c r="L15" s="371">
        <f>PLUG_IN_4_MEET_BA!S121</f>
        <v>0</v>
      </c>
      <c r="O15" s="394">
        <f>IF(DD_PLUG_5_Meet1_Curr=2,J15/PLUG_IN_4_MEET_BA!$J$149,J15*PLUG_IN_4_MEET_BA!$J$149)</f>
        <v>0</v>
      </c>
      <c r="Q15" s="394">
        <f>IF(DD_PLUG_5_Meet1_Curr=2,L15/PLUG_IN_4_MEET_BA!$J$149,L15*PLUG_IN_4_MEET_BA!$J$149)</f>
        <v>0</v>
      </c>
    </row>
    <row r="16" spans="1:17" x14ac:dyDescent="0.2">
      <c r="D16" s="378" t="str">
        <f>PLUG_IN_4_MEET_BA!C123</f>
        <v>Equipment (Rental Only, Not Purchased)</v>
      </c>
      <c r="J16" s="371">
        <f>PLUG_IN_4_MEET_BA!Q131</f>
        <v>0</v>
      </c>
      <c r="L16" s="371">
        <f>PLUG_IN_4_MEET_BA!S131</f>
        <v>0</v>
      </c>
      <c r="O16" s="394">
        <f>IF(DD_PLUG_5_Meet1_Curr=2,J16/PLUG_IN_4_MEET_BA!$J$149,J16*PLUG_IN_4_MEET_BA!$J$149)</f>
        <v>0</v>
      </c>
      <c r="Q16" s="394">
        <f>IF(DD_PLUG_5_Meet1_Curr=2,L16/PLUG_IN_4_MEET_BA!$J$149,L16*PLUG_IN_4_MEET_BA!$J$149)</f>
        <v>0</v>
      </c>
    </row>
    <row r="17" spans="2:17" x14ac:dyDescent="0.2">
      <c r="D17" s="378" t="str">
        <f>PLUG_IN_4_MEET_BA!C133</f>
        <v>Other Direct Costs</v>
      </c>
      <c r="J17" s="371">
        <f>PLUG_IN_4_MEET_BA!Q141</f>
        <v>0</v>
      </c>
      <c r="L17" s="371">
        <f>PLUG_IN_4_MEET_BA!S141</f>
        <v>0</v>
      </c>
      <c r="O17" s="394">
        <f>IF(DD_PLUG_5_Meet1_Curr=2,J17/PLUG_IN_4_MEET_BA!$J$149,J17*PLUG_IN_4_MEET_BA!$J$149)</f>
        <v>0</v>
      </c>
      <c r="Q17" s="394">
        <f>IF(DD_PLUG_5_Meet1_Curr=2,L17/PLUG_IN_4_MEET_BA!$J$149,L17*PLUG_IN_4_MEET_BA!$J$149)</f>
        <v>0</v>
      </c>
    </row>
    <row r="18" spans="2:17" ht="13.5" thickBot="1" x14ac:dyDescent="0.25">
      <c r="D18" s="402" t="str">
        <f>"TOTAL "&amp;C9</f>
        <v>TOTAL Sensitization Meeting</v>
      </c>
      <c r="J18" s="381">
        <f>SUM(J11:J17)</f>
        <v>0</v>
      </c>
      <c r="L18" s="381">
        <f>SUM(L11:L17)</f>
        <v>0</v>
      </c>
      <c r="O18" s="403">
        <f>SUM(O11:O17)</f>
        <v>0</v>
      </c>
      <c r="Q18" s="403">
        <f>SUM(Q11:Q17)</f>
        <v>0</v>
      </c>
    </row>
    <row r="19" spans="2:17" s="322" customFormat="1" ht="13.5" thickTop="1" x14ac:dyDescent="0.2"/>
    <row r="20" spans="2:17" s="322" customFormat="1" x14ac:dyDescent="0.2"/>
    <row r="21" spans="2:17" s="322" customFormat="1" ht="18.75" x14ac:dyDescent="0.2">
      <c r="B21" s="427" t="s">
        <v>1159</v>
      </c>
    </row>
    <row r="22" spans="2:17" s="322" customFormat="1" x14ac:dyDescent="0.2"/>
    <row r="23" spans="2:17" s="322" customFormat="1" ht="15" x14ac:dyDescent="0.2">
      <c r="C23" s="338" t="str">
        <f>PLUG_IN_4_MEET_BA!B152</f>
        <v>Microplanning Meeting</v>
      </c>
    </row>
    <row r="24" spans="2:17" s="322" customFormat="1" ht="25.5" x14ac:dyDescent="0.2">
      <c r="J24" s="393" t="str">
        <f>"FINANCIAL COST ("&amp;INDEX(LU_PLUG_7_Meet_Curr,DD_PLUG_7_Meet1_Curr)&amp;")"</f>
        <v>FINANCIAL COST (USD)</v>
      </c>
      <c r="L24" s="393" t="str">
        <f>"ECONOMIC COST ("&amp;INDEX(LU_PLUG_7_Meet_Curr,DD_PLUG_7_Meet1_Curr)&amp;")"</f>
        <v>ECONOMIC COST (USD)</v>
      </c>
      <c r="O24" s="393" t="str">
        <f>"FINANCIAL COST ("&amp;IF(DD_PLUG_7_Meet1_Curr=2,PLUG_IN_4_MEET_BA!$D$293,PLUG_IN_4_MEET_BA!$D$294)&amp;")"</f>
        <v>FINANCIAL COST (ZMW)</v>
      </c>
      <c r="Q24" s="393" t="str">
        <f>"FINANCIAL COST ("&amp;IF(DD_PLUG_7_Meet1_Curr=2,PLUG_IN_4_MEET_BA!$D$293,PLUG_IN_4_MEET_BA!$D$294)&amp;")"</f>
        <v>FINANCIAL COST (ZMW)</v>
      </c>
    </row>
    <row r="25" spans="2:17" s="322" customFormat="1" x14ac:dyDescent="0.2">
      <c r="D25" s="378" t="str">
        <f>PLUG_IN_4_MEET_BA!D157</f>
        <v>Meeting Personnel</v>
      </c>
      <c r="J25" s="371">
        <f>PLUG_IN_4_MEET_BA!Q183</f>
        <v>0</v>
      </c>
      <c r="L25" s="371">
        <f>PLUG_IN_4_MEET_BA!S183</f>
        <v>0</v>
      </c>
      <c r="O25" s="394">
        <f>IF(DD_PLUG_7_Meet1_Curr=2,J25/PLUG_IN_4_MEET_BA!$J$294,J25*PLUG_IN_4_MEET_BA!$J$294)</f>
        <v>0</v>
      </c>
      <c r="Q25" s="394">
        <f>IF(DD_PLUG_7_Meet1_Curr=2,L25/PLUG_IN_4_MEET_BA!$J$294,L25*PLUG_IN_4_MEET_BA!$J$294)</f>
        <v>0</v>
      </c>
    </row>
    <row r="26" spans="2:17" s="322" customFormat="1" x14ac:dyDescent="0.2">
      <c r="D26" s="378" t="str">
        <f>PLUG_IN_4_MEET_BA!C185</f>
        <v>Travel and Allowances</v>
      </c>
      <c r="J26" s="371">
        <f>PLUG_IN_4_MEET_BA!Q212</f>
        <v>0</v>
      </c>
      <c r="L26" s="371">
        <f>PLUG_IN_4_MEET_BA!S212</f>
        <v>0</v>
      </c>
      <c r="O26" s="394">
        <f>IF(DD_PLUG_7_Meet1_Curr=2,J26/PLUG_IN_4_MEET_BA!$J$294,J26*PLUG_IN_4_MEET_BA!$J$294)</f>
        <v>0</v>
      </c>
      <c r="Q26" s="394">
        <f>IF(DD_PLUG_7_Meet1_Curr=2,L26/PLUG_IN_4_MEET_BA!$J$294,L26*PLUG_IN_4_MEET_BA!$J$294)</f>
        <v>0</v>
      </c>
    </row>
    <row r="27" spans="2:17" s="322" customFormat="1" x14ac:dyDescent="0.2">
      <c r="D27" s="378" t="str">
        <f>PLUG_IN_4_MEET_BA!C214</f>
        <v>Lodging &amp; Rooms</v>
      </c>
      <c r="J27" s="371">
        <f>PLUG_IN_4_MEET_BA!Q232</f>
        <v>0</v>
      </c>
      <c r="L27" s="371">
        <f>PLUG_IN_4_MEET_BA!S232</f>
        <v>0</v>
      </c>
      <c r="O27" s="394">
        <f>IF(DD_PLUG_7_Meet1_Curr=2,J27/PLUG_IN_4_MEET_BA!$J$294,J27*PLUG_IN_4_MEET_BA!$J$294)</f>
        <v>0</v>
      </c>
      <c r="Q27" s="394">
        <f>IF(DD_PLUG_7_Meet1_Curr=2,L27/PLUG_IN_4_MEET_BA!$J$294,L27*PLUG_IN_4_MEET_BA!$J$294)</f>
        <v>0</v>
      </c>
    </row>
    <row r="28" spans="2:17" s="322" customFormat="1" x14ac:dyDescent="0.2">
      <c r="D28" s="378" t="str">
        <f>PLUG_IN_4_MEET_BA!C234</f>
        <v>Meals &amp; Refreshments (M/R)</v>
      </c>
      <c r="J28" s="371">
        <f>PLUG_IN_4_MEET_BA!Q248</f>
        <v>0</v>
      </c>
      <c r="L28" s="371">
        <f>PLUG_IN_4_MEET_BA!S248</f>
        <v>0</v>
      </c>
      <c r="O28" s="394">
        <f>IF(DD_PLUG_7_Meet1_Curr=2,J28/PLUG_IN_4_MEET_BA!$J$294,J28*PLUG_IN_4_MEET_BA!$J$294)</f>
        <v>0</v>
      </c>
      <c r="Q28" s="394">
        <f>IF(DD_PLUG_7_Meet1_Curr=2,L28/PLUG_IN_4_MEET_BA!$J$294,L28*PLUG_IN_4_MEET_BA!$J$294)</f>
        <v>0</v>
      </c>
    </row>
    <row r="29" spans="2:17" s="322" customFormat="1" x14ac:dyDescent="0.2">
      <c r="D29" s="378" t="str">
        <f>PLUG_IN_4_MEET_BA!C250</f>
        <v>Materials &amp; Supplies</v>
      </c>
      <c r="J29" s="371">
        <f>PLUG_IN_4_MEET_BA!Q266</f>
        <v>0</v>
      </c>
      <c r="L29" s="371">
        <f>PLUG_IN_4_MEET_BA!S266</f>
        <v>0</v>
      </c>
      <c r="O29" s="394">
        <f>IF(DD_PLUG_7_Meet1_Curr=2,J29/PLUG_IN_4_MEET_BA!$J$294,J29*PLUG_IN_4_MEET_BA!$J$294)</f>
        <v>0</v>
      </c>
      <c r="Q29" s="394">
        <f>IF(DD_PLUG_7_Meet1_Curr=2,L29/PLUG_IN_4_MEET_BA!$J$294,L29*PLUG_IN_4_MEET_BA!$J$294)</f>
        <v>0</v>
      </c>
    </row>
    <row r="30" spans="2:17" s="322" customFormat="1" x14ac:dyDescent="0.2">
      <c r="D30" s="378" t="str">
        <f>PLUG_IN_4_MEET_BA!C268</f>
        <v>Equipment (Rental Only, Not Purchased)</v>
      </c>
      <c r="J30" s="371">
        <f>PLUG_IN_4_MEET_BA!Q276</f>
        <v>0</v>
      </c>
      <c r="L30" s="371">
        <f>PLUG_IN_4_MEET_BA!S276</f>
        <v>0</v>
      </c>
      <c r="O30" s="394">
        <f>IF(DD_PLUG_7_Meet1_Curr=2,J30/PLUG_IN_4_MEET_BA!$J$294,J30*PLUG_IN_4_MEET_BA!$J$294)</f>
        <v>0</v>
      </c>
      <c r="Q30" s="394">
        <f>IF(DD_PLUG_7_Meet1_Curr=2,L30/PLUG_IN_4_MEET_BA!$J$294,L30*PLUG_IN_4_MEET_BA!$J$294)</f>
        <v>0</v>
      </c>
    </row>
    <row r="31" spans="2:17" s="322" customFormat="1" x14ac:dyDescent="0.2">
      <c r="D31" s="378" t="str">
        <f>PLUG_IN_4_MEET_BA!C278</f>
        <v>Other Direct Costs</v>
      </c>
      <c r="J31" s="371">
        <f>PLUG_IN_4_MEET_BA!Q286</f>
        <v>0</v>
      </c>
      <c r="L31" s="371">
        <f>PLUG_IN_4_MEET_BA!S286</f>
        <v>0</v>
      </c>
      <c r="O31" s="394">
        <f>IF(DD_PLUG_7_Meet1_Curr=2,J31/PLUG_IN_4_MEET_BA!$J$294,J31*PLUG_IN_4_MEET_BA!$J$294)</f>
        <v>0</v>
      </c>
      <c r="Q31" s="394">
        <f>IF(DD_PLUG_7_Meet1_Curr=2,L31/PLUG_IN_4_MEET_BA!$J$294,L31*PLUG_IN_4_MEET_BA!$J$294)</f>
        <v>0</v>
      </c>
    </row>
    <row r="32" spans="2:17" s="322" customFormat="1" ht="13.5" thickBot="1" x14ac:dyDescent="0.25">
      <c r="D32" s="402" t="str">
        <f>"TOTAL "&amp;C23</f>
        <v>TOTAL Microplanning Meeting</v>
      </c>
      <c r="J32" s="381">
        <f>SUM(J25:J31)</f>
        <v>0</v>
      </c>
      <c r="L32" s="381">
        <f>SUM(L25:L31)</f>
        <v>0</v>
      </c>
      <c r="O32" s="403">
        <f>SUM(O25:O31)</f>
        <v>0</v>
      </c>
      <c r="Q32" s="403">
        <f>SUM(Q25:Q31)</f>
        <v>0</v>
      </c>
    </row>
    <row r="33" spans="2:17" ht="13.5" thickTop="1" x14ac:dyDescent="0.2"/>
    <row r="35" spans="2:17" ht="18.75" x14ac:dyDescent="0.2">
      <c r="B35" s="427" t="s">
        <v>1159</v>
      </c>
    </row>
    <row r="37" spans="2:17" ht="15" x14ac:dyDescent="0.2">
      <c r="C37" s="338" t="str">
        <f>PLUG_IN_4_MEET_BA!B297</f>
        <v>Community Mobilization Meeting</v>
      </c>
    </row>
    <row r="38" spans="2:17" ht="25.5" x14ac:dyDescent="0.2">
      <c r="J38" s="393" t="str">
        <f>"FINANCIAL COST ("&amp;INDEX(LU_PLUG_6_Meet_Curr,DD_PLUG_6_Meet1_Curr)&amp;")"</f>
        <v>FINANCIAL COST (USD)</v>
      </c>
      <c r="L38" s="393" t="str">
        <f>"ECONOMIC COST ("&amp;INDEX(LU_PLUG_6_Meet_Curr,DD_PLUG_6_Meet1_Curr)&amp;")"</f>
        <v>ECONOMIC COST (USD)</v>
      </c>
      <c r="O38" s="393" t="str">
        <f>"FINANCIAL COST ("&amp;IF(DD_PLUG_6_Meet1_Curr=2,PLUG_IN_4_MEET_BA!$D$438,PLUG_IN_4_MEET_BA!$D$439)&amp;")"</f>
        <v>FINANCIAL COST (ZMW)</v>
      </c>
      <c r="Q38" s="393" t="str">
        <f>"FINANCIAL COST ("&amp;IF(DD_PLUG_6_Meet1_Curr=2,PLUG_IN_4_MEET_BA!$D$438,PLUG_IN_4_MEET_BA!$D$439)&amp;")"</f>
        <v>FINANCIAL COST (ZMW)</v>
      </c>
    </row>
    <row r="39" spans="2:17" x14ac:dyDescent="0.2">
      <c r="D39" s="378" t="str">
        <f>PLUG_IN_4_MEET_BA!D302</f>
        <v>Meeting Personnel</v>
      </c>
      <c r="J39" s="371">
        <f>PLUG_IN_4_MEET_BA!Q328</f>
        <v>0</v>
      </c>
      <c r="L39" s="371">
        <f>PLUG_IN_4_MEET_BA!S328</f>
        <v>0</v>
      </c>
      <c r="O39" s="394">
        <f>IF(DD_PLUG_6_Meet1_Curr=2,J39/PLUG_IN_4_MEET_BA!$J$439,J39*PLUG_IN_4_MEET_BA!$J$439)</f>
        <v>0</v>
      </c>
      <c r="Q39" s="394">
        <f>IF(DD_PLUG_6_Meet1_Curr=2,L39/PLUG_IN_4_MEET_BA!$J$439,L39*PLUG_IN_4_MEET_BA!$J$439)</f>
        <v>0</v>
      </c>
    </row>
    <row r="40" spans="2:17" x14ac:dyDescent="0.2">
      <c r="D40" s="378" t="str">
        <f>PLUG_IN_4_MEET_BA!C330</f>
        <v>Travel and Allowances</v>
      </c>
      <c r="J40" s="371">
        <f>PLUG_IN_4_MEET_BA!Q357</f>
        <v>0</v>
      </c>
      <c r="L40" s="371">
        <f>PLUG_IN_4_MEET_BA!S357</f>
        <v>0</v>
      </c>
      <c r="O40" s="394">
        <f>IF(DD_PLUG_6_Meet1_Curr=2,J40/PLUG_IN_4_MEET_BA!$J$439,J40*PLUG_IN_4_MEET_BA!$J$439)</f>
        <v>0</v>
      </c>
      <c r="Q40" s="394">
        <f>IF(DD_PLUG_6_Meet1_Curr=2,L40/PLUG_IN_4_MEET_BA!$J$439,L40*PLUG_IN_4_MEET_BA!$J$439)</f>
        <v>0</v>
      </c>
    </row>
    <row r="41" spans="2:17" x14ac:dyDescent="0.2">
      <c r="D41" s="378" t="str">
        <f>PLUG_IN_4_MEET_BA!C359</f>
        <v>Lodging &amp; Rooms</v>
      </c>
      <c r="J41" s="371">
        <f>PLUG_IN_4_MEET_BA!Q377</f>
        <v>0</v>
      </c>
      <c r="L41" s="371">
        <f>PLUG_IN_4_MEET_BA!S377</f>
        <v>0</v>
      </c>
      <c r="O41" s="394">
        <f>IF(DD_PLUG_6_Meet1_Curr=2,J41/PLUG_IN_4_MEET_BA!$J$439,J41*PLUG_IN_4_MEET_BA!$J$439)</f>
        <v>0</v>
      </c>
      <c r="Q41" s="394">
        <f>IF(DD_PLUG_6_Meet1_Curr=2,L41/PLUG_IN_4_MEET_BA!$J$439,L41*PLUG_IN_4_MEET_BA!$J$439)</f>
        <v>0</v>
      </c>
    </row>
    <row r="42" spans="2:17" x14ac:dyDescent="0.2">
      <c r="D42" s="378" t="str">
        <f>PLUG_IN_4_MEET_BA!C379</f>
        <v>Meals &amp; Refreshments (M/R)</v>
      </c>
      <c r="J42" s="371">
        <f>PLUG_IN_4_MEET_BA!Q393</f>
        <v>0</v>
      </c>
      <c r="L42" s="371">
        <f>PLUG_IN_4_MEET_BA!S393</f>
        <v>0</v>
      </c>
      <c r="O42" s="394">
        <f>IF(DD_PLUG_6_Meet1_Curr=2,J42/PLUG_IN_4_MEET_BA!$J$439,J42*PLUG_IN_4_MEET_BA!$J$439)</f>
        <v>0</v>
      </c>
      <c r="Q42" s="394">
        <f>IF(DD_PLUG_6_Meet1_Curr=2,L42/PLUG_IN_4_MEET_BA!$J$439,L42*PLUG_IN_4_MEET_BA!$J$439)</f>
        <v>0</v>
      </c>
    </row>
    <row r="43" spans="2:17" x14ac:dyDescent="0.2">
      <c r="D43" s="378" t="str">
        <f>PLUG_IN_4_MEET_BA!C395</f>
        <v>Materials &amp; Supplies</v>
      </c>
      <c r="J43" s="371">
        <f>PLUG_IN_4_MEET_BA!Q411</f>
        <v>0</v>
      </c>
      <c r="L43" s="371">
        <f>PLUG_IN_4_MEET_BA!S411</f>
        <v>0</v>
      </c>
      <c r="O43" s="394">
        <f>IF(DD_PLUG_6_Meet1_Curr=2,J43/PLUG_IN_4_MEET_BA!$J$439,J43*PLUG_IN_4_MEET_BA!$J$439)</f>
        <v>0</v>
      </c>
      <c r="Q43" s="394">
        <f>IF(DD_PLUG_6_Meet1_Curr=2,L43/PLUG_IN_4_MEET_BA!$J$439,L43*PLUG_IN_4_MEET_BA!$J$439)</f>
        <v>0</v>
      </c>
    </row>
    <row r="44" spans="2:17" x14ac:dyDescent="0.2">
      <c r="D44" s="378" t="str">
        <f>PLUG_IN_4_MEET_BA!C413</f>
        <v>Equipment (Rental Only, Not Purchased)</v>
      </c>
      <c r="J44" s="371">
        <f>PLUG_IN_4_MEET_BA!Q421</f>
        <v>0</v>
      </c>
      <c r="L44" s="371">
        <f>PLUG_IN_4_MEET_BA!S421</f>
        <v>0</v>
      </c>
      <c r="O44" s="394">
        <f>IF(DD_PLUG_6_Meet1_Curr=2,J44/PLUG_IN_4_MEET_BA!$J$439,J44*PLUG_IN_4_MEET_BA!$J$439)</f>
        <v>0</v>
      </c>
      <c r="Q44" s="394">
        <f>IF(DD_PLUG_6_Meet1_Curr=2,L44/PLUG_IN_4_MEET_BA!$J$439,L44*PLUG_IN_4_MEET_BA!$J$439)</f>
        <v>0</v>
      </c>
    </row>
    <row r="45" spans="2:17" x14ac:dyDescent="0.2">
      <c r="D45" s="378" t="str">
        <f>PLUG_IN_4_MEET_BA!C423</f>
        <v>Other Direct Costs</v>
      </c>
      <c r="J45" s="371">
        <f>PLUG_IN_4_MEET_BA!Q431</f>
        <v>0</v>
      </c>
      <c r="L45" s="371">
        <f>PLUG_IN_4_MEET_BA!S431</f>
        <v>0</v>
      </c>
      <c r="O45" s="394">
        <f>IF(DD_PLUG_6_Meet1_Curr=2,J45/PLUG_IN_4_MEET_BA!$J$439,J45*PLUG_IN_4_MEET_BA!$J$439)</f>
        <v>0</v>
      </c>
      <c r="Q45" s="394">
        <f>IF(DD_PLUG_6_Meet1_Curr=2,L45/PLUG_IN_4_MEET_BA!$J$439,L45*PLUG_IN_4_MEET_BA!$J$439)</f>
        <v>0</v>
      </c>
    </row>
    <row r="46" spans="2:17" ht="13.5" thickBot="1" x14ac:dyDescent="0.25">
      <c r="D46" s="402" t="str">
        <f>"TOTAL "&amp;C37</f>
        <v>TOTAL Community Mobilization Meeting</v>
      </c>
      <c r="J46" s="381">
        <f>SUM(J39:J45)</f>
        <v>0</v>
      </c>
      <c r="L46" s="381">
        <f>SUM(L39:L45)</f>
        <v>0</v>
      </c>
      <c r="O46" s="403">
        <f>SUM(O39:O45)</f>
        <v>0</v>
      </c>
      <c r="Q46" s="403">
        <f>SUM(Q39:Q45)</f>
        <v>0</v>
      </c>
    </row>
    <row r="47" spans="2:17" ht="13.5" thickTop="1" x14ac:dyDescent="0.2"/>
  </sheetData>
  <sheetProtection password="F0F4" sheet="1" scenarios="1"/>
  <mergeCells count="1">
    <mergeCell ref="B3:F3"/>
  </mergeCells>
  <hyperlinks>
    <hyperlink ref="A4" location="$B$5" tooltip="Go to Top of Sheet" display="$B$5"/>
    <hyperlink ref="B4" location="HL_Sheet_Main_68" tooltip="Go to Previous Sheet" display="HL_Sheet_Main_68"/>
    <hyperlink ref="C4" location="HL_Sheet_Main_5" tooltip="Go to Next Sheet" display="HL_Sheet_Main_5"/>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pageSetUpPr autoPageBreaks="0" fitToPage="1"/>
  </sheetPr>
  <dimension ref="A1:P27"/>
  <sheetViews>
    <sheetView showGridLines="0" topLeftCell="H1" zoomScaleNormal="100" workbookViewId="0">
      <selection activeCell="J3" sqref="J3:O12"/>
    </sheetView>
  </sheetViews>
  <sheetFormatPr defaultColWidth="0" defaultRowHeight="12.75" zeroHeight="1" x14ac:dyDescent="0.2"/>
  <cols>
    <col min="1" max="2" width="11.7109375" customWidth="1"/>
    <col min="3" max="6" width="3.7109375" customWidth="1"/>
    <col min="7" max="16" width="11.7109375" customWidth="1"/>
    <col min="17" max="16384" width="11.7109375" hidden="1"/>
  </cols>
  <sheetData>
    <row r="1" spans="1:7" x14ac:dyDescent="0.2">
      <c r="A1" s="420"/>
    </row>
    <row r="2" spans="1:7" x14ac:dyDescent="0.2"/>
    <row r="3" spans="1:7" x14ac:dyDescent="0.2"/>
    <row r="4" spans="1:7" x14ac:dyDescent="0.2"/>
    <row r="5" spans="1:7" x14ac:dyDescent="0.2"/>
    <row r="6" spans="1:7" x14ac:dyDescent="0.2"/>
    <row r="7" spans="1:7" ht="23.25" x14ac:dyDescent="0.2">
      <c r="C7" s="42"/>
    </row>
    <row r="8" spans="1:7" x14ac:dyDescent="0.2"/>
    <row r="9" spans="1:7" ht="23.25" x14ac:dyDescent="0.2">
      <c r="C9" s="32" t="s">
        <v>9</v>
      </c>
    </row>
    <row r="10" spans="1:7" ht="21" x14ac:dyDescent="0.2">
      <c r="C10" s="35" t="s">
        <v>1990</v>
      </c>
    </row>
    <row r="11" spans="1:7" ht="18.75" x14ac:dyDescent="0.2">
      <c r="C11" s="36" t="str">
        <f>Model_Name</f>
        <v>Zambia C4P* - Screening &amp; Treatment Tool</v>
      </c>
    </row>
    <row r="12" spans="1:7" x14ac:dyDescent="0.2">
      <c r="C12" s="702" t="s">
        <v>2</v>
      </c>
      <c r="D12" s="702"/>
      <c r="E12" s="702"/>
      <c r="F12" s="702"/>
      <c r="G12" s="702"/>
    </row>
    <row r="13" spans="1:7" x14ac:dyDescent="0.2">
      <c r="C13" s="337" t="s">
        <v>6</v>
      </c>
      <c r="D13" s="324" t="s">
        <v>7</v>
      </c>
    </row>
    <row r="14" spans="1:7" x14ac:dyDescent="0.2"/>
    <row r="15" spans="1:7" x14ac:dyDescent="0.2"/>
    <row r="16" spans="1:7" x14ac:dyDescent="0.2"/>
    <row r="17" spans="3:3" ht="15" x14ac:dyDescent="0.2">
      <c r="C17" s="30" t="s">
        <v>5</v>
      </c>
    </row>
    <row r="18" spans="3:3" x14ac:dyDescent="0.2">
      <c r="C18" s="38" t="str">
        <f>"This section contains the "&amp;C9&amp;"."</f>
        <v>This section contains the Appendices.</v>
      </c>
    </row>
    <row r="19" spans="3:3" x14ac:dyDescent="0.2"/>
    <row r="20" spans="3:3" x14ac:dyDescent="0.2"/>
    <row r="21" spans="3:3" x14ac:dyDescent="0.2"/>
    <row r="22" spans="3:3" x14ac:dyDescent="0.2"/>
    <row r="23" spans="3:3" x14ac:dyDescent="0.2"/>
    <row r="24" spans="3:3" x14ac:dyDescent="0.2"/>
    <row r="25" spans="3:3" x14ac:dyDescent="0.2"/>
    <row r="26" spans="3:3" x14ac:dyDescent="0.2"/>
    <row r="27" spans="3:3" x14ac:dyDescent="0.2"/>
  </sheetData>
  <mergeCells count="1">
    <mergeCell ref="C12:G12"/>
  </mergeCells>
  <hyperlinks>
    <hyperlink ref="C13" location="HL_Sheet_Main_66" tooltip="Go to Previous Sheet" display="HL_Sheet_Main_66"/>
    <hyperlink ref="D13" location="HL_Sheet_Main_6" tooltip="Go to Next Sheet" display="HL_Sheet_Main_6"/>
    <hyperlink ref="C12" location="HL_Home" tooltip="Go to Table of Contents" display="HL_Home"/>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pageSetUpPr autoPageBreaks="0" fitToPage="1"/>
  </sheetPr>
  <dimension ref="A1:G18"/>
  <sheetViews>
    <sheetView showGridLines="0" zoomScaleNormal="100" workbookViewId="0">
      <selection activeCell="C18" sqref="C18"/>
    </sheetView>
  </sheetViews>
  <sheetFormatPr defaultColWidth="11.7109375" defaultRowHeight="12.75" x14ac:dyDescent="0.2"/>
  <cols>
    <col min="3" max="6" width="3.7109375" customWidth="1"/>
  </cols>
  <sheetData>
    <row r="1" spans="1:7" x14ac:dyDescent="0.2">
      <c r="A1" s="420"/>
    </row>
    <row r="7" spans="1:7" ht="23.25" x14ac:dyDescent="0.2">
      <c r="C7" s="42"/>
    </row>
    <row r="9" spans="1:7" ht="23.25" x14ac:dyDescent="0.2">
      <c r="C9" s="32" t="s">
        <v>31</v>
      </c>
    </row>
    <row r="10" spans="1:7" ht="21" x14ac:dyDescent="0.2">
      <c r="C10" s="35" t="s">
        <v>1996</v>
      </c>
    </row>
    <row r="11" spans="1:7" ht="18.75" x14ac:dyDescent="0.2">
      <c r="C11" s="36" t="str">
        <f>Model_Name</f>
        <v>Zambia C4P* - Screening &amp; Treatment Tool</v>
      </c>
    </row>
    <row r="12" spans="1:7" x14ac:dyDescent="0.2">
      <c r="C12" s="702" t="s">
        <v>2</v>
      </c>
      <c r="D12" s="702"/>
      <c r="E12" s="702"/>
      <c r="F12" s="702"/>
      <c r="G12" s="702"/>
    </row>
    <row r="13" spans="1:7" x14ac:dyDescent="0.2">
      <c r="C13" s="337" t="s">
        <v>6</v>
      </c>
      <c r="D13" s="2" t="s">
        <v>7</v>
      </c>
    </row>
    <row r="17" spans="3:3" ht="15" x14ac:dyDescent="0.2">
      <c r="C17" s="30" t="s">
        <v>10</v>
      </c>
    </row>
    <row r="18" spans="3:3" x14ac:dyDescent="0.2">
      <c r="C18" s="38" t="str">
        <f>"This sub-section contains the "&amp;C9&amp;"."</f>
        <v>This sub-section contains the Lookup Tables.</v>
      </c>
    </row>
  </sheetData>
  <mergeCells count="1">
    <mergeCell ref="C12:G12"/>
  </mergeCells>
  <hyperlinks>
    <hyperlink ref="D13" location="HL_Sheet_Main_10" tooltip="Go to Next Sheet" display="HL_Sheet_Main_10"/>
    <hyperlink ref="C13" location="HL_Sheet_Main_5" tooltip="Go to Previous Sheet" display="HL_Sheet_Main_5"/>
    <hyperlink ref="C12" location="HL_Home" tooltip="Go to Table of Contents" display="HL_Home"/>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tabColor rgb="FF7030A0"/>
    <pageSetUpPr autoPageBreaks="0"/>
  </sheetPr>
  <dimension ref="A1:F88"/>
  <sheetViews>
    <sheetView showGridLines="0" zoomScaleNormal="100" workbookViewId="0">
      <selection activeCell="D77" sqref="D77"/>
    </sheetView>
  </sheetViews>
  <sheetFormatPr defaultColWidth="11.7109375" defaultRowHeight="12.75" x14ac:dyDescent="0.2"/>
  <cols>
    <col min="1" max="3" width="3.7109375" style="49" customWidth="1"/>
    <col min="4" max="4" width="35.7109375" style="49" customWidth="1"/>
    <col min="5" max="5" width="3.7109375" style="49" customWidth="1"/>
    <col min="6" max="6" width="35.7109375" style="49" customWidth="1"/>
    <col min="7" max="7" width="3.7109375" style="49" customWidth="1"/>
    <col min="8" max="16384" width="11.7109375" style="49"/>
  </cols>
  <sheetData>
    <row r="1" spans="1:6" ht="23.25" x14ac:dyDescent="0.2">
      <c r="A1" s="422"/>
      <c r="B1" s="100" t="s">
        <v>33</v>
      </c>
    </row>
    <row r="2" spans="1:6" ht="18.75" x14ac:dyDescent="0.2">
      <c r="B2" s="101" t="str">
        <f>Model_Name</f>
        <v>Zambia C4P* - Screening &amp; Treatment Tool</v>
      </c>
    </row>
    <row r="3" spans="1:6" x14ac:dyDescent="0.2">
      <c r="B3" s="716" t="s">
        <v>2</v>
      </c>
      <c r="C3" s="716"/>
      <c r="D3" s="716"/>
    </row>
    <row r="4" spans="1:6" x14ac:dyDescent="0.2">
      <c r="A4" s="102" t="s">
        <v>4</v>
      </c>
      <c r="B4" s="343" t="s">
        <v>6</v>
      </c>
      <c r="C4" s="104" t="s">
        <v>7</v>
      </c>
    </row>
    <row r="7" spans="1:6" ht="18.75" x14ac:dyDescent="0.2">
      <c r="B7" s="17" t="s">
        <v>33</v>
      </c>
    </row>
    <row r="9" spans="1:6" ht="15.75" x14ac:dyDescent="0.2">
      <c r="C9" s="19" t="s">
        <v>39</v>
      </c>
      <c r="F9" s="19" t="s">
        <v>32</v>
      </c>
    </row>
    <row r="11" spans="1:6" x14ac:dyDescent="0.2">
      <c r="D11" s="20" t="s">
        <v>40</v>
      </c>
      <c r="F11" s="98" t="s">
        <v>41</v>
      </c>
    </row>
    <row r="12" spans="1:6" x14ac:dyDescent="0.2">
      <c r="D12" s="10">
        <f>ROWS(D$12:D12)</f>
        <v>1</v>
      </c>
      <c r="F12" s="98" t="s">
        <v>47</v>
      </c>
    </row>
    <row r="13" spans="1:6" x14ac:dyDescent="0.2">
      <c r="D13" s="10">
        <f>ROWS(D$12:D13)</f>
        <v>2</v>
      </c>
      <c r="F13" s="98" t="s">
        <v>47</v>
      </c>
    </row>
    <row r="14" spans="1:6" x14ac:dyDescent="0.2">
      <c r="D14" s="10">
        <f>ROWS(D$12:D14)</f>
        <v>3</v>
      </c>
      <c r="F14" s="98" t="s">
        <v>47</v>
      </c>
    </row>
    <row r="15" spans="1:6" x14ac:dyDescent="0.2">
      <c r="D15" s="10">
        <f>ROWS(D$12:D15)</f>
        <v>4</v>
      </c>
      <c r="F15" s="98" t="s">
        <v>47</v>
      </c>
    </row>
    <row r="16" spans="1:6" x14ac:dyDescent="0.2">
      <c r="D16" s="10">
        <f>ROWS(D$12:D16)</f>
        <v>5</v>
      </c>
      <c r="F16" s="98" t="s">
        <v>47</v>
      </c>
    </row>
    <row r="17" spans="4:6" x14ac:dyDescent="0.2">
      <c r="D17" s="10">
        <f>ROWS(D$12:D17)</f>
        <v>6</v>
      </c>
      <c r="F17" s="98" t="s">
        <v>47</v>
      </c>
    </row>
    <row r="18" spans="4:6" x14ac:dyDescent="0.2">
      <c r="D18" s="10">
        <f>ROWS(D$12:D18)</f>
        <v>7</v>
      </c>
      <c r="F18" s="98" t="s">
        <v>47</v>
      </c>
    </row>
    <row r="19" spans="4:6" x14ac:dyDescent="0.2">
      <c r="D19" s="10">
        <f>ROWS(D$12:D19)</f>
        <v>8</v>
      </c>
      <c r="F19" s="98" t="s">
        <v>47</v>
      </c>
    </row>
    <row r="20" spans="4:6" x14ac:dyDescent="0.2">
      <c r="D20" s="10">
        <f>ROWS(D$12:D20)</f>
        <v>9</v>
      </c>
      <c r="F20" s="98" t="s">
        <v>47</v>
      </c>
    </row>
    <row r="21" spans="4:6" x14ac:dyDescent="0.2">
      <c r="D21" s="10">
        <f>ROWS(D$12:D21)</f>
        <v>10</v>
      </c>
      <c r="F21" s="98" t="s">
        <v>47</v>
      </c>
    </row>
    <row r="22" spans="4:6" x14ac:dyDescent="0.2">
      <c r="D22" s="10">
        <f>ROWS(D$12:D22)</f>
        <v>11</v>
      </c>
      <c r="F22" s="98" t="s">
        <v>47</v>
      </c>
    </row>
    <row r="23" spans="4:6" x14ac:dyDescent="0.2">
      <c r="D23" s="10">
        <f>ROWS(D$12:D23)</f>
        <v>12</v>
      </c>
      <c r="F23" s="98" t="s">
        <v>47</v>
      </c>
    </row>
    <row r="24" spans="4:6" x14ac:dyDescent="0.2">
      <c r="D24" s="10">
        <f>ROWS(D$12:D24)</f>
        <v>13</v>
      </c>
      <c r="F24" s="98" t="s">
        <v>47</v>
      </c>
    </row>
    <row r="25" spans="4:6" x14ac:dyDescent="0.2">
      <c r="D25" s="10">
        <f>ROWS(D$12:D25)</f>
        <v>14</v>
      </c>
      <c r="F25" s="98" t="s">
        <v>47</v>
      </c>
    </row>
    <row r="26" spans="4:6" x14ac:dyDescent="0.2">
      <c r="D26" s="10">
        <f>ROWS(D$12:D26)</f>
        <v>15</v>
      </c>
      <c r="F26" s="98" t="s">
        <v>47</v>
      </c>
    </row>
    <row r="27" spans="4:6" x14ac:dyDescent="0.2">
      <c r="D27" s="10">
        <f>ROWS(D$12:D27)</f>
        <v>16</v>
      </c>
      <c r="F27" s="98" t="s">
        <v>47</v>
      </c>
    </row>
    <row r="28" spans="4:6" x14ac:dyDescent="0.2">
      <c r="D28" s="10">
        <f>ROWS(D$12:D28)</f>
        <v>17</v>
      </c>
      <c r="F28" s="98" t="s">
        <v>47</v>
      </c>
    </row>
    <row r="29" spans="4:6" x14ac:dyDescent="0.2">
      <c r="D29" s="10">
        <f>ROWS(D$12:D29)</f>
        <v>18</v>
      </c>
      <c r="F29" s="98" t="s">
        <v>47</v>
      </c>
    </row>
    <row r="30" spans="4:6" x14ac:dyDescent="0.2">
      <c r="D30" s="10">
        <f>ROWS(D$12:D30)</f>
        <v>19</v>
      </c>
      <c r="F30" s="98" t="s">
        <v>47</v>
      </c>
    </row>
    <row r="31" spans="4:6" x14ac:dyDescent="0.2">
      <c r="D31" s="10">
        <f>ROWS(D$12:D31)</f>
        <v>20</v>
      </c>
      <c r="F31" s="98" t="s">
        <v>47</v>
      </c>
    </row>
    <row r="32" spans="4:6" x14ac:dyDescent="0.2">
      <c r="D32" s="10">
        <f>ROWS(D$12:D32)</f>
        <v>21</v>
      </c>
      <c r="F32" s="98" t="s">
        <v>47</v>
      </c>
    </row>
    <row r="33" spans="3:6" x14ac:dyDescent="0.2">
      <c r="D33" s="10">
        <f>ROWS(D$12:D33)</f>
        <v>22</v>
      </c>
      <c r="F33" s="98" t="s">
        <v>47</v>
      </c>
    </row>
    <row r="34" spans="3:6" x14ac:dyDescent="0.2">
      <c r="D34" s="10">
        <f>ROWS(D$12:D34)</f>
        <v>23</v>
      </c>
      <c r="F34" s="98" t="s">
        <v>47</v>
      </c>
    </row>
    <row r="35" spans="3:6" x14ac:dyDescent="0.2">
      <c r="D35" s="10">
        <f>ROWS(D$12:D35)</f>
        <v>24</v>
      </c>
      <c r="F35" s="98" t="s">
        <v>47</v>
      </c>
    </row>
    <row r="36" spans="3:6" x14ac:dyDescent="0.2">
      <c r="D36" s="10">
        <f>ROWS(D$12:D36)</f>
        <v>25</v>
      </c>
      <c r="F36" s="98" t="s">
        <v>47</v>
      </c>
    </row>
    <row r="37" spans="3:6" x14ac:dyDescent="0.2">
      <c r="D37" s="10">
        <f>ROWS(D$12:D37)</f>
        <v>26</v>
      </c>
      <c r="F37" s="98" t="s">
        <v>47</v>
      </c>
    </row>
    <row r="38" spans="3:6" x14ac:dyDescent="0.2">
      <c r="D38" s="10">
        <f>ROWS(D$12:D38)</f>
        <v>27</v>
      </c>
      <c r="F38" s="98" t="s">
        <v>47</v>
      </c>
    </row>
    <row r="39" spans="3:6" x14ac:dyDescent="0.2">
      <c r="D39" s="10">
        <f>ROWS(D$12:D39)</f>
        <v>28</v>
      </c>
      <c r="F39" s="98" t="s">
        <v>47</v>
      </c>
    </row>
    <row r="40" spans="3:6" x14ac:dyDescent="0.2">
      <c r="D40" s="10">
        <f>ROWS(D$12:D40)</f>
        <v>29</v>
      </c>
      <c r="F40" s="98" t="s">
        <v>47</v>
      </c>
    </row>
    <row r="41" spans="3:6" x14ac:dyDescent="0.2">
      <c r="D41" s="10">
        <f>ROWS(D$12:D41)</f>
        <v>30</v>
      </c>
      <c r="F41" s="98" t="s">
        <v>47</v>
      </c>
    </row>
    <row r="42" spans="3:6" x14ac:dyDescent="0.2">
      <c r="D42" s="10">
        <f>ROWS(D$12:D42)</f>
        <v>31</v>
      </c>
      <c r="F42" s="98" t="s">
        <v>47</v>
      </c>
    </row>
    <row r="44" spans="3:6" ht="15.75" x14ac:dyDescent="0.2">
      <c r="C44" s="19" t="s">
        <v>42</v>
      </c>
      <c r="F44" s="19" t="s">
        <v>32</v>
      </c>
    </row>
    <row r="46" spans="3:6" x14ac:dyDescent="0.2">
      <c r="D46" s="20" t="s">
        <v>43</v>
      </c>
      <c r="F46" s="98" t="s">
        <v>44</v>
      </c>
    </row>
    <row r="47" spans="3:6" x14ac:dyDescent="0.2">
      <c r="D47" s="21" t="str">
        <f>TEXT(DATE(1,ROWS(D$47:D47),1),"mmmm")</f>
        <v>January</v>
      </c>
      <c r="F47" s="98" t="s">
        <v>47</v>
      </c>
    </row>
    <row r="48" spans="3:6" x14ac:dyDescent="0.2">
      <c r="D48" s="21" t="str">
        <f>TEXT(DATE(1,ROWS(D$47:D48),1),"mmmm")</f>
        <v>February</v>
      </c>
      <c r="F48" s="98" t="s">
        <v>47</v>
      </c>
    </row>
    <row r="49" spans="3:6" x14ac:dyDescent="0.2">
      <c r="D49" s="21" t="str">
        <f>TEXT(DATE(1,ROWS(D$47:D49),1),"mmmm")</f>
        <v>March</v>
      </c>
      <c r="F49" s="98" t="s">
        <v>47</v>
      </c>
    </row>
    <row r="50" spans="3:6" x14ac:dyDescent="0.2">
      <c r="D50" s="21" t="str">
        <f>TEXT(DATE(1,ROWS(D$47:D50),1),"mmmm")</f>
        <v>April</v>
      </c>
      <c r="F50" s="98" t="s">
        <v>47</v>
      </c>
    </row>
    <row r="51" spans="3:6" x14ac:dyDescent="0.2">
      <c r="D51" s="21" t="str">
        <f>TEXT(DATE(1,ROWS(D$47:D51),1),"mmmm")</f>
        <v>May</v>
      </c>
      <c r="F51" s="98" t="s">
        <v>47</v>
      </c>
    </row>
    <row r="52" spans="3:6" x14ac:dyDescent="0.2">
      <c r="D52" s="21" t="str">
        <f>TEXT(DATE(1,ROWS(D$47:D52),1),"mmmm")</f>
        <v>June</v>
      </c>
      <c r="F52" s="98" t="s">
        <v>47</v>
      </c>
    </row>
    <row r="53" spans="3:6" x14ac:dyDescent="0.2">
      <c r="D53" s="21" t="str">
        <f>TEXT(DATE(1,ROWS(D$47:D53),1),"mmmm")</f>
        <v>July</v>
      </c>
      <c r="F53" s="98" t="s">
        <v>47</v>
      </c>
    </row>
    <row r="54" spans="3:6" x14ac:dyDescent="0.2">
      <c r="D54" s="21" t="str">
        <f>TEXT(DATE(1,ROWS(D$47:D54),1),"mmmm")</f>
        <v>August</v>
      </c>
      <c r="F54" s="98" t="s">
        <v>47</v>
      </c>
    </row>
    <row r="55" spans="3:6" x14ac:dyDescent="0.2">
      <c r="D55" s="21" t="str">
        <f>TEXT(DATE(1,ROWS(D$47:D55),1),"mmmm")</f>
        <v>September</v>
      </c>
      <c r="F55" s="98" t="s">
        <v>47</v>
      </c>
    </row>
    <row r="56" spans="3:6" x14ac:dyDescent="0.2">
      <c r="D56" s="21" t="str">
        <f>TEXT(DATE(1,ROWS(D$47:D56),1),"mmmm")</f>
        <v>October</v>
      </c>
      <c r="F56" s="98" t="s">
        <v>47</v>
      </c>
    </row>
    <row r="57" spans="3:6" x14ac:dyDescent="0.2">
      <c r="D57" s="21" t="str">
        <f>TEXT(DATE(1,ROWS(D$47:D57),1),"mmmm")</f>
        <v>November</v>
      </c>
      <c r="F57" s="98" t="s">
        <v>47</v>
      </c>
    </row>
    <row r="58" spans="3:6" x14ac:dyDescent="0.2">
      <c r="D58" s="21" t="str">
        <f>TEXT(DATE(1,ROWS(D$47:D58),1),"mmmm")</f>
        <v>December</v>
      </c>
      <c r="F58" s="98" t="s">
        <v>47</v>
      </c>
    </row>
    <row r="60" spans="3:6" ht="15.75" x14ac:dyDescent="0.2">
      <c r="C60" s="19" t="s">
        <v>45</v>
      </c>
    </row>
    <row r="62" spans="3:6" x14ac:dyDescent="0.2">
      <c r="D62" s="20" t="s">
        <v>46</v>
      </c>
      <c r="F62" s="98" t="s">
        <v>47</v>
      </c>
    </row>
    <row r="63" spans="3:6" x14ac:dyDescent="0.2">
      <c r="D63" s="22">
        <v>60</v>
      </c>
      <c r="F63" s="98" t="s">
        <v>53</v>
      </c>
    </row>
    <row r="64" spans="3:6" x14ac:dyDescent="0.2">
      <c r="D64" s="22">
        <v>60</v>
      </c>
      <c r="F64" s="98" t="s">
        <v>54</v>
      </c>
    </row>
    <row r="65" spans="3:6" x14ac:dyDescent="0.2">
      <c r="D65" s="22">
        <v>24</v>
      </c>
      <c r="F65" s="98" t="s">
        <v>55</v>
      </c>
    </row>
    <row r="66" spans="3:6" x14ac:dyDescent="0.2">
      <c r="D66" s="22">
        <v>7</v>
      </c>
      <c r="F66" s="98" t="s">
        <v>56</v>
      </c>
    </row>
    <row r="67" spans="3:6" x14ac:dyDescent="0.2">
      <c r="D67" s="22">
        <v>3</v>
      </c>
      <c r="F67" s="98" t="s">
        <v>57</v>
      </c>
    </row>
    <row r="68" spans="3:6" x14ac:dyDescent="0.2">
      <c r="D68" s="22">
        <v>6</v>
      </c>
      <c r="F68" s="98" t="s">
        <v>58</v>
      </c>
    </row>
    <row r="69" spans="3:6" x14ac:dyDescent="0.2">
      <c r="D69" s="22">
        <v>12</v>
      </c>
      <c r="F69" s="98" t="s">
        <v>59</v>
      </c>
    </row>
    <row r="70" spans="3:6" x14ac:dyDescent="0.2">
      <c r="D70" s="22">
        <v>2</v>
      </c>
      <c r="F70" s="98" t="s">
        <v>60</v>
      </c>
    </row>
    <row r="71" spans="3:6" x14ac:dyDescent="0.2">
      <c r="D71" s="22">
        <v>4</v>
      </c>
      <c r="F71" s="98" t="s">
        <v>61</v>
      </c>
    </row>
    <row r="72" spans="3:6" x14ac:dyDescent="0.2">
      <c r="D72" s="22">
        <v>2</v>
      </c>
      <c r="F72" s="98" t="s">
        <v>62</v>
      </c>
    </row>
    <row r="74" spans="3:6" ht="15.75" x14ac:dyDescent="0.2">
      <c r="C74" s="19" t="s">
        <v>48</v>
      </c>
      <c r="F74" s="19" t="s">
        <v>32</v>
      </c>
    </row>
    <row r="76" spans="3:6" x14ac:dyDescent="0.2">
      <c r="D76" s="20" t="s">
        <v>37</v>
      </c>
      <c r="F76" s="98" t="s">
        <v>49</v>
      </c>
    </row>
    <row r="77" spans="3:6" x14ac:dyDescent="0.2">
      <c r="D77" s="21" t="str">
        <f>TS_Currency&amp;CHOOSE(ROWS(D$77:D77),"","'000","Millions","Billions")</f>
        <v>ZMW</v>
      </c>
      <c r="F77" s="98" t="s">
        <v>47</v>
      </c>
    </row>
    <row r="78" spans="3:6" x14ac:dyDescent="0.2">
      <c r="D78" s="21" t="str">
        <f>TS_Currency&amp;CHOOSE(ROWS(D$77:D78),"","'000","Millions","Billions")</f>
        <v>ZMW'000</v>
      </c>
      <c r="F78" s="98" t="s">
        <v>47</v>
      </c>
    </row>
    <row r="79" spans="3:6" x14ac:dyDescent="0.2">
      <c r="D79" s="21" t="str">
        <f>TS_Currency&amp;CHOOSE(ROWS(D$77:D79),"","'000","Millions","Billions")</f>
        <v>ZMWMillions</v>
      </c>
      <c r="F79" s="98" t="s">
        <v>47</v>
      </c>
    </row>
    <row r="80" spans="3:6" x14ac:dyDescent="0.2">
      <c r="D80" s="21" t="str">
        <f>TS_Currency&amp;CHOOSE(ROWS(D$77:D80),"","'000","Millions","Billions")</f>
        <v>ZMWBillions</v>
      </c>
      <c r="F80" s="98" t="s">
        <v>47</v>
      </c>
    </row>
    <row r="82" spans="3:6" ht="15.75" x14ac:dyDescent="0.2">
      <c r="C82" s="19" t="s">
        <v>50</v>
      </c>
      <c r="F82" s="19" t="s">
        <v>32</v>
      </c>
    </row>
    <row r="84" spans="3:6" x14ac:dyDescent="0.2">
      <c r="D84" s="20" t="s">
        <v>51</v>
      </c>
      <c r="F84" s="98" t="s">
        <v>52</v>
      </c>
    </row>
    <row r="85" spans="3:6" x14ac:dyDescent="0.2">
      <c r="D85" s="23">
        <v>1</v>
      </c>
      <c r="F85" s="98" t="s">
        <v>47</v>
      </c>
    </row>
    <row r="86" spans="3:6" x14ac:dyDescent="0.2">
      <c r="D86" s="23">
        <v>1000</v>
      </c>
      <c r="F86" s="98" t="s">
        <v>63</v>
      </c>
    </row>
    <row r="87" spans="3:6" x14ac:dyDescent="0.2">
      <c r="D87" s="23">
        <v>1000000</v>
      </c>
      <c r="F87" s="98" t="s">
        <v>64</v>
      </c>
    </row>
    <row r="88" spans="3:6" x14ac:dyDescent="0.2">
      <c r="D88" s="23">
        <v>1000000000</v>
      </c>
      <c r="F88" s="98" t="s">
        <v>65</v>
      </c>
    </row>
  </sheetData>
  <sheetProtection password="F0F4" sheet="1" scenarios="1"/>
  <mergeCells count="1">
    <mergeCell ref="B3:D3"/>
  </mergeCells>
  <hyperlinks>
    <hyperlink ref="A4" location="$B$5" tooltip="Go to Top of Sheet" display="$B$5"/>
    <hyperlink ref="C4" location="HL_Sheet_Main_41" tooltip="Go to Next Sheet" display="HL_Sheet_Main_41"/>
    <hyperlink ref="B4" location="HL_Sheet_Main_5" tooltip="Go to Previous Sheet" display="HL_Sheet_Main_5"/>
    <hyperlink ref="B3" location="HL_Home" tooltip="Go to Table of Contents" display="HL_Home"/>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11">
    <tabColor rgb="FF7030A0"/>
    <pageSetUpPr autoPageBreaks="0"/>
  </sheetPr>
  <dimension ref="A1:F13"/>
  <sheetViews>
    <sheetView showGridLines="0" zoomScaleNormal="100" workbookViewId="0">
      <selection activeCell="F13" sqref="F13"/>
    </sheetView>
  </sheetViews>
  <sheetFormatPr defaultColWidth="11.7109375" defaultRowHeight="12.75" x14ac:dyDescent="0.2"/>
  <cols>
    <col min="1" max="3" width="3.7109375" style="49" customWidth="1"/>
    <col min="4" max="4" width="35.7109375" style="49" customWidth="1"/>
    <col min="5" max="5" width="3.7109375" style="49" customWidth="1"/>
    <col min="6" max="6" width="35.7109375" style="49" customWidth="1"/>
    <col min="7" max="7" width="3.7109375" style="49" customWidth="1"/>
    <col min="8" max="16384" width="11.7109375" style="49"/>
  </cols>
  <sheetData>
    <row r="1" spans="1:6" ht="23.25" x14ac:dyDescent="0.2">
      <c r="A1" s="422"/>
      <c r="B1" s="100" t="s">
        <v>303</v>
      </c>
    </row>
    <row r="2" spans="1:6" ht="18.75" x14ac:dyDescent="0.2">
      <c r="B2" s="101" t="str">
        <f>Model_Name</f>
        <v>Zambia C4P* - Screening &amp; Treatment Tool</v>
      </c>
    </row>
    <row r="3" spans="1:6" x14ac:dyDescent="0.2">
      <c r="B3" s="716" t="s">
        <v>2</v>
      </c>
      <c r="C3" s="716"/>
      <c r="D3" s="716"/>
    </row>
    <row r="4" spans="1:6" x14ac:dyDescent="0.2">
      <c r="A4" s="102" t="s">
        <v>4</v>
      </c>
      <c r="B4" s="103" t="s">
        <v>6</v>
      </c>
      <c r="C4" s="104" t="s">
        <v>7</v>
      </c>
    </row>
    <row r="5" spans="1:6" s="327" customFormat="1" x14ac:dyDescent="0.2"/>
    <row r="6" spans="1:6" s="327" customFormat="1" x14ac:dyDescent="0.2"/>
    <row r="7" spans="1:6" s="327" customFormat="1" ht="18.75" x14ac:dyDescent="0.2">
      <c r="B7" s="329" t="s">
        <v>304</v>
      </c>
    </row>
    <row r="8" spans="1:6" s="327" customFormat="1" x14ac:dyDescent="0.2"/>
    <row r="9" spans="1:6" s="327" customFormat="1" ht="15.75" x14ac:dyDescent="0.2">
      <c r="C9" s="330" t="s">
        <v>212</v>
      </c>
      <c r="F9" s="330" t="s">
        <v>32</v>
      </c>
    </row>
    <row r="10" spans="1:6" s="327" customFormat="1" x14ac:dyDescent="0.2"/>
    <row r="11" spans="1:6" s="327" customFormat="1" x14ac:dyDescent="0.2">
      <c r="D11" s="331" t="s">
        <v>213</v>
      </c>
      <c r="F11" s="598" t="s">
        <v>305</v>
      </c>
    </row>
    <row r="12" spans="1:6" s="327" customFormat="1" x14ac:dyDescent="0.2">
      <c r="D12" s="328" t="str">
        <f>Econ_Ann_TA!D13</f>
        <v>USD</v>
      </c>
      <c r="F12" s="375" t="s">
        <v>47</v>
      </c>
    </row>
    <row r="13" spans="1:6" x14ac:dyDescent="0.2">
      <c r="D13" s="328" t="str">
        <f>Econ_Ann_TA!D14</f>
        <v>ZMW</v>
      </c>
      <c r="F13" s="375" t="s">
        <v>47</v>
      </c>
    </row>
  </sheetData>
  <sheetProtection password="F0F4" sheet="1" scenarios="1"/>
  <mergeCells count="1">
    <mergeCell ref="B3:D3"/>
  </mergeCells>
  <hyperlinks>
    <hyperlink ref="A4" location="$B$5" tooltip="Go to Top of Sheet" display="$B$5"/>
    <hyperlink ref="B4" location="HL_Sheet_Main_10" tooltip="Go to Previous Sheet" display="HL_Sheet_Main_10"/>
    <hyperlink ref="C4" location="HL_Sheet_Main_21" tooltip="Go to Next Sheet" display="HL_Sheet_Main_21"/>
    <hyperlink ref="B3" location="HL_Home" tooltip="Go to Table of Contents" display="HL_Home"/>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7030A0"/>
    <pageSetUpPr autoPageBreaks="0"/>
  </sheetPr>
  <dimension ref="A1:F191"/>
  <sheetViews>
    <sheetView showGridLines="0" zoomScaleNormal="100" workbookViewId="0">
      <pane xSplit="1" ySplit="4" topLeftCell="B5" activePane="bottomRight" state="frozen"/>
      <selection pane="topRight"/>
      <selection pane="bottomLeft"/>
      <selection pane="bottomRight" activeCell="F183" sqref="F183"/>
    </sheetView>
  </sheetViews>
  <sheetFormatPr defaultColWidth="11.7109375" defaultRowHeight="12.75" x14ac:dyDescent="0.2"/>
  <cols>
    <col min="1" max="3" width="3.7109375" customWidth="1"/>
    <col min="4" max="4" width="35.7109375" customWidth="1"/>
    <col min="5" max="5" width="3.7109375" customWidth="1"/>
    <col min="6" max="6" width="35.7109375" customWidth="1"/>
    <col min="7" max="7" width="3.7109375" customWidth="1"/>
  </cols>
  <sheetData>
    <row r="1" spans="1:6" ht="23.25" x14ac:dyDescent="0.2">
      <c r="A1" s="420"/>
      <c r="B1" s="32" t="s">
        <v>150</v>
      </c>
    </row>
    <row r="2" spans="1:6" ht="18.75" x14ac:dyDescent="0.2">
      <c r="B2" s="36" t="str">
        <f>Model_Name</f>
        <v>Zambia C4P* - Screening &amp; Treatment Tool</v>
      </c>
    </row>
    <row r="3" spans="1:6" x14ac:dyDescent="0.2">
      <c r="B3" s="702" t="s">
        <v>2</v>
      </c>
      <c r="C3" s="702"/>
      <c r="D3" s="702"/>
    </row>
    <row r="4" spans="1:6" x14ac:dyDescent="0.2">
      <c r="A4" s="1" t="s">
        <v>4</v>
      </c>
      <c r="B4" s="50" t="s">
        <v>6</v>
      </c>
      <c r="C4" s="46" t="s">
        <v>7</v>
      </c>
    </row>
    <row r="5" spans="1:6" s="327" customFormat="1" x14ac:dyDescent="0.2"/>
    <row r="6" spans="1:6" s="327" customFormat="1" x14ac:dyDescent="0.2"/>
    <row r="7" spans="1:6" s="327" customFormat="1" ht="18.75" x14ac:dyDescent="0.2">
      <c r="B7" s="426" t="s">
        <v>94</v>
      </c>
    </row>
    <row r="8" spans="1:6" s="327" customFormat="1" x14ac:dyDescent="0.2"/>
    <row r="9" spans="1:6" s="327" customFormat="1" ht="15.75" x14ac:dyDescent="0.2">
      <c r="C9" s="330" t="s">
        <v>85</v>
      </c>
      <c r="F9" s="330" t="s">
        <v>32</v>
      </c>
    </row>
    <row r="10" spans="1:6" s="327" customFormat="1" x14ac:dyDescent="0.2"/>
    <row r="11" spans="1:6" s="327" customFormat="1" x14ac:dyDescent="0.2">
      <c r="D11" s="331" t="s">
        <v>85</v>
      </c>
      <c r="F11" s="492" t="s">
        <v>95</v>
      </c>
    </row>
    <row r="12" spans="1:6" s="327" customFormat="1" x14ac:dyDescent="0.2">
      <c r="D12" s="328" t="e">
        <f>#REF!</f>
        <v>#REF!</v>
      </c>
      <c r="F12" s="375" t="s">
        <v>47</v>
      </c>
    </row>
    <row r="13" spans="1:6" s="327" customFormat="1" x14ac:dyDescent="0.2">
      <c r="D13" s="328" t="e">
        <f>#REF!</f>
        <v>#REF!</v>
      </c>
      <c r="F13" s="375" t="s">
        <v>47</v>
      </c>
    </row>
    <row r="14" spans="1:6" s="327" customFormat="1" x14ac:dyDescent="0.2">
      <c r="D14" s="328" t="e">
        <f>#REF!</f>
        <v>#REF!</v>
      </c>
      <c r="F14" s="375" t="s">
        <v>47</v>
      </c>
    </row>
    <row r="15" spans="1:6" s="327" customFormat="1" x14ac:dyDescent="0.2">
      <c r="D15" s="328" t="e">
        <f>#REF!</f>
        <v>#REF!</v>
      </c>
      <c r="F15" s="375" t="s">
        <v>47</v>
      </c>
    </row>
    <row r="16" spans="1:6" s="327" customFormat="1" x14ac:dyDescent="0.2"/>
    <row r="17" spans="2:6" s="327" customFormat="1" ht="15.75" x14ac:dyDescent="0.2">
      <c r="C17" s="330" t="s">
        <v>212</v>
      </c>
      <c r="F17" s="330" t="s">
        <v>32</v>
      </c>
    </row>
    <row r="18" spans="2:6" s="327" customFormat="1" x14ac:dyDescent="0.2"/>
    <row r="19" spans="2:6" s="327" customFormat="1" x14ac:dyDescent="0.2">
      <c r="D19" s="331" t="s">
        <v>213</v>
      </c>
      <c r="F19" s="598" t="s">
        <v>235</v>
      </c>
    </row>
    <row r="20" spans="2:6" s="327" customFormat="1" x14ac:dyDescent="0.2">
      <c r="D20" s="328" t="str">
        <f>Oth_Ann_TA!D52</f>
        <v>USD</v>
      </c>
      <c r="F20" s="375" t="s">
        <v>47</v>
      </c>
    </row>
    <row r="21" spans="2:6" s="322" customFormat="1" x14ac:dyDescent="0.2">
      <c r="D21" s="374" t="str">
        <f>Oth_Ann_TA!D53</f>
        <v>ZMW</v>
      </c>
      <c r="F21" s="342" t="s">
        <v>47</v>
      </c>
    </row>
    <row r="22" spans="2:6" s="327" customFormat="1" x14ac:dyDescent="0.2"/>
    <row r="23" spans="2:6" s="327" customFormat="1" ht="15.75" x14ac:dyDescent="0.2">
      <c r="C23" s="330" t="s">
        <v>37</v>
      </c>
      <c r="F23" s="330" t="s">
        <v>32</v>
      </c>
    </row>
    <row r="24" spans="2:6" s="327" customFormat="1" x14ac:dyDescent="0.2"/>
    <row r="25" spans="2:6" s="327" customFormat="1" x14ac:dyDescent="0.2">
      <c r="D25" s="331" t="s">
        <v>37</v>
      </c>
      <c r="F25" s="492" t="s">
        <v>236</v>
      </c>
    </row>
    <row r="26" spans="2:6" s="327" customFormat="1" x14ac:dyDescent="0.2">
      <c r="D26" s="21" t="str">
        <f>INDEX(LU_Micro_Curr,DD_Micro_Curr)&amp;CHOOSE(ROWS(D$26:D26),""," '000"," Millions"," Billions")</f>
        <v>USD</v>
      </c>
      <c r="F26" s="375" t="s">
        <v>47</v>
      </c>
    </row>
    <row r="27" spans="2:6" s="327" customFormat="1" x14ac:dyDescent="0.2">
      <c r="D27" s="21" t="str">
        <f>INDEX(LU_Micro_Curr,DD_Micro_Curr)&amp;CHOOSE(ROWS(D$26:D27),""," '000"," Millions"," Billions")</f>
        <v>USD '000</v>
      </c>
      <c r="F27" s="375" t="s">
        <v>47</v>
      </c>
    </row>
    <row r="28" spans="2:6" s="327" customFormat="1" x14ac:dyDescent="0.2">
      <c r="D28" s="21" t="str">
        <f>INDEX(LU_Micro_Curr,DD_Micro_Curr)&amp;CHOOSE(ROWS(D$26:D28),""," '000"," Millions"," Billions")</f>
        <v>USD Millions</v>
      </c>
      <c r="F28" s="375" t="s">
        <v>47</v>
      </c>
    </row>
    <row r="29" spans="2:6" s="327" customFormat="1" x14ac:dyDescent="0.2">
      <c r="D29" s="21" t="str">
        <f>INDEX(LU_Micro_Curr,DD_Micro_Curr)&amp;CHOOSE(ROWS(D$26:D29),""," '000"," Millions"," Billions")</f>
        <v>USD Billions</v>
      </c>
      <c r="F29" s="375" t="s">
        <v>47</v>
      </c>
    </row>
    <row r="32" spans="2:6" ht="18.75" x14ac:dyDescent="0.2">
      <c r="B32" s="427" t="s">
        <v>91</v>
      </c>
    </row>
    <row r="34" spans="3:6" ht="15.75" x14ac:dyDescent="0.2">
      <c r="C34" s="51" t="s">
        <v>85</v>
      </c>
      <c r="F34" s="51" t="s">
        <v>32</v>
      </c>
    </row>
    <row r="36" spans="3:6" x14ac:dyDescent="0.2">
      <c r="D36" s="290" t="s">
        <v>85</v>
      </c>
      <c r="F36" s="317" t="s">
        <v>92</v>
      </c>
    </row>
    <row r="37" spans="3:6" s="47" customFormat="1" x14ac:dyDescent="0.2">
      <c r="D37" s="374" t="e">
        <f>#REF!</f>
        <v>#REF!</v>
      </c>
      <c r="F37" s="70" t="s">
        <v>47</v>
      </c>
    </row>
    <row r="38" spans="3:6" x14ac:dyDescent="0.2">
      <c r="D38" s="374" t="e">
        <f>#REF!</f>
        <v>#REF!</v>
      </c>
      <c r="F38" s="70" t="s">
        <v>47</v>
      </c>
    </row>
    <row r="39" spans="3:6" s="47" customFormat="1" x14ac:dyDescent="0.2">
      <c r="D39" s="374" t="e">
        <f>#REF!</f>
        <v>#REF!</v>
      </c>
      <c r="F39" s="70" t="s">
        <v>47</v>
      </c>
    </row>
    <row r="40" spans="3:6" s="47" customFormat="1" x14ac:dyDescent="0.2">
      <c r="D40" s="374" t="e">
        <f>#REF!</f>
        <v>#REF!</v>
      </c>
      <c r="F40" s="70" t="s">
        <v>47</v>
      </c>
    </row>
    <row r="41" spans="3:6" s="47" customFormat="1" x14ac:dyDescent="0.2">
      <c r="D41" s="374" t="e">
        <f>#REF!</f>
        <v>#REF!</v>
      </c>
      <c r="F41" s="70" t="s">
        <v>47</v>
      </c>
    </row>
    <row r="42" spans="3:6" s="47" customFormat="1" x14ac:dyDescent="0.2">
      <c r="D42" s="374" t="e">
        <f>#REF!</f>
        <v>#REF!</v>
      </c>
      <c r="F42" s="70" t="s">
        <v>47</v>
      </c>
    </row>
    <row r="43" spans="3:6" s="47" customFormat="1" x14ac:dyDescent="0.2">
      <c r="D43" s="374" t="e">
        <f>#REF!</f>
        <v>#REF!</v>
      </c>
      <c r="F43" s="70" t="s">
        <v>47</v>
      </c>
    </row>
    <row r="44" spans="3:6" s="47" customFormat="1" x14ac:dyDescent="0.2">
      <c r="D44" s="374" t="e">
        <f>#REF!</f>
        <v>#REF!</v>
      </c>
      <c r="F44" s="70" t="s">
        <v>47</v>
      </c>
    </row>
    <row r="45" spans="3:6" s="47" customFormat="1" x14ac:dyDescent="0.2">
      <c r="D45" s="374" t="e">
        <f>#REF!</f>
        <v>#REF!</v>
      </c>
      <c r="F45" s="70" t="s">
        <v>47</v>
      </c>
    </row>
    <row r="46" spans="3:6" s="47" customFormat="1" x14ac:dyDescent="0.2">
      <c r="D46" s="374" t="e">
        <f>#REF!</f>
        <v>#REF!</v>
      </c>
      <c r="F46" s="70" t="s">
        <v>47</v>
      </c>
    </row>
    <row r="47" spans="3:6" s="47" customFormat="1" x14ac:dyDescent="0.2">
      <c r="D47" s="374" t="e">
        <f>#REF!</f>
        <v>#REF!</v>
      </c>
      <c r="F47" s="70" t="s">
        <v>47</v>
      </c>
    </row>
    <row r="48" spans="3:6" s="47" customFormat="1" x14ac:dyDescent="0.2">
      <c r="D48" s="374" t="e">
        <f>#REF!</f>
        <v>#REF!</v>
      </c>
      <c r="F48" s="70" t="s">
        <v>47</v>
      </c>
    </row>
    <row r="50" spans="3:6" ht="15.75" x14ac:dyDescent="0.2">
      <c r="C50" s="51" t="s">
        <v>643</v>
      </c>
      <c r="F50" s="51" t="s">
        <v>32</v>
      </c>
    </row>
    <row r="52" spans="3:6" x14ac:dyDescent="0.2">
      <c r="D52" s="290" t="s">
        <v>644</v>
      </c>
      <c r="F52" s="317" t="s">
        <v>645</v>
      </c>
    </row>
    <row r="53" spans="3:6" s="47" customFormat="1" x14ac:dyDescent="0.2">
      <c r="D53" s="374" t="e">
        <f>#REF!</f>
        <v>#REF!</v>
      </c>
      <c r="F53" s="70" t="s">
        <v>47</v>
      </c>
    </row>
    <row r="54" spans="3:6" x14ac:dyDescent="0.2">
      <c r="D54" s="374" t="e">
        <f>#REF!</f>
        <v>#REF!</v>
      </c>
      <c r="F54" s="70" t="s">
        <v>47</v>
      </c>
    </row>
    <row r="55" spans="3:6" s="47" customFormat="1" x14ac:dyDescent="0.2">
      <c r="D55" s="374" t="e">
        <f>#REF!</f>
        <v>#REF!</v>
      </c>
      <c r="F55" s="70" t="s">
        <v>47</v>
      </c>
    </row>
    <row r="56" spans="3:6" s="47" customFormat="1" x14ac:dyDescent="0.2">
      <c r="D56" s="374" t="e">
        <f>#REF!</f>
        <v>#REF!</v>
      </c>
      <c r="F56" s="70" t="s">
        <v>47</v>
      </c>
    </row>
    <row r="57" spans="3:6" s="47" customFormat="1" x14ac:dyDescent="0.2">
      <c r="D57" s="374" t="e">
        <f>#REF!</f>
        <v>#REF!</v>
      </c>
      <c r="F57" s="70" t="s">
        <v>47</v>
      </c>
    </row>
    <row r="58" spans="3:6" s="47" customFormat="1" x14ac:dyDescent="0.2">
      <c r="D58" s="374" t="e">
        <f>#REF!</f>
        <v>#REF!</v>
      </c>
      <c r="F58" s="70" t="s">
        <v>47</v>
      </c>
    </row>
    <row r="59" spans="3:6" s="47" customFormat="1" x14ac:dyDescent="0.2">
      <c r="D59" s="374" t="e">
        <f>#REF!</f>
        <v>#REF!</v>
      </c>
      <c r="F59" s="70" t="s">
        <v>47</v>
      </c>
    </row>
    <row r="60" spans="3:6" s="47" customFormat="1" x14ac:dyDescent="0.2">
      <c r="D60" s="374" t="e">
        <f>#REF!</f>
        <v>#REF!</v>
      </c>
      <c r="F60" s="70" t="s">
        <v>47</v>
      </c>
    </row>
    <row r="61" spans="3:6" s="47" customFormat="1" x14ac:dyDescent="0.2">
      <c r="D61" s="374" t="e">
        <f>#REF!</f>
        <v>#REF!</v>
      </c>
      <c r="F61" s="70" t="s">
        <v>47</v>
      </c>
    </row>
    <row r="62" spans="3:6" s="47" customFormat="1" x14ac:dyDescent="0.2">
      <c r="D62" s="374" t="e">
        <f>#REF!</f>
        <v>#REF!</v>
      </c>
      <c r="F62" s="70" t="s">
        <v>47</v>
      </c>
    </row>
    <row r="63" spans="3:6" s="47" customFormat="1" x14ac:dyDescent="0.2">
      <c r="D63" s="374" t="e">
        <f>#REF!</f>
        <v>#REF!</v>
      </c>
      <c r="F63" s="70" t="s">
        <v>47</v>
      </c>
    </row>
    <row r="64" spans="3:6" s="47" customFormat="1" x14ac:dyDescent="0.2">
      <c r="D64" s="374" t="e">
        <f>#REF!</f>
        <v>#REF!</v>
      </c>
      <c r="F64" s="70" t="s">
        <v>47</v>
      </c>
    </row>
    <row r="110" spans="3:6" ht="15.75" x14ac:dyDescent="0.2">
      <c r="C110" s="51" t="s">
        <v>212</v>
      </c>
      <c r="F110" s="51" t="s">
        <v>32</v>
      </c>
    </row>
    <row r="112" spans="3:6" x14ac:dyDescent="0.2">
      <c r="D112" s="290" t="s">
        <v>213</v>
      </c>
      <c r="F112" s="599" t="s">
        <v>237</v>
      </c>
    </row>
    <row r="113" spans="2:6" x14ac:dyDescent="0.2">
      <c r="D113" s="289" t="str">
        <f>Oth_Ann_TA!D97</f>
        <v>USD</v>
      </c>
      <c r="F113" s="342" t="s">
        <v>47</v>
      </c>
    </row>
    <row r="114" spans="2:6" s="322" customFormat="1" x14ac:dyDescent="0.2">
      <c r="D114" s="374" t="str">
        <f>Oth_Ann_TA!D98</f>
        <v>ZMW</v>
      </c>
      <c r="F114" s="342" t="s">
        <v>47</v>
      </c>
    </row>
    <row r="116" spans="2:6" ht="15.75" x14ac:dyDescent="0.2">
      <c r="C116" s="51" t="s">
        <v>37</v>
      </c>
      <c r="F116" s="51" t="s">
        <v>32</v>
      </c>
    </row>
    <row r="118" spans="2:6" x14ac:dyDescent="0.2">
      <c r="D118" s="290" t="s">
        <v>37</v>
      </c>
      <c r="F118" s="316" t="s">
        <v>240</v>
      </c>
    </row>
    <row r="119" spans="2:6" x14ac:dyDescent="0.2">
      <c r="D119" s="320" t="str">
        <f>INDEX(LU_Train_Curr,DD_Train_Curr)&amp;CHOOSE(ROWS(D$119:D119),""," '000"," Millions"," Billions")</f>
        <v>USD</v>
      </c>
      <c r="F119" s="70" t="s">
        <v>47</v>
      </c>
    </row>
    <row r="120" spans="2:6" x14ac:dyDescent="0.2">
      <c r="D120" s="320" t="str">
        <f>INDEX(LU_Train_Curr,DD_Train_Curr)&amp;CHOOSE(ROWS(D$119:D120),""," '000"," Millions"," Billions")</f>
        <v>USD '000</v>
      </c>
      <c r="F120" s="70" t="s">
        <v>47</v>
      </c>
    </row>
    <row r="121" spans="2:6" x14ac:dyDescent="0.2">
      <c r="D121" s="320" t="str">
        <f>INDEX(LU_Train_Curr,DD_Train_Curr)&amp;CHOOSE(ROWS(D$119:D121),""," '000"," Millions"," Billions")</f>
        <v>USD Millions</v>
      </c>
      <c r="F121" s="70" t="s">
        <v>47</v>
      </c>
    </row>
    <row r="122" spans="2:6" x14ac:dyDescent="0.2">
      <c r="D122" s="320" t="str">
        <f>INDEX(LU_Train_Curr,DD_Train_Curr)&amp;CHOOSE(ROWS(D$119:D122),""," '000"," Millions"," Billions")</f>
        <v>USD Billions</v>
      </c>
      <c r="F122" s="70" t="s">
        <v>47</v>
      </c>
    </row>
    <row r="125" spans="2:6" ht="18.75" x14ac:dyDescent="0.2">
      <c r="B125" s="427" t="s">
        <v>97</v>
      </c>
    </row>
    <row r="127" spans="2:6" ht="15.75" x14ac:dyDescent="0.2">
      <c r="C127" s="51" t="s">
        <v>85</v>
      </c>
      <c r="F127" s="51" t="s">
        <v>32</v>
      </c>
    </row>
    <row r="129" spans="3:6" x14ac:dyDescent="0.2">
      <c r="D129" s="290" t="s">
        <v>85</v>
      </c>
      <c r="F129" s="414" t="s">
        <v>209</v>
      </c>
    </row>
    <row r="130" spans="3:6" x14ac:dyDescent="0.2">
      <c r="D130" s="374" t="e">
        <f>#REF!</f>
        <v>#REF!</v>
      </c>
      <c r="F130" s="342" t="s">
        <v>47</v>
      </c>
    </row>
    <row r="131" spans="3:6" s="47" customFormat="1" x14ac:dyDescent="0.2">
      <c r="D131" s="374" t="e">
        <f>#REF!</f>
        <v>#REF!</v>
      </c>
      <c r="F131" s="342" t="s">
        <v>47</v>
      </c>
    </row>
    <row r="132" spans="3:6" s="47" customFormat="1" x14ac:dyDescent="0.2">
      <c r="D132" s="374" t="e">
        <f>#REF!</f>
        <v>#REF!</v>
      </c>
      <c r="F132" s="342" t="s">
        <v>47</v>
      </c>
    </row>
    <row r="133" spans="3:6" s="47" customFormat="1" x14ac:dyDescent="0.2">
      <c r="D133" s="374" t="e">
        <f>#REF!</f>
        <v>#REF!</v>
      </c>
      <c r="F133" s="342" t="s">
        <v>47</v>
      </c>
    </row>
    <row r="134" spans="3:6" s="322" customFormat="1" x14ac:dyDescent="0.2">
      <c r="D134" s="374" t="e">
        <f>#REF!</f>
        <v>#REF!</v>
      </c>
      <c r="F134" s="342" t="s">
        <v>47</v>
      </c>
    </row>
    <row r="136" spans="3:6" ht="15.75" x14ac:dyDescent="0.2">
      <c r="C136" s="51" t="s">
        <v>212</v>
      </c>
      <c r="F136" s="51" t="s">
        <v>32</v>
      </c>
    </row>
    <row r="138" spans="3:6" x14ac:dyDescent="0.2">
      <c r="D138" s="290" t="s">
        <v>213</v>
      </c>
      <c r="F138" s="599" t="s">
        <v>238</v>
      </c>
    </row>
    <row r="139" spans="3:6" x14ac:dyDescent="0.2">
      <c r="D139" s="289" t="str">
        <f>Oth_Ann_TA!D179</f>
        <v>USD</v>
      </c>
      <c r="F139" s="342" t="s">
        <v>47</v>
      </c>
    </row>
    <row r="140" spans="3:6" s="322" customFormat="1" x14ac:dyDescent="0.2">
      <c r="D140" s="374" t="str">
        <f>Oth_Ann_TA!D180</f>
        <v>ZMW</v>
      </c>
      <c r="F140" s="342" t="s">
        <v>47</v>
      </c>
    </row>
    <row r="142" spans="3:6" ht="15.75" x14ac:dyDescent="0.2">
      <c r="C142" s="51" t="s">
        <v>37</v>
      </c>
      <c r="F142" s="51" t="s">
        <v>32</v>
      </c>
    </row>
    <row r="144" spans="3:6" x14ac:dyDescent="0.2">
      <c r="D144" s="290" t="s">
        <v>37</v>
      </c>
      <c r="F144" s="316" t="s">
        <v>241</v>
      </c>
    </row>
    <row r="145" spans="2:6" x14ac:dyDescent="0.2">
      <c r="D145" s="320" t="str">
        <f>INDEX(LU_Comm_Curr,DD_Comm_Curr)&amp;CHOOSE(ROWS(D$145:D145),""," '000"," Millions"," Billions")</f>
        <v>USD</v>
      </c>
      <c r="F145" s="70" t="s">
        <v>47</v>
      </c>
    </row>
    <row r="146" spans="2:6" x14ac:dyDescent="0.2">
      <c r="D146" s="320" t="str">
        <f>INDEX(LU_Comm_Curr,DD_Comm_Curr)&amp;CHOOSE(ROWS(D$145:D146),""," '000"," Millions"," Billions")</f>
        <v>USD '000</v>
      </c>
      <c r="F146" s="70" t="s">
        <v>47</v>
      </c>
    </row>
    <row r="147" spans="2:6" x14ac:dyDescent="0.2">
      <c r="D147" s="320" t="str">
        <f>INDEX(LU_Comm_Curr,DD_Comm_Curr)&amp;CHOOSE(ROWS(D$145:D147),""," '000"," Millions"," Billions")</f>
        <v>USD Millions</v>
      </c>
      <c r="F147" s="70" t="s">
        <v>47</v>
      </c>
    </row>
    <row r="148" spans="2:6" x14ac:dyDescent="0.2">
      <c r="D148" s="320" t="str">
        <f>INDEX(LU_Comm_Curr,DD_Comm_Curr)&amp;CHOOSE(ROWS(D$145:D148),""," '000"," Millions"," Billions")</f>
        <v>USD Billions</v>
      </c>
      <c r="F148" s="70" t="s">
        <v>47</v>
      </c>
    </row>
    <row r="151" spans="2:6" ht="18.75" x14ac:dyDescent="0.2">
      <c r="B151" s="427" t="s">
        <v>126</v>
      </c>
    </row>
    <row r="153" spans="2:6" ht="15.75" x14ac:dyDescent="0.2">
      <c r="C153" s="51" t="s">
        <v>85</v>
      </c>
      <c r="F153" s="51" t="s">
        <v>32</v>
      </c>
    </row>
    <row r="155" spans="2:6" x14ac:dyDescent="0.2">
      <c r="D155" s="290" t="s">
        <v>85</v>
      </c>
      <c r="F155" s="414" t="s">
        <v>210</v>
      </c>
    </row>
    <row r="156" spans="2:6" x14ac:dyDescent="0.2">
      <c r="D156" s="289" t="str">
        <f>Oth_Ann_TA!D243</f>
        <v>Total Active Facilities (VIA)</v>
      </c>
      <c r="F156" s="342" t="s">
        <v>47</v>
      </c>
    </row>
    <row r="157" spans="2:6" s="47" customFormat="1" x14ac:dyDescent="0.2">
      <c r="D157" s="289" t="str">
        <f>Oth_Ann_TA!D244</f>
        <v>All Active Screening Facilities</v>
      </c>
      <c r="F157" s="342" t="s">
        <v>47</v>
      </c>
    </row>
    <row r="158" spans="2:6" s="322" customFormat="1" x14ac:dyDescent="0.2">
      <c r="D158" s="374" t="str">
        <f>Oth_Ann_TA!D245</f>
        <v>Total Screened Population</v>
      </c>
      <c r="F158" s="342" t="s">
        <v>47</v>
      </c>
    </row>
    <row r="159" spans="2:6" s="322" customFormat="1" x14ac:dyDescent="0.2">
      <c r="D159" s="374" t="str">
        <f>Oth_Ann_TA!D246</f>
        <v>National Programme</v>
      </c>
      <c r="F159" s="342" t="s">
        <v>47</v>
      </c>
    </row>
    <row r="160" spans="2:6" s="322" customFormat="1" x14ac:dyDescent="0.2">
      <c r="D160" s="374" t="str">
        <f>Oth_Ann_TA!D247</f>
        <v>Not Applicable</v>
      </c>
      <c r="F160" s="342" t="s">
        <v>47</v>
      </c>
    </row>
    <row r="162" spans="3:6" ht="15.75" x14ac:dyDescent="0.2">
      <c r="C162" s="51" t="s">
        <v>212</v>
      </c>
      <c r="F162" s="51" t="s">
        <v>32</v>
      </c>
    </row>
    <row r="164" spans="3:6" x14ac:dyDescent="0.2">
      <c r="D164" s="290" t="s">
        <v>213</v>
      </c>
      <c r="F164" s="599" t="s">
        <v>239</v>
      </c>
    </row>
    <row r="165" spans="3:6" x14ac:dyDescent="0.2">
      <c r="D165" s="289" t="str">
        <f>Oth_Ann_TA!D253</f>
        <v>USD</v>
      </c>
      <c r="F165" s="342" t="s">
        <v>47</v>
      </c>
    </row>
    <row r="166" spans="3:6" s="322" customFormat="1" x14ac:dyDescent="0.2">
      <c r="D166" s="374" t="str">
        <f>Oth_Ann_TA!D254</f>
        <v>ZMW</v>
      </c>
      <c r="F166" s="342" t="s">
        <v>47</v>
      </c>
    </row>
    <row r="168" spans="3:6" ht="15.75" x14ac:dyDescent="0.2">
      <c r="C168" s="51" t="s">
        <v>37</v>
      </c>
      <c r="F168" s="51" t="s">
        <v>32</v>
      </c>
    </row>
    <row r="170" spans="3:6" x14ac:dyDescent="0.2">
      <c r="D170" s="290" t="s">
        <v>37</v>
      </c>
      <c r="F170" s="316" t="s">
        <v>242</v>
      </c>
    </row>
    <row r="171" spans="3:6" x14ac:dyDescent="0.2">
      <c r="D171" s="320" t="str">
        <f>INDEX(LU_SME_Curr,DD_SME_Curr)&amp;CHOOSE(ROWS(D$171:D171),""," '000"," Millions"," Billions")</f>
        <v>USD</v>
      </c>
      <c r="F171" s="70" t="s">
        <v>47</v>
      </c>
    </row>
    <row r="172" spans="3:6" x14ac:dyDescent="0.2">
      <c r="D172" s="320" t="str">
        <f>INDEX(LU_SME_Curr,DD_SME_Curr)&amp;CHOOSE(ROWS(D$171:D172),""," '000"," Millions"," Billions")</f>
        <v>USD '000</v>
      </c>
      <c r="F172" s="70" t="s">
        <v>47</v>
      </c>
    </row>
    <row r="173" spans="3:6" x14ac:dyDescent="0.2">
      <c r="D173" s="320" t="str">
        <f>INDEX(LU_SME_Curr,DD_SME_Curr)&amp;CHOOSE(ROWS(D$171:D173),""," '000"," Millions"," Billions")</f>
        <v>USD Millions</v>
      </c>
      <c r="F173" s="70" t="s">
        <v>47</v>
      </c>
    </row>
    <row r="174" spans="3:6" x14ac:dyDescent="0.2">
      <c r="D174" s="320" t="str">
        <f>INDEX(LU_SME_Curr,DD_SME_Curr)&amp;CHOOSE(ROWS(D$171:D174),""," '000"," Millions"," Billions")</f>
        <v>USD Billions</v>
      </c>
      <c r="F174" s="70" t="s">
        <v>47</v>
      </c>
    </row>
    <row r="177" spans="2:6" ht="18.75" x14ac:dyDescent="0.2">
      <c r="B177" s="427" t="s">
        <v>243</v>
      </c>
    </row>
    <row r="179" spans="2:6" ht="15.75" x14ac:dyDescent="0.2">
      <c r="C179" s="51" t="s">
        <v>212</v>
      </c>
      <c r="F179" s="51" t="s">
        <v>32</v>
      </c>
    </row>
    <row r="181" spans="2:6" x14ac:dyDescent="0.2">
      <c r="D181" s="290" t="s">
        <v>213</v>
      </c>
      <c r="F181" s="599" t="s">
        <v>244</v>
      </c>
    </row>
    <row r="182" spans="2:6" x14ac:dyDescent="0.2">
      <c r="D182" s="289" t="str">
        <f>Oth_Ann_TA!D295</f>
        <v>USD</v>
      </c>
      <c r="F182" s="342" t="s">
        <v>47</v>
      </c>
    </row>
    <row r="183" spans="2:6" s="322" customFormat="1" x14ac:dyDescent="0.2">
      <c r="D183" s="374" t="str">
        <f>Oth_Ann_TA!D296</f>
        <v>ZMW</v>
      </c>
      <c r="F183" s="342" t="s">
        <v>47</v>
      </c>
    </row>
    <row r="185" spans="2:6" ht="15.75" x14ac:dyDescent="0.2">
      <c r="C185" s="51" t="s">
        <v>37</v>
      </c>
      <c r="F185" s="51" t="s">
        <v>32</v>
      </c>
    </row>
    <row r="187" spans="2:6" x14ac:dyDescent="0.2">
      <c r="D187" s="290" t="s">
        <v>37</v>
      </c>
      <c r="F187" s="316" t="s">
        <v>245</v>
      </c>
    </row>
    <row r="188" spans="2:6" x14ac:dyDescent="0.2">
      <c r="D188" s="320" t="str">
        <f>INDEX(LU_Oth_Curr,DD_Oth_Curr)&amp;CHOOSE(ROWS(D$188:D188),""," '000"," Millions"," Billions")</f>
        <v>USD</v>
      </c>
      <c r="F188" s="70" t="s">
        <v>47</v>
      </c>
    </row>
    <row r="189" spans="2:6" x14ac:dyDescent="0.2">
      <c r="D189" s="320" t="str">
        <f>INDEX(LU_Oth_Curr,DD_Oth_Curr)&amp;CHOOSE(ROWS(D$188:D189),""," '000"," Millions"," Billions")</f>
        <v>USD '000</v>
      </c>
      <c r="F189" s="70" t="s">
        <v>47</v>
      </c>
    </row>
    <row r="190" spans="2:6" x14ac:dyDescent="0.2">
      <c r="D190" s="320" t="str">
        <f>INDEX(LU_Oth_Curr,DD_Oth_Curr)&amp;CHOOSE(ROWS(D$188:D190),""," '000"," Millions"," Billions")</f>
        <v>USD Millions</v>
      </c>
      <c r="F190" s="70" t="s">
        <v>47</v>
      </c>
    </row>
    <row r="191" spans="2:6" x14ac:dyDescent="0.2">
      <c r="D191" s="320" t="str">
        <f>INDEX(LU_Oth_Curr,DD_Oth_Curr)&amp;CHOOSE(ROWS(D$188:D191),""," '000"," Millions"," Billions")</f>
        <v>USD Billions</v>
      </c>
      <c r="F191" s="70" t="s">
        <v>47</v>
      </c>
    </row>
  </sheetData>
  <sheetProtection password="F0F4" sheet="1" scenarios="1"/>
  <mergeCells count="1">
    <mergeCell ref="B3:D3"/>
  </mergeCells>
  <hyperlinks>
    <hyperlink ref="A4" location="$B$5" tooltip="Go to Top of Sheet" display="$B$5"/>
    <hyperlink ref="B4" location="HL_Sheet_Main_41" tooltip="Go to Previous Sheet" display="HL_Sheet_Main_41"/>
    <hyperlink ref="C4" location="HL_Sheet_Main_13" tooltip="Go to Next Sheet" display="HL_Sheet_Main_13"/>
    <hyperlink ref="B3"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1">
    <tabColor rgb="FF7030A0"/>
    <pageSetUpPr autoPageBreaks="0"/>
  </sheetPr>
  <dimension ref="A1:F17"/>
  <sheetViews>
    <sheetView showGridLines="0" zoomScaleNormal="100" workbookViewId="0">
      <selection activeCell="D12" sqref="D12"/>
    </sheetView>
  </sheetViews>
  <sheetFormatPr defaultColWidth="11.7109375" defaultRowHeight="12.75" x14ac:dyDescent="0.2"/>
  <cols>
    <col min="1" max="3" width="3.7109375" style="49" customWidth="1"/>
    <col min="4" max="4" width="35.7109375" style="49" customWidth="1"/>
    <col min="5" max="5" width="3.7109375" style="49" customWidth="1"/>
    <col min="6" max="6" width="35.7109375" style="49" customWidth="1"/>
    <col min="7" max="7" width="3.7109375" style="49" customWidth="1"/>
    <col min="8" max="16384" width="11.7109375" style="49"/>
  </cols>
  <sheetData>
    <row r="1" spans="1:6" ht="23.25" x14ac:dyDescent="0.2">
      <c r="A1" s="422"/>
      <c r="B1" s="100" t="s">
        <v>278</v>
      </c>
    </row>
    <row r="2" spans="1:6" ht="18.75" x14ac:dyDescent="0.2">
      <c r="B2" s="101" t="str">
        <f>Model_Name</f>
        <v>Zambia C4P* - Screening &amp; Treatment Tool</v>
      </c>
    </row>
    <row r="3" spans="1:6" x14ac:dyDescent="0.2">
      <c r="B3" s="716" t="s">
        <v>2</v>
      </c>
      <c r="C3" s="716"/>
      <c r="D3" s="716"/>
    </row>
    <row r="4" spans="1:6" x14ac:dyDescent="0.2">
      <c r="A4" s="102" t="s">
        <v>4</v>
      </c>
      <c r="B4" s="343" t="s">
        <v>6</v>
      </c>
      <c r="C4" s="344" t="s">
        <v>7</v>
      </c>
    </row>
    <row r="5" spans="1:6" s="327" customFormat="1" x14ac:dyDescent="0.2"/>
    <row r="6" spans="1:6" s="327" customFormat="1" x14ac:dyDescent="0.2"/>
    <row r="7" spans="1:6" s="327" customFormat="1" ht="18.75" x14ac:dyDescent="0.2">
      <c r="B7" s="329" t="s">
        <v>279</v>
      </c>
    </row>
    <row r="8" spans="1:6" s="327" customFormat="1" x14ac:dyDescent="0.2"/>
    <row r="9" spans="1:6" s="327" customFormat="1" ht="15.75" x14ac:dyDescent="0.2">
      <c r="C9" s="330" t="s">
        <v>271</v>
      </c>
      <c r="F9" s="330" t="s">
        <v>32</v>
      </c>
    </row>
    <row r="10" spans="1:6" s="327" customFormat="1" x14ac:dyDescent="0.2"/>
    <row r="11" spans="1:6" s="327" customFormat="1" x14ac:dyDescent="0.2">
      <c r="D11" s="331" t="s">
        <v>271</v>
      </c>
      <c r="F11" s="518" t="s">
        <v>76</v>
      </c>
    </row>
    <row r="12" spans="1:6" s="327" customFormat="1" x14ac:dyDescent="0.2">
      <c r="D12" s="328">
        <f>INDEX(Reg_Pop_Ann_TA!J$5:O$5,ROWS(D$12:D12))</f>
        <v>2015</v>
      </c>
      <c r="F12" s="375" t="s">
        <v>47</v>
      </c>
    </row>
    <row r="13" spans="1:6" s="327" customFormat="1" x14ac:dyDescent="0.2">
      <c r="D13" s="328">
        <f>INDEX(Reg_Pop_Ann_TA!J$5:O$5,ROWS(D$12:D13))</f>
        <v>2016</v>
      </c>
      <c r="F13" s="375" t="s">
        <v>47</v>
      </c>
    </row>
    <row r="14" spans="1:6" s="327" customFormat="1" x14ac:dyDescent="0.2">
      <c r="D14" s="328">
        <f>INDEX(Reg_Pop_Ann_TA!J$5:O$5,ROWS(D$12:D14))</f>
        <v>2017</v>
      </c>
      <c r="F14" s="375" t="s">
        <v>47</v>
      </c>
    </row>
    <row r="15" spans="1:6" s="327" customFormat="1" x14ac:dyDescent="0.2">
      <c r="D15" s="328">
        <f>INDEX(Reg_Pop_Ann_TA!J$5:O$5,ROWS(D$12:D15))</f>
        <v>2018</v>
      </c>
      <c r="F15" s="375" t="s">
        <v>47</v>
      </c>
    </row>
    <row r="16" spans="1:6" s="327" customFormat="1" x14ac:dyDescent="0.2">
      <c r="D16" s="328">
        <f>INDEX(Reg_Pop_Ann_TA!J$5:O$5,ROWS(D$12:D16))</f>
        <v>2019</v>
      </c>
      <c r="F16" s="375" t="s">
        <v>47</v>
      </c>
    </row>
    <row r="17" spans="4:6" s="327" customFormat="1" x14ac:dyDescent="0.2">
      <c r="D17" s="328">
        <f>INDEX(Reg_Pop_Ann_TA!J$5:O$5,ROWS(D$12:D17))</f>
        <v>2020</v>
      </c>
      <c r="F17" s="375" t="s">
        <v>47</v>
      </c>
    </row>
  </sheetData>
  <sheetProtection password="F0F4" sheet="1" scenarios="1"/>
  <mergeCells count="1">
    <mergeCell ref="B3:D3"/>
  </mergeCells>
  <hyperlinks>
    <hyperlink ref="A4" location="$B$5" tooltip="Go to Top of Sheet" display="$B$5"/>
    <hyperlink ref="C4" location="HL_Sheet_Main_64" tooltip="Go to Next Sheet" display="HL_Sheet_Main_64"/>
    <hyperlink ref="B4" location="HL_Sheet_Main_5" tooltip="Go to Previous Sheet" display="HL_Sheet_Main_5"/>
    <hyperlink ref="B3" location="HL_Home" tooltip="Go to Table of Contents" display="HL_Home"/>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7030A0"/>
    <pageSetUpPr autoPageBreaks="0"/>
  </sheetPr>
  <dimension ref="A1:F14"/>
  <sheetViews>
    <sheetView showGridLines="0" zoomScaleNormal="100" workbookViewId="0">
      <pane xSplit="1" ySplit="4" topLeftCell="B5" activePane="bottomRight" state="frozen"/>
      <selection pane="topRight"/>
      <selection pane="bottomLeft"/>
      <selection pane="bottomRight" activeCell="F14" sqref="F14"/>
    </sheetView>
  </sheetViews>
  <sheetFormatPr defaultColWidth="11.7109375" defaultRowHeight="12.75" x14ac:dyDescent="0.2"/>
  <cols>
    <col min="1" max="3" width="3.7109375" customWidth="1"/>
    <col min="4" max="4" width="35.7109375" customWidth="1"/>
    <col min="5" max="5" width="3.7109375" customWidth="1"/>
    <col min="6" max="6" width="35.7109375" customWidth="1"/>
    <col min="7" max="7" width="3.7109375" customWidth="1"/>
  </cols>
  <sheetData>
    <row r="1" spans="1:6" ht="23.25" x14ac:dyDescent="0.2">
      <c r="A1" s="420"/>
      <c r="B1" s="333" t="s">
        <v>1008</v>
      </c>
    </row>
    <row r="2" spans="1:6" ht="18.75" x14ac:dyDescent="0.2">
      <c r="B2" s="334" t="str">
        <f>Model_Name</f>
        <v>Zambia C4P* - Screening &amp; Treatment Tool</v>
      </c>
    </row>
    <row r="3" spans="1:6" x14ac:dyDescent="0.2">
      <c r="B3" s="702" t="s">
        <v>2</v>
      </c>
      <c r="C3" s="702"/>
      <c r="D3" s="702"/>
    </row>
    <row r="4" spans="1:6" x14ac:dyDescent="0.2">
      <c r="A4" s="323" t="s">
        <v>4</v>
      </c>
      <c r="B4" s="337" t="s">
        <v>6</v>
      </c>
      <c r="C4" s="324" t="s">
        <v>7</v>
      </c>
    </row>
    <row r="5" spans="1:6" s="327" customFormat="1" x14ac:dyDescent="0.2"/>
    <row r="6" spans="1:6" s="327" customFormat="1" x14ac:dyDescent="0.2"/>
    <row r="7" spans="1:6" s="327" customFormat="1" ht="18.75" x14ac:dyDescent="0.2">
      <c r="B7" s="329" t="s">
        <v>1009</v>
      </c>
    </row>
    <row r="8" spans="1:6" s="327" customFormat="1" x14ac:dyDescent="0.2"/>
    <row r="9" spans="1:6" s="327" customFormat="1" ht="15.75" x14ac:dyDescent="0.2">
      <c r="C9" s="330" t="s">
        <v>212</v>
      </c>
    </row>
    <row r="10" spans="1:6" s="327" customFormat="1" ht="15.75" x14ac:dyDescent="0.2">
      <c r="C10" s="330" t="s">
        <v>1121</v>
      </c>
      <c r="F10" s="330" t="s">
        <v>32</v>
      </c>
    </row>
    <row r="11" spans="1:6" s="327" customFormat="1" x14ac:dyDescent="0.2"/>
    <row r="12" spans="1:6" s="327" customFormat="1" x14ac:dyDescent="0.2">
      <c r="D12" s="331" t="s">
        <v>812</v>
      </c>
      <c r="F12" s="598" t="s">
        <v>1122</v>
      </c>
    </row>
    <row r="13" spans="1:6" s="327" customFormat="1" x14ac:dyDescent="0.2">
      <c r="D13" s="328" t="str">
        <f>PLUG_IN_3_TRAIN_BA!D151</f>
        <v>USD</v>
      </c>
      <c r="F13" s="375" t="s">
        <v>47</v>
      </c>
    </row>
    <row r="14" spans="1:6" x14ac:dyDescent="0.2">
      <c r="D14" s="374" t="str">
        <f>PLUG_IN_3_TRAIN_BA!D152</f>
        <v>ZMW</v>
      </c>
      <c r="F14" s="342" t="s">
        <v>47</v>
      </c>
    </row>
  </sheetData>
  <sheetProtection password="F0F4" sheet="1" scenarios="1"/>
  <mergeCells count="1">
    <mergeCell ref="B3:D3"/>
  </mergeCells>
  <hyperlinks>
    <hyperlink ref="A4" location="$B$5" tooltip="Go to Top of Sheet" display="$B$5"/>
    <hyperlink ref="B4" location="HL_Sheet_Main_13" tooltip="Go to Previous Sheet" display="HL_Sheet_Main_13"/>
    <hyperlink ref="C4" location="HL_Sheet_Main_62" tooltip="Go to Next Sheet" display="HL_Sheet_Main_62"/>
    <hyperlink ref="B3"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7030A0"/>
    <pageSetUpPr autoPageBreaks="0"/>
  </sheetPr>
  <dimension ref="A1:F14"/>
  <sheetViews>
    <sheetView showGridLines="0" zoomScaleNormal="100" workbookViewId="0">
      <pane xSplit="1" ySplit="4" topLeftCell="B5" activePane="bottomRight" state="frozen"/>
      <selection pane="topRight"/>
      <selection pane="bottomLeft"/>
      <selection pane="bottomRight" activeCell="F14" sqref="F14"/>
    </sheetView>
  </sheetViews>
  <sheetFormatPr defaultColWidth="11.7109375" defaultRowHeight="12.75" x14ac:dyDescent="0.2"/>
  <cols>
    <col min="1" max="3" width="3.7109375" customWidth="1"/>
    <col min="4" max="4" width="35.7109375" customWidth="1"/>
    <col min="5" max="5" width="3.7109375" customWidth="1"/>
    <col min="6" max="6" width="35.7109375" customWidth="1"/>
    <col min="7" max="7" width="3.7109375" customWidth="1"/>
  </cols>
  <sheetData>
    <row r="1" spans="1:6" ht="23.25" x14ac:dyDescent="0.2">
      <c r="A1" s="420"/>
      <c r="B1" s="333" t="s">
        <v>1123</v>
      </c>
    </row>
    <row r="2" spans="1:6" ht="18.75" x14ac:dyDescent="0.2">
      <c r="B2" s="334" t="str">
        <f>Model_Name</f>
        <v>Zambia C4P* - Screening &amp; Treatment Tool</v>
      </c>
    </row>
    <row r="3" spans="1:6" x14ac:dyDescent="0.2">
      <c r="B3" s="702" t="s">
        <v>2</v>
      </c>
      <c r="C3" s="702"/>
      <c r="D3" s="702"/>
    </row>
    <row r="4" spans="1:6" x14ac:dyDescent="0.2">
      <c r="A4" s="323" t="s">
        <v>4</v>
      </c>
      <c r="B4" s="337" t="s">
        <v>6</v>
      </c>
      <c r="C4" s="324" t="s">
        <v>7</v>
      </c>
    </row>
    <row r="5" spans="1:6" s="327" customFormat="1" x14ac:dyDescent="0.2"/>
    <row r="6" spans="1:6" s="327" customFormat="1" x14ac:dyDescent="0.2"/>
    <row r="7" spans="1:6" s="327" customFormat="1" ht="18.75" x14ac:dyDescent="0.2">
      <c r="B7" s="329" t="s">
        <v>1126</v>
      </c>
    </row>
    <row r="8" spans="1:6" s="327" customFormat="1" x14ac:dyDescent="0.2"/>
    <row r="9" spans="1:6" s="327" customFormat="1" ht="15.75" x14ac:dyDescent="0.2">
      <c r="C9" s="330" t="s">
        <v>212</v>
      </c>
    </row>
    <row r="10" spans="1:6" s="327" customFormat="1" ht="15.75" x14ac:dyDescent="0.2">
      <c r="C10" s="330" t="s">
        <v>1121</v>
      </c>
      <c r="F10" s="330" t="s">
        <v>32</v>
      </c>
    </row>
    <row r="11" spans="1:6" s="327" customFormat="1" x14ac:dyDescent="0.2"/>
    <row r="12" spans="1:6" s="327" customFormat="1" x14ac:dyDescent="0.2">
      <c r="D12" s="331" t="s">
        <v>812</v>
      </c>
      <c r="F12" s="598" t="s">
        <v>1127</v>
      </c>
    </row>
    <row r="13" spans="1:6" s="327" customFormat="1" x14ac:dyDescent="0.2">
      <c r="D13" s="328" t="str">
        <f>PLUG_IN_3_TRAIN_BA!D299</f>
        <v>USD</v>
      </c>
      <c r="F13" s="375" t="s">
        <v>47</v>
      </c>
    </row>
    <row r="14" spans="1:6" x14ac:dyDescent="0.2">
      <c r="D14" s="374" t="str">
        <f>PLUG_IN_3_TRAIN_BA!D300</f>
        <v>ZMW</v>
      </c>
      <c r="F14" s="342" t="s">
        <v>47</v>
      </c>
    </row>
  </sheetData>
  <sheetProtection password="F0F4" sheet="1" scenarios="1"/>
  <mergeCells count="1">
    <mergeCell ref="B3:D3"/>
  </mergeCells>
  <hyperlinks>
    <hyperlink ref="A4" location="$B$5" tooltip="Go to Top of Sheet" display="$B$5"/>
    <hyperlink ref="B4" location="HL_Sheet_Main_64" tooltip="Go to Previous Sheet" display="HL_Sheet_Main_64"/>
    <hyperlink ref="C4" location="HL_Sheet_Main_63" tooltip="Go to Next Sheet" display="HL_Sheet_Main_63"/>
    <hyperlink ref="B3"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7030A0"/>
    <pageSetUpPr autoPageBreaks="0"/>
  </sheetPr>
  <dimension ref="A1:F14"/>
  <sheetViews>
    <sheetView showGridLines="0" zoomScaleNormal="100" workbookViewId="0">
      <pane xSplit="1" ySplit="4" topLeftCell="B5" activePane="bottomRight" state="frozen"/>
      <selection pane="topRight"/>
      <selection pane="bottomLeft"/>
      <selection pane="bottomRight" activeCell="F14" sqref="F14"/>
    </sheetView>
  </sheetViews>
  <sheetFormatPr defaultColWidth="11.7109375" defaultRowHeight="12.75" x14ac:dyDescent="0.2"/>
  <cols>
    <col min="1" max="3" width="3.7109375" customWidth="1"/>
    <col min="4" max="4" width="35.7109375" customWidth="1"/>
    <col min="5" max="5" width="3.7109375" customWidth="1"/>
    <col min="6" max="6" width="35.7109375" customWidth="1"/>
    <col min="7" max="7" width="3.7109375" customWidth="1"/>
  </cols>
  <sheetData>
    <row r="1" spans="1:6" ht="23.25" x14ac:dyDescent="0.2">
      <c r="A1" s="420"/>
      <c r="B1" s="333" t="s">
        <v>1128</v>
      </c>
    </row>
    <row r="2" spans="1:6" ht="18.75" x14ac:dyDescent="0.2">
      <c r="B2" s="334" t="str">
        <f>Model_Name</f>
        <v>Zambia C4P* - Screening &amp; Treatment Tool</v>
      </c>
    </row>
    <row r="3" spans="1:6" x14ac:dyDescent="0.2">
      <c r="B3" s="702" t="s">
        <v>2</v>
      </c>
      <c r="C3" s="702"/>
      <c r="D3" s="702"/>
    </row>
    <row r="4" spans="1:6" x14ac:dyDescent="0.2">
      <c r="A4" s="323" t="s">
        <v>4</v>
      </c>
      <c r="B4" s="337" t="s">
        <v>6</v>
      </c>
      <c r="C4" s="324" t="s">
        <v>7</v>
      </c>
    </row>
    <row r="7" spans="1:6" ht="18.75" x14ac:dyDescent="0.2">
      <c r="B7" s="340" t="s">
        <v>1129</v>
      </c>
      <c r="C7" s="322"/>
      <c r="D7" s="322"/>
      <c r="E7" s="322"/>
      <c r="F7" s="322"/>
    </row>
    <row r="8" spans="1:6" x14ac:dyDescent="0.2">
      <c r="B8" s="322"/>
      <c r="C8" s="322"/>
      <c r="D8" s="322"/>
      <c r="E8" s="322"/>
      <c r="F8" s="322"/>
    </row>
    <row r="9" spans="1:6" ht="15.75" x14ac:dyDescent="0.2">
      <c r="B9" s="322"/>
      <c r="C9" s="339" t="s">
        <v>212</v>
      </c>
      <c r="D9" s="322"/>
      <c r="E9" s="322"/>
      <c r="F9" s="322"/>
    </row>
    <row r="10" spans="1:6" ht="15.75" x14ac:dyDescent="0.2">
      <c r="B10" s="322"/>
      <c r="C10" s="339" t="s">
        <v>1121</v>
      </c>
      <c r="D10" s="322"/>
      <c r="E10" s="322"/>
      <c r="F10" s="339" t="s">
        <v>32</v>
      </c>
    </row>
    <row r="11" spans="1:6" x14ac:dyDescent="0.2">
      <c r="B11" s="322"/>
      <c r="C11" s="322"/>
      <c r="D11" s="322"/>
      <c r="E11" s="322"/>
      <c r="F11" s="322"/>
    </row>
    <row r="12" spans="1:6" x14ac:dyDescent="0.2">
      <c r="B12" s="322"/>
      <c r="C12" s="322"/>
      <c r="D12" s="376" t="s">
        <v>812</v>
      </c>
      <c r="E12" s="322"/>
      <c r="F12" s="599" t="s">
        <v>1130</v>
      </c>
    </row>
    <row r="13" spans="1:6" x14ac:dyDescent="0.2">
      <c r="B13" s="322"/>
      <c r="C13" s="322"/>
      <c r="D13" s="374" t="str">
        <f>PLUG_IN_3_TRAIN_BA!D447</f>
        <v>USD</v>
      </c>
      <c r="E13" s="322"/>
      <c r="F13" s="342" t="s">
        <v>47</v>
      </c>
    </row>
    <row r="14" spans="1:6" x14ac:dyDescent="0.2">
      <c r="D14" s="374" t="str">
        <f>PLUG_IN_3_TRAIN_BA!D448</f>
        <v>ZMW</v>
      </c>
      <c r="F14" s="342" t="s">
        <v>47</v>
      </c>
    </row>
  </sheetData>
  <sheetProtection password="F0F4" sheet="1" scenarios="1"/>
  <mergeCells count="1">
    <mergeCell ref="B3:D3"/>
  </mergeCells>
  <hyperlinks>
    <hyperlink ref="A4" location="$B$5" tooltip="Go to Top of Sheet" display="$B$5"/>
    <hyperlink ref="B4" location="HL_Sheet_Main_62" tooltip="Go to Previous Sheet" display="HL_Sheet_Main_62"/>
    <hyperlink ref="C4" location="HL_Sheet_Main_65" tooltip="Go to Next Sheet" display="HL_Sheet_Main_65"/>
    <hyperlink ref="B3"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7030A0"/>
    <pageSetUpPr autoPageBreaks="0"/>
  </sheetPr>
  <dimension ref="A1:F14"/>
  <sheetViews>
    <sheetView showGridLines="0" zoomScaleNormal="100" workbookViewId="0">
      <pane xSplit="1" ySplit="4" topLeftCell="B5" activePane="bottomRight" state="frozen"/>
      <selection pane="topRight"/>
      <selection pane="bottomLeft"/>
      <selection pane="bottomRight" activeCell="F14" sqref="F14"/>
    </sheetView>
  </sheetViews>
  <sheetFormatPr defaultColWidth="11.7109375" defaultRowHeight="12.75" x14ac:dyDescent="0.2"/>
  <cols>
    <col min="1" max="3" width="3.7109375" customWidth="1"/>
    <col min="4" max="4" width="35.7109375" customWidth="1"/>
    <col min="5" max="5" width="3.7109375" customWidth="1"/>
    <col min="6" max="6" width="35.7109375" customWidth="1"/>
    <col min="7" max="7" width="3.7109375" customWidth="1"/>
  </cols>
  <sheetData>
    <row r="1" spans="1:6" ht="23.25" x14ac:dyDescent="0.2">
      <c r="A1" s="420"/>
      <c r="B1" s="333" t="s">
        <v>1131</v>
      </c>
    </row>
    <row r="2" spans="1:6" ht="18.75" x14ac:dyDescent="0.2">
      <c r="B2" s="334" t="str">
        <f>Model_Name</f>
        <v>Zambia C4P* - Screening &amp; Treatment Tool</v>
      </c>
    </row>
    <row r="3" spans="1:6" x14ac:dyDescent="0.2">
      <c r="B3" s="702" t="s">
        <v>2</v>
      </c>
      <c r="C3" s="702"/>
      <c r="D3" s="702"/>
    </row>
    <row r="4" spans="1:6" x14ac:dyDescent="0.2">
      <c r="A4" s="323" t="s">
        <v>4</v>
      </c>
      <c r="B4" s="337" t="s">
        <v>6</v>
      </c>
      <c r="C4" s="324" t="s">
        <v>7</v>
      </c>
    </row>
    <row r="7" spans="1:6" ht="18.75" x14ac:dyDescent="0.2">
      <c r="B7" s="340" t="s">
        <v>1132</v>
      </c>
      <c r="C7" s="322"/>
      <c r="D7" s="322"/>
      <c r="E7" s="322"/>
      <c r="F7" s="322"/>
    </row>
    <row r="8" spans="1:6" x14ac:dyDescent="0.2">
      <c r="B8" s="322"/>
      <c r="C8" s="322"/>
      <c r="D8" s="322"/>
      <c r="E8" s="322"/>
      <c r="F8" s="322"/>
    </row>
    <row r="9" spans="1:6" ht="15.75" x14ac:dyDescent="0.2">
      <c r="B9" s="322"/>
      <c r="C9" s="339" t="s">
        <v>212</v>
      </c>
      <c r="D9" s="322"/>
      <c r="E9" s="322"/>
      <c r="F9" s="322"/>
    </row>
    <row r="10" spans="1:6" ht="15.75" x14ac:dyDescent="0.2">
      <c r="B10" s="322"/>
      <c r="C10" s="339" t="s">
        <v>1121</v>
      </c>
      <c r="D10" s="322"/>
      <c r="E10" s="322"/>
      <c r="F10" s="339" t="s">
        <v>32</v>
      </c>
    </row>
    <row r="11" spans="1:6" x14ac:dyDescent="0.2">
      <c r="B11" s="322"/>
      <c r="C11" s="322"/>
      <c r="D11" s="322"/>
      <c r="E11" s="322"/>
      <c r="F11" s="322"/>
    </row>
    <row r="12" spans="1:6" x14ac:dyDescent="0.2">
      <c r="B12" s="322"/>
      <c r="C12" s="322"/>
      <c r="D12" s="376" t="s">
        <v>812</v>
      </c>
      <c r="E12" s="322"/>
      <c r="F12" s="599" t="s">
        <v>1133</v>
      </c>
    </row>
    <row r="13" spans="1:6" x14ac:dyDescent="0.2">
      <c r="B13" s="322"/>
      <c r="C13" s="322"/>
      <c r="D13" s="374" t="str">
        <f>PLUG_IN_3_TRAIN_BA!D595</f>
        <v>USD</v>
      </c>
      <c r="E13" s="322"/>
      <c r="F13" s="342" t="s">
        <v>47</v>
      </c>
    </row>
    <row r="14" spans="1:6" x14ac:dyDescent="0.2">
      <c r="D14" s="374" t="str">
        <f>PLUG_IN_3_TRAIN_BA!D596</f>
        <v>ZMW</v>
      </c>
      <c r="F14" s="342" t="s">
        <v>47</v>
      </c>
    </row>
  </sheetData>
  <sheetProtection password="F0F4" sheet="1" scenarios="1"/>
  <mergeCells count="1">
    <mergeCell ref="B3:D3"/>
  </mergeCells>
  <hyperlinks>
    <hyperlink ref="A4" location="$B$5" tooltip="Go to Top of Sheet" display="$B$5"/>
    <hyperlink ref="B4" location="HL_Sheet_Main_63" tooltip="Go to Previous Sheet" display="HL_Sheet_Main_63"/>
    <hyperlink ref="C4" location="HL_Sheet_Main_67" tooltip="Go to Next Sheet" display="HL_Sheet_Main_67"/>
    <hyperlink ref="B3"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rgb="FF7030A0"/>
    <pageSetUpPr autoPageBreaks="0"/>
  </sheetPr>
  <dimension ref="A1:F15"/>
  <sheetViews>
    <sheetView showGridLines="0" zoomScaleNormal="100" workbookViewId="0">
      <pane xSplit="1" ySplit="4" topLeftCell="B5" activePane="bottomRight" state="frozen"/>
      <selection pane="topRight"/>
      <selection pane="bottomLeft"/>
      <selection pane="bottomRight" activeCell="F15" sqref="F15"/>
    </sheetView>
  </sheetViews>
  <sheetFormatPr defaultColWidth="11.7109375" defaultRowHeight="12.75" x14ac:dyDescent="0.2"/>
  <cols>
    <col min="1" max="3" width="3.7109375" customWidth="1"/>
    <col min="4" max="4" width="35.7109375" customWidth="1"/>
    <col min="5" max="5" width="3.7109375" customWidth="1"/>
    <col min="6" max="6" width="35.7109375" customWidth="1"/>
    <col min="7" max="7" width="3.7109375" customWidth="1"/>
  </cols>
  <sheetData>
    <row r="1" spans="1:6" ht="23.25" x14ac:dyDescent="0.2">
      <c r="A1" s="420"/>
      <c r="B1" s="333" t="s">
        <v>1136</v>
      </c>
    </row>
    <row r="2" spans="1:6" ht="18.75" x14ac:dyDescent="0.2">
      <c r="B2" s="334" t="str">
        <f>Model_Name</f>
        <v>Zambia C4P* - Screening &amp; Treatment Tool</v>
      </c>
    </row>
    <row r="3" spans="1:6" x14ac:dyDescent="0.2">
      <c r="B3" s="702" t="s">
        <v>2</v>
      </c>
      <c r="C3" s="702"/>
      <c r="D3" s="702"/>
    </row>
    <row r="4" spans="1:6" x14ac:dyDescent="0.2">
      <c r="A4" s="323" t="s">
        <v>4</v>
      </c>
      <c r="B4" s="337" t="s">
        <v>6</v>
      </c>
      <c r="C4" s="324" t="s">
        <v>7</v>
      </c>
    </row>
    <row r="7" spans="1:6" ht="18.75" x14ac:dyDescent="0.2">
      <c r="B7" s="340" t="s">
        <v>1160</v>
      </c>
      <c r="C7" s="322"/>
      <c r="D7" s="322"/>
      <c r="E7" s="322"/>
      <c r="F7" s="322"/>
    </row>
    <row r="8" spans="1:6" x14ac:dyDescent="0.2">
      <c r="B8" s="322"/>
      <c r="C8" s="322"/>
      <c r="D8" s="322"/>
      <c r="E8" s="322"/>
      <c r="F8" s="322"/>
    </row>
    <row r="9" spans="1:6" ht="15.75" x14ac:dyDescent="0.2">
      <c r="B9" s="322"/>
      <c r="C9" s="339" t="s">
        <v>212</v>
      </c>
      <c r="D9" s="322"/>
      <c r="E9" s="322"/>
      <c r="F9" s="322"/>
    </row>
    <row r="10" spans="1:6" x14ac:dyDescent="0.2">
      <c r="B10" s="322"/>
      <c r="C10" s="322"/>
      <c r="D10" s="322"/>
      <c r="E10" s="322"/>
      <c r="F10" s="322"/>
    </row>
    <row r="11" spans="1:6" ht="15.75" x14ac:dyDescent="0.2">
      <c r="B11" s="322"/>
      <c r="C11" s="339" t="s">
        <v>1121</v>
      </c>
      <c r="D11" s="322"/>
      <c r="E11" s="322"/>
      <c r="F11" s="339" t="s">
        <v>32</v>
      </c>
    </row>
    <row r="12" spans="1:6" x14ac:dyDescent="0.2">
      <c r="B12" s="322"/>
      <c r="C12" s="322"/>
      <c r="D12" s="322"/>
      <c r="E12" s="322"/>
      <c r="F12" s="322"/>
    </row>
    <row r="13" spans="1:6" x14ac:dyDescent="0.2">
      <c r="B13" s="322"/>
      <c r="C13" s="322"/>
      <c r="D13" s="376" t="s">
        <v>812</v>
      </c>
      <c r="E13" s="322"/>
      <c r="F13" s="599" t="s">
        <v>1161</v>
      </c>
    </row>
    <row r="14" spans="1:6" x14ac:dyDescent="0.2">
      <c r="B14" s="322"/>
      <c r="C14" s="322"/>
      <c r="D14" s="374" t="str">
        <f>PLUG_IN_4_MEET_BA!D148</f>
        <v>USD</v>
      </c>
      <c r="E14" s="322"/>
      <c r="F14" s="342" t="s">
        <v>47</v>
      </c>
    </row>
    <row r="15" spans="1:6" x14ac:dyDescent="0.2">
      <c r="D15" s="374" t="str">
        <f>PLUG_IN_4_MEET_BA!D149</f>
        <v>ZMW</v>
      </c>
      <c r="F15" s="342" t="s">
        <v>47</v>
      </c>
    </row>
  </sheetData>
  <sheetProtection password="F0F4" sheet="1" scenarios="1"/>
  <mergeCells count="1">
    <mergeCell ref="B3:D3"/>
  </mergeCells>
  <hyperlinks>
    <hyperlink ref="A4" location="$B$5" tooltip="Go to Top of Sheet" display="$B$5"/>
    <hyperlink ref="B4" location="HL_Sheet_Main_65" tooltip="Go to Previous Sheet" display="HL_Sheet_Main_65"/>
    <hyperlink ref="C4" location="HL_Sheet_Main_70" tooltip="Go to Next Sheet" display="HL_Sheet_Main_70"/>
    <hyperlink ref="B3"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rgb="FF7030A0"/>
    <pageSetUpPr autoPageBreaks="0"/>
  </sheetPr>
  <dimension ref="A1:F15"/>
  <sheetViews>
    <sheetView showGridLines="0" zoomScaleNormal="100" workbookViewId="0">
      <pane xSplit="1" ySplit="4" topLeftCell="B5" activePane="bottomRight" state="frozen"/>
      <selection pane="topRight"/>
      <selection pane="bottomLeft"/>
      <selection pane="bottomRight" activeCell="F15" sqref="F15"/>
    </sheetView>
  </sheetViews>
  <sheetFormatPr defaultColWidth="11.7109375" defaultRowHeight="12.75" x14ac:dyDescent="0.2"/>
  <cols>
    <col min="1" max="3" width="3.7109375" customWidth="1"/>
    <col min="4" max="4" width="35.7109375" customWidth="1"/>
    <col min="5" max="5" width="3.7109375" customWidth="1"/>
    <col min="6" max="6" width="35.7109375" customWidth="1"/>
    <col min="7" max="7" width="3.7109375" customWidth="1"/>
  </cols>
  <sheetData>
    <row r="1" spans="1:6" ht="23.25" x14ac:dyDescent="0.2">
      <c r="A1" s="420"/>
      <c r="B1" s="333" t="s">
        <v>1167</v>
      </c>
    </row>
    <row r="2" spans="1:6" ht="18.75" x14ac:dyDescent="0.2">
      <c r="B2" s="334" t="str">
        <f>Model_Name</f>
        <v>Zambia C4P* - Screening &amp; Treatment Tool</v>
      </c>
    </row>
    <row r="3" spans="1:6" x14ac:dyDescent="0.2">
      <c r="B3" s="702" t="s">
        <v>2</v>
      </c>
      <c r="C3" s="702"/>
      <c r="D3" s="702"/>
    </row>
    <row r="4" spans="1:6" x14ac:dyDescent="0.2">
      <c r="A4" s="323" t="s">
        <v>4</v>
      </c>
      <c r="B4" s="337" t="s">
        <v>6</v>
      </c>
      <c r="C4" s="324" t="s">
        <v>7</v>
      </c>
    </row>
    <row r="7" spans="1:6" ht="18.75" x14ac:dyDescent="0.2">
      <c r="B7" s="340" t="s">
        <v>1168</v>
      </c>
      <c r="C7" s="322"/>
      <c r="D7" s="322"/>
      <c r="E7" s="322"/>
      <c r="F7" s="322"/>
    </row>
    <row r="8" spans="1:6" x14ac:dyDescent="0.2">
      <c r="B8" s="322"/>
      <c r="C8" s="322"/>
      <c r="D8" s="322"/>
      <c r="E8" s="322"/>
      <c r="F8" s="322"/>
    </row>
    <row r="9" spans="1:6" ht="15.75" x14ac:dyDescent="0.2">
      <c r="B9" s="322"/>
      <c r="C9" s="339" t="s">
        <v>212</v>
      </c>
      <c r="D9" s="322"/>
      <c r="E9" s="322"/>
      <c r="F9" s="322"/>
    </row>
    <row r="10" spans="1:6" x14ac:dyDescent="0.2">
      <c r="B10" s="322"/>
      <c r="C10" s="322"/>
      <c r="D10" s="322"/>
      <c r="E10" s="322"/>
      <c r="F10" s="322"/>
    </row>
    <row r="11" spans="1:6" ht="15.75" x14ac:dyDescent="0.2">
      <c r="B11" s="322"/>
      <c r="C11" s="339" t="s">
        <v>1121</v>
      </c>
      <c r="D11" s="322"/>
      <c r="E11" s="322"/>
      <c r="F11" s="339" t="s">
        <v>32</v>
      </c>
    </row>
    <row r="12" spans="1:6" x14ac:dyDescent="0.2">
      <c r="B12" s="322"/>
      <c r="C12" s="322"/>
      <c r="D12" s="322"/>
      <c r="E12" s="322"/>
      <c r="F12" s="322"/>
    </row>
    <row r="13" spans="1:6" x14ac:dyDescent="0.2">
      <c r="B13" s="322"/>
      <c r="C13" s="322"/>
      <c r="D13" s="376" t="s">
        <v>812</v>
      </c>
      <c r="E13" s="322"/>
      <c r="F13" s="599" t="s">
        <v>1169</v>
      </c>
    </row>
    <row r="14" spans="1:6" x14ac:dyDescent="0.2">
      <c r="B14" s="322"/>
      <c r="C14" s="322"/>
      <c r="D14" s="374" t="str">
        <f>PLUG_IN_4_MEET_BA!D293</f>
        <v>USD</v>
      </c>
      <c r="E14" s="322"/>
      <c r="F14" s="342" t="s">
        <v>47</v>
      </c>
    </row>
    <row r="15" spans="1:6" x14ac:dyDescent="0.2">
      <c r="D15" s="374" t="str">
        <f>PLUG_IN_4_MEET_BA!D294</f>
        <v>ZMW</v>
      </c>
      <c r="F15" s="342" t="s">
        <v>47</v>
      </c>
    </row>
  </sheetData>
  <sheetProtection password="F0F4" sheet="1" scenarios="1"/>
  <mergeCells count="1">
    <mergeCell ref="B3:D3"/>
  </mergeCells>
  <hyperlinks>
    <hyperlink ref="A4" location="$B$5" tooltip="Go to Top of Sheet" display="$B$5"/>
    <hyperlink ref="C4" location="HL_Sheet_Main_69" tooltip="Go to Next Sheet" display="HL_Sheet_Main_69"/>
    <hyperlink ref="B4" location="HL_Sheet_Main_67" tooltip="Go to Previous Sheet" display="HL_Sheet_Main_67"/>
    <hyperlink ref="B3"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rgb="FF7030A0"/>
    <pageSetUpPr autoPageBreaks="0"/>
  </sheetPr>
  <dimension ref="A1:F15"/>
  <sheetViews>
    <sheetView showGridLines="0" zoomScaleNormal="100" workbookViewId="0">
      <pane xSplit="1" ySplit="4" topLeftCell="B5" activePane="bottomRight" state="frozen"/>
      <selection pane="topRight"/>
      <selection pane="bottomLeft"/>
      <selection pane="bottomRight" activeCell="F15" sqref="F15"/>
    </sheetView>
  </sheetViews>
  <sheetFormatPr defaultColWidth="11.7109375" defaultRowHeight="12.75" x14ac:dyDescent="0.2"/>
  <cols>
    <col min="1" max="3" width="3.7109375" customWidth="1"/>
    <col min="4" max="4" width="35.7109375" customWidth="1"/>
    <col min="5" max="5" width="3.7109375" customWidth="1"/>
    <col min="6" max="6" width="35.7109375" customWidth="1"/>
    <col min="7" max="7" width="3.7109375" customWidth="1"/>
  </cols>
  <sheetData>
    <row r="1" spans="1:6" ht="23.25" x14ac:dyDescent="0.2">
      <c r="A1" s="420"/>
      <c r="B1" s="333" t="s">
        <v>1163</v>
      </c>
    </row>
    <row r="2" spans="1:6" ht="18.75" x14ac:dyDescent="0.2">
      <c r="B2" s="334" t="str">
        <f>Model_Name</f>
        <v>Zambia C4P* - Screening &amp; Treatment Tool</v>
      </c>
    </row>
    <row r="3" spans="1:6" x14ac:dyDescent="0.2">
      <c r="B3" s="702" t="s">
        <v>2</v>
      </c>
      <c r="C3" s="702"/>
      <c r="D3" s="702"/>
    </row>
    <row r="4" spans="1:6" x14ac:dyDescent="0.2">
      <c r="A4" s="323" t="s">
        <v>4</v>
      </c>
      <c r="B4" s="337" t="s">
        <v>6</v>
      </c>
      <c r="C4" s="324" t="s">
        <v>7</v>
      </c>
    </row>
    <row r="7" spans="1:6" ht="18.75" x14ac:dyDescent="0.2">
      <c r="B7" s="340" t="s">
        <v>1164</v>
      </c>
      <c r="C7" s="322"/>
      <c r="D7" s="322"/>
      <c r="E7" s="322"/>
      <c r="F7" s="322"/>
    </row>
    <row r="8" spans="1:6" x14ac:dyDescent="0.2">
      <c r="B8" s="322"/>
      <c r="C8" s="322"/>
      <c r="D8" s="322"/>
      <c r="E8" s="322"/>
      <c r="F8" s="322"/>
    </row>
    <row r="9" spans="1:6" ht="15.75" x14ac:dyDescent="0.2">
      <c r="B9" s="322"/>
      <c r="C9" s="339" t="s">
        <v>212</v>
      </c>
      <c r="D9" s="322"/>
      <c r="E9" s="322"/>
      <c r="F9" s="322"/>
    </row>
    <row r="10" spans="1:6" x14ac:dyDescent="0.2">
      <c r="B10" s="322"/>
      <c r="C10" s="322"/>
      <c r="D10" s="322"/>
      <c r="E10" s="322"/>
      <c r="F10" s="322"/>
    </row>
    <row r="11" spans="1:6" ht="15.75" x14ac:dyDescent="0.2">
      <c r="B11" s="322"/>
      <c r="C11" s="339" t="s">
        <v>1121</v>
      </c>
      <c r="D11" s="322"/>
      <c r="E11" s="322"/>
      <c r="F11" s="339" t="s">
        <v>32</v>
      </c>
    </row>
    <row r="12" spans="1:6" x14ac:dyDescent="0.2">
      <c r="B12" s="322"/>
      <c r="C12" s="322"/>
      <c r="D12" s="322"/>
      <c r="E12" s="322"/>
      <c r="F12" s="322"/>
    </row>
    <row r="13" spans="1:6" x14ac:dyDescent="0.2">
      <c r="B13" s="322"/>
      <c r="C13" s="322"/>
      <c r="D13" s="376" t="s">
        <v>812</v>
      </c>
      <c r="E13" s="322"/>
      <c r="F13" s="599" t="s">
        <v>1165</v>
      </c>
    </row>
    <row r="14" spans="1:6" x14ac:dyDescent="0.2">
      <c r="B14" s="322"/>
      <c r="C14" s="322"/>
      <c r="D14" s="374" t="str">
        <f>PLUG_IN_4_MEET_BA!D438</f>
        <v>USD</v>
      </c>
      <c r="E14" s="322"/>
      <c r="F14" s="342" t="s">
        <v>47</v>
      </c>
    </row>
    <row r="15" spans="1:6" x14ac:dyDescent="0.2">
      <c r="D15" s="374" t="str">
        <f>PLUG_IN_4_MEET_BA!D439</f>
        <v>ZMW</v>
      </c>
      <c r="F15" s="342" t="s">
        <v>47</v>
      </c>
    </row>
  </sheetData>
  <sheetProtection password="F0F4" sheet="1" scenarios="1"/>
  <mergeCells count="1">
    <mergeCell ref="B3:D3"/>
  </mergeCells>
  <hyperlinks>
    <hyperlink ref="A4" location="$B$5" tooltip="Go to Top of Sheet" display="$B$5"/>
    <hyperlink ref="C4" location="HL_Sheet_Main_15" tooltip="Go to Next Sheet" display="HL_Sheet_Main_15"/>
    <hyperlink ref="B4" location="HL_Sheet_Main_70" tooltip="Go to Previous Sheet" display="HL_Sheet_Main_70"/>
    <hyperlink ref="B3"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11">
    <tabColor rgb="FF7030A0"/>
    <pageSetUpPr autoPageBreaks="0"/>
  </sheetPr>
  <dimension ref="A1:F415"/>
  <sheetViews>
    <sheetView showGridLines="0" topLeftCell="A16" zoomScaleNormal="100" workbookViewId="0">
      <selection activeCell="F38" sqref="F38"/>
    </sheetView>
  </sheetViews>
  <sheetFormatPr defaultColWidth="11.7109375" defaultRowHeight="12.75" x14ac:dyDescent="0.2"/>
  <cols>
    <col min="1" max="3" width="3.7109375" style="49" customWidth="1"/>
    <col min="4" max="4" width="63.42578125" style="49" bestFit="1" customWidth="1"/>
    <col min="5" max="5" width="3.7109375" style="49" customWidth="1"/>
    <col min="6" max="6" width="35.7109375" style="49" customWidth="1"/>
    <col min="7" max="7" width="3.7109375" style="49" customWidth="1"/>
    <col min="8" max="16384" width="11.7109375" style="49"/>
  </cols>
  <sheetData>
    <row r="1" spans="1:6" ht="23.25" x14ac:dyDescent="0.2">
      <c r="A1" s="422"/>
      <c r="B1" s="100" t="s">
        <v>80</v>
      </c>
    </row>
    <row r="2" spans="1:6" ht="18.75" x14ac:dyDescent="0.2">
      <c r="B2" s="101" t="str">
        <f>Model_Name</f>
        <v>Zambia C4P* - Screening &amp; Treatment Tool</v>
      </c>
    </row>
    <row r="3" spans="1:6" x14ac:dyDescent="0.2">
      <c r="B3" s="716" t="s">
        <v>2</v>
      </c>
      <c r="C3" s="716"/>
      <c r="D3" s="716"/>
    </row>
    <row r="4" spans="1:6" x14ac:dyDescent="0.2">
      <c r="A4" s="102" t="s">
        <v>4</v>
      </c>
      <c r="B4" s="343" t="s">
        <v>6</v>
      </c>
      <c r="C4" s="104" t="s">
        <v>7</v>
      </c>
    </row>
    <row r="5" spans="1:6" s="327" customFormat="1" x14ac:dyDescent="0.2"/>
    <row r="6" spans="1:6" s="327" customFormat="1" x14ac:dyDescent="0.2"/>
    <row r="7" spans="1:6" s="327" customFormat="1" ht="18.75" x14ac:dyDescent="0.2">
      <c r="B7" s="426" t="s">
        <v>100</v>
      </c>
    </row>
    <row r="8" spans="1:6" s="327" customFormat="1" x14ac:dyDescent="0.2"/>
    <row r="9" spans="1:6" s="327" customFormat="1" ht="15.75" x14ac:dyDescent="0.2">
      <c r="C9" s="330" t="s">
        <v>81</v>
      </c>
      <c r="F9" s="330" t="s">
        <v>32</v>
      </c>
    </row>
    <row r="10" spans="1:6" s="327" customFormat="1" x14ac:dyDescent="0.2"/>
    <row r="11" spans="1:6" s="327" customFormat="1" x14ac:dyDescent="0.2">
      <c r="D11" s="331" t="s">
        <v>81</v>
      </c>
      <c r="F11" s="598" t="s">
        <v>193</v>
      </c>
    </row>
    <row r="12" spans="1:6" s="327" customFormat="1" x14ac:dyDescent="0.2">
      <c r="D12" s="21" t="str">
        <f>IF(ROWS(D$12:D12)=1,"N/A",ROWS(D$12:D12)-1)</f>
        <v>N/A</v>
      </c>
      <c r="F12" s="375" t="s">
        <v>47</v>
      </c>
    </row>
    <row r="13" spans="1:6" s="327" customFormat="1" x14ac:dyDescent="0.2">
      <c r="D13" s="21">
        <f>IF(ROWS(D$12:D13)=1,"N/A",ROWS(D$12:D13)-1)</f>
        <v>1</v>
      </c>
      <c r="F13" s="375" t="s">
        <v>47</v>
      </c>
    </row>
    <row r="14" spans="1:6" s="327" customFormat="1" x14ac:dyDescent="0.2">
      <c r="D14" s="21">
        <f>IF(ROWS(D$12:D14)=1,"N/A",ROWS(D$12:D14)-1)</f>
        <v>2</v>
      </c>
      <c r="F14" s="375" t="s">
        <v>47</v>
      </c>
    </row>
    <row r="15" spans="1:6" s="327" customFormat="1" x14ac:dyDescent="0.2">
      <c r="D15" s="21">
        <f>IF(ROWS(D$12:D15)=1,"N/A",ROWS(D$12:D15)-1)</f>
        <v>3</v>
      </c>
      <c r="F15" s="375" t="s">
        <v>47</v>
      </c>
    </row>
    <row r="16" spans="1:6" s="327" customFormat="1" x14ac:dyDescent="0.2">
      <c r="D16" s="21">
        <f>IF(ROWS(D$12:D16)=1,"N/A",ROWS(D$12:D16)-1)</f>
        <v>4</v>
      </c>
      <c r="F16" s="375" t="s">
        <v>47</v>
      </c>
    </row>
    <row r="17" spans="3:6" s="327" customFormat="1" x14ac:dyDescent="0.2">
      <c r="D17" s="21">
        <f>IF(ROWS(D$12:D17)=1,"N/A",ROWS(D$12:D17)-1)</f>
        <v>5</v>
      </c>
      <c r="F17" s="375" t="s">
        <v>47</v>
      </c>
    </row>
    <row r="18" spans="3:6" s="327" customFormat="1" x14ac:dyDescent="0.2">
      <c r="D18" s="21">
        <f>IF(ROWS(D$12:D18)=1,"N/A",ROWS(D$12:D18)-1)</f>
        <v>6</v>
      </c>
      <c r="F18" s="375" t="s">
        <v>47</v>
      </c>
    </row>
    <row r="19" spans="3:6" s="327" customFormat="1" x14ac:dyDescent="0.2"/>
    <row r="20" spans="3:6" s="327" customFormat="1" ht="15.75" x14ac:dyDescent="0.2">
      <c r="C20" s="330" t="s">
        <v>133</v>
      </c>
      <c r="F20" s="330" t="s">
        <v>32</v>
      </c>
    </row>
    <row r="21" spans="3:6" s="327" customFormat="1" x14ac:dyDescent="0.2"/>
    <row r="22" spans="3:6" s="327" customFormat="1" x14ac:dyDescent="0.2">
      <c r="D22" s="331" t="s">
        <v>75</v>
      </c>
      <c r="F22" s="598" t="s">
        <v>194</v>
      </c>
    </row>
    <row r="23" spans="3:6" s="327" customFormat="1" x14ac:dyDescent="0.2">
      <c r="D23" s="328" t="str">
        <f>Screen_BA!D137</f>
        <v>Central</v>
      </c>
      <c r="F23" s="375" t="s">
        <v>47</v>
      </c>
    </row>
    <row r="24" spans="3:6" s="327" customFormat="1" x14ac:dyDescent="0.2">
      <c r="D24" s="328" t="str">
        <f>Screen_BA!D138</f>
        <v>Copperbelt</v>
      </c>
      <c r="F24" s="375" t="s">
        <v>47</v>
      </c>
    </row>
    <row r="25" spans="3:6" s="327" customFormat="1" x14ac:dyDescent="0.2">
      <c r="D25" s="328" t="str">
        <f>Screen_BA!D139</f>
        <v>Eastern</v>
      </c>
      <c r="F25" s="375" t="s">
        <v>47</v>
      </c>
    </row>
    <row r="26" spans="3:6" s="327" customFormat="1" x14ac:dyDescent="0.2">
      <c r="D26" s="328" t="str">
        <f>Screen_BA!D140</f>
        <v>Luapula</v>
      </c>
      <c r="F26" s="375" t="s">
        <v>47</v>
      </c>
    </row>
    <row r="27" spans="3:6" s="327" customFormat="1" x14ac:dyDescent="0.2">
      <c r="D27" s="328" t="str">
        <f>Screen_BA!D141</f>
        <v>Lusaka</v>
      </c>
      <c r="F27" s="375" t="s">
        <v>47</v>
      </c>
    </row>
    <row r="28" spans="3:6" s="327" customFormat="1" x14ac:dyDescent="0.2">
      <c r="D28" s="328" t="str">
        <f>Screen_BA!D142</f>
        <v>Muchinga</v>
      </c>
      <c r="F28" s="375" t="s">
        <v>47</v>
      </c>
    </row>
    <row r="29" spans="3:6" s="327" customFormat="1" x14ac:dyDescent="0.2">
      <c r="D29" s="328" t="str">
        <f>Screen_BA!D143</f>
        <v>Northern</v>
      </c>
      <c r="F29" s="375" t="s">
        <v>47</v>
      </c>
    </row>
    <row r="30" spans="3:6" s="327" customFormat="1" x14ac:dyDescent="0.2">
      <c r="D30" s="328" t="str">
        <f>Screen_BA!D144</f>
        <v>North-Western</v>
      </c>
      <c r="F30" s="375" t="s">
        <v>47</v>
      </c>
    </row>
    <row r="31" spans="3:6" s="327" customFormat="1" x14ac:dyDescent="0.2">
      <c r="D31" s="328" t="str">
        <f>Screen_BA!D145</f>
        <v>Southern</v>
      </c>
      <c r="F31" s="375" t="s">
        <v>47</v>
      </c>
    </row>
    <row r="32" spans="3:6" s="327" customFormat="1" x14ac:dyDescent="0.2">
      <c r="D32" s="328" t="str">
        <f>Screen_BA!D146</f>
        <v>Western</v>
      </c>
      <c r="F32" s="375" t="s">
        <v>47</v>
      </c>
    </row>
    <row r="33" spans="3:6" s="327" customFormat="1" x14ac:dyDescent="0.2"/>
    <row r="34" spans="3:6" s="327" customFormat="1" ht="15.75" x14ac:dyDescent="0.2">
      <c r="C34" s="330" t="s">
        <v>212</v>
      </c>
      <c r="F34" s="330" t="s">
        <v>32</v>
      </c>
    </row>
    <row r="35" spans="3:6" s="327" customFormat="1" x14ac:dyDescent="0.2"/>
    <row r="36" spans="3:6" s="327" customFormat="1" x14ac:dyDescent="0.2">
      <c r="D36" s="331" t="s">
        <v>812</v>
      </c>
      <c r="F36" s="598" t="s">
        <v>214</v>
      </c>
    </row>
    <row r="37" spans="3:6" s="327" customFormat="1" x14ac:dyDescent="0.2">
      <c r="D37" s="328" t="str">
        <f>Screen_BA!D150</f>
        <v>USD</v>
      </c>
      <c r="F37" s="375" t="s">
        <v>47</v>
      </c>
    </row>
    <row r="38" spans="3:6" s="322" customFormat="1" x14ac:dyDescent="0.2">
      <c r="D38" s="374" t="str">
        <f>Screen_BA!D151</f>
        <v>ZMW</v>
      </c>
      <c r="F38" s="342" t="s">
        <v>47</v>
      </c>
    </row>
    <row r="39" spans="3:6" s="327" customFormat="1" x14ac:dyDescent="0.2"/>
    <row r="40" spans="3:6" s="327" customFormat="1" x14ac:dyDescent="0.2"/>
    <row r="41" spans="3:6" s="327" customFormat="1" ht="15.75" x14ac:dyDescent="0.2">
      <c r="C41" s="330" t="s">
        <v>48</v>
      </c>
      <c r="F41" s="330" t="s">
        <v>32</v>
      </c>
    </row>
    <row r="42" spans="3:6" s="327" customFormat="1" x14ac:dyDescent="0.2"/>
    <row r="43" spans="3:6" s="327" customFormat="1" x14ac:dyDescent="0.2">
      <c r="D43" s="331" t="s">
        <v>48</v>
      </c>
      <c r="F43" s="598" t="s">
        <v>216</v>
      </c>
    </row>
    <row r="44" spans="3:6" s="327" customFormat="1" x14ac:dyDescent="0.2">
      <c r="D44" s="21" t="str">
        <f>Screen_BA!I$157&amp;CHOOSE(ROWS(D$44:D44),""," '000"," Millions"," Billions")</f>
        <v>USD</v>
      </c>
      <c r="F44" s="598" t="s">
        <v>47</v>
      </c>
    </row>
    <row r="45" spans="3:6" s="327" customFormat="1" x14ac:dyDescent="0.2">
      <c r="D45" s="21" t="str">
        <f>Screen_BA!I$157&amp;CHOOSE(ROWS(D$44:D45),""," '000"," Millions"," Billions")</f>
        <v>USD '000</v>
      </c>
      <c r="F45" s="598" t="s">
        <v>47</v>
      </c>
    </row>
    <row r="46" spans="3:6" s="327" customFormat="1" x14ac:dyDescent="0.2">
      <c r="D46" s="21" t="str">
        <f>Screen_BA!I$157&amp;CHOOSE(ROWS(D$44:D46),""," '000"," Millions"," Billions")</f>
        <v>USD Millions</v>
      </c>
      <c r="F46" s="598" t="s">
        <v>47</v>
      </c>
    </row>
    <row r="47" spans="3:6" s="327" customFormat="1" x14ac:dyDescent="0.2">
      <c r="D47" s="21" t="str">
        <f>Screen_BA!I$157&amp;CHOOSE(ROWS(D$44:D47),""," '000"," Millions"," Billions")</f>
        <v>USD Billions</v>
      </c>
      <c r="F47" s="598" t="s">
        <v>47</v>
      </c>
    </row>
    <row r="48" spans="3:6" s="327" customFormat="1" x14ac:dyDescent="0.2"/>
    <row r="49" spans="3:6" s="327" customFormat="1" ht="15.75" x14ac:dyDescent="0.2">
      <c r="C49" s="330" t="s">
        <v>308</v>
      </c>
      <c r="F49" s="330" t="s">
        <v>32</v>
      </c>
    </row>
    <row r="50" spans="3:6" s="327" customFormat="1" x14ac:dyDescent="0.2"/>
    <row r="51" spans="3:6" s="327" customFormat="1" x14ac:dyDescent="0.2">
      <c r="D51" s="331" t="s">
        <v>308</v>
      </c>
      <c r="F51" s="598" t="s">
        <v>309</v>
      </c>
    </row>
    <row r="52" spans="3:6" s="327" customFormat="1" x14ac:dyDescent="0.2">
      <c r="D52" s="328" t="str">
        <f>Screen_BA!D160</f>
        <v>_Not Applicable</v>
      </c>
      <c r="F52" s="375" t="s">
        <v>47</v>
      </c>
    </row>
    <row r="53" spans="3:6" s="327" customFormat="1" x14ac:dyDescent="0.2">
      <c r="D53" s="328" t="str">
        <f>Screen_BA!D161</f>
        <v>Biomedical scientist (ZM)</v>
      </c>
      <c r="F53" s="375" t="s">
        <v>47</v>
      </c>
    </row>
    <row r="54" spans="3:6" s="327" customFormat="1" x14ac:dyDescent="0.2">
      <c r="D54" s="328" t="str">
        <f>Screen_BA!D162</f>
        <v>Clinical officer  (ZM)</v>
      </c>
      <c r="F54" s="375" t="s">
        <v>47</v>
      </c>
    </row>
    <row r="55" spans="3:6" s="327" customFormat="1" x14ac:dyDescent="0.2">
      <c r="D55" s="328" t="str">
        <f>Screen_BA!D163</f>
        <v>Consultant  (ZM)</v>
      </c>
      <c r="F55" s="375" t="s">
        <v>47</v>
      </c>
    </row>
    <row r="56" spans="3:6" s="327" customFormat="1" x14ac:dyDescent="0.2">
      <c r="D56" s="328" t="str">
        <f>Screen_BA!D164</f>
        <v>General Medical Doctor</v>
      </c>
      <c r="F56" s="375" t="s">
        <v>47</v>
      </c>
    </row>
    <row r="57" spans="3:6" s="327" customFormat="1" x14ac:dyDescent="0.2">
      <c r="D57" s="328" t="str">
        <f>Screen_BA!D165</f>
        <v>Junior Resident Medical officer  (ZM)</v>
      </c>
      <c r="F57" s="375" t="s">
        <v>47</v>
      </c>
    </row>
    <row r="58" spans="3:6" s="327" customFormat="1" x14ac:dyDescent="0.2">
      <c r="D58" s="328" t="str">
        <f>Screen_BA!D166</f>
        <v>Lab Scientist (ZM)</v>
      </c>
      <c r="F58" s="375" t="s">
        <v>47</v>
      </c>
    </row>
    <row r="59" spans="3:6" s="327" customFormat="1" x14ac:dyDescent="0.2">
      <c r="D59" s="328" t="str">
        <f>Screen_BA!D167</f>
        <v>Lab Technician (ZM)</v>
      </c>
      <c r="F59" s="375" t="s">
        <v>47</v>
      </c>
    </row>
    <row r="60" spans="3:6" s="327" customFormat="1" x14ac:dyDescent="0.2">
      <c r="D60" s="328" t="str">
        <f>Screen_BA!D168</f>
        <v>Lab Technologist (ZM)</v>
      </c>
      <c r="F60" s="375" t="s">
        <v>47</v>
      </c>
    </row>
    <row r="61" spans="3:6" s="327" customFormat="1" x14ac:dyDescent="0.2">
      <c r="D61" s="328" t="str">
        <f>Screen_BA!D169</f>
        <v>Medical Physicist (ZM)</v>
      </c>
      <c r="F61" s="375" t="s">
        <v>47</v>
      </c>
    </row>
    <row r="62" spans="3:6" s="327" customFormat="1" x14ac:dyDescent="0.2">
      <c r="D62" s="328" t="str">
        <f>Screen_BA!D170</f>
        <v>Nursing Officer (ZM)</v>
      </c>
      <c r="F62" s="375" t="s">
        <v>47</v>
      </c>
    </row>
    <row r="63" spans="3:6" s="327" customFormat="1" x14ac:dyDescent="0.2">
      <c r="D63" s="328" t="str">
        <f>Screen_BA!D171</f>
        <v>Pathologist (ZM)</v>
      </c>
      <c r="F63" s="375" t="s">
        <v>47</v>
      </c>
    </row>
    <row r="64" spans="3:6" s="327" customFormat="1" x14ac:dyDescent="0.2">
      <c r="D64" s="328" t="str">
        <f>Screen_BA!D172</f>
        <v>Pharmacy Technologist (ZM)</v>
      </c>
      <c r="F64" s="375" t="s">
        <v>47</v>
      </c>
    </row>
    <row r="65" spans="4:6" s="327" customFormat="1" x14ac:dyDescent="0.2">
      <c r="D65" s="328" t="str">
        <f>Screen_BA!D173</f>
        <v>Principal Nursing Officer (ZM)</v>
      </c>
      <c r="F65" s="375" t="s">
        <v>47</v>
      </c>
    </row>
    <row r="66" spans="4:6" s="327" customFormat="1" x14ac:dyDescent="0.2">
      <c r="D66" s="328" t="str">
        <f>Screen_BA!D174</f>
        <v>Principal Pharmacist (ZM)</v>
      </c>
      <c r="F66" s="375" t="s">
        <v>47</v>
      </c>
    </row>
    <row r="67" spans="4:6" s="327" customFormat="1" x14ac:dyDescent="0.2">
      <c r="D67" s="328" t="str">
        <f>Screen_BA!D175</f>
        <v>Principal Radiographer (ZM)</v>
      </c>
      <c r="F67" s="375" t="s">
        <v>47</v>
      </c>
    </row>
    <row r="68" spans="4:6" s="327" customFormat="1" x14ac:dyDescent="0.2">
      <c r="D68" s="328" t="str">
        <f>Screen_BA!D176</f>
        <v>Principal Therapist - Radiation (ZM)</v>
      </c>
      <c r="F68" s="375" t="s">
        <v>47</v>
      </c>
    </row>
    <row r="69" spans="4:6" s="327" customFormat="1" x14ac:dyDescent="0.2">
      <c r="D69" s="328" t="str">
        <f>Screen_BA!D177</f>
        <v>Radiation Lab Scientist (ZM)</v>
      </c>
      <c r="F69" s="375" t="s">
        <v>47</v>
      </c>
    </row>
    <row r="70" spans="4:6" s="327" customFormat="1" x14ac:dyDescent="0.2">
      <c r="D70" s="328" t="str">
        <f>Screen_BA!D178</f>
        <v>Radiation Protection Officer (ZM)</v>
      </c>
      <c r="F70" s="375" t="s">
        <v>47</v>
      </c>
    </row>
    <row r="71" spans="4:6" s="327" customFormat="1" x14ac:dyDescent="0.2">
      <c r="D71" s="328" t="str">
        <f>Screen_BA!D179</f>
        <v>Radiographer (ZM)</v>
      </c>
      <c r="F71" s="375" t="s">
        <v>47</v>
      </c>
    </row>
    <row r="72" spans="4:6" s="327" customFormat="1" x14ac:dyDescent="0.2">
      <c r="D72" s="328" t="str">
        <f>Screen_BA!D180</f>
        <v>Registered Nurse (ZM)</v>
      </c>
      <c r="F72" s="375" t="s">
        <v>47</v>
      </c>
    </row>
    <row r="73" spans="4:6" s="327" customFormat="1" x14ac:dyDescent="0.2">
      <c r="D73" s="328" t="str">
        <f>Screen_BA!D181</f>
        <v>Senior Enrolled Nurse (ZM)</v>
      </c>
      <c r="F73" s="375" t="s">
        <v>47</v>
      </c>
    </row>
    <row r="74" spans="4:6" s="327" customFormat="1" x14ac:dyDescent="0.2">
      <c r="D74" s="328" t="str">
        <f>Screen_BA!D182</f>
        <v>Senior Nursing Officer (ZM)</v>
      </c>
      <c r="F74" s="375" t="s">
        <v>47</v>
      </c>
    </row>
    <row r="75" spans="4:6" s="327" customFormat="1" x14ac:dyDescent="0.2">
      <c r="D75" s="328" t="str">
        <f>Screen_BA!D183</f>
        <v>Senior Radiation protection Officer (ZM)</v>
      </c>
      <c r="F75" s="375" t="s">
        <v>47</v>
      </c>
    </row>
    <row r="76" spans="4:6" s="327" customFormat="1" x14ac:dyDescent="0.2">
      <c r="D76" s="328" t="str">
        <f>Screen_BA!D184</f>
        <v>Senior Radiographer (ZM)</v>
      </c>
      <c r="F76" s="375" t="s">
        <v>47</v>
      </c>
    </row>
    <row r="77" spans="4:6" s="327" customFormat="1" x14ac:dyDescent="0.2">
      <c r="D77" s="328" t="str">
        <f>Screen_BA!D185</f>
        <v>Zambia Enrolled Nurse (ZEN) (ZM)</v>
      </c>
      <c r="F77" s="375" t="s">
        <v>47</v>
      </c>
    </row>
    <row r="78" spans="4:6" s="327" customFormat="1" x14ac:dyDescent="0.2">
      <c r="D78" s="328" t="str">
        <f>Screen_BA!D186</f>
        <v>Personnel - Hospital Cadre - Other 27</v>
      </c>
      <c r="F78" s="375" t="s">
        <v>47</v>
      </c>
    </row>
    <row r="79" spans="4:6" s="327" customFormat="1" x14ac:dyDescent="0.2">
      <c r="D79" s="328" t="str">
        <f>Screen_BA!D187</f>
        <v>Personnel - Hospital Cadre - Other 28</v>
      </c>
      <c r="F79" s="375" t="s">
        <v>47</v>
      </c>
    </row>
    <row r="80" spans="4:6" s="327" customFormat="1" x14ac:dyDescent="0.2">
      <c r="D80" s="328" t="str">
        <f>Screen_BA!D188</f>
        <v>Personnel - Hospital Cadre - Other 29</v>
      </c>
      <c r="F80" s="375" t="s">
        <v>47</v>
      </c>
    </row>
    <row r="81" spans="3:6" s="327" customFormat="1" x14ac:dyDescent="0.2">
      <c r="D81" s="328" t="str">
        <f>Screen_BA!D189</f>
        <v>Personnel - Hospital Cadre - Other 30</v>
      </c>
      <c r="F81" s="375" t="s">
        <v>47</v>
      </c>
    </row>
    <row r="82" spans="3:6" s="327" customFormat="1" x14ac:dyDescent="0.2">
      <c r="D82" s="328" t="str">
        <f>Screen_BA!D190</f>
        <v>Personnel - Hospital Cadre - Other 31</v>
      </c>
      <c r="F82" s="375" t="s">
        <v>47</v>
      </c>
    </row>
    <row r="83" spans="3:6" s="327" customFormat="1" x14ac:dyDescent="0.2"/>
    <row r="84" spans="3:6" s="327" customFormat="1" ht="15.75" x14ac:dyDescent="0.2">
      <c r="C84" s="330" t="s">
        <v>310</v>
      </c>
      <c r="F84" s="330" t="s">
        <v>32</v>
      </c>
    </row>
    <row r="85" spans="3:6" s="327" customFormat="1" x14ac:dyDescent="0.2"/>
    <row r="86" spans="3:6" s="327" customFormat="1" x14ac:dyDescent="0.2">
      <c r="D86" s="331" t="s">
        <v>310</v>
      </c>
      <c r="F86" s="598" t="s">
        <v>311</v>
      </c>
    </row>
    <row r="87" spans="3:6" s="327" customFormat="1" x14ac:dyDescent="0.2">
      <c r="D87" s="328" t="str">
        <f>Screen_BA!D193</f>
        <v>_Not Applicable</v>
      </c>
      <c r="F87" s="375" t="s">
        <v>47</v>
      </c>
    </row>
    <row r="88" spans="3:6" s="327" customFormat="1" x14ac:dyDescent="0.2">
      <c r="D88" s="328" t="str">
        <f>Screen_BA!D194</f>
        <v>Biomedical scientist (ZM)</v>
      </c>
      <c r="F88" s="375" t="s">
        <v>47</v>
      </c>
    </row>
    <row r="89" spans="3:6" s="327" customFormat="1" x14ac:dyDescent="0.2">
      <c r="D89" s="328" t="str">
        <f>Screen_BA!D195</f>
        <v>Clinical officer  (ZM)</v>
      </c>
      <c r="F89" s="375" t="s">
        <v>47</v>
      </c>
    </row>
    <row r="90" spans="3:6" s="327" customFormat="1" x14ac:dyDescent="0.2">
      <c r="D90" s="328" t="str">
        <f>Screen_BA!D196</f>
        <v>Consultant  (ZM)</v>
      </c>
      <c r="F90" s="375" t="s">
        <v>47</v>
      </c>
    </row>
    <row r="91" spans="3:6" s="327" customFormat="1" x14ac:dyDescent="0.2">
      <c r="D91" s="328" t="str">
        <f>Screen_BA!D197</f>
        <v>General Medical Doctor</v>
      </c>
      <c r="F91" s="375" t="s">
        <v>47</v>
      </c>
    </row>
    <row r="92" spans="3:6" s="327" customFormat="1" x14ac:dyDescent="0.2">
      <c r="D92" s="328" t="str">
        <f>Screen_BA!D198</f>
        <v>Junior Resident Medical officer  (ZM)</v>
      </c>
      <c r="F92" s="375" t="s">
        <v>47</v>
      </c>
    </row>
    <row r="93" spans="3:6" s="327" customFormat="1" x14ac:dyDescent="0.2">
      <c r="D93" s="328" t="str">
        <f>Screen_BA!D199</f>
        <v>Lab Scientist (ZM)</v>
      </c>
      <c r="F93" s="375" t="s">
        <v>47</v>
      </c>
    </row>
    <row r="94" spans="3:6" s="327" customFormat="1" x14ac:dyDescent="0.2">
      <c r="D94" s="328" t="str">
        <f>Screen_BA!D200</f>
        <v>Lab Technician (ZM)</v>
      </c>
      <c r="F94" s="375" t="s">
        <v>47</v>
      </c>
    </row>
    <row r="95" spans="3:6" s="327" customFormat="1" x14ac:dyDescent="0.2">
      <c r="D95" s="328" t="str">
        <f>Screen_BA!D201</f>
        <v>Lab Technologist (ZM)</v>
      </c>
      <c r="F95" s="375" t="s">
        <v>47</v>
      </c>
    </row>
    <row r="96" spans="3:6" s="327" customFormat="1" x14ac:dyDescent="0.2">
      <c r="D96" s="328" t="str">
        <f>Screen_BA!D202</f>
        <v>Medical Physicist (ZM)</v>
      </c>
      <c r="F96" s="375" t="s">
        <v>47</v>
      </c>
    </row>
    <row r="97" spans="4:6" s="327" customFormat="1" x14ac:dyDescent="0.2">
      <c r="D97" s="328" t="str">
        <f>Screen_BA!D203</f>
        <v>Nursing Officer (ZM)</v>
      </c>
      <c r="F97" s="375" t="s">
        <v>47</v>
      </c>
    </row>
    <row r="98" spans="4:6" s="327" customFormat="1" x14ac:dyDescent="0.2">
      <c r="D98" s="328" t="str">
        <f>Screen_BA!D204</f>
        <v>Pathologist (ZM)</v>
      </c>
      <c r="F98" s="375" t="s">
        <v>47</v>
      </c>
    </row>
    <row r="99" spans="4:6" s="327" customFormat="1" x14ac:dyDescent="0.2">
      <c r="D99" s="328" t="str">
        <f>Screen_BA!D205</f>
        <v>Pharmacy Technologist (ZM)</v>
      </c>
      <c r="F99" s="375" t="s">
        <v>47</v>
      </c>
    </row>
    <row r="100" spans="4:6" s="327" customFormat="1" x14ac:dyDescent="0.2">
      <c r="D100" s="328" t="str">
        <f>Screen_BA!D206</f>
        <v>Principal Nursing Officer (ZM)</v>
      </c>
      <c r="F100" s="375" t="s">
        <v>47</v>
      </c>
    </row>
    <row r="101" spans="4:6" s="327" customFormat="1" x14ac:dyDescent="0.2">
      <c r="D101" s="328" t="str">
        <f>Screen_BA!D207</f>
        <v>Principal Pharmacist (ZM)</v>
      </c>
      <c r="F101" s="375" t="s">
        <v>47</v>
      </c>
    </row>
    <row r="102" spans="4:6" s="327" customFormat="1" x14ac:dyDescent="0.2">
      <c r="D102" s="328" t="str">
        <f>Screen_BA!D208</f>
        <v>Principal Radiographer (ZM)</v>
      </c>
      <c r="F102" s="375" t="s">
        <v>47</v>
      </c>
    </row>
    <row r="103" spans="4:6" s="327" customFormat="1" x14ac:dyDescent="0.2">
      <c r="D103" s="328" t="str">
        <f>Screen_BA!D209</f>
        <v>Principal Therapist - Radiation (ZM)</v>
      </c>
      <c r="F103" s="375" t="s">
        <v>47</v>
      </c>
    </row>
    <row r="104" spans="4:6" s="327" customFormat="1" x14ac:dyDescent="0.2">
      <c r="D104" s="328" t="str">
        <f>Screen_BA!D210</f>
        <v>Radiation Lab Scientist (ZM)</v>
      </c>
      <c r="F104" s="375" t="s">
        <v>47</v>
      </c>
    </row>
    <row r="105" spans="4:6" s="327" customFormat="1" x14ac:dyDescent="0.2">
      <c r="D105" s="328" t="str">
        <f>Screen_BA!D211</f>
        <v>Radiation Protection Officer (ZM)</v>
      </c>
      <c r="F105" s="375" t="s">
        <v>47</v>
      </c>
    </row>
    <row r="106" spans="4:6" s="327" customFormat="1" x14ac:dyDescent="0.2">
      <c r="D106" s="328" t="str">
        <f>Screen_BA!D212</f>
        <v>Radiographer (ZM)</v>
      </c>
      <c r="F106" s="375" t="s">
        <v>47</v>
      </c>
    </row>
    <row r="107" spans="4:6" s="327" customFormat="1" x14ac:dyDescent="0.2">
      <c r="D107" s="328" t="str">
        <f>Screen_BA!D213</f>
        <v>Registered Nurse (ZM)</v>
      </c>
      <c r="F107" s="375" t="s">
        <v>47</v>
      </c>
    </row>
    <row r="108" spans="4:6" s="327" customFormat="1" x14ac:dyDescent="0.2">
      <c r="D108" s="328" t="str">
        <f>Screen_BA!D214</f>
        <v>Senior Enrolled Nurse (ZM)</v>
      </c>
      <c r="F108" s="375" t="s">
        <v>47</v>
      </c>
    </row>
    <row r="109" spans="4:6" s="327" customFormat="1" x14ac:dyDescent="0.2">
      <c r="D109" s="328" t="str">
        <f>Screen_BA!D215</f>
        <v>Senior Nursing Officer (ZM)</v>
      </c>
      <c r="F109" s="375" t="s">
        <v>47</v>
      </c>
    </row>
    <row r="110" spans="4:6" s="327" customFormat="1" x14ac:dyDescent="0.2">
      <c r="D110" s="328" t="str">
        <f>Screen_BA!D216</f>
        <v>Senior Radiation protection Officer (ZM)</v>
      </c>
      <c r="F110" s="375" t="s">
        <v>47</v>
      </c>
    </row>
    <row r="111" spans="4:6" s="327" customFormat="1" x14ac:dyDescent="0.2">
      <c r="D111" s="328" t="str">
        <f>Screen_BA!D217</f>
        <v>Senior Radiographer (ZM)</v>
      </c>
      <c r="F111" s="375" t="s">
        <v>47</v>
      </c>
    </row>
    <row r="112" spans="4:6" s="327" customFormat="1" x14ac:dyDescent="0.2">
      <c r="D112" s="328" t="str">
        <f>Screen_BA!D218</f>
        <v>Zambia Enrolled Nurse (ZEN) (ZM)</v>
      </c>
      <c r="F112" s="375" t="s">
        <v>47</v>
      </c>
    </row>
    <row r="113" spans="3:6" s="327" customFormat="1" x14ac:dyDescent="0.2">
      <c r="D113" s="328" t="str">
        <f>Screen_BA!D219</f>
        <v>Personnel - Other Category 27</v>
      </c>
      <c r="F113" s="375" t="s">
        <v>47</v>
      </c>
    </row>
    <row r="114" spans="3:6" s="327" customFormat="1" x14ac:dyDescent="0.2">
      <c r="D114" s="328" t="str">
        <f>Screen_BA!D220</f>
        <v>Personnel - Other Category 28</v>
      </c>
      <c r="F114" s="375" t="s">
        <v>47</v>
      </c>
    </row>
    <row r="115" spans="3:6" s="327" customFormat="1" x14ac:dyDescent="0.2">
      <c r="D115" s="328" t="str">
        <f>Screen_BA!D221</f>
        <v>Personnel - Other Category 29</v>
      </c>
      <c r="F115" s="375" t="s">
        <v>47</v>
      </c>
    </row>
    <row r="116" spans="3:6" s="327" customFormat="1" x14ac:dyDescent="0.2">
      <c r="D116" s="328" t="str">
        <f>Screen_BA!D222</f>
        <v>Personnel - Other Category 30</v>
      </c>
      <c r="F116" s="375" t="s">
        <v>47</v>
      </c>
    </row>
    <row r="117" spans="3:6" s="327" customFormat="1" x14ac:dyDescent="0.2">
      <c r="D117" s="328">
        <f>Screen_BA!D223</f>
        <v>0</v>
      </c>
      <c r="F117" s="375" t="s">
        <v>47</v>
      </c>
    </row>
    <row r="118" spans="3:6" s="327" customFormat="1" x14ac:dyDescent="0.2"/>
    <row r="119" spans="3:6" s="327" customFormat="1" ht="15.75" x14ac:dyDescent="0.2">
      <c r="C119" s="330" t="s">
        <v>316</v>
      </c>
      <c r="F119" s="330" t="s">
        <v>32</v>
      </c>
    </row>
    <row r="120" spans="3:6" s="327" customFormat="1" x14ac:dyDescent="0.2"/>
    <row r="121" spans="3:6" s="327" customFormat="1" x14ac:dyDescent="0.2">
      <c r="D121" s="331" t="s">
        <v>316</v>
      </c>
      <c r="F121" s="598" t="s">
        <v>341</v>
      </c>
    </row>
    <row r="122" spans="3:6" s="327" customFormat="1" x14ac:dyDescent="0.2">
      <c r="D122" s="328" t="str">
        <f>Screen_BA!D226</f>
        <v>_Not Applicable</v>
      </c>
      <c r="F122" s="375" t="s">
        <v>47</v>
      </c>
    </row>
    <row r="123" spans="3:6" s="327" customFormat="1" x14ac:dyDescent="0.2">
      <c r="D123" s="328" t="str">
        <f>Screen_BA!D227</f>
        <v>10 ml syringes with long 27-gauge needle (UG)</v>
      </c>
      <c r="F123" s="375" t="s">
        <v>47</v>
      </c>
    </row>
    <row r="124" spans="3:6" s="327" customFormat="1" x14ac:dyDescent="0.2">
      <c r="D124" s="328" t="str">
        <f>Screen_BA!D228</f>
        <v>100% alcohol (UG)</v>
      </c>
      <c r="F124" s="375" t="s">
        <v>47</v>
      </c>
    </row>
    <row r="125" spans="3:6" s="327" customFormat="1" x14ac:dyDescent="0.2">
      <c r="D125" s="328" t="str">
        <f>Screen_BA!D229</f>
        <v>100% Ethanol (UG)</v>
      </c>
      <c r="F125" s="375" t="s">
        <v>47</v>
      </c>
    </row>
    <row r="126" spans="3:6" s="327" customFormat="1" x14ac:dyDescent="0.2">
      <c r="D126" s="328" t="str">
        <f>Screen_BA!D230</f>
        <v>5% acetic acid (UG)</v>
      </c>
      <c r="F126" s="375" t="s">
        <v>47</v>
      </c>
    </row>
    <row r="127" spans="3:6" s="327" customFormat="1" x14ac:dyDescent="0.2">
      <c r="D127" s="328" t="str">
        <f>Screen_BA!D231</f>
        <v>Acetic acid (UG)</v>
      </c>
      <c r="F127" s="375" t="s">
        <v>47</v>
      </c>
    </row>
    <row r="128" spans="3:6" s="327" customFormat="1" x14ac:dyDescent="0.2">
      <c r="D128" s="328" t="str">
        <f>Screen_BA!D232</f>
        <v>Acetic acid, 3–5% dilution (ZM)</v>
      </c>
      <c r="F128" s="375" t="s">
        <v>47</v>
      </c>
    </row>
    <row r="129" spans="4:6" s="327" customFormat="1" x14ac:dyDescent="0.2">
      <c r="D129" s="328" t="str">
        <f>Screen_BA!D233</f>
        <v>Acetic acid, 3–5% dilution (TZ)</v>
      </c>
      <c r="F129" s="375" t="s">
        <v>47</v>
      </c>
    </row>
    <row r="130" spans="4:6" s="327" customFormat="1" x14ac:dyDescent="0.2">
      <c r="D130" s="328" t="str">
        <f>Screen_BA!D234</f>
        <v>Alcohol, 60-90% isopropyl or ethyl (TZ)</v>
      </c>
      <c r="F130" s="375" t="s">
        <v>47</v>
      </c>
    </row>
    <row r="131" spans="4:6" s="327" customFormat="1" x14ac:dyDescent="0.2">
      <c r="D131" s="328" t="str">
        <f>Screen_BA!D235</f>
        <v>Alcohol, 60-90% isopropyl or ethyl 95% (ZM)</v>
      </c>
      <c r="F131" s="375" t="s">
        <v>47</v>
      </c>
    </row>
    <row r="132" spans="4:6" s="327" customFormat="1" x14ac:dyDescent="0.2">
      <c r="D132" s="328" t="str">
        <f>Screen_BA!D236</f>
        <v>Amitriptyline hydrochloride( 25mg) (ZM)</v>
      </c>
      <c r="F132" s="375" t="s">
        <v>47</v>
      </c>
    </row>
    <row r="133" spans="4:6" s="327" customFormat="1" x14ac:dyDescent="0.2">
      <c r="D133" s="328" t="str">
        <f>Screen_BA!D237</f>
        <v>Amitriptyline hydrochloride( 25mg) (TZ)</v>
      </c>
      <c r="F133" s="375" t="s">
        <v>47</v>
      </c>
    </row>
    <row r="134" spans="4:6" s="327" customFormat="1" x14ac:dyDescent="0.2">
      <c r="D134" s="328" t="str">
        <f>Screen_BA!D238</f>
        <v>Anticeptic solution (UG)</v>
      </c>
      <c r="F134" s="375" t="s">
        <v>47</v>
      </c>
    </row>
    <row r="135" spans="4:6" s="327" customFormat="1" x14ac:dyDescent="0.2">
      <c r="D135" s="328" t="str">
        <f>Screen_BA!D239</f>
        <v>Arithromycin (250g) (ZM)</v>
      </c>
      <c r="F135" s="375" t="s">
        <v>47</v>
      </c>
    </row>
    <row r="136" spans="4:6" s="327" customFormat="1" x14ac:dyDescent="0.2">
      <c r="D136" s="328" t="str">
        <f>Screen_BA!D240</f>
        <v>Arithromycin (250g) (UG)</v>
      </c>
      <c r="F136" s="375" t="s">
        <v>47</v>
      </c>
    </row>
    <row r="137" spans="4:6" s="327" customFormat="1" x14ac:dyDescent="0.2">
      <c r="D137" s="328" t="str">
        <f>Screen_BA!D241</f>
        <v>Arithromycin (5g) (UG)</v>
      </c>
      <c r="F137" s="375" t="s">
        <v>47</v>
      </c>
    </row>
    <row r="138" spans="4:6" s="327" customFormat="1" x14ac:dyDescent="0.2">
      <c r="D138" s="328" t="str">
        <f>Screen_BA!D242</f>
        <v>Atropine (ZM)</v>
      </c>
      <c r="F138" s="375" t="s">
        <v>47</v>
      </c>
    </row>
    <row r="139" spans="4:6" s="327" customFormat="1" x14ac:dyDescent="0.2">
      <c r="D139" s="328" t="str">
        <f>Screen_BA!D243</f>
        <v>Ball electrode (UG)</v>
      </c>
      <c r="F139" s="375" t="s">
        <v>47</v>
      </c>
    </row>
    <row r="140" spans="4:6" s="327" customFormat="1" x14ac:dyDescent="0.2">
      <c r="D140" s="328" t="str">
        <f>Screen_BA!D244</f>
        <v>Bed linen sheet (100 uses) (ZM)</v>
      </c>
      <c r="F140" s="375" t="s">
        <v>47</v>
      </c>
    </row>
    <row r="141" spans="4:6" s="327" customFormat="1" x14ac:dyDescent="0.2">
      <c r="D141" s="328" t="str">
        <f>Screen_BA!D245</f>
        <v>Bed linen sheet (TZ)</v>
      </c>
      <c r="F141" s="375" t="s">
        <v>47</v>
      </c>
    </row>
    <row r="142" spans="4:6" s="327" customFormat="1" x14ac:dyDescent="0.2">
      <c r="D142" s="328" t="str">
        <f>Screen_BA!D246</f>
        <v>Bin Liner (ZM)</v>
      </c>
      <c r="F142" s="375" t="s">
        <v>47</v>
      </c>
    </row>
    <row r="143" spans="4:6" s="327" customFormat="1" x14ac:dyDescent="0.2">
      <c r="D143" s="328" t="str">
        <f>Screen_BA!D247</f>
        <v>Bleach (JIK)</v>
      </c>
      <c r="F143" s="375" t="s">
        <v>47</v>
      </c>
    </row>
    <row r="144" spans="4:6" s="327" customFormat="1" x14ac:dyDescent="0.2">
      <c r="D144" s="328" t="str">
        <f>Screen_BA!D248</f>
        <v>Bleach (UG)</v>
      </c>
      <c r="F144" s="375" t="s">
        <v>47</v>
      </c>
    </row>
    <row r="145" spans="4:6" s="327" customFormat="1" x14ac:dyDescent="0.2">
      <c r="D145" s="328" t="str">
        <f>Screen_BA!D249</f>
        <v>careHPV DCM tube (UG)</v>
      </c>
      <c r="F145" s="375" t="s">
        <v>47</v>
      </c>
    </row>
    <row r="146" spans="4:6" s="327" customFormat="1" x14ac:dyDescent="0.2">
      <c r="D146" s="328" t="str">
        <f>Screen_BA!D250</f>
        <v>Catheter -Urine (TZ)</v>
      </c>
      <c r="F146" s="375" t="s">
        <v>47</v>
      </c>
    </row>
    <row r="147" spans="4:6" s="327" customFormat="1" x14ac:dyDescent="0.2">
      <c r="D147" s="328" t="str">
        <f>Screen_BA!D251</f>
        <v>Cervical brush (UG)</v>
      </c>
      <c r="F147" s="375" t="s">
        <v>47</v>
      </c>
    </row>
    <row r="148" spans="4:6" s="327" customFormat="1" x14ac:dyDescent="0.2">
      <c r="D148" s="328" t="str">
        <f>Screen_BA!D252</f>
        <v>Chlorine 0.5% (Jik-diluted) (ZM)</v>
      </c>
      <c r="F148" s="375" t="s">
        <v>47</v>
      </c>
    </row>
    <row r="149" spans="4:6" s="327" customFormat="1" x14ac:dyDescent="0.2">
      <c r="D149" s="328" t="str">
        <f>Screen_BA!D253</f>
        <v>Chlorine 0.5% (Jik-diluted)  (TZ)</v>
      </c>
      <c r="F149" s="375" t="s">
        <v>47</v>
      </c>
    </row>
    <row r="150" spans="4:6" s="327" customFormat="1" x14ac:dyDescent="0.2">
      <c r="D150" s="328" t="str">
        <f>Screen_BA!D254</f>
        <v>Cidex (2-4% glutaraldehyde) (ZM)</v>
      </c>
      <c r="F150" s="375" t="s">
        <v>47</v>
      </c>
    </row>
    <row r="151" spans="4:6" s="327" customFormat="1" x14ac:dyDescent="0.2">
      <c r="D151" s="328" t="str">
        <f>Screen_BA!D255</f>
        <v>Cidex (2-4% glutaraldehyde) (TZ)</v>
      </c>
      <c r="F151" s="375" t="s">
        <v>47</v>
      </c>
    </row>
    <row r="152" spans="4:6" s="327" customFormat="1" x14ac:dyDescent="0.2">
      <c r="D152" s="328" t="str">
        <f>Screen_BA!D256</f>
        <v>Ciprofloxacin (500mg) (UG)</v>
      </c>
      <c r="F152" s="375" t="s">
        <v>47</v>
      </c>
    </row>
    <row r="153" spans="4:6" s="327" customFormat="1" x14ac:dyDescent="0.2">
      <c r="D153" s="328" t="str">
        <f>Screen_BA!D257</f>
        <v>Ciprofloxacin (500mg) 250MG (ZM)</v>
      </c>
      <c r="F153" s="375" t="s">
        <v>47</v>
      </c>
    </row>
    <row r="154" spans="4:6" s="327" customFormat="1" x14ac:dyDescent="0.2">
      <c r="D154" s="328" t="str">
        <f>Screen_BA!D258</f>
        <v>Cisplatin (50 mg) (ZM)</v>
      </c>
      <c r="F154" s="375" t="s">
        <v>47</v>
      </c>
    </row>
    <row r="155" spans="4:6" s="327" customFormat="1" x14ac:dyDescent="0.2">
      <c r="D155" s="328" t="str">
        <f>Screen_BA!D259</f>
        <v>Cisplatin (50 mg) (TZ)</v>
      </c>
      <c r="F155" s="375" t="s">
        <v>47</v>
      </c>
    </row>
    <row r="156" spans="4:6" s="327" customFormat="1" x14ac:dyDescent="0.2">
      <c r="D156" s="328" t="str">
        <f>Screen_BA!D260</f>
        <v>Citokit (UG)</v>
      </c>
      <c r="F156" s="375" t="s">
        <v>47</v>
      </c>
    </row>
    <row r="157" spans="4:6" s="327" customFormat="1" x14ac:dyDescent="0.2">
      <c r="D157" s="328" t="str">
        <f>Screen_BA!D261</f>
        <v>Colostomy Bag (TZ)</v>
      </c>
      <c r="F157" s="375" t="s">
        <v>47</v>
      </c>
    </row>
    <row r="158" spans="4:6" s="327" customFormat="1" x14ac:dyDescent="0.2">
      <c r="D158" s="328" t="str">
        <f>Screen_BA!D262</f>
        <v>Condom  (TZ)</v>
      </c>
      <c r="F158" s="375" t="s">
        <v>47</v>
      </c>
    </row>
    <row r="159" spans="4:6" s="327" customFormat="1" x14ac:dyDescent="0.2">
      <c r="D159" s="328" t="str">
        <f>Screen_BA!D263</f>
        <v>Condom MALE (ZM)</v>
      </c>
      <c r="F159" s="375" t="s">
        <v>47</v>
      </c>
    </row>
    <row r="160" spans="4:6" s="327" customFormat="1" x14ac:dyDescent="0.2">
      <c r="D160" s="328" t="str">
        <f>Screen_BA!D264</f>
        <v>Cotton swab (ZM)</v>
      </c>
      <c r="F160" s="375" t="s">
        <v>47</v>
      </c>
    </row>
    <row r="161" spans="4:6" s="327" customFormat="1" x14ac:dyDescent="0.2">
      <c r="D161" s="328" t="str">
        <f>Screen_BA!D265</f>
        <v>Cotton swab (TZ)</v>
      </c>
      <c r="F161" s="375" t="s">
        <v>47</v>
      </c>
    </row>
    <row r="162" spans="4:6" s="327" customFormat="1" x14ac:dyDescent="0.2">
      <c r="D162" s="328" t="str">
        <f>Screen_BA!D266</f>
        <v>Cotton swabs (UG)</v>
      </c>
      <c r="F162" s="375" t="s">
        <v>47</v>
      </c>
    </row>
    <row r="163" spans="4:6" s="327" customFormat="1" x14ac:dyDescent="0.2">
      <c r="D163" s="328" t="str">
        <f>Screen_BA!D267</f>
        <v>Cotton Wool, roll, non-sterile (ZM)</v>
      </c>
      <c r="F163" s="375" t="s">
        <v>47</v>
      </c>
    </row>
    <row r="164" spans="4:6" s="327" customFormat="1" x14ac:dyDescent="0.2">
      <c r="D164" s="328" t="str">
        <f>Screen_BA!D268</f>
        <v>Cotton Wool, roll, non-sterile (TZ)</v>
      </c>
      <c r="F164" s="375" t="s">
        <v>47</v>
      </c>
    </row>
    <row r="165" spans="4:6" s="327" customFormat="1" x14ac:dyDescent="0.2">
      <c r="D165" s="328" t="str">
        <f>Screen_BA!D269</f>
        <v xml:space="preserve">Dexamethasone (ZM) </v>
      </c>
      <c r="F165" s="375" t="s">
        <v>47</v>
      </c>
    </row>
    <row r="166" spans="4:6" s="327" customFormat="1" x14ac:dyDescent="0.2">
      <c r="D166" s="328" t="str">
        <f>Screen_BA!D270</f>
        <v>Diclofenac (50mg) (ZM)</v>
      </c>
      <c r="F166" s="375" t="s">
        <v>47</v>
      </c>
    </row>
    <row r="167" spans="4:6" s="327" customFormat="1" x14ac:dyDescent="0.2">
      <c r="D167" s="328" t="str">
        <f>Screen_BA!D271</f>
        <v>Diclofenac (50mg) (TZ)</v>
      </c>
      <c r="F167" s="375" t="s">
        <v>47</v>
      </c>
    </row>
    <row r="168" spans="4:6" s="327" customFormat="1" x14ac:dyDescent="0.2">
      <c r="D168" s="328" t="str">
        <f>Screen_BA!D272</f>
        <v>Distilled water (ZM)</v>
      </c>
      <c r="F168" s="375" t="s">
        <v>47</v>
      </c>
    </row>
    <row r="169" spans="4:6" s="327" customFormat="1" x14ac:dyDescent="0.2">
      <c r="D169" s="328" t="str">
        <f>Screen_BA!D273</f>
        <v>Distilled water (UG)</v>
      </c>
      <c r="F169" s="375" t="s">
        <v>47</v>
      </c>
    </row>
    <row r="170" spans="4:6" s="327" customFormat="1" x14ac:dyDescent="0.2">
      <c r="D170" s="328" t="str">
        <f>Screen_BA!D274</f>
        <v>Dulcolax (10mg) (ZM)</v>
      </c>
      <c r="F170" s="375" t="s">
        <v>47</v>
      </c>
    </row>
    <row r="171" spans="4:6" s="327" customFormat="1" x14ac:dyDescent="0.2">
      <c r="D171" s="328" t="str">
        <f>Screen_BA!D275</f>
        <v>Dulcolax (10mg) (TZ)</v>
      </c>
      <c r="F171" s="375" t="s">
        <v>47</v>
      </c>
    </row>
    <row r="172" spans="4:6" s="327" customFormat="1" x14ac:dyDescent="0.2">
      <c r="D172" s="328" t="str">
        <f>Screen_BA!D276</f>
        <v>Emend (ZM)</v>
      </c>
      <c r="F172" s="375" t="s">
        <v>47</v>
      </c>
    </row>
    <row r="173" spans="4:6" s="327" customFormat="1" x14ac:dyDescent="0.2">
      <c r="D173" s="328" t="str">
        <f>Screen_BA!D277</f>
        <v>Formalin (UG)</v>
      </c>
      <c r="F173" s="375" t="s">
        <v>47</v>
      </c>
    </row>
    <row r="174" spans="4:6" s="327" customFormat="1" x14ac:dyDescent="0.2">
      <c r="D174" s="328" t="str">
        <f>Screen_BA!D278</f>
        <v>Formalin AR 40% (ZM)</v>
      </c>
      <c r="F174" s="375" t="s">
        <v>47</v>
      </c>
    </row>
    <row r="175" spans="4:6" s="327" customFormat="1" x14ac:dyDescent="0.2">
      <c r="D175" s="328" t="str">
        <f>Screen_BA!D279</f>
        <v>Formalin AR 40% (TZ)</v>
      </c>
      <c r="F175" s="375" t="s">
        <v>47</v>
      </c>
    </row>
    <row r="176" spans="4:6" s="327" customFormat="1" x14ac:dyDescent="0.2">
      <c r="D176" s="328" t="str">
        <f>Screen_BA!D280</f>
        <v>Frusamide (ZM)</v>
      </c>
      <c r="F176" s="375" t="s">
        <v>47</v>
      </c>
    </row>
    <row r="177" spans="4:6" s="327" customFormat="1" x14ac:dyDescent="0.2">
      <c r="D177" s="328" t="str">
        <f>Screen_BA!D281</f>
        <v>Gas - N2O (UG)</v>
      </c>
      <c r="F177" s="375" t="s">
        <v>47</v>
      </c>
    </row>
    <row r="178" spans="4:6" s="327" customFormat="1" x14ac:dyDescent="0.2">
      <c r="D178" s="328" t="str">
        <f>Screen_BA!D282</f>
        <v>Gas Cylinder (Nitrous Oxide) 72 kg. (ZM)</v>
      </c>
      <c r="F178" s="375" t="s">
        <v>47</v>
      </c>
    </row>
    <row r="179" spans="4:6" s="327" customFormat="1" x14ac:dyDescent="0.2">
      <c r="D179" s="328" t="str">
        <f>Screen_BA!D283</f>
        <v>Gas Cylinder (TZ)</v>
      </c>
      <c r="F179" s="375" t="s">
        <v>47</v>
      </c>
    </row>
    <row r="180" spans="4:6" s="327" customFormat="1" x14ac:dyDescent="0.2">
      <c r="D180" s="328" t="str">
        <f>Screen_BA!D284</f>
        <v>Gauze (UG)</v>
      </c>
      <c r="F180" s="375" t="s">
        <v>47</v>
      </c>
    </row>
    <row r="181" spans="4:6" s="327" customFormat="1" x14ac:dyDescent="0.2">
      <c r="D181" s="328" t="str">
        <f>Screen_BA!D285</f>
        <v>Gauze hospital quality 10x4 cm (TZ)</v>
      </c>
      <c r="F181" s="375" t="s">
        <v>47</v>
      </c>
    </row>
    <row r="182" spans="4:6" s="327" customFormat="1" x14ac:dyDescent="0.2">
      <c r="D182" s="328" t="str">
        <f>Screen_BA!D286</f>
        <v>Gauze, Non-Sterile (ZM)</v>
      </c>
      <c r="F182" s="375" t="s">
        <v>47</v>
      </c>
    </row>
    <row r="183" spans="4:6" s="327" customFormat="1" x14ac:dyDescent="0.2">
      <c r="D183" s="328" t="str">
        <f>Screen_BA!D287</f>
        <v>Gauze, Non-Sterile (TZ)</v>
      </c>
      <c r="F183" s="375" t="s">
        <v>47</v>
      </c>
    </row>
    <row r="184" spans="4:6" s="327" customFormat="1" x14ac:dyDescent="0.2">
      <c r="D184" s="328" t="str">
        <f>Screen_BA!D288</f>
        <v>Gauze, Sterile (ZM)</v>
      </c>
      <c r="F184" s="375" t="s">
        <v>47</v>
      </c>
    </row>
    <row r="185" spans="4:6" s="327" customFormat="1" x14ac:dyDescent="0.2">
      <c r="D185" s="328" t="str">
        <f>Screen_BA!D289</f>
        <v>Gauze, Sterile (TZ)</v>
      </c>
      <c r="F185" s="375" t="s">
        <v>47</v>
      </c>
    </row>
    <row r="186" spans="4:6" s="327" customFormat="1" x14ac:dyDescent="0.2">
      <c r="D186" s="328" t="str">
        <f>Screen_BA!D290</f>
        <v>Gloves (UG)</v>
      </c>
      <c r="F186" s="375" t="s">
        <v>47</v>
      </c>
    </row>
    <row r="187" spans="4:6" s="327" customFormat="1" x14ac:dyDescent="0.2">
      <c r="D187" s="328" t="str">
        <f>Screen_BA!D291</f>
        <v>Gloves, Non-Sterile, Examination, latex, assorted sizes, disp. (ZM)</v>
      </c>
      <c r="F187" s="375" t="s">
        <v>47</v>
      </c>
    </row>
    <row r="188" spans="4:6" s="327" customFormat="1" x14ac:dyDescent="0.2">
      <c r="D188" s="328" t="str">
        <f>Screen_BA!D292</f>
        <v>Gloves, Non-Sterile, Examination, latex, medium, disp. (TZ)</v>
      </c>
      <c r="F188" s="375" t="s">
        <v>47</v>
      </c>
    </row>
    <row r="189" spans="4:6" s="327" customFormat="1" x14ac:dyDescent="0.2">
      <c r="D189" s="328" t="str">
        <f>Screen_BA!D293</f>
        <v>Gloves, Sterile (TZ)</v>
      </c>
      <c r="F189" s="375" t="s">
        <v>47</v>
      </c>
    </row>
    <row r="190" spans="4:6" s="327" customFormat="1" x14ac:dyDescent="0.2">
      <c r="D190" s="328" t="str">
        <f>Screen_BA!D294</f>
        <v>Gloves, Sterile 7.5 (ZM)</v>
      </c>
      <c r="F190" s="375" t="s">
        <v>47</v>
      </c>
    </row>
    <row r="191" spans="4:6" s="327" customFormat="1" x14ac:dyDescent="0.2">
      <c r="D191" s="328" t="str">
        <f>Screen_BA!D295</f>
        <v>Halothane (ZM)</v>
      </c>
      <c r="F191" s="375" t="s">
        <v>47</v>
      </c>
    </row>
    <row r="192" spans="4:6" s="327" customFormat="1" x14ac:dyDescent="0.2">
      <c r="D192" s="328" t="str">
        <f>Screen_BA!D296</f>
        <v>IV canula 22G  (ZM)</v>
      </c>
      <c r="F192" s="375" t="s">
        <v>47</v>
      </c>
    </row>
    <row r="193" spans="4:6" s="327" customFormat="1" x14ac:dyDescent="0.2">
      <c r="D193" s="328" t="str">
        <f>Screen_BA!D297</f>
        <v>IV canula 22G (each) (TZ)</v>
      </c>
      <c r="F193" s="375" t="s">
        <v>47</v>
      </c>
    </row>
    <row r="194" spans="4:6" s="327" customFormat="1" x14ac:dyDescent="0.2">
      <c r="D194" s="328" t="str">
        <f>Screen_BA!D298</f>
        <v>IV giving set (each) (TZ)</v>
      </c>
      <c r="F194" s="375" t="s">
        <v>47</v>
      </c>
    </row>
    <row r="195" spans="4:6" s="327" customFormat="1" x14ac:dyDescent="0.2">
      <c r="D195" s="328" t="str">
        <f>Screen_BA!D299</f>
        <v>IV giving set (closed system) (ZM)</v>
      </c>
      <c r="F195" s="375" t="s">
        <v>47</v>
      </c>
    </row>
    <row r="196" spans="4:6" s="327" customFormat="1" x14ac:dyDescent="0.2">
      <c r="D196" s="328" t="str">
        <f>Screen_BA!D300</f>
        <v>IV line (set) (ZM)</v>
      </c>
      <c r="F196" s="375" t="s">
        <v>47</v>
      </c>
    </row>
    <row r="197" spans="4:6" s="327" customFormat="1" x14ac:dyDescent="0.2">
      <c r="D197" s="328" t="str">
        <f>Screen_BA!D301</f>
        <v>IV line (set) (TZ)</v>
      </c>
      <c r="F197" s="375" t="s">
        <v>47</v>
      </c>
    </row>
    <row r="198" spans="4:6" s="327" customFormat="1" x14ac:dyDescent="0.2">
      <c r="D198" s="328" t="str">
        <f>Screen_BA!D302</f>
        <v>Ketamine (ZM)</v>
      </c>
      <c r="F198" s="375" t="s">
        <v>47</v>
      </c>
    </row>
    <row r="199" spans="4:6" s="327" customFormat="1" x14ac:dyDescent="0.2">
      <c r="D199" s="328" t="str">
        <f>Screen_BA!D303</f>
        <v>Kitchen Towel (ZM)</v>
      </c>
      <c r="F199" s="375" t="s">
        <v>47</v>
      </c>
    </row>
    <row r="200" spans="4:6" s="327" customFormat="1" x14ac:dyDescent="0.2">
      <c r="D200" s="328" t="str">
        <f>Screen_BA!D304</f>
        <v>K-Y jelly  (TZ)</v>
      </c>
      <c r="F200" s="375" t="s">
        <v>47</v>
      </c>
    </row>
    <row r="201" spans="4:6" s="327" customFormat="1" x14ac:dyDescent="0.2">
      <c r="D201" s="328" t="str">
        <f>Screen_BA!D305</f>
        <v>K-Y jelly Tube w/ 100 applcations ea) (ZM)</v>
      </c>
      <c r="F201" s="375" t="s">
        <v>47</v>
      </c>
    </row>
    <row r="202" spans="4:6" s="327" customFormat="1" x14ac:dyDescent="0.2">
      <c r="D202" s="328" t="str">
        <f>Screen_BA!D306</f>
        <v>Label (TZ)</v>
      </c>
      <c r="F202" s="375" t="s">
        <v>47</v>
      </c>
    </row>
    <row r="203" spans="4:6" s="327" customFormat="1" x14ac:dyDescent="0.2">
      <c r="D203" s="328" t="str">
        <f>Screen_BA!D307</f>
        <v>Lidocaine 1% or 2% without epinephrine (UG)</v>
      </c>
      <c r="F203" s="375" t="s">
        <v>47</v>
      </c>
    </row>
    <row r="204" spans="4:6" s="327" customFormat="1" x14ac:dyDescent="0.2">
      <c r="D204" s="328" t="str">
        <f>Screen_BA!D308</f>
        <v>Lidocaine 2% with epinephrine 1:80000 (ZM)</v>
      </c>
      <c r="F204" s="375" t="s">
        <v>47</v>
      </c>
    </row>
    <row r="205" spans="4:6" s="327" customFormat="1" x14ac:dyDescent="0.2">
      <c r="D205" s="328" t="str">
        <f>Screen_BA!D309</f>
        <v>Lidocaine: 2% with adrenalin 1:80000 (TZ)</v>
      </c>
      <c r="F205" s="375" t="s">
        <v>47</v>
      </c>
    </row>
    <row r="206" spans="4:6" s="327" customFormat="1" x14ac:dyDescent="0.2">
      <c r="D206" s="328" t="str">
        <f>Screen_BA!D310</f>
        <v>Liquid soap (UG)</v>
      </c>
      <c r="F206" s="375" t="s">
        <v>47</v>
      </c>
    </row>
    <row r="207" spans="4:6" s="327" customFormat="1" x14ac:dyDescent="0.2">
      <c r="D207" s="328" t="str">
        <f>Screen_BA!D311</f>
        <v>Lugol's iodine (UG)</v>
      </c>
      <c r="F207" s="375" t="s">
        <v>47</v>
      </c>
    </row>
    <row r="208" spans="4:6" s="327" customFormat="1" x14ac:dyDescent="0.2">
      <c r="D208" s="328" t="str">
        <f>Screen_BA!D312</f>
        <v>Mannitol (ZM)</v>
      </c>
      <c r="F208" s="375" t="s">
        <v>47</v>
      </c>
    </row>
    <row r="209" spans="4:6" s="327" customFormat="1" x14ac:dyDescent="0.2">
      <c r="D209" s="328" t="str">
        <f>Screen_BA!D313</f>
        <v>Metronizadol (200mg) (ZM)</v>
      </c>
      <c r="F209" s="375" t="s">
        <v>47</v>
      </c>
    </row>
    <row r="210" spans="4:6" s="327" customFormat="1" x14ac:dyDescent="0.2">
      <c r="D210" s="328" t="str">
        <f>Screen_BA!D314</f>
        <v>Metronizadol (200mg) (UG)</v>
      </c>
      <c r="F210" s="375" t="s">
        <v>47</v>
      </c>
    </row>
    <row r="211" spans="4:6" s="327" customFormat="1" x14ac:dyDescent="0.2">
      <c r="D211" s="328" t="str">
        <f>Screen_BA!D315</f>
        <v>Metronizadol (400mg) (UG)</v>
      </c>
      <c r="F211" s="375" t="s">
        <v>47</v>
      </c>
    </row>
    <row r="212" spans="4:6" s="327" customFormat="1" x14ac:dyDescent="0.2">
      <c r="D212" s="328" t="str">
        <f>Screen_BA!D316</f>
        <v>Mictomycin  C (10mg) (TZ)</v>
      </c>
      <c r="F212" s="375" t="s">
        <v>47</v>
      </c>
    </row>
    <row r="213" spans="4:6" s="327" customFormat="1" x14ac:dyDescent="0.2">
      <c r="D213" s="328" t="str">
        <f>Screen_BA!D317</f>
        <v>Mitomycin  C (10mg) (ZM)</v>
      </c>
      <c r="F213" s="375" t="s">
        <v>47</v>
      </c>
    </row>
    <row r="214" spans="4:6" s="327" customFormat="1" x14ac:dyDescent="0.2">
      <c r="D214" s="328" t="str">
        <f>Screen_BA!D318</f>
        <v>Monsel's solution (UG)</v>
      </c>
      <c r="F214" s="375" t="s">
        <v>47</v>
      </c>
    </row>
    <row r="215" spans="4:6" s="327" customFormat="1" x14ac:dyDescent="0.2">
      <c r="D215" s="328" t="str">
        <f>Screen_BA!D319</f>
        <v>Monsel's solution (ZM)</v>
      </c>
      <c r="F215" s="375" t="s">
        <v>47</v>
      </c>
    </row>
    <row r="216" spans="4:6" s="327" customFormat="1" x14ac:dyDescent="0.2">
      <c r="D216" s="328" t="str">
        <f>Screen_BA!D320</f>
        <v>Morphine (10mg) (ZM)</v>
      </c>
      <c r="F216" s="375" t="s">
        <v>47</v>
      </c>
    </row>
    <row r="217" spans="4:6" s="327" customFormat="1" x14ac:dyDescent="0.2">
      <c r="D217" s="328" t="str">
        <f>Screen_BA!D321</f>
        <v>Morphine (10mg) (TZ)</v>
      </c>
      <c r="F217" s="375" t="s">
        <v>47</v>
      </c>
    </row>
    <row r="218" spans="4:6" s="327" customFormat="1" x14ac:dyDescent="0.2">
      <c r="D218" s="328" t="str">
        <f>Screen_BA!D322</f>
        <v>Mutton Cloth (ZM)</v>
      </c>
      <c r="F218" s="375" t="s">
        <v>47</v>
      </c>
    </row>
    <row r="219" spans="4:6" s="327" customFormat="1" x14ac:dyDescent="0.2">
      <c r="D219" s="328" t="str">
        <f>Screen_BA!D323</f>
        <v>Needle – 18 or 20 gauge (TZ)</v>
      </c>
      <c r="F219" s="375" t="s">
        <v>47</v>
      </c>
    </row>
    <row r="220" spans="4:6" s="327" customFormat="1" x14ac:dyDescent="0.2">
      <c r="D220" s="328" t="str">
        <f>Screen_BA!D324</f>
        <v>Needle - Spinal 22G (disposable) (ZM)</v>
      </c>
      <c r="F220" s="375" t="s">
        <v>47</v>
      </c>
    </row>
    <row r="221" spans="4:6" s="327" customFormat="1" x14ac:dyDescent="0.2">
      <c r="D221" s="328" t="str">
        <f>Screen_BA!D325</f>
        <v>Needle - Spinal 22G (disposable) (TZ)</v>
      </c>
      <c r="F221" s="375" t="s">
        <v>47</v>
      </c>
    </row>
    <row r="222" spans="4:6" s="327" customFormat="1" x14ac:dyDescent="0.2">
      <c r="D222" s="328" t="str">
        <f>Screen_BA!D326</f>
        <v>Needles - Dental 27G Long (ZM)</v>
      </c>
      <c r="F222" s="375" t="s">
        <v>47</v>
      </c>
    </row>
    <row r="223" spans="4:6" s="327" customFormat="1" x14ac:dyDescent="0.2">
      <c r="D223" s="328" t="str">
        <f>Screen_BA!D327</f>
        <v>Neostymine (ZM)</v>
      </c>
      <c r="F223" s="375" t="s">
        <v>47</v>
      </c>
    </row>
    <row r="224" spans="4:6" s="327" customFormat="1" x14ac:dyDescent="0.2">
      <c r="D224" s="328" t="str">
        <f>Screen_BA!D328</f>
        <v>Normal saline (UG)</v>
      </c>
      <c r="F224" s="375" t="s">
        <v>47</v>
      </c>
    </row>
    <row r="225" spans="4:6" s="327" customFormat="1" x14ac:dyDescent="0.2">
      <c r="D225" s="328" t="str">
        <f>Screen_BA!D329</f>
        <v>Normal saline (ZM)</v>
      </c>
      <c r="F225" s="375" t="s">
        <v>47</v>
      </c>
    </row>
    <row r="226" spans="4:6" s="327" customFormat="1" x14ac:dyDescent="0.2">
      <c r="D226" s="328" t="str">
        <f>Screen_BA!D330</f>
        <v>Nystain (200mg) (UG)</v>
      </c>
      <c r="F226" s="375" t="s">
        <v>47</v>
      </c>
    </row>
    <row r="227" spans="4:6" s="327" customFormat="1" x14ac:dyDescent="0.2">
      <c r="D227" s="328" t="str">
        <f>Screen_BA!D331</f>
        <v>Ondansetron (IV) 4mg vials</v>
      </c>
      <c r="F227" s="375" t="s">
        <v>47</v>
      </c>
    </row>
    <row r="228" spans="4:6" s="327" customFormat="1" x14ac:dyDescent="0.2">
      <c r="D228" s="328" t="str">
        <f>Screen_BA!D332</f>
        <v>Ondasetron (oral) (4mg tablets)</v>
      </c>
      <c r="F228" s="375" t="s">
        <v>47</v>
      </c>
    </row>
    <row r="229" spans="4:6" s="327" customFormat="1" x14ac:dyDescent="0.2">
      <c r="D229" s="328" t="str">
        <f>Screen_BA!D333</f>
        <v>Opiods - Pethidine (ZM)</v>
      </c>
      <c r="F229" s="375" t="s">
        <v>47</v>
      </c>
    </row>
    <row r="230" spans="4:6" s="327" customFormat="1" x14ac:dyDescent="0.2">
      <c r="D230" s="328" t="str">
        <f>Screen_BA!D334</f>
        <v>Supplies Category 109</v>
      </c>
      <c r="F230" s="375" t="s">
        <v>47</v>
      </c>
    </row>
    <row r="231" spans="4:6" s="327" customFormat="1" x14ac:dyDescent="0.2">
      <c r="D231" s="328" t="str">
        <f>Screen_BA!D335</f>
        <v>Oralpharyngeal airway (ZM)</v>
      </c>
      <c r="F231" s="375" t="s">
        <v>47</v>
      </c>
    </row>
    <row r="232" spans="4:6" s="327" customFormat="1" x14ac:dyDescent="0.2">
      <c r="D232" s="328" t="str">
        <f>Screen_BA!D336</f>
        <v>Oxygen Mask (ZM)</v>
      </c>
      <c r="F232" s="375" t="s">
        <v>47</v>
      </c>
    </row>
    <row r="233" spans="4:6" s="327" customFormat="1" x14ac:dyDescent="0.2">
      <c r="D233" s="328" t="str">
        <f>Screen_BA!D337</f>
        <v>Pancuronuien (ZM)</v>
      </c>
      <c r="F233" s="375" t="s">
        <v>47</v>
      </c>
    </row>
    <row r="234" spans="4:6" s="327" customFormat="1" x14ac:dyDescent="0.2">
      <c r="D234" s="328" t="str">
        <f>Screen_BA!D338</f>
        <v>Paracetamol (1g) (UG)</v>
      </c>
      <c r="F234" s="375" t="s">
        <v>47</v>
      </c>
    </row>
    <row r="235" spans="4:6" s="327" customFormat="1" x14ac:dyDescent="0.2">
      <c r="D235" s="328" t="str">
        <f>Screen_BA!D339</f>
        <v>Paracetamol (500mg) (ZM)</v>
      </c>
      <c r="F235" s="375" t="s">
        <v>47</v>
      </c>
    </row>
    <row r="236" spans="4:6" s="327" customFormat="1" x14ac:dyDescent="0.2">
      <c r="D236" s="328" t="str">
        <f>Screen_BA!D340</f>
        <v>Paracetamol (500mg) (TZ)</v>
      </c>
      <c r="F236" s="375" t="s">
        <v>47</v>
      </c>
    </row>
    <row r="237" spans="4:6" s="327" customFormat="1" x14ac:dyDescent="0.2">
      <c r="D237" s="328" t="str">
        <f>Screen_BA!D341</f>
        <v>Paracetamol (500mg) (UG)</v>
      </c>
      <c r="F237" s="375" t="s">
        <v>47</v>
      </c>
    </row>
    <row r="238" spans="4:6" s="327" customFormat="1" x14ac:dyDescent="0.2">
      <c r="D238" s="328" t="str">
        <f>Screen_BA!D342</f>
        <v>Pathology form (TZ)</v>
      </c>
      <c r="F238" s="375" t="s">
        <v>47</v>
      </c>
    </row>
    <row r="239" spans="4:6" s="327" customFormat="1" x14ac:dyDescent="0.2">
      <c r="D239" s="328" t="str">
        <f>Screen_BA!D343</f>
        <v>Patient card (TZ)</v>
      </c>
      <c r="F239" s="375" t="s">
        <v>47</v>
      </c>
    </row>
    <row r="240" spans="4:6" s="327" customFormat="1" x14ac:dyDescent="0.2">
      <c r="D240" s="328" t="str">
        <f>Screen_BA!D344</f>
        <v>Pencil (TZ)</v>
      </c>
      <c r="F240" s="375" t="s">
        <v>47</v>
      </c>
    </row>
    <row r="241" spans="4:6" s="327" customFormat="1" x14ac:dyDescent="0.2">
      <c r="D241" s="328" t="str">
        <f>Screen_BA!D345</f>
        <v>Perthodine (TZ)</v>
      </c>
      <c r="F241" s="375" t="s">
        <v>47</v>
      </c>
    </row>
    <row r="242" spans="4:6" s="327" customFormat="1" x14ac:dyDescent="0.2">
      <c r="D242" s="328" t="str">
        <f>Screen_BA!D346</f>
        <v>Pipette Tips (TZ)</v>
      </c>
      <c r="F242" s="375" t="s">
        <v>47</v>
      </c>
    </row>
    <row r="243" spans="4:6" s="327" customFormat="1" x14ac:dyDescent="0.2">
      <c r="D243" s="328" t="str">
        <f>Screen_BA!D347</f>
        <v>Pipette, Fixed, 50 microlitre (TZ)</v>
      </c>
      <c r="F243" s="375" t="s">
        <v>47</v>
      </c>
    </row>
    <row r="244" spans="4:6" s="327" customFormat="1" x14ac:dyDescent="0.2">
      <c r="D244" s="328" t="str">
        <f>Screen_BA!D348</f>
        <v>Pipette, Repeater (TZ)</v>
      </c>
      <c r="F244" s="375" t="s">
        <v>47</v>
      </c>
    </row>
    <row r="245" spans="4:6" s="327" customFormat="1" x14ac:dyDescent="0.2">
      <c r="D245" s="328" t="str">
        <f>Screen_BA!D349</f>
        <v>Pregnancy test– urine test strip (ZM)</v>
      </c>
      <c r="F245" s="375" t="s">
        <v>47</v>
      </c>
    </row>
    <row r="246" spans="4:6" s="327" customFormat="1" x14ac:dyDescent="0.2">
      <c r="D246" s="328" t="str">
        <f>Screen_BA!D350</f>
        <v>Pregnancy tests – urine test strips (TZ)</v>
      </c>
      <c r="F246" s="375" t="s">
        <v>47</v>
      </c>
    </row>
    <row r="247" spans="4:6" s="327" customFormat="1" x14ac:dyDescent="0.2">
      <c r="D247" s="328" t="str">
        <f>Screen_BA!D351</f>
        <v>Profol, 2%, 20 mg/l, 50ml (ZM)</v>
      </c>
      <c r="F247" s="375" t="s">
        <v>47</v>
      </c>
    </row>
    <row r="248" spans="4:6" s="327" customFormat="1" x14ac:dyDescent="0.2">
      <c r="D248" s="328" t="str">
        <f>Screen_BA!D352</f>
        <v>Repeater Tips (TZ)</v>
      </c>
      <c r="F248" s="375" t="s">
        <v>47</v>
      </c>
    </row>
    <row r="249" spans="4:6" s="327" customFormat="1" x14ac:dyDescent="0.2">
      <c r="D249" s="328" t="str">
        <f>Screen_BA!D353</f>
        <v>Return electrode (UG)</v>
      </c>
      <c r="F249" s="375" t="s">
        <v>47</v>
      </c>
    </row>
    <row r="250" spans="4:6" s="327" customFormat="1" x14ac:dyDescent="0.2">
      <c r="D250" s="328" t="str">
        <f>Screen_BA!D354</f>
        <v>Saline solution, normal (ZM)</v>
      </c>
      <c r="F250" s="375" t="s">
        <v>47</v>
      </c>
    </row>
    <row r="251" spans="4:6" s="327" customFormat="1" x14ac:dyDescent="0.2">
      <c r="D251" s="328" t="str">
        <f>Screen_BA!D355</f>
        <v>Saline solution, normal (TZ)</v>
      </c>
      <c r="F251" s="375" t="s">
        <v>47</v>
      </c>
    </row>
    <row r="252" spans="4:6" s="327" customFormat="1" x14ac:dyDescent="0.2">
      <c r="D252" s="328" t="str">
        <f>Screen_BA!D356</f>
        <v>Sanitary pad (ZM)</v>
      </c>
      <c r="F252" s="375" t="s">
        <v>47</v>
      </c>
    </row>
    <row r="253" spans="4:6" s="327" customFormat="1" x14ac:dyDescent="0.2">
      <c r="D253" s="328" t="str">
        <f>Screen_BA!D357</f>
        <v>Sanitary pad (UG)</v>
      </c>
      <c r="F253" s="375" t="s">
        <v>47</v>
      </c>
    </row>
    <row r="254" spans="4:6" s="327" customFormat="1" x14ac:dyDescent="0.2">
      <c r="D254" s="328" t="str">
        <f>Screen_BA!D358</f>
        <v>Scouring Powder (Ajax)</v>
      </c>
      <c r="F254" s="375" t="s">
        <v>47</v>
      </c>
    </row>
    <row r="255" spans="4:6" s="327" customFormat="1" x14ac:dyDescent="0.2">
      <c r="D255" s="328" t="str">
        <f>Screen_BA!D359</f>
        <v>Soap (or hand sanitizer) (ZM)</v>
      </c>
      <c r="F255" s="375" t="s">
        <v>47</v>
      </c>
    </row>
    <row r="256" spans="4:6" s="327" customFormat="1" x14ac:dyDescent="0.2">
      <c r="D256" s="328" t="str">
        <f>Screen_BA!D360</f>
        <v>Soap (or hand sanitizer) (TZ)</v>
      </c>
      <c r="F256" s="375" t="s">
        <v>47</v>
      </c>
    </row>
    <row r="257" spans="4:6" s="327" customFormat="1" x14ac:dyDescent="0.2">
      <c r="D257" s="328" t="str">
        <f>Screen_BA!D361</f>
        <v>Specimen bottle / recyled syringe bottles (UG)</v>
      </c>
      <c r="F257" s="375" t="s">
        <v>47</v>
      </c>
    </row>
    <row r="258" spans="4:6" s="327" customFormat="1" x14ac:dyDescent="0.2">
      <c r="D258" s="328" t="str">
        <f>Screen_BA!D362</f>
        <v>Specimen cup with lid and label - 100 cc (TZ)</v>
      </c>
      <c r="F258" s="375" t="s">
        <v>47</v>
      </c>
    </row>
    <row r="259" spans="4:6" s="327" customFormat="1" x14ac:dyDescent="0.2">
      <c r="D259" s="328" t="str">
        <f>Screen_BA!D363</f>
        <v>Surgical Apron (ZM)</v>
      </c>
      <c r="F259" s="375" t="s">
        <v>47</v>
      </c>
    </row>
    <row r="260" spans="4:6" s="327" customFormat="1" x14ac:dyDescent="0.2">
      <c r="D260" s="328" t="str">
        <f>Screen_BA!D364</f>
        <v>Suxamethonium (ZM)</v>
      </c>
      <c r="F260" s="375" t="s">
        <v>47</v>
      </c>
    </row>
    <row r="261" spans="4:6" s="327" customFormat="1" x14ac:dyDescent="0.2">
      <c r="D261" s="328" t="str">
        <f>Screen_BA!D365</f>
        <v>Syringe - 2cc (ZM)</v>
      </c>
      <c r="F261" s="375" t="s">
        <v>47</v>
      </c>
    </row>
    <row r="262" spans="4:6" s="327" customFormat="1" x14ac:dyDescent="0.2">
      <c r="D262" s="328" t="str">
        <f>Screen_BA!D366</f>
        <v>Syringe - 2ml (UG)</v>
      </c>
      <c r="F262" s="375" t="s">
        <v>47</v>
      </c>
    </row>
    <row r="263" spans="4:6" s="327" customFormat="1" x14ac:dyDescent="0.2">
      <c r="D263" s="328" t="str">
        <f>Screen_BA!D367</f>
        <v>Syringe, 10 cc with needle (ZM)</v>
      </c>
      <c r="F263" s="375" t="s">
        <v>47</v>
      </c>
    </row>
    <row r="264" spans="4:6" s="327" customFormat="1" x14ac:dyDescent="0.2">
      <c r="D264" s="328" t="str">
        <f>Screen_BA!D368</f>
        <v>Syringe, 5 cc with needle (ZM)</v>
      </c>
      <c r="F264" s="375" t="s">
        <v>47</v>
      </c>
    </row>
    <row r="265" spans="4:6" s="327" customFormat="1" x14ac:dyDescent="0.2">
      <c r="D265" s="328" t="str">
        <f>Screen_BA!D369</f>
        <v>Syringes, 10 cc with needle (TZ)</v>
      </c>
      <c r="F265" s="375" t="s">
        <v>47</v>
      </c>
    </row>
    <row r="266" spans="4:6" s="327" customFormat="1" x14ac:dyDescent="0.2">
      <c r="D266" s="328" t="str">
        <f>Screen_BA!D370</f>
        <v>Syringes, 5 cc with needle (TZ)</v>
      </c>
      <c r="F266" s="375" t="s">
        <v>47</v>
      </c>
    </row>
    <row r="267" spans="4:6" s="327" customFormat="1" x14ac:dyDescent="0.2">
      <c r="D267" s="328" t="str">
        <f>Screen_BA!D371</f>
        <v>Syringes, Dental, 25 gauge (ZM)</v>
      </c>
      <c r="F267" s="375" t="s">
        <v>47</v>
      </c>
    </row>
    <row r="268" spans="4:6" s="327" customFormat="1" x14ac:dyDescent="0.2">
      <c r="D268" s="328" t="str">
        <f>Screen_BA!D372</f>
        <v>Thiopentone,500mg vial (ZM)</v>
      </c>
      <c r="F268" s="375" t="s">
        <v>47</v>
      </c>
    </row>
    <row r="269" spans="4:6" s="327" customFormat="1" x14ac:dyDescent="0.2">
      <c r="D269" s="328" t="str">
        <f>Screen_BA!D373</f>
        <v>Toilet Tissues (roll) – 500 sheets (ZM)</v>
      </c>
      <c r="F269" s="375" t="s">
        <v>47</v>
      </c>
    </row>
    <row r="270" spans="4:6" s="327" customFormat="1" x14ac:dyDescent="0.2">
      <c r="D270" s="328" t="str">
        <f>Screen_BA!D374</f>
        <v>Tramadol (50mg)  (ZM)</v>
      </c>
      <c r="F270" s="375" t="s">
        <v>47</v>
      </c>
    </row>
    <row r="271" spans="4:6" s="327" customFormat="1" x14ac:dyDescent="0.2">
      <c r="D271" s="328" t="str">
        <f>Screen_BA!D375</f>
        <v>Tramadol (50mg) (TZ)</v>
      </c>
      <c r="F271" s="375" t="s">
        <v>47</v>
      </c>
    </row>
    <row r="272" spans="4:6" s="327" customFormat="1" x14ac:dyDescent="0.2">
      <c r="D272" s="328" t="str">
        <f>Screen_BA!D376</f>
        <v>Tubes - Endotrach (ZM)</v>
      </c>
      <c r="F272" s="375" t="s">
        <v>47</v>
      </c>
    </row>
    <row r="273" spans="4:6" s="327" customFormat="1" x14ac:dyDescent="0.2">
      <c r="D273" s="328" t="str">
        <f>Screen_BA!D377</f>
        <v>Urine Bag (ZM)</v>
      </c>
      <c r="F273" s="375" t="s">
        <v>47</v>
      </c>
    </row>
    <row r="274" spans="4:6" s="327" customFormat="1" x14ac:dyDescent="0.2">
      <c r="D274" s="328" t="str">
        <f>Screen_BA!D378</f>
        <v>Urine Bag (TZ)</v>
      </c>
      <c r="F274" s="375" t="s">
        <v>47</v>
      </c>
    </row>
    <row r="275" spans="4:6" s="327" customFormat="1" x14ac:dyDescent="0.2">
      <c r="D275" s="328" t="str">
        <f>Screen_BA!D379</f>
        <v>Washing powder (ZM)</v>
      </c>
      <c r="F275" s="375" t="s">
        <v>47</v>
      </c>
    </row>
    <row r="276" spans="4:6" s="327" customFormat="1" x14ac:dyDescent="0.2">
      <c r="D276" s="328" t="str">
        <f>Screen_BA!D380</f>
        <v>Wire electrode (UG)</v>
      </c>
      <c r="F276" s="375" t="s">
        <v>47</v>
      </c>
    </row>
    <row r="277" spans="4:6" s="327" customFormat="1" x14ac:dyDescent="0.2">
      <c r="D277" s="328" t="str">
        <f>Screen_BA!D381</f>
        <v>Wood stick (ZM)</v>
      </c>
      <c r="F277" s="375" t="s">
        <v>47</v>
      </c>
    </row>
    <row r="278" spans="4:6" s="327" customFormat="1" x14ac:dyDescent="0.2">
      <c r="D278" s="328" t="str">
        <f>Screen_BA!D382</f>
        <v>Wood stick (TZ)</v>
      </c>
      <c r="F278" s="375" t="s">
        <v>47</v>
      </c>
    </row>
    <row r="279" spans="4:6" s="327" customFormat="1" x14ac:dyDescent="0.2">
      <c r="D279" s="328" t="str">
        <f>Screen_BA!D383</f>
        <v>Supplies Category 158</v>
      </c>
      <c r="F279" s="375" t="s">
        <v>47</v>
      </c>
    </row>
    <row r="280" spans="4:6" s="327" customFormat="1" x14ac:dyDescent="0.2">
      <c r="D280" s="328" t="str">
        <f>Screen_BA!D384</f>
        <v>Supplies Category 159</v>
      </c>
      <c r="F280" s="375" t="s">
        <v>47</v>
      </c>
    </row>
    <row r="281" spans="4:6" s="327" customFormat="1" x14ac:dyDescent="0.2">
      <c r="D281" s="328" t="str">
        <f>Screen_BA!D385</f>
        <v>Supplies Category 160</v>
      </c>
      <c r="F281" s="375" t="s">
        <v>47</v>
      </c>
    </row>
    <row r="282" spans="4:6" s="327" customFormat="1" x14ac:dyDescent="0.2">
      <c r="D282" s="328" t="str">
        <f>Screen_BA!D386</f>
        <v>Supplies Category 161</v>
      </c>
      <c r="F282" s="375" t="s">
        <v>47</v>
      </c>
    </row>
    <row r="283" spans="4:6" s="327" customFormat="1" x14ac:dyDescent="0.2">
      <c r="D283" s="328" t="str">
        <f>Screen_BA!D387</f>
        <v>Supplies Category 162</v>
      </c>
      <c r="F283" s="375" t="s">
        <v>47</v>
      </c>
    </row>
    <row r="284" spans="4:6" s="327" customFormat="1" x14ac:dyDescent="0.2">
      <c r="D284" s="328" t="str">
        <f>Screen_BA!D388</f>
        <v>Supplies Category 163</v>
      </c>
      <c r="F284" s="375" t="s">
        <v>47</v>
      </c>
    </row>
    <row r="285" spans="4:6" s="327" customFormat="1" x14ac:dyDescent="0.2">
      <c r="D285" s="328" t="str">
        <f>Screen_BA!D389</f>
        <v>Other Supply (Specify)</v>
      </c>
      <c r="F285" s="375" t="s">
        <v>47</v>
      </c>
    </row>
    <row r="286" spans="4:6" s="327" customFormat="1" x14ac:dyDescent="0.2">
      <c r="D286" s="328" t="str">
        <f>Screen_BA!D390</f>
        <v>Other Supply (Specify)</v>
      </c>
      <c r="F286" s="375" t="s">
        <v>47</v>
      </c>
    </row>
    <row r="287" spans="4:6" s="327" customFormat="1" x14ac:dyDescent="0.2">
      <c r="D287" s="328" t="str">
        <f>Screen_BA!D391</f>
        <v>Other Supply (Specify)</v>
      </c>
      <c r="F287" s="375" t="s">
        <v>47</v>
      </c>
    </row>
    <row r="288" spans="4:6" s="327" customFormat="1" x14ac:dyDescent="0.2">
      <c r="D288" s="328" t="str">
        <f>Screen_BA!D392</f>
        <v>Other Supply (Specify)</v>
      </c>
      <c r="F288" s="375" t="s">
        <v>47</v>
      </c>
    </row>
    <row r="289" spans="3:6" s="327" customFormat="1" x14ac:dyDescent="0.2"/>
    <row r="290" spans="3:6" s="327" customFormat="1" ht="15.75" x14ac:dyDescent="0.2">
      <c r="C290" s="330" t="s">
        <v>313</v>
      </c>
      <c r="F290" s="330" t="s">
        <v>32</v>
      </c>
    </row>
    <row r="291" spans="3:6" s="327" customFormat="1" x14ac:dyDescent="0.2"/>
    <row r="292" spans="3:6" s="327" customFormat="1" x14ac:dyDescent="0.2">
      <c r="D292" s="331" t="s">
        <v>313</v>
      </c>
      <c r="F292" s="598" t="s">
        <v>315</v>
      </c>
    </row>
    <row r="293" spans="3:6" s="327" customFormat="1" x14ac:dyDescent="0.2">
      <c r="D293" s="328" t="str">
        <f>Screen_BA!D395</f>
        <v>_Not Applicable</v>
      </c>
      <c r="F293" s="375" t="s">
        <v>47</v>
      </c>
    </row>
    <row r="294" spans="3:6" s="327" customFormat="1" x14ac:dyDescent="0.2">
      <c r="D294" s="328" t="str">
        <f>Screen_BA!D396</f>
        <v>Aluminum pail with lid (TZ)</v>
      </c>
      <c r="F294" s="375" t="s">
        <v>47</v>
      </c>
    </row>
    <row r="295" spans="3:6" s="327" customFormat="1" x14ac:dyDescent="0.2">
      <c r="D295" s="328" t="str">
        <f>Screen_BA!D397</f>
        <v>Autoclaving Machine (ZM)</v>
      </c>
      <c r="F295" s="375" t="s">
        <v>47</v>
      </c>
    </row>
    <row r="296" spans="3:6" s="327" customFormat="1" x14ac:dyDescent="0.2">
      <c r="D296" s="328" t="str">
        <f>Screen_BA!D398</f>
        <v>Ball electrode  5mm/Ellman (ZM)</v>
      </c>
      <c r="F296" s="375" t="s">
        <v>47</v>
      </c>
    </row>
    <row r="297" spans="3:6" s="327" customFormat="1" x14ac:dyDescent="0.2">
      <c r="D297" s="328" t="str">
        <f>Screen_BA!D399</f>
        <v>Basin (for examination couch) (ZM)</v>
      </c>
      <c r="F297" s="375" t="s">
        <v>47</v>
      </c>
    </row>
    <row r="298" spans="3:6" s="327" customFormat="1" x14ac:dyDescent="0.2">
      <c r="D298" s="328" t="str">
        <f>Screen_BA!D400</f>
        <v>Battery Charger (ZM)</v>
      </c>
      <c r="F298" s="375" t="s">
        <v>47</v>
      </c>
    </row>
    <row r="299" spans="3:6" s="327" customFormat="1" x14ac:dyDescent="0.2">
      <c r="D299" s="328" t="str">
        <f>Screen_BA!D401</f>
        <v>Bucket (UG)</v>
      </c>
      <c r="F299" s="375" t="s">
        <v>47</v>
      </c>
    </row>
    <row r="300" spans="3:6" s="327" customFormat="1" x14ac:dyDescent="0.2">
      <c r="D300" s="328" t="str">
        <f>Screen_BA!D402</f>
        <v>Bucket 20Lt plastic with lid (ZM)</v>
      </c>
      <c r="F300" s="375" t="s">
        <v>47</v>
      </c>
    </row>
    <row r="301" spans="3:6" s="327" customFormat="1" x14ac:dyDescent="0.2">
      <c r="D301" s="328" t="str">
        <f>Screen_BA!D403</f>
        <v>Camera Rechargeable batteries ( set of 6) (ZM)</v>
      </c>
      <c r="F301" s="375" t="s">
        <v>47</v>
      </c>
    </row>
    <row r="302" spans="3:6" s="327" customFormat="1" x14ac:dyDescent="0.2">
      <c r="D302" s="328" t="str">
        <f>Screen_BA!D404</f>
        <v>Card Reader (ZM)</v>
      </c>
      <c r="F302" s="375" t="s">
        <v>47</v>
      </c>
    </row>
    <row r="303" spans="3:6" s="327" customFormat="1" x14ac:dyDescent="0.2">
      <c r="D303" s="328" t="str">
        <f>Screen_BA!D405</f>
        <v>CareHPV Machine (kit set) (ZM)</v>
      </c>
      <c r="F303" s="375" t="s">
        <v>47</v>
      </c>
    </row>
    <row r="304" spans="3:6" s="327" customFormat="1" x14ac:dyDescent="0.2">
      <c r="D304" s="328" t="str">
        <f>Screen_BA!D406</f>
        <v>CareHPV Machine (kit)  (TZ)</v>
      </c>
      <c r="F304" s="375" t="s">
        <v>47</v>
      </c>
    </row>
    <row r="305" spans="4:6" s="327" customFormat="1" x14ac:dyDescent="0.2">
      <c r="D305" s="328" t="str">
        <f>Screen_BA!D407</f>
        <v>Cauterizer (ZM)</v>
      </c>
      <c r="F305" s="375" t="s">
        <v>47</v>
      </c>
    </row>
    <row r="306" spans="4:6" s="327" customFormat="1" x14ac:dyDescent="0.2">
      <c r="D306" s="328" t="str">
        <f>Screen_BA!D408</f>
        <v>Cauterizer  (TZ)</v>
      </c>
      <c r="F306" s="375" t="s">
        <v>47</v>
      </c>
    </row>
    <row r="307" spans="4:6" s="327" customFormat="1" x14ac:dyDescent="0.2">
      <c r="D307" s="328" t="str">
        <f>Screen_BA!D409</f>
        <v>Cervical Cold Coagulator with Instrument Cable and Therapy Probe (ZM)</v>
      </c>
      <c r="F307" s="375" t="s">
        <v>47</v>
      </c>
    </row>
    <row r="308" spans="4:6" s="327" customFormat="1" x14ac:dyDescent="0.2">
      <c r="D308" s="328" t="str">
        <f>Screen_BA!D410</f>
        <v>Chair (ZM)</v>
      </c>
      <c r="F308" s="375" t="s">
        <v>47</v>
      </c>
    </row>
    <row r="309" spans="4:6" s="327" customFormat="1" x14ac:dyDescent="0.2">
      <c r="D309" s="328" t="str">
        <f>Screen_BA!D411</f>
        <v>Cheetal forceps (UG)</v>
      </c>
      <c r="F309" s="375" t="s">
        <v>47</v>
      </c>
    </row>
    <row r="310" spans="4:6" s="327" customFormat="1" x14ac:dyDescent="0.2">
      <c r="D310" s="328" t="str">
        <f>Screen_BA!D412</f>
        <v>Colposcope (set) (ZM)</v>
      </c>
      <c r="F310" s="375" t="s">
        <v>47</v>
      </c>
    </row>
    <row r="311" spans="4:6" s="327" customFormat="1" x14ac:dyDescent="0.2">
      <c r="D311" s="328" t="str">
        <f>Screen_BA!D413</f>
        <v>Colposcope (UG)</v>
      </c>
      <c r="F311" s="375" t="s">
        <v>47</v>
      </c>
    </row>
    <row r="312" spans="4:6" s="327" customFormat="1" x14ac:dyDescent="0.2">
      <c r="D312" s="328" t="str">
        <f>Screen_BA!D414</f>
        <v>Colposcopy equipment (TZ)</v>
      </c>
      <c r="F312" s="375" t="s">
        <v>47</v>
      </c>
    </row>
    <row r="313" spans="4:6" s="327" customFormat="1" x14ac:dyDescent="0.2">
      <c r="D313" s="328" t="str">
        <f>Screen_BA!D415</f>
        <v>Cryotherapy unit (UG)</v>
      </c>
      <c r="F313" s="375" t="s">
        <v>47</v>
      </c>
    </row>
    <row r="314" spans="4:6" s="327" customFormat="1" x14ac:dyDescent="0.2">
      <c r="D314" s="328" t="str">
        <f>Screen_BA!D416</f>
        <v>Cryotherapy Unit with cryotips (set) (ZM)</v>
      </c>
      <c r="F314" s="375" t="s">
        <v>47</v>
      </c>
    </row>
    <row r="315" spans="4:6" s="327" customFormat="1" x14ac:dyDescent="0.2">
      <c r="D315" s="328" t="str">
        <f>Screen_BA!D417</f>
        <v>Cryotherapy Unit with cryotips (TZ)</v>
      </c>
      <c r="F315" s="375" t="s">
        <v>47</v>
      </c>
    </row>
    <row r="316" spans="4:6" s="327" customFormat="1" x14ac:dyDescent="0.2">
      <c r="D316" s="328" t="str">
        <f>Screen_BA!D418</f>
        <v>Digital Camera (ZM)</v>
      </c>
      <c r="F316" s="375" t="s">
        <v>47</v>
      </c>
    </row>
    <row r="317" spans="4:6" s="327" customFormat="1" x14ac:dyDescent="0.2">
      <c r="D317" s="328" t="str">
        <f>Screen_BA!D419</f>
        <v>Dissecting forceps – 12.5 cm  (TZ)</v>
      </c>
      <c r="F317" s="375" t="s">
        <v>47</v>
      </c>
    </row>
    <row r="318" spans="4:6" s="327" customFormat="1" x14ac:dyDescent="0.2">
      <c r="D318" s="328" t="str">
        <f>Screen_BA!D420</f>
        <v>Doctor's Stool (ZM)</v>
      </c>
      <c r="F318" s="375" t="s">
        <v>47</v>
      </c>
    </row>
    <row r="319" spans="4:6" s="327" customFormat="1" x14ac:dyDescent="0.2">
      <c r="D319" s="328" t="str">
        <f>Screen_BA!D421</f>
        <v>Endocervical speculum  (UG)</v>
      </c>
      <c r="F319" s="375" t="s">
        <v>47</v>
      </c>
    </row>
    <row r="320" spans="4:6" s="327" customFormat="1" x14ac:dyDescent="0.2">
      <c r="D320" s="328" t="str">
        <f>Screen_BA!D422</f>
        <v>Examination bed (UG)</v>
      </c>
      <c r="F320" s="375" t="s">
        <v>47</v>
      </c>
    </row>
    <row r="321" spans="4:6" s="327" customFormat="1" x14ac:dyDescent="0.2">
      <c r="D321" s="328" t="str">
        <f>Screen_BA!D423</f>
        <v>Examination couch (with Stirrups) (ZM)</v>
      </c>
      <c r="F321" s="375" t="s">
        <v>47</v>
      </c>
    </row>
    <row r="322" spans="4:6" s="327" customFormat="1" x14ac:dyDescent="0.2">
      <c r="D322" s="328" t="str">
        <f>Screen_BA!D424</f>
        <v>Examination light (Halogen, no bulb) (ZM)</v>
      </c>
      <c r="F322" s="375" t="s">
        <v>47</v>
      </c>
    </row>
    <row r="323" spans="4:6" s="327" customFormat="1" x14ac:dyDescent="0.2">
      <c r="D323" s="328" t="str">
        <f>Screen_BA!D425</f>
        <v>Examination light source  (TZ)</v>
      </c>
      <c r="F323" s="375" t="s">
        <v>47</v>
      </c>
    </row>
    <row r="324" spans="4:6" s="327" customFormat="1" x14ac:dyDescent="0.2">
      <c r="D324" s="328" t="str">
        <f>Screen_BA!D426</f>
        <v>Examination light source (Halogen) with bulb (set) (ZM)</v>
      </c>
      <c r="F324" s="375" t="s">
        <v>47</v>
      </c>
    </row>
    <row r="325" spans="4:6" s="327" customFormat="1" x14ac:dyDescent="0.2">
      <c r="D325" s="328" t="str">
        <f>Screen_BA!D427</f>
        <v>Examination table (UG)</v>
      </c>
      <c r="F325" s="375" t="s">
        <v>47</v>
      </c>
    </row>
    <row r="326" spans="4:6" s="327" customFormat="1" x14ac:dyDescent="0.2">
      <c r="D326" s="328" t="str">
        <f>Screen_BA!D428</f>
        <v>Filing Cabinet (ZM)</v>
      </c>
      <c r="F326" s="375" t="s">
        <v>47</v>
      </c>
    </row>
    <row r="327" spans="4:6" s="327" customFormat="1" x14ac:dyDescent="0.2">
      <c r="D327" s="328" t="str">
        <f>Screen_BA!D429</f>
        <v>Forceps (UG)</v>
      </c>
      <c r="F327" s="375" t="s">
        <v>47</v>
      </c>
    </row>
    <row r="328" spans="4:6" s="327" customFormat="1" x14ac:dyDescent="0.2">
      <c r="D328" s="328" t="str">
        <f>Screen_BA!D430</f>
        <v>Forceps Babcocks  (ZM)</v>
      </c>
      <c r="F328" s="375" t="s">
        <v>47</v>
      </c>
    </row>
    <row r="329" spans="4:6" s="327" customFormat="1" x14ac:dyDescent="0.2">
      <c r="D329" s="328" t="str">
        <f>Screen_BA!D431</f>
        <v>Forceps tissue - babcocks  (TZ)</v>
      </c>
      <c r="F329" s="375" t="s">
        <v>47</v>
      </c>
    </row>
    <row r="330" spans="4:6" s="327" customFormat="1" x14ac:dyDescent="0.2">
      <c r="D330" s="328" t="str">
        <f>Screen_BA!D432</f>
        <v>Forceps tissue - long  (TZ)</v>
      </c>
      <c r="F330" s="375" t="s">
        <v>47</v>
      </c>
    </row>
    <row r="331" spans="4:6" s="327" customFormat="1" x14ac:dyDescent="0.2">
      <c r="D331" s="328" t="str">
        <f>Screen_BA!D433</f>
        <v>Forceps tissue- litlewoods 19 cm  (TZ)</v>
      </c>
      <c r="F331" s="375" t="s">
        <v>47</v>
      </c>
    </row>
    <row r="332" spans="4:6" s="327" customFormat="1" x14ac:dyDescent="0.2">
      <c r="D332" s="328" t="str">
        <f>Screen_BA!D434</f>
        <v>Forceps, Cheetal (ZM)</v>
      </c>
      <c r="F332" s="375" t="s">
        <v>47</v>
      </c>
    </row>
    <row r="333" spans="4:6" s="327" customFormat="1" x14ac:dyDescent="0.2">
      <c r="D333" s="328" t="str">
        <f>Screen_BA!D435</f>
        <v>Forceps, Dissecting - 12.5 cm (ZM)</v>
      </c>
      <c r="F333" s="375" t="s">
        <v>47</v>
      </c>
    </row>
    <row r="334" spans="4:6" s="327" customFormat="1" x14ac:dyDescent="0.2">
      <c r="D334" s="328" t="str">
        <f>Screen_BA!D436</f>
        <v>Forceps, Littlewoods 19 cm (ZM)</v>
      </c>
      <c r="F334" s="375" t="s">
        <v>47</v>
      </c>
    </row>
    <row r="335" spans="4:6" s="327" customFormat="1" x14ac:dyDescent="0.2">
      <c r="D335" s="328" t="str">
        <f>Screen_BA!D437</f>
        <v>Forceps, Long  (ZM)</v>
      </c>
      <c r="F335" s="375" t="s">
        <v>47</v>
      </c>
    </row>
    <row r="336" spans="4:6" s="327" customFormat="1" x14ac:dyDescent="0.2">
      <c r="D336" s="328" t="str">
        <f>Screen_BA!D438</f>
        <v>Forceps, ovum (ZM)</v>
      </c>
      <c r="F336" s="375" t="s">
        <v>47</v>
      </c>
    </row>
    <row r="337" spans="4:6" s="327" customFormat="1" x14ac:dyDescent="0.2">
      <c r="D337" s="328" t="str">
        <f>Screen_BA!D439</f>
        <v>Forceps, ovum  (TZ)</v>
      </c>
      <c r="F337" s="375" t="s">
        <v>47</v>
      </c>
    </row>
    <row r="338" spans="4:6" s="327" customFormat="1" x14ac:dyDescent="0.2">
      <c r="D338" s="328" t="str">
        <f>Screen_BA!D440</f>
        <v>Forceps, Punch biopsy (ZM)</v>
      </c>
      <c r="F338" s="375" t="s">
        <v>47</v>
      </c>
    </row>
    <row r="339" spans="4:6" s="327" customFormat="1" x14ac:dyDescent="0.2">
      <c r="D339" s="328" t="str">
        <f>Screen_BA!D441</f>
        <v>Forceps, punch biopsy (TZ)</v>
      </c>
      <c r="F339" s="375" t="s">
        <v>47</v>
      </c>
    </row>
    <row r="340" spans="4:6" s="327" customFormat="1" x14ac:dyDescent="0.2">
      <c r="D340" s="328" t="str">
        <f>Screen_BA!D442</f>
        <v>Forceps, Sponge holder (ZM)</v>
      </c>
      <c r="F340" s="375" t="s">
        <v>47</v>
      </c>
    </row>
    <row r="341" spans="4:6" s="327" customFormat="1" x14ac:dyDescent="0.2">
      <c r="D341" s="328" t="str">
        <f>Screen_BA!D443</f>
        <v>Forceps, sponge holder  (TZ)</v>
      </c>
      <c r="F341" s="375" t="s">
        <v>47</v>
      </c>
    </row>
    <row r="342" spans="4:6" s="327" customFormat="1" x14ac:dyDescent="0.2">
      <c r="D342" s="328" t="str">
        <f>Screen_BA!D444</f>
        <v>Gallipot (ZM)</v>
      </c>
      <c r="F342" s="375" t="s">
        <v>47</v>
      </c>
    </row>
    <row r="343" spans="4:6" s="327" customFormat="1" x14ac:dyDescent="0.2">
      <c r="D343" s="328" t="str">
        <f>Screen_BA!D445</f>
        <v>Gallipot (UG)</v>
      </c>
      <c r="F343" s="375" t="s">
        <v>47</v>
      </c>
    </row>
    <row r="344" spans="4:6" s="327" customFormat="1" x14ac:dyDescent="0.2">
      <c r="D344" s="328" t="str">
        <f>Screen_BA!D446</f>
        <v>Gas cylinder adaptor (ZM)</v>
      </c>
      <c r="F344" s="375" t="s">
        <v>47</v>
      </c>
    </row>
    <row r="345" spans="4:6" s="327" customFormat="1" x14ac:dyDescent="0.2">
      <c r="D345" s="328" t="str">
        <f>Screen_BA!D447</f>
        <v>Gas cylinder adaptor  (TZ)</v>
      </c>
      <c r="F345" s="375" t="s">
        <v>47</v>
      </c>
    </row>
    <row r="346" spans="4:6" s="327" customFormat="1" x14ac:dyDescent="0.2">
      <c r="D346" s="328" t="str">
        <f>Screen_BA!D448</f>
        <v>Gynecological examination bed  (TZ)</v>
      </c>
      <c r="F346" s="375" t="s">
        <v>47</v>
      </c>
    </row>
    <row r="347" spans="4:6" s="327" customFormat="1" x14ac:dyDescent="0.2">
      <c r="D347" s="328" t="str">
        <f>Screen_BA!D449</f>
        <v>Halogen Bulbs (ZM)</v>
      </c>
      <c r="F347" s="375" t="s">
        <v>47</v>
      </c>
    </row>
    <row r="348" spans="4:6" s="327" customFormat="1" x14ac:dyDescent="0.2">
      <c r="D348" s="328" t="str">
        <f>Screen_BA!D450</f>
        <v>Hysterectomy Set (ZM)</v>
      </c>
      <c r="F348" s="375" t="s">
        <v>47</v>
      </c>
    </row>
    <row r="349" spans="4:6" s="327" customFormat="1" x14ac:dyDescent="0.2">
      <c r="D349" s="328" t="str">
        <f>Screen_BA!D451</f>
        <v>Instrument tray (ZM)</v>
      </c>
      <c r="F349" s="375" t="s">
        <v>47</v>
      </c>
    </row>
    <row r="350" spans="4:6" s="327" customFormat="1" x14ac:dyDescent="0.2">
      <c r="D350" s="328" t="str">
        <f>Screen_BA!D452</f>
        <v>Instrument tray  (TZ)</v>
      </c>
      <c r="F350" s="375" t="s">
        <v>47</v>
      </c>
    </row>
    <row r="351" spans="4:6" s="327" customFormat="1" x14ac:dyDescent="0.2">
      <c r="D351" s="328" t="str">
        <f>Screen_BA!D453</f>
        <v>Kidney Dish (ZM)</v>
      </c>
      <c r="F351" s="375" t="s">
        <v>47</v>
      </c>
    </row>
    <row r="352" spans="4:6" s="327" customFormat="1" x14ac:dyDescent="0.2">
      <c r="D352" s="328" t="str">
        <f>Screen_BA!D454</f>
        <v>Kidney Dish (UG)</v>
      </c>
      <c r="F352" s="375" t="s">
        <v>47</v>
      </c>
    </row>
    <row r="353" spans="4:6" s="327" customFormat="1" x14ac:dyDescent="0.2">
      <c r="D353" s="328" t="str">
        <f>Screen_BA!D455</f>
        <v>Lamp (UG)</v>
      </c>
      <c r="F353" s="375" t="s">
        <v>47</v>
      </c>
    </row>
    <row r="354" spans="4:6" s="327" customFormat="1" x14ac:dyDescent="0.2">
      <c r="D354" s="328" t="str">
        <f>Screen_BA!D456</f>
        <v>Laptop / Desktop Computer (ZM)</v>
      </c>
      <c r="F354" s="375" t="s">
        <v>47</v>
      </c>
    </row>
    <row r="355" spans="4:6" s="327" customFormat="1" x14ac:dyDescent="0.2">
      <c r="D355" s="328" t="str">
        <f>Screen_BA!D457</f>
        <v>LEEP Equipment  (TZ)</v>
      </c>
      <c r="F355" s="375" t="s">
        <v>47</v>
      </c>
    </row>
    <row r="356" spans="4:6" s="327" customFormat="1" x14ac:dyDescent="0.2">
      <c r="D356" s="328" t="str">
        <f>Screen_BA!D458</f>
        <v>LEEP machine plus smoke evacuator system plus accessories (ZM)</v>
      </c>
      <c r="F356" s="375" t="s">
        <v>47</v>
      </c>
    </row>
    <row r="357" spans="4:6" s="327" customFormat="1" x14ac:dyDescent="0.2">
      <c r="D357" s="328" t="str">
        <f>Screen_BA!D459</f>
        <v>LEEP machine  with coated speculums (UG)</v>
      </c>
      <c r="F357" s="375" t="s">
        <v>47</v>
      </c>
    </row>
    <row r="358" spans="4:6" s="327" customFormat="1" x14ac:dyDescent="0.2">
      <c r="D358" s="328" t="str">
        <f>Screen_BA!D460</f>
        <v>Lensmate SX 40 Filter Adapter 58mm (ZM)</v>
      </c>
      <c r="F358" s="375" t="s">
        <v>47</v>
      </c>
    </row>
    <row r="359" spans="4:6" s="327" customFormat="1" x14ac:dyDescent="0.2">
      <c r="D359" s="328" t="str">
        <f>Screen_BA!D461</f>
        <v>Loop Electrodes - 5 mm x 5mm (Ellman) (ZM)</v>
      </c>
      <c r="F359" s="375" t="s">
        <v>47</v>
      </c>
    </row>
    <row r="360" spans="4:6" s="327" customFormat="1" x14ac:dyDescent="0.2">
      <c r="D360" s="328" t="str">
        <f>Screen_BA!D462</f>
        <v>Loop Electrodes - 10 mm x 10mm (Ellman) (ZM)</v>
      </c>
      <c r="F360" s="375" t="s">
        <v>47</v>
      </c>
    </row>
    <row r="361" spans="4:6" s="327" customFormat="1" x14ac:dyDescent="0.2">
      <c r="D361" s="328" t="str">
        <f>Screen_BA!D463</f>
        <v>Loop Electrodes - 20 mm x 8mm (Ellman) (ZM)</v>
      </c>
      <c r="F361" s="375" t="s">
        <v>47</v>
      </c>
    </row>
    <row r="362" spans="4:6" s="327" customFormat="1" x14ac:dyDescent="0.2">
      <c r="D362" s="328" t="str">
        <f>Screen_BA!D464</f>
        <v>Loop Electrodes - 20 mm x 15mm (Ellman) (ZM)</v>
      </c>
      <c r="F362" s="375" t="s">
        <v>47</v>
      </c>
    </row>
    <row r="363" spans="4:6" s="327" customFormat="1" x14ac:dyDescent="0.2">
      <c r="D363" s="328" t="str">
        <f>Screen_BA!D465</f>
        <v>Mackintosh (Plastic sheet for exam couch) (ZM)</v>
      </c>
      <c r="F363" s="375" t="s">
        <v>47</v>
      </c>
    </row>
    <row r="364" spans="4:6" s="327" customFormat="1" x14ac:dyDescent="0.2">
      <c r="D364" s="328" t="str">
        <f>Screen_BA!D466</f>
        <v>Magnification Lens (ZM)</v>
      </c>
      <c r="F364" s="375" t="s">
        <v>47</v>
      </c>
    </row>
    <row r="365" spans="4:6" s="327" customFormat="1" x14ac:dyDescent="0.2">
      <c r="D365" s="328" t="str">
        <f>Screen_BA!D467</f>
        <v>Medical Rubber Mackintosh Sheet (ZM)</v>
      </c>
      <c r="F365" s="375" t="s">
        <v>47</v>
      </c>
    </row>
    <row r="366" spans="4:6" s="327" customFormat="1" x14ac:dyDescent="0.2">
      <c r="D366" s="328" t="str">
        <f>Screen_BA!D468</f>
        <v>Medical Rubber Mackintosh Sheet   (TZ)</v>
      </c>
      <c r="F366" s="375" t="s">
        <v>47</v>
      </c>
    </row>
    <row r="367" spans="4:6" s="327" customFormat="1" x14ac:dyDescent="0.2">
      <c r="D367" s="328" t="str">
        <f>Screen_BA!D469</f>
        <v>Memory Card (ZM)</v>
      </c>
      <c r="F367" s="375" t="s">
        <v>47</v>
      </c>
    </row>
    <row r="368" spans="4:6" s="327" customFormat="1" x14ac:dyDescent="0.2">
      <c r="D368" s="328" t="str">
        <f>Screen_BA!D470</f>
        <v>Multi-Tip Cryo-Probe System with British adapter for NO2 includes gun, regulator, hose(2/3Tips included) (set) (ZM)</v>
      </c>
      <c r="F368" s="375" t="s">
        <v>47</v>
      </c>
    </row>
    <row r="369" spans="4:6" s="327" customFormat="1" x14ac:dyDescent="0.2">
      <c r="D369" s="328" t="str">
        <f>Screen_BA!D471</f>
        <v>Non-conducting speculum  Pederson  (ZM)</v>
      </c>
      <c r="F369" s="375" t="s">
        <v>47</v>
      </c>
    </row>
    <row r="370" spans="4:6" s="327" customFormat="1" x14ac:dyDescent="0.2">
      <c r="D370" s="328" t="str">
        <f>Screen_BA!D472</f>
        <v>Non-conducting speculum (UG)</v>
      </c>
      <c r="F370" s="375" t="s">
        <v>47</v>
      </c>
    </row>
    <row r="371" spans="4:6" s="327" customFormat="1" x14ac:dyDescent="0.2">
      <c r="D371" s="328" t="str">
        <f>Screen_BA!D473</f>
        <v>Nurses Table (ZM)</v>
      </c>
      <c r="F371" s="375" t="s">
        <v>47</v>
      </c>
    </row>
    <row r="372" spans="4:6" s="327" customFormat="1" x14ac:dyDescent="0.2">
      <c r="D372" s="328" t="str">
        <f>Screen_BA!D474</f>
        <v>Pillow (ZM)</v>
      </c>
      <c r="F372" s="375" t="s">
        <v>47</v>
      </c>
    </row>
    <row r="373" spans="4:6" s="327" customFormat="1" x14ac:dyDescent="0.2">
      <c r="D373" s="328" t="str">
        <f>Screen_BA!D475</f>
        <v>Plastic apron (ZM)</v>
      </c>
      <c r="F373" s="375" t="s">
        <v>47</v>
      </c>
    </row>
    <row r="374" spans="4:6" s="327" customFormat="1" x14ac:dyDescent="0.2">
      <c r="D374" s="328" t="str">
        <f>Screen_BA!D476</f>
        <v>Plastic apron  (TZ)</v>
      </c>
      <c r="F374" s="375" t="s">
        <v>47</v>
      </c>
    </row>
    <row r="375" spans="4:6" s="327" customFormat="1" x14ac:dyDescent="0.2">
      <c r="D375" s="328" t="str">
        <f>Screen_BA!D477</f>
        <v>Privacy screen (portable) (ZM)</v>
      </c>
      <c r="F375" s="375" t="s">
        <v>47</v>
      </c>
    </row>
    <row r="376" spans="4:6" s="327" customFormat="1" x14ac:dyDescent="0.2">
      <c r="D376" s="328" t="str">
        <f>Screen_BA!D478</f>
        <v>Privacy screen (portable) (TZ)</v>
      </c>
      <c r="F376" s="375" t="s">
        <v>47</v>
      </c>
    </row>
    <row r="377" spans="4:6" s="327" customFormat="1" x14ac:dyDescent="0.2">
      <c r="D377" s="328" t="str">
        <f>Screen_BA!D479</f>
        <v>Punch Biopsy Forceps  Titanium 10" (ZM)</v>
      </c>
      <c r="F377" s="375" t="s">
        <v>47</v>
      </c>
    </row>
    <row r="378" spans="4:6" s="327" customFormat="1" x14ac:dyDescent="0.2">
      <c r="D378" s="328" t="str">
        <f>Screen_BA!D480</f>
        <v>Punch Biopsy Forceps (UG)</v>
      </c>
      <c r="F378" s="375" t="s">
        <v>47</v>
      </c>
    </row>
    <row r="379" spans="4:6" s="327" customFormat="1" x14ac:dyDescent="0.2">
      <c r="D379" s="328" t="str">
        <f>Screen_BA!D481</f>
        <v>Radiotherapy Machine - intra-cavity ( internal)  (TZ)</v>
      </c>
      <c r="F379" s="375" t="s">
        <v>47</v>
      </c>
    </row>
    <row r="380" spans="4:6" s="327" customFormat="1" x14ac:dyDescent="0.2">
      <c r="D380" s="328" t="str">
        <f>Screen_BA!D482</f>
        <v>Radiotherapy Machine - teletherapy (external) Cobalt-60  (TZ)</v>
      </c>
      <c r="F380" s="375" t="s">
        <v>47</v>
      </c>
    </row>
    <row r="381" spans="4:6" s="327" customFormat="1" x14ac:dyDescent="0.2">
      <c r="D381" s="328" t="str">
        <f>Screen_BA!D483</f>
        <v>Radiotherapy Treatment Couch  (TZ)</v>
      </c>
      <c r="F381" s="375" t="s">
        <v>47</v>
      </c>
    </row>
    <row r="382" spans="4:6" s="327" customFormat="1" x14ac:dyDescent="0.2">
      <c r="D382" s="328" t="str">
        <f>Screen_BA!D484</f>
        <v>Registration book, patient  (TZ)</v>
      </c>
      <c r="F382" s="375" t="s">
        <v>47</v>
      </c>
    </row>
    <row r="383" spans="4:6" s="327" customFormat="1" x14ac:dyDescent="0.2">
      <c r="D383" s="328" t="str">
        <f>Screen_BA!D485</f>
        <v>Retractor 3.5" Coated Lateral Wall (ZM)</v>
      </c>
      <c r="F383" s="375" t="s">
        <v>47</v>
      </c>
    </row>
    <row r="384" spans="4:6" s="327" customFormat="1" x14ac:dyDescent="0.2">
      <c r="D384" s="328" t="str">
        <f>Screen_BA!D486</f>
        <v>Smoke evacuator (UG)</v>
      </c>
      <c r="F384" s="375" t="s">
        <v>47</v>
      </c>
    </row>
    <row r="385" spans="4:6" s="327" customFormat="1" x14ac:dyDescent="0.2">
      <c r="D385" s="328" t="str">
        <f>Screen_BA!D487</f>
        <v>Specimen Tube rack  (TZ)</v>
      </c>
      <c r="F385" s="375" t="s">
        <v>47</v>
      </c>
    </row>
    <row r="386" spans="4:6" s="327" customFormat="1" x14ac:dyDescent="0.2">
      <c r="D386" s="328" t="str">
        <f>Screen_BA!D488</f>
        <v>Speculum  (TZ)</v>
      </c>
      <c r="F386" s="375" t="s">
        <v>47</v>
      </c>
    </row>
    <row r="387" spans="4:6" s="327" customFormat="1" x14ac:dyDescent="0.2">
      <c r="D387" s="328" t="str">
        <f>Screen_BA!D489</f>
        <v>Speculum (reusable) (UG)</v>
      </c>
      <c r="F387" s="375" t="s">
        <v>47</v>
      </c>
    </row>
    <row r="388" spans="4:6" s="327" customFormat="1" x14ac:dyDescent="0.2">
      <c r="D388" s="328" t="str">
        <f>Screen_BA!D490</f>
        <v>Speculum (UG)</v>
      </c>
      <c r="F388" s="375" t="s">
        <v>47</v>
      </c>
    </row>
    <row r="389" spans="4:6" s="327" customFormat="1" x14ac:dyDescent="0.2">
      <c r="D389" s="328" t="str">
        <f>Screen_BA!D491</f>
        <v>Speculum Graves' large  (ZM)</v>
      </c>
      <c r="F389" s="375" t="s">
        <v>47</v>
      </c>
    </row>
    <row r="390" spans="4:6" s="327" customFormat="1" x14ac:dyDescent="0.2">
      <c r="D390" s="328" t="str">
        <f>Screen_BA!D492</f>
        <v>Speculum Graves' Medium (ZM)</v>
      </c>
      <c r="F390" s="375" t="s">
        <v>47</v>
      </c>
    </row>
    <row r="391" spans="4:6" s="327" customFormat="1" x14ac:dyDescent="0.2">
      <c r="D391" s="328" t="str">
        <f>Screen_BA!D493</f>
        <v>Speculum  Graves'  Small (ZM)</v>
      </c>
      <c r="F391" s="375" t="s">
        <v>47</v>
      </c>
    </row>
    <row r="392" spans="4:6" s="327" customFormat="1" x14ac:dyDescent="0.2">
      <c r="D392" s="328" t="str">
        <f>Screen_BA!D494</f>
        <v>Speculum, endocervical (ZM)</v>
      </c>
      <c r="F392" s="375" t="s">
        <v>47</v>
      </c>
    </row>
    <row r="393" spans="4:6" s="327" customFormat="1" x14ac:dyDescent="0.2">
      <c r="D393" s="328" t="str">
        <f>Screen_BA!D495</f>
        <v>Sponge holding forceps (UG)</v>
      </c>
      <c r="F393" s="375" t="s">
        <v>47</v>
      </c>
    </row>
    <row r="394" spans="4:6" s="327" customFormat="1" x14ac:dyDescent="0.2">
      <c r="D394" s="328" t="str">
        <f>Screen_BA!D496</f>
        <v>Steel trolley (Two/three shelves) (ZM)</v>
      </c>
      <c r="F394" s="375" t="s">
        <v>47</v>
      </c>
    </row>
    <row r="395" spans="4:6" s="327" customFormat="1" x14ac:dyDescent="0.2">
      <c r="D395" s="328" t="str">
        <f>Screen_BA!D497</f>
        <v>Step-on stool (ZM)</v>
      </c>
      <c r="F395" s="375" t="s">
        <v>47</v>
      </c>
    </row>
    <row r="396" spans="4:6" s="327" customFormat="1" x14ac:dyDescent="0.2">
      <c r="D396" s="328" t="str">
        <f>Screen_BA!D498</f>
        <v>Sterilising Drum (ZM)</v>
      </c>
      <c r="F396" s="375" t="s">
        <v>47</v>
      </c>
    </row>
    <row r="397" spans="4:6" s="327" customFormat="1" x14ac:dyDescent="0.2">
      <c r="D397" s="328" t="str">
        <f>Screen_BA!D499</f>
        <v>Sterilizer (UG)</v>
      </c>
      <c r="F397" s="375" t="s">
        <v>47</v>
      </c>
    </row>
    <row r="398" spans="4:6" s="327" customFormat="1" x14ac:dyDescent="0.2">
      <c r="D398" s="328" t="str">
        <f>Screen_BA!D500</f>
        <v>Television set (ZM)</v>
      </c>
      <c r="F398" s="375" t="s">
        <v>47</v>
      </c>
    </row>
    <row r="399" spans="4:6" s="327" customFormat="1" x14ac:dyDescent="0.2">
      <c r="D399" s="328" t="str">
        <f>Screen_BA!D501</f>
        <v>Timer / wall clock (UG)</v>
      </c>
      <c r="F399" s="375" t="s">
        <v>47</v>
      </c>
    </row>
    <row r="400" spans="4:6" s="327" customFormat="1" x14ac:dyDescent="0.2">
      <c r="D400" s="328" t="str">
        <f>Screen_BA!D502</f>
        <v>Torch (UG)</v>
      </c>
      <c r="F400" s="375" t="s">
        <v>47</v>
      </c>
    </row>
    <row r="401" spans="4:6" s="327" customFormat="1" x14ac:dyDescent="0.2">
      <c r="D401" s="328" t="str">
        <f>Screen_BA!D503</f>
        <v>Uterine Cervical Dilator (ZM)</v>
      </c>
      <c r="F401" s="375" t="s">
        <v>47</v>
      </c>
    </row>
    <row r="402" spans="4:6" s="327" customFormat="1" x14ac:dyDescent="0.2">
      <c r="D402" s="328" t="str">
        <f>Screen_BA!D504</f>
        <v>Uterine Cervical Dilator  (TZ)</v>
      </c>
      <c r="F402" s="375" t="s">
        <v>47</v>
      </c>
    </row>
    <row r="403" spans="4:6" s="327" customFormat="1" x14ac:dyDescent="0.2">
      <c r="D403" s="328" t="str">
        <f>Screen_BA!D505</f>
        <v>Uterine Probe (ZM)</v>
      </c>
      <c r="F403" s="375" t="s">
        <v>47</v>
      </c>
    </row>
    <row r="404" spans="4:6" s="327" customFormat="1" x14ac:dyDescent="0.2">
      <c r="D404" s="328" t="str">
        <f>Screen_BA!D506</f>
        <v>Uterine Probe  (TZ)</v>
      </c>
      <c r="F404" s="375" t="s">
        <v>47</v>
      </c>
    </row>
    <row r="405" spans="4:6" s="327" customFormat="1" x14ac:dyDescent="0.2">
      <c r="D405" s="328" t="str">
        <f>Screen_BA!D507</f>
        <v>Equipment Category 113</v>
      </c>
      <c r="F405" s="375" t="s">
        <v>47</v>
      </c>
    </row>
    <row r="406" spans="4:6" s="327" customFormat="1" x14ac:dyDescent="0.2">
      <c r="D406" s="328" t="str">
        <f>Screen_BA!D508</f>
        <v>Equipment Category 114</v>
      </c>
      <c r="F406" s="375" t="s">
        <v>47</v>
      </c>
    </row>
    <row r="407" spans="4:6" s="327" customFormat="1" x14ac:dyDescent="0.2">
      <c r="D407" s="328" t="str">
        <f>Screen_BA!D509</f>
        <v>Equipment Category 115</v>
      </c>
      <c r="F407" s="375" t="s">
        <v>47</v>
      </c>
    </row>
    <row r="408" spans="4:6" s="327" customFormat="1" x14ac:dyDescent="0.2">
      <c r="D408" s="328" t="str">
        <f>Screen_BA!D510</f>
        <v>Equipment Category 116</v>
      </c>
      <c r="F408" s="375" t="s">
        <v>47</v>
      </c>
    </row>
    <row r="409" spans="4:6" s="327" customFormat="1" x14ac:dyDescent="0.2">
      <c r="D409" s="328" t="str">
        <f>Screen_BA!D511</f>
        <v>Equipment Category 117</v>
      </c>
      <c r="F409" s="375" t="s">
        <v>47</v>
      </c>
    </row>
    <row r="410" spans="4:6" s="327" customFormat="1" x14ac:dyDescent="0.2">
      <c r="D410" s="328" t="str">
        <f>Screen_BA!D512</f>
        <v>Equipment Category 118</v>
      </c>
      <c r="F410" s="375" t="s">
        <v>47</v>
      </c>
    </row>
    <row r="411" spans="4:6" s="327" customFormat="1" x14ac:dyDescent="0.2">
      <c r="D411" s="328" t="str">
        <f>Screen_BA!D513</f>
        <v>Equipment Category 119</v>
      </c>
      <c r="F411" s="375" t="s">
        <v>47</v>
      </c>
    </row>
    <row r="412" spans="4:6" s="327" customFormat="1" x14ac:dyDescent="0.2">
      <c r="D412" s="328" t="str">
        <f>Screen_BA!D514</f>
        <v>Equipment Category 120</v>
      </c>
      <c r="F412" s="375" t="s">
        <v>47</v>
      </c>
    </row>
    <row r="413" spans="4:6" s="327" customFormat="1" x14ac:dyDescent="0.2">
      <c r="D413" s="328" t="str">
        <f>Screen_BA!D515</f>
        <v>Equipment Category 121</v>
      </c>
      <c r="F413" s="375" t="s">
        <v>47</v>
      </c>
    </row>
    <row r="414" spans="4:6" s="327" customFormat="1" x14ac:dyDescent="0.2">
      <c r="D414" s="328" t="str">
        <f>Screen_BA!D516</f>
        <v>Equipment Category 122</v>
      </c>
      <c r="F414" s="375" t="s">
        <v>47</v>
      </c>
    </row>
    <row r="415" spans="4:6" s="327" customFormat="1" x14ac:dyDescent="0.2">
      <c r="D415" s="328" t="str">
        <f>Screen_BA!D517</f>
        <v>Equipment Category 123</v>
      </c>
      <c r="F415" s="375" t="s">
        <v>47</v>
      </c>
    </row>
  </sheetData>
  <sheetProtection password="F0F4" sheet="1" scenarios="1"/>
  <mergeCells count="1">
    <mergeCell ref="B3:D3"/>
  </mergeCells>
  <hyperlinks>
    <hyperlink ref="A4" location="$B$5" tooltip="Go to Top of Sheet" display="$B$5"/>
    <hyperlink ref="C4" location="HL_Sheet_Main_25" tooltip="Go to Next Sheet" display="HL_Sheet_Main_25"/>
    <hyperlink ref="B4" location="HL_Sheet_Main_69" tooltip="Go to Previous Sheet" display="HL_Sheet_Main_69"/>
    <hyperlink ref="B3" location="HL_Home" tooltip="Go to Table of Contents" display="HL_Home"/>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1">
    <tabColor rgb="FF7030A0"/>
    <pageSetUpPr autoPageBreaks="0"/>
  </sheetPr>
  <dimension ref="A1:F451"/>
  <sheetViews>
    <sheetView showGridLines="0" zoomScaleNormal="100" workbookViewId="0">
      <selection activeCell="D12" sqref="D12:D18"/>
    </sheetView>
  </sheetViews>
  <sheetFormatPr defaultColWidth="11.7109375" defaultRowHeight="12.75" x14ac:dyDescent="0.2"/>
  <cols>
    <col min="1" max="3" width="3.7109375" style="49" customWidth="1"/>
    <col min="4" max="4" width="35.7109375" style="49" customWidth="1"/>
    <col min="5" max="5" width="3.7109375" style="49" customWidth="1"/>
    <col min="6" max="6" width="35.7109375" style="49" customWidth="1"/>
    <col min="7" max="7" width="3.7109375" style="49" customWidth="1"/>
    <col min="8" max="16384" width="11.7109375" style="49"/>
  </cols>
  <sheetData>
    <row r="1" spans="1:6" ht="23.25" x14ac:dyDescent="0.2">
      <c r="A1" s="422"/>
      <c r="B1" s="100" t="s">
        <v>139</v>
      </c>
    </row>
    <row r="2" spans="1:6" ht="18.75" x14ac:dyDescent="0.2">
      <c r="B2" s="101" t="str">
        <f>Model_Name</f>
        <v>Zambia C4P* - Screening &amp; Treatment Tool</v>
      </c>
    </row>
    <row r="3" spans="1:6" x14ac:dyDescent="0.2">
      <c r="B3" s="716" t="s">
        <v>2</v>
      </c>
      <c r="C3" s="716"/>
      <c r="D3" s="716"/>
    </row>
    <row r="4" spans="1:6" x14ac:dyDescent="0.2">
      <c r="A4" s="102" t="s">
        <v>4</v>
      </c>
      <c r="B4" s="103" t="s">
        <v>6</v>
      </c>
      <c r="C4" s="104" t="s">
        <v>7</v>
      </c>
    </row>
    <row r="5" spans="1:6" s="327" customFormat="1" x14ac:dyDescent="0.2"/>
    <row r="6" spans="1:6" s="327" customFormat="1" x14ac:dyDescent="0.2"/>
    <row r="7" spans="1:6" s="327" customFormat="1" ht="18.75" x14ac:dyDescent="0.2">
      <c r="B7" s="426" t="s">
        <v>138</v>
      </c>
    </row>
    <row r="8" spans="1:6" s="327" customFormat="1" x14ac:dyDescent="0.2"/>
    <row r="9" spans="1:6" s="327" customFormat="1" ht="15.75" x14ac:dyDescent="0.2">
      <c r="C9" s="330" t="s">
        <v>81</v>
      </c>
      <c r="F9" s="330" t="s">
        <v>32</v>
      </c>
    </row>
    <row r="10" spans="1:6" s="327" customFormat="1" x14ac:dyDescent="0.2"/>
    <row r="11" spans="1:6" s="327" customFormat="1" x14ac:dyDescent="0.2">
      <c r="D11" s="331" t="s">
        <v>81</v>
      </c>
      <c r="F11" s="518" t="s">
        <v>195</v>
      </c>
    </row>
    <row r="12" spans="1:6" s="327" customFormat="1" x14ac:dyDescent="0.2">
      <c r="D12" s="567" t="str">
        <f>IF(ROWS(D$12:D12)=1,"N/A",ROWS(D$12:D12)-1)</f>
        <v>N/A</v>
      </c>
      <c r="F12" s="375" t="s">
        <v>47</v>
      </c>
    </row>
    <row r="13" spans="1:6" s="327" customFormat="1" x14ac:dyDescent="0.2">
      <c r="D13" s="567">
        <f>IF(ROWS(D$12:D13)=1,"N/A",ROWS(D$12:D13)-1)</f>
        <v>1</v>
      </c>
      <c r="F13" s="375" t="s">
        <v>47</v>
      </c>
    </row>
    <row r="14" spans="1:6" s="327" customFormat="1" x14ac:dyDescent="0.2">
      <c r="D14" s="567">
        <f>IF(ROWS(D$12:D14)=1,"N/A",ROWS(D$12:D14)-1)</f>
        <v>2</v>
      </c>
      <c r="F14" s="375" t="s">
        <v>47</v>
      </c>
    </row>
    <row r="15" spans="1:6" s="327" customFormat="1" x14ac:dyDescent="0.2">
      <c r="D15" s="567">
        <f>IF(ROWS(D$12:D15)=1,"N/A",ROWS(D$12:D15)-1)</f>
        <v>3</v>
      </c>
      <c r="F15" s="375" t="s">
        <v>47</v>
      </c>
    </row>
    <row r="16" spans="1:6" s="327" customFormat="1" x14ac:dyDescent="0.2">
      <c r="D16" s="567">
        <f>IF(ROWS(D$12:D16)=1,"N/A",ROWS(D$12:D16)-1)</f>
        <v>4</v>
      </c>
      <c r="F16" s="375" t="s">
        <v>47</v>
      </c>
    </row>
    <row r="17" spans="3:6" s="327" customFormat="1" x14ac:dyDescent="0.2">
      <c r="D17" s="567">
        <f>IF(ROWS(D$12:D17)=1,"N/A",ROWS(D$12:D17)-1)</f>
        <v>5</v>
      </c>
      <c r="F17" s="375" t="s">
        <v>47</v>
      </c>
    </row>
    <row r="18" spans="3:6" s="327" customFormat="1" x14ac:dyDescent="0.2">
      <c r="D18" s="567">
        <f>IF(ROWS(D$12:D18)=1,"N/A",ROWS(D$12:D18)-1)</f>
        <v>6</v>
      </c>
      <c r="F18" s="375" t="s">
        <v>47</v>
      </c>
    </row>
    <row r="19" spans="3:6" s="327" customFormat="1" x14ac:dyDescent="0.2"/>
    <row r="20" spans="3:6" s="327" customFormat="1" ht="15.75" x14ac:dyDescent="0.2">
      <c r="C20" s="330" t="s">
        <v>133</v>
      </c>
      <c r="F20" s="330" t="s">
        <v>32</v>
      </c>
    </row>
    <row r="21" spans="3:6" s="327" customFormat="1" x14ac:dyDescent="0.2"/>
    <row r="22" spans="3:6" s="327" customFormat="1" x14ac:dyDescent="0.2">
      <c r="D22" s="331" t="s">
        <v>75</v>
      </c>
      <c r="F22" s="518" t="s">
        <v>196</v>
      </c>
    </row>
    <row r="23" spans="3:6" s="327" customFormat="1" x14ac:dyDescent="0.2">
      <c r="D23" s="566" t="str">
        <f>Diag_BA!D130</f>
        <v>Central</v>
      </c>
      <c r="F23" s="375" t="s">
        <v>47</v>
      </c>
    </row>
    <row r="24" spans="3:6" s="327" customFormat="1" x14ac:dyDescent="0.2">
      <c r="D24" s="566" t="str">
        <f>Diag_BA!D131</f>
        <v>Copperbelt</v>
      </c>
      <c r="F24" s="375" t="s">
        <v>47</v>
      </c>
    </row>
    <row r="25" spans="3:6" s="327" customFormat="1" x14ac:dyDescent="0.2">
      <c r="D25" s="566" t="str">
        <f>Diag_BA!D132</f>
        <v>Eastern</v>
      </c>
      <c r="F25" s="375" t="s">
        <v>47</v>
      </c>
    </row>
    <row r="26" spans="3:6" s="327" customFormat="1" x14ac:dyDescent="0.2">
      <c r="D26" s="566" t="str">
        <f>Diag_BA!D133</f>
        <v>Luapula</v>
      </c>
      <c r="F26" s="375" t="s">
        <v>47</v>
      </c>
    </row>
    <row r="27" spans="3:6" s="327" customFormat="1" x14ac:dyDescent="0.2">
      <c r="D27" s="566" t="str">
        <f>Diag_BA!D134</f>
        <v>Lusaka</v>
      </c>
      <c r="F27" s="375" t="s">
        <v>47</v>
      </c>
    </row>
    <row r="28" spans="3:6" s="327" customFormat="1" x14ac:dyDescent="0.2">
      <c r="D28" s="566" t="str">
        <f>Diag_BA!D135</f>
        <v>Muchinga</v>
      </c>
      <c r="F28" s="375" t="s">
        <v>47</v>
      </c>
    </row>
    <row r="29" spans="3:6" s="327" customFormat="1" x14ac:dyDescent="0.2">
      <c r="D29" s="566" t="str">
        <f>Diag_BA!D136</f>
        <v>Northern</v>
      </c>
      <c r="F29" s="375" t="s">
        <v>47</v>
      </c>
    </row>
    <row r="30" spans="3:6" s="327" customFormat="1" x14ac:dyDescent="0.2">
      <c r="D30" s="566" t="str">
        <f>Diag_BA!D137</f>
        <v>North-Western</v>
      </c>
      <c r="F30" s="375" t="s">
        <v>47</v>
      </c>
    </row>
    <row r="31" spans="3:6" s="327" customFormat="1" x14ac:dyDescent="0.2">
      <c r="D31" s="566" t="str">
        <f>Diag_BA!D138</f>
        <v>Southern</v>
      </c>
      <c r="F31" s="375" t="s">
        <v>47</v>
      </c>
    </row>
    <row r="32" spans="3:6" s="327" customFormat="1" x14ac:dyDescent="0.2">
      <c r="D32" s="566" t="str">
        <f>Diag_BA!D139</f>
        <v>Western</v>
      </c>
      <c r="F32" s="375" t="s">
        <v>47</v>
      </c>
    </row>
    <row r="33" spans="3:6" s="327" customFormat="1" x14ac:dyDescent="0.2"/>
    <row r="34" spans="3:6" s="327" customFormat="1" ht="15.75" x14ac:dyDescent="0.2">
      <c r="C34" s="330" t="s">
        <v>212</v>
      </c>
      <c r="F34" s="330" t="s">
        <v>32</v>
      </c>
    </row>
    <row r="35" spans="3:6" s="327" customFormat="1" x14ac:dyDescent="0.2"/>
    <row r="36" spans="3:6" s="327" customFormat="1" x14ac:dyDescent="0.2">
      <c r="D36" s="331" t="s">
        <v>213</v>
      </c>
      <c r="F36" s="518" t="s">
        <v>217</v>
      </c>
    </row>
    <row r="37" spans="3:6" s="327" customFormat="1" x14ac:dyDescent="0.2">
      <c r="D37" s="328" t="str">
        <f>Diag_BA!$I$143</f>
        <v>USD</v>
      </c>
      <c r="F37" s="518" t="s">
        <v>47</v>
      </c>
    </row>
    <row r="38" spans="3:6" s="327" customFormat="1" x14ac:dyDescent="0.2">
      <c r="D38" s="328" t="str">
        <f>Diag_BA!$I$143</f>
        <v>USD</v>
      </c>
      <c r="F38" s="518" t="s">
        <v>47</v>
      </c>
    </row>
    <row r="39" spans="3:6" s="327" customFormat="1" x14ac:dyDescent="0.2"/>
    <row r="40" spans="3:6" s="327" customFormat="1" ht="15.75" x14ac:dyDescent="0.2">
      <c r="C40" s="330" t="s">
        <v>48</v>
      </c>
      <c r="F40" s="330" t="s">
        <v>32</v>
      </c>
    </row>
    <row r="41" spans="3:6" s="327" customFormat="1" x14ac:dyDescent="0.2"/>
    <row r="42" spans="3:6" s="327" customFormat="1" x14ac:dyDescent="0.2">
      <c r="D42" s="331" t="s">
        <v>37</v>
      </c>
      <c r="F42" s="518" t="s">
        <v>218</v>
      </c>
    </row>
    <row r="43" spans="3:6" s="327" customFormat="1" x14ac:dyDescent="0.2">
      <c r="D43" s="21" t="str">
        <f>Diag_BA!$I$143&amp;CHOOSE(ROWS(D$43:D43),""," '000"," Millions"," Billions")</f>
        <v>USD</v>
      </c>
      <c r="F43" s="518" t="s">
        <v>47</v>
      </c>
    </row>
    <row r="44" spans="3:6" s="327" customFormat="1" x14ac:dyDescent="0.2">
      <c r="D44" s="21" t="str">
        <f>Diag_BA!$I$143&amp;CHOOSE(ROWS(D$43:D44),""," '000"," Millions"," Billions")</f>
        <v>USD '000</v>
      </c>
      <c r="F44" s="518" t="s">
        <v>47</v>
      </c>
    </row>
    <row r="45" spans="3:6" s="327" customFormat="1" x14ac:dyDescent="0.2">
      <c r="D45" s="21" t="str">
        <f>Diag_BA!$I$143&amp;CHOOSE(ROWS(D$43:D45),""," '000"," Millions"," Billions")</f>
        <v>USD Millions</v>
      </c>
      <c r="F45" s="518" t="s">
        <v>47</v>
      </c>
    </row>
    <row r="46" spans="3:6" s="327" customFormat="1" x14ac:dyDescent="0.2">
      <c r="D46" s="21" t="str">
        <f>Diag_BA!$I$143&amp;CHOOSE(ROWS(D$43:D46),""," '000"," Millions"," Billions")</f>
        <v>USD Billions</v>
      </c>
      <c r="F46" s="518" t="s">
        <v>47</v>
      </c>
    </row>
    <row r="47" spans="3:6" s="327" customFormat="1" x14ac:dyDescent="0.2"/>
    <row r="48" spans="3:6" s="327" customFormat="1" ht="15.75" x14ac:dyDescent="0.2">
      <c r="C48" s="330" t="s">
        <v>308</v>
      </c>
      <c r="F48" s="330" t="s">
        <v>32</v>
      </c>
    </row>
    <row r="49" spans="4:6" s="327" customFormat="1" x14ac:dyDescent="0.2"/>
    <row r="50" spans="4:6" s="327" customFormat="1" x14ac:dyDescent="0.2">
      <c r="D50" s="331" t="s">
        <v>308</v>
      </c>
      <c r="F50" s="518" t="s">
        <v>378</v>
      </c>
    </row>
    <row r="51" spans="4:6" s="327" customFormat="1" x14ac:dyDescent="0.2">
      <c r="D51" s="328" t="str">
        <f>Diag_BA!D146</f>
        <v>_Not Applicable</v>
      </c>
      <c r="F51" s="375" t="s">
        <v>47</v>
      </c>
    </row>
    <row r="52" spans="4:6" s="327" customFormat="1" x14ac:dyDescent="0.2">
      <c r="D52" s="328" t="str">
        <f>Diag_BA!D147</f>
        <v>Biomedical scientist (ZM)</v>
      </c>
      <c r="F52" s="375" t="s">
        <v>47</v>
      </c>
    </row>
    <row r="53" spans="4:6" s="327" customFormat="1" x14ac:dyDescent="0.2">
      <c r="D53" s="328" t="str">
        <f>Diag_BA!D148</f>
        <v>Clinical officer  (ZM)</v>
      </c>
      <c r="F53" s="375" t="s">
        <v>47</v>
      </c>
    </row>
    <row r="54" spans="4:6" s="327" customFormat="1" x14ac:dyDescent="0.2">
      <c r="D54" s="328" t="str">
        <f>Diag_BA!D149</f>
        <v>Consultant  (ZM)</v>
      </c>
      <c r="F54" s="375" t="s">
        <v>47</v>
      </c>
    </row>
    <row r="55" spans="4:6" s="327" customFormat="1" x14ac:dyDescent="0.2">
      <c r="D55" s="328" t="str">
        <f>Diag_BA!D150</f>
        <v>General Medical Doctor</v>
      </c>
      <c r="F55" s="375" t="s">
        <v>47</v>
      </c>
    </row>
    <row r="56" spans="4:6" s="327" customFormat="1" x14ac:dyDescent="0.2">
      <c r="D56" s="328" t="str">
        <f>Diag_BA!D151</f>
        <v>Junior Resident Medical officer  (ZM)</v>
      </c>
      <c r="F56" s="375" t="s">
        <v>47</v>
      </c>
    </row>
    <row r="57" spans="4:6" s="327" customFormat="1" x14ac:dyDescent="0.2">
      <c r="D57" s="328" t="str">
        <f>Diag_BA!D152</f>
        <v>Lab Scientist (ZM)</v>
      </c>
      <c r="F57" s="375" t="s">
        <v>47</v>
      </c>
    </row>
    <row r="58" spans="4:6" s="327" customFormat="1" x14ac:dyDescent="0.2">
      <c r="D58" s="328" t="str">
        <f>Diag_BA!D153</f>
        <v>Lab Technician (ZM)</v>
      </c>
      <c r="F58" s="375" t="s">
        <v>47</v>
      </c>
    </row>
    <row r="59" spans="4:6" s="327" customFormat="1" x14ac:dyDescent="0.2">
      <c r="D59" s="328" t="str">
        <f>Diag_BA!D154</f>
        <v>Lab Technologist (ZM)</v>
      </c>
      <c r="F59" s="375" t="s">
        <v>47</v>
      </c>
    </row>
    <row r="60" spans="4:6" s="327" customFormat="1" x14ac:dyDescent="0.2">
      <c r="D60" s="328" t="str">
        <f>Diag_BA!D155</f>
        <v>Medical Physicist (ZM)</v>
      </c>
      <c r="F60" s="375" t="s">
        <v>47</v>
      </c>
    </row>
    <row r="61" spans="4:6" s="327" customFormat="1" x14ac:dyDescent="0.2">
      <c r="D61" s="328" t="str">
        <f>Diag_BA!D156</f>
        <v>Nursing Officer (ZM)</v>
      </c>
      <c r="F61" s="375" t="s">
        <v>47</v>
      </c>
    </row>
    <row r="62" spans="4:6" s="327" customFormat="1" x14ac:dyDescent="0.2">
      <c r="D62" s="328" t="str">
        <f>Diag_BA!D157</f>
        <v>Pathologist (ZM)</v>
      </c>
      <c r="F62" s="375" t="s">
        <v>47</v>
      </c>
    </row>
    <row r="63" spans="4:6" s="327" customFormat="1" x14ac:dyDescent="0.2">
      <c r="D63" s="328" t="str">
        <f>Diag_BA!D158</f>
        <v>Pharmacy Technologist (ZM)</v>
      </c>
      <c r="F63" s="375" t="s">
        <v>47</v>
      </c>
    </row>
    <row r="64" spans="4:6" s="327" customFormat="1" x14ac:dyDescent="0.2">
      <c r="D64" s="328" t="str">
        <f>Diag_BA!D159</f>
        <v>Principal Nursing Officer (ZM)</v>
      </c>
      <c r="F64" s="375" t="s">
        <v>47</v>
      </c>
    </row>
    <row r="65" spans="4:6" s="327" customFormat="1" x14ac:dyDescent="0.2">
      <c r="D65" s="328" t="str">
        <f>Diag_BA!D160</f>
        <v>Principal Pharmacist (ZM)</v>
      </c>
      <c r="F65" s="375" t="s">
        <v>47</v>
      </c>
    </row>
    <row r="66" spans="4:6" s="327" customFormat="1" x14ac:dyDescent="0.2">
      <c r="D66" s="328" t="str">
        <f>Diag_BA!D161</f>
        <v>Principal Radiographer (ZM)</v>
      </c>
      <c r="F66" s="375" t="s">
        <v>47</v>
      </c>
    </row>
    <row r="67" spans="4:6" s="327" customFormat="1" x14ac:dyDescent="0.2">
      <c r="D67" s="328" t="str">
        <f>Diag_BA!D162</f>
        <v>Principal Therapist - Radiation (ZM)</v>
      </c>
      <c r="F67" s="375" t="s">
        <v>47</v>
      </c>
    </row>
    <row r="68" spans="4:6" s="327" customFormat="1" x14ac:dyDescent="0.2">
      <c r="D68" s="328" t="str">
        <f>Diag_BA!D163</f>
        <v>Radiation Lab Scientist (ZM)</v>
      </c>
      <c r="F68" s="375" t="s">
        <v>47</v>
      </c>
    </row>
    <row r="69" spans="4:6" s="327" customFormat="1" x14ac:dyDescent="0.2">
      <c r="D69" s="328" t="str">
        <f>Diag_BA!D164</f>
        <v>Radiation Protection Officer (ZM)</v>
      </c>
      <c r="F69" s="375" t="s">
        <v>47</v>
      </c>
    </row>
    <row r="70" spans="4:6" s="327" customFormat="1" x14ac:dyDescent="0.2">
      <c r="D70" s="328" t="str">
        <f>Diag_BA!D165</f>
        <v>Radiographer (ZM)</v>
      </c>
      <c r="F70" s="375" t="s">
        <v>47</v>
      </c>
    </row>
    <row r="71" spans="4:6" s="327" customFormat="1" x14ac:dyDescent="0.2">
      <c r="D71" s="328" t="str">
        <f>Diag_BA!D166</f>
        <v>Registered Nurse (ZM)</v>
      </c>
      <c r="F71" s="375" t="s">
        <v>47</v>
      </c>
    </row>
    <row r="72" spans="4:6" s="327" customFormat="1" x14ac:dyDescent="0.2">
      <c r="D72" s="328" t="str">
        <f>Diag_BA!D167</f>
        <v>Senior Enrolled Nurse (ZM)</v>
      </c>
      <c r="F72" s="375" t="s">
        <v>47</v>
      </c>
    </row>
    <row r="73" spans="4:6" s="327" customFormat="1" x14ac:dyDescent="0.2">
      <c r="D73" s="328" t="str">
        <f>Diag_BA!D168</f>
        <v>Senior Nursing Officer (ZM)</v>
      </c>
      <c r="F73" s="375" t="s">
        <v>47</v>
      </c>
    </row>
    <row r="74" spans="4:6" s="327" customFormat="1" x14ac:dyDescent="0.2">
      <c r="D74" s="328" t="str">
        <f>Diag_BA!D169</f>
        <v>Senior Radiation protection Officer (ZM)</v>
      </c>
      <c r="F74" s="375" t="s">
        <v>47</v>
      </c>
    </row>
    <row r="75" spans="4:6" s="327" customFormat="1" x14ac:dyDescent="0.2">
      <c r="D75" s="328" t="str">
        <f>Diag_BA!D170</f>
        <v>Senior Radiographer (ZM)</v>
      </c>
      <c r="F75" s="375" t="s">
        <v>47</v>
      </c>
    </row>
    <row r="76" spans="4:6" s="327" customFormat="1" x14ac:dyDescent="0.2">
      <c r="D76" s="328" t="str">
        <f>Diag_BA!D171</f>
        <v>Zambia Enrolled Nurse (ZEN) (ZM)</v>
      </c>
      <c r="F76" s="375" t="s">
        <v>47</v>
      </c>
    </row>
    <row r="77" spans="4:6" s="327" customFormat="1" x14ac:dyDescent="0.2">
      <c r="D77" s="328" t="str">
        <f>Diag_BA!D172</f>
        <v>Personnel - Hospital Cadre - Other 27</v>
      </c>
      <c r="F77" s="375" t="s">
        <v>47</v>
      </c>
    </row>
    <row r="78" spans="4:6" s="327" customFormat="1" x14ac:dyDescent="0.2">
      <c r="D78" s="328" t="str">
        <f>Diag_BA!D173</f>
        <v>Personnel - Hospital Cadre - Other 28</v>
      </c>
      <c r="F78" s="375" t="s">
        <v>47</v>
      </c>
    </row>
    <row r="79" spans="4:6" s="327" customFormat="1" x14ac:dyDescent="0.2">
      <c r="D79" s="328" t="str">
        <f>Diag_BA!D174</f>
        <v>Personnel - Hospital Cadre - Other 29</v>
      </c>
      <c r="F79" s="375" t="s">
        <v>47</v>
      </c>
    </row>
    <row r="80" spans="4:6" s="327" customFormat="1" x14ac:dyDescent="0.2">
      <c r="D80" s="328" t="str">
        <f>Diag_BA!D175</f>
        <v>Personnel - Hospital Cadre - Other 30</v>
      </c>
      <c r="F80" s="375" t="s">
        <v>47</v>
      </c>
    </row>
    <row r="81" spans="3:6" s="327" customFormat="1" x14ac:dyDescent="0.2">
      <c r="D81" s="328" t="str">
        <f>Diag_BA!D176</f>
        <v>Personnel - Hospital Cadre - Other 31</v>
      </c>
      <c r="F81" s="375" t="s">
        <v>47</v>
      </c>
    </row>
    <row r="82" spans="3:6" s="327" customFormat="1" x14ac:dyDescent="0.2"/>
    <row r="83" spans="3:6" s="327" customFormat="1" ht="15.75" x14ac:dyDescent="0.2">
      <c r="C83" s="330" t="s">
        <v>310</v>
      </c>
      <c r="F83" s="330" t="s">
        <v>32</v>
      </c>
    </row>
    <row r="84" spans="3:6" s="327" customFormat="1" x14ac:dyDescent="0.2"/>
    <row r="85" spans="3:6" s="327" customFormat="1" x14ac:dyDescent="0.2">
      <c r="D85" s="331" t="s">
        <v>310</v>
      </c>
      <c r="F85" s="518" t="s">
        <v>379</v>
      </c>
    </row>
    <row r="86" spans="3:6" s="327" customFormat="1" x14ac:dyDescent="0.2">
      <c r="D86" s="328" t="str">
        <f>Diag_BA!D179</f>
        <v>_Not Applicable</v>
      </c>
      <c r="F86" s="375" t="s">
        <v>47</v>
      </c>
    </row>
    <row r="87" spans="3:6" s="327" customFormat="1" x14ac:dyDescent="0.2">
      <c r="D87" s="328" t="str">
        <f>Diag_BA!D180</f>
        <v>Biomedical scientist (ZM)</v>
      </c>
      <c r="F87" s="375" t="s">
        <v>47</v>
      </c>
    </row>
    <row r="88" spans="3:6" s="327" customFormat="1" x14ac:dyDescent="0.2">
      <c r="D88" s="328" t="str">
        <f>Diag_BA!D181</f>
        <v>Clinical officer  (ZM)</v>
      </c>
      <c r="F88" s="375" t="s">
        <v>47</v>
      </c>
    </row>
    <row r="89" spans="3:6" s="327" customFormat="1" x14ac:dyDescent="0.2">
      <c r="D89" s="328" t="str">
        <f>Diag_BA!D182</f>
        <v>Consultant  (ZM)</v>
      </c>
      <c r="F89" s="375" t="s">
        <v>47</v>
      </c>
    </row>
    <row r="90" spans="3:6" s="327" customFormat="1" x14ac:dyDescent="0.2">
      <c r="D90" s="328" t="str">
        <f>Diag_BA!D183</f>
        <v>General Medical Doctor</v>
      </c>
      <c r="F90" s="375" t="s">
        <v>47</v>
      </c>
    </row>
    <row r="91" spans="3:6" s="327" customFormat="1" x14ac:dyDescent="0.2">
      <c r="D91" s="328" t="str">
        <f>Diag_BA!D184</f>
        <v>Junior Resident Medical officer  (ZM)</v>
      </c>
      <c r="F91" s="375" t="s">
        <v>47</v>
      </c>
    </row>
    <row r="92" spans="3:6" s="327" customFormat="1" x14ac:dyDescent="0.2">
      <c r="D92" s="328" t="str">
        <f>Diag_BA!D185</f>
        <v>Lab Scientist (ZM)</v>
      </c>
      <c r="F92" s="375" t="s">
        <v>47</v>
      </c>
    </row>
    <row r="93" spans="3:6" s="327" customFormat="1" x14ac:dyDescent="0.2">
      <c r="D93" s="328" t="str">
        <f>Diag_BA!D186</f>
        <v>Lab Technician (ZM)</v>
      </c>
      <c r="F93" s="375" t="s">
        <v>47</v>
      </c>
    </row>
    <row r="94" spans="3:6" s="327" customFormat="1" x14ac:dyDescent="0.2">
      <c r="D94" s="328" t="str">
        <f>Diag_BA!D187</f>
        <v>Lab Technologist (ZM)</v>
      </c>
      <c r="F94" s="375" t="s">
        <v>47</v>
      </c>
    </row>
    <row r="95" spans="3:6" s="327" customFormat="1" x14ac:dyDescent="0.2">
      <c r="D95" s="328" t="str">
        <f>Diag_BA!D188</f>
        <v>Medical Physicist (ZM)</v>
      </c>
      <c r="F95" s="375" t="s">
        <v>47</v>
      </c>
    </row>
    <row r="96" spans="3:6" s="327" customFormat="1" x14ac:dyDescent="0.2">
      <c r="D96" s="328" t="str">
        <f>Diag_BA!D189</f>
        <v>Nursing Officer (ZM)</v>
      </c>
      <c r="F96" s="375" t="s">
        <v>47</v>
      </c>
    </row>
    <row r="97" spans="4:6" s="327" customFormat="1" x14ac:dyDescent="0.2">
      <c r="D97" s="328" t="str">
        <f>Diag_BA!D190</f>
        <v>Pathologist (ZM)</v>
      </c>
      <c r="F97" s="375" t="s">
        <v>47</v>
      </c>
    </row>
    <row r="98" spans="4:6" s="327" customFormat="1" x14ac:dyDescent="0.2">
      <c r="D98" s="328" t="str">
        <f>Diag_BA!D191</f>
        <v>Pharmacy Technologist (ZM)</v>
      </c>
      <c r="F98" s="375" t="s">
        <v>47</v>
      </c>
    </row>
    <row r="99" spans="4:6" s="327" customFormat="1" x14ac:dyDescent="0.2">
      <c r="D99" s="328" t="str">
        <f>Diag_BA!D192</f>
        <v>Principal Nursing Officer (ZM)</v>
      </c>
      <c r="F99" s="375" t="s">
        <v>47</v>
      </c>
    </row>
    <row r="100" spans="4:6" s="327" customFormat="1" x14ac:dyDescent="0.2">
      <c r="D100" s="328" t="str">
        <f>Diag_BA!D193</f>
        <v>Principal Pharmacist (ZM)</v>
      </c>
      <c r="F100" s="375" t="s">
        <v>47</v>
      </c>
    </row>
    <row r="101" spans="4:6" s="327" customFormat="1" x14ac:dyDescent="0.2">
      <c r="D101" s="328" t="str">
        <f>Diag_BA!D194</f>
        <v>Principal Radiographer (ZM)</v>
      </c>
      <c r="F101" s="375" t="s">
        <v>47</v>
      </c>
    </row>
    <row r="102" spans="4:6" s="327" customFormat="1" x14ac:dyDescent="0.2">
      <c r="D102" s="328" t="str">
        <f>Diag_BA!D195</f>
        <v>Principal Therapist - Radiation (ZM)</v>
      </c>
      <c r="F102" s="375" t="s">
        <v>47</v>
      </c>
    </row>
    <row r="103" spans="4:6" s="327" customFormat="1" x14ac:dyDescent="0.2">
      <c r="D103" s="328" t="str">
        <f>Diag_BA!D196</f>
        <v>Radiation Lab Scientist (ZM)</v>
      </c>
      <c r="F103" s="375" t="s">
        <v>47</v>
      </c>
    </row>
    <row r="104" spans="4:6" s="327" customFormat="1" x14ac:dyDescent="0.2">
      <c r="D104" s="328" t="str">
        <f>Diag_BA!D197</f>
        <v>Radiation Protection Officer (ZM)</v>
      </c>
      <c r="F104" s="375" t="s">
        <v>47</v>
      </c>
    </row>
    <row r="105" spans="4:6" s="327" customFormat="1" x14ac:dyDescent="0.2">
      <c r="D105" s="328" t="str">
        <f>Diag_BA!D198</f>
        <v>Radiographer (ZM)</v>
      </c>
      <c r="F105" s="375" t="s">
        <v>47</v>
      </c>
    </row>
    <row r="106" spans="4:6" s="327" customFormat="1" x14ac:dyDescent="0.2">
      <c r="D106" s="328" t="str">
        <f>Diag_BA!D199</f>
        <v>Registered Nurse (ZM)</v>
      </c>
      <c r="F106" s="375" t="s">
        <v>47</v>
      </c>
    </row>
    <row r="107" spans="4:6" s="327" customFormat="1" x14ac:dyDescent="0.2">
      <c r="D107" s="328" t="str">
        <f>Diag_BA!D200</f>
        <v>Senior Enrolled Nurse (ZM)</v>
      </c>
      <c r="F107" s="375" t="s">
        <v>47</v>
      </c>
    </row>
    <row r="108" spans="4:6" s="327" customFormat="1" x14ac:dyDescent="0.2">
      <c r="D108" s="328" t="str">
        <f>Diag_BA!D201</f>
        <v>Senior Nursing Officer (ZM)</v>
      </c>
      <c r="F108" s="375" t="s">
        <v>47</v>
      </c>
    </row>
    <row r="109" spans="4:6" s="327" customFormat="1" x14ac:dyDescent="0.2">
      <c r="D109" s="328" t="str">
        <f>Diag_BA!D202</f>
        <v>Senior Radiation protection Officer (ZM)</v>
      </c>
      <c r="F109" s="375" t="s">
        <v>47</v>
      </c>
    </row>
    <row r="110" spans="4:6" s="327" customFormat="1" x14ac:dyDescent="0.2">
      <c r="D110" s="328" t="str">
        <f>Diag_BA!D203</f>
        <v>Senior Radiographer (ZM)</v>
      </c>
      <c r="F110" s="375" t="s">
        <v>47</v>
      </c>
    </row>
    <row r="111" spans="4:6" s="327" customFormat="1" x14ac:dyDescent="0.2">
      <c r="D111" s="328" t="str">
        <f>Diag_BA!D204</f>
        <v>Zambia Enrolled Nurse (ZEN) (ZM)</v>
      </c>
      <c r="F111" s="375" t="s">
        <v>47</v>
      </c>
    </row>
    <row r="112" spans="4:6" s="327" customFormat="1" x14ac:dyDescent="0.2">
      <c r="D112" s="328" t="str">
        <f>Diag_BA!D205</f>
        <v>Personnel - Other Category 27</v>
      </c>
      <c r="F112" s="375" t="s">
        <v>47</v>
      </c>
    </row>
    <row r="113" spans="3:6" s="327" customFormat="1" x14ac:dyDescent="0.2">
      <c r="D113" s="328" t="str">
        <f>Diag_BA!D206</f>
        <v>Personnel - Other Category 28</v>
      </c>
      <c r="F113" s="375" t="s">
        <v>47</v>
      </c>
    </row>
    <row r="114" spans="3:6" s="327" customFormat="1" x14ac:dyDescent="0.2">
      <c r="D114" s="328" t="str">
        <f>Diag_BA!D207</f>
        <v>Personnel - Other Category 29</v>
      </c>
      <c r="F114" s="375" t="s">
        <v>47</v>
      </c>
    </row>
    <row r="115" spans="3:6" s="327" customFormat="1" x14ac:dyDescent="0.2">
      <c r="D115" s="328" t="str">
        <f>Diag_BA!D208</f>
        <v>Personnel - Other Category 30</v>
      </c>
      <c r="F115" s="375" t="s">
        <v>47</v>
      </c>
    </row>
    <row r="116" spans="3:6" s="327" customFormat="1" x14ac:dyDescent="0.2">
      <c r="D116" s="328">
        <f>Diag_BA!D209</f>
        <v>0</v>
      </c>
      <c r="F116" s="375" t="s">
        <v>47</v>
      </c>
    </row>
    <row r="117" spans="3:6" s="327" customFormat="1" x14ac:dyDescent="0.2"/>
    <row r="118" spans="3:6" s="327" customFormat="1" ht="15.75" x14ac:dyDescent="0.2">
      <c r="C118" s="330" t="s">
        <v>316</v>
      </c>
      <c r="F118" s="330" t="s">
        <v>32</v>
      </c>
    </row>
    <row r="119" spans="3:6" s="327" customFormat="1" x14ac:dyDescent="0.2"/>
    <row r="120" spans="3:6" s="327" customFormat="1" x14ac:dyDescent="0.2">
      <c r="D120" s="331" t="s">
        <v>316</v>
      </c>
      <c r="F120" s="568" t="s">
        <v>380</v>
      </c>
    </row>
    <row r="121" spans="3:6" s="327" customFormat="1" x14ac:dyDescent="0.2">
      <c r="D121" s="328" t="str">
        <f>Diag_BA!D212</f>
        <v>_Not Applicable</v>
      </c>
      <c r="F121" s="375" t="s">
        <v>47</v>
      </c>
    </row>
    <row r="122" spans="3:6" s="327" customFormat="1" x14ac:dyDescent="0.2">
      <c r="D122" s="328" t="str">
        <f>Diag_BA!D213</f>
        <v>10 ml syringes with long 27-gauge needle (UG)</v>
      </c>
      <c r="F122" s="375" t="s">
        <v>47</v>
      </c>
    </row>
    <row r="123" spans="3:6" s="327" customFormat="1" x14ac:dyDescent="0.2">
      <c r="D123" s="328" t="str">
        <f>Diag_BA!D214</f>
        <v>100% alcohol (UG)</v>
      </c>
      <c r="F123" s="375" t="s">
        <v>47</v>
      </c>
    </row>
    <row r="124" spans="3:6" s="327" customFormat="1" x14ac:dyDescent="0.2">
      <c r="D124" s="328" t="str">
        <f>Diag_BA!D215</f>
        <v>100% Ethanol (UG)</v>
      </c>
      <c r="F124" s="375" t="s">
        <v>47</v>
      </c>
    </row>
    <row r="125" spans="3:6" s="327" customFormat="1" x14ac:dyDescent="0.2">
      <c r="D125" s="328" t="str">
        <f>Diag_BA!D216</f>
        <v>5% acetic acid (UG)</v>
      </c>
      <c r="F125" s="375" t="s">
        <v>47</v>
      </c>
    </row>
    <row r="126" spans="3:6" s="327" customFormat="1" x14ac:dyDescent="0.2">
      <c r="D126" s="328" t="str">
        <f>Diag_BA!D217</f>
        <v>Acetic acid (UG)</v>
      </c>
      <c r="F126" s="375" t="s">
        <v>47</v>
      </c>
    </row>
    <row r="127" spans="3:6" s="327" customFormat="1" x14ac:dyDescent="0.2">
      <c r="D127" s="328" t="str">
        <f>Diag_BA!D218</f>
        <v>Acetic acid, 3–5% dilution (ZM)</v>
      </c>
      <c r="F127" s="375" t="s">
        <v>47</v>
      </c>
    </row>
    <row r="128" spans="3:6" s="327" customFormat="1" x14ac:dyDescent="0.2">
      <c r="D128" s="328" t="str">
        <f>Diag_BA!D219</f>
        <v>Acetic acid, 3–5% dilution (TZ)</v>
      </c>
      <c r="F128" s="375" t="s">
        <v>47</v>
      </c>
    </row>
    <row r="129" spans="4:6" s="327" customFormat="1" x14ac:dyDescent="0.2">
      <c r="D129" s="328" t="str">
        <f>Diag_BA!D220</f>
        <v>Alcohol, 60-90% isopropyl or ethyl (TZ)</v>
      </c>
      <c r="F129" s="375" t="s">
        <v>47</v>
      </c>
    </row>
    <row r="130" spans="4:6" s="327" customFormat="1" x14ac:dyDescent="0.2">
      <c r="D130" s="328" t="str">
        <f>Diag_BA!D221</f>
        <v>Alcohol, 60-90% isopropyl or ethyl 95% (ZM)</v>
      </c>
      <c r="F130" s="375" t="s">
        <v>47</v>
      </c>
    </row>
    <row r="131" spans="4:6" s="327" customFormat="1" x14ac:dyDescent="0.2">
      <c r="D131" s="328" t="str">
        <f>Diag_BA!D222</f>
        <v>Amitriptyline hydrochloride( 25mg) (ZM)</v>
      </c>
      <c r="F131" s="375" t="s">
        <v>47</v>
      </c>
    </row>
    <row r="132" spans="4:6" s="327" customFormat="1" x14ac:dyDescent="0.2">
      <c r="D132" s="328" t="str">
        <f>Diag_BA!D223</f>
        <v>Amitriptyline hydrochloride( 25mg) (TZ)</v>
      </c>
      <c r="F132" s="375" t="s">
        <v>47</v>
      </c>
    </row>
    <row r="133" spans="4:6" s="327" customFormat="1" x14ac:dyDescent="0.2">
      <c r="D133" s="328" t="str">
        <f>Diag_BA!D224</f>
        <v>Anticeptic solution (UG)</v>
      </c>
      <c r="F133" s="375" t="s">
        <v>47</v>
      </c>
    </row>
    <row r="134" spans="4:6" s="327" customFormat="1" x14ac:dyDescent="0.2">
      <c r="D134" s="328" t="str">
        <f>Diag_BA!D225</f>
        <v>Arithromycin (250g) (ZM)</v>
      </c>
      <c r="F134" s="375" t="s">
        <v>47</v>
      </c>
    </row>
    <row r="135" spans="4:6" s="327" customFormat="1" x14ac:dyDescent="0.2">
      <c r="D135" s="328" t="str">
        <f>Diag_BA!D226</f>
        <v>Arithromycin (250g) (UG)</v>
      </c>
      <c r="F135" s="375" t="s">
        <v>47</v>
      </c>
    </row>
    <row r="136" spans="4:6" s="327" customFormat="1" x14ac:dyDescent="0.2">
      <c r="D136" s="328" t="str">
        <f>Diag_BA!D227</f>
        <v>Arithromycin (5g) (UG)</v>
      </c>
      <c r="F136" s="375" t="s">
        <v>47</v>
      </c>
    </row>
    <row r="137" spans="4:6" s="327" customFormat="1" x14ac:dyDescent="0.2">
      <c r="D137" s="328" t="str">
        <f>Diag_BA!D228</f>
        <v>Atropine (ZM)</v>
      </c>
      <c r="F137" s="375" t="s">
        <v>47</v>
      </c>
    </row>
    <row r="138" spans="4:6" s="327" customFormat="1" x14ac:dyDescent="0.2">
      <c r="D138" s="328" t="str">
        <f>Diag_BA!D229</f>
        <v>Ball electrode (UG)</v>
      </c>
      <c r="F138" s="375" t="s">
        <v>47</v>
      </c>
    </row>
    <row r="139" spans="4:6" s="327" customFormat="1" x14ac:dyDescent="0.2">
      <c r="D139" s="328" t="str">
        <f>Diag_BA!D230</f>
        <v>Bed linen sheet (100 uses) (ZM)</v>
      </c>
      <c r="F139" s="375" t="s">
        <v>47</v>
      </c>
    </row>
    <row r="140" spans="4:6" s="327" customFormat="1" x14ac:dyDescent="0.2">
      <c r="D140" s="328" t="str">
        <f>Diag_BA!D231</f>
        <v>Bed linen sheet (TZ)</v>
      </c>
      <c r="F140" s="375" t="s">
        <v>47</v>
      </c>
    </row>
    <row r="141" spans="4:6" s="327" customFormat="1" x14ac:dyDescent="0.2">
      <c r="D141" s="328" t="str">
        <f>Diag_BA!D232</f>
        <v>Bin Liner (ZM)</v>
      </c>
      <c r="F141" s="375" t="s">
        <v>47</v>
      </c>
    </row>
    <row r="142" spans="4:6" s="327" customFormat="1" x14ac:dyDescent="0.2">
      <c r="D142" s="328" t="str">
        <f>Diag_BA!D233</f>
        <v>Bleach (JIK)</v>
      </c>
      <c r="F142" s="375" t="s">
        <v>47</v>
      </c>
    </row>
    <row r="143" spans="4:6" s="327" customFormat="1" x14ac:dyDescent="0.2">
      <c r="D143" s="328" t="str">
        <f>Diag_BA!D234</f>
        <v>Bleach (UG)</v>
      </c>
      <c r="F143" s="375" t="s">
        <v>47</v>
      </c>
    </row>
    <row r="144" spans="4:6" s="327" customFormat="1" x14ac:dyDescent="0.2">
      <c r="D144" s="328" t="str">
        <f>Diag_BA!D235</f>
        <v>careHPV DCM tube (UG)</v>
      </c>
      <c r="F144" s="375" t="s">
        <v>47</v>
      </c>
    </row>
    <row r="145" spans="4:6" s="327" customFormat="1" x14ac:dyDescent="0.2">
      <c r="D145" s="328" t="str">
        <f>Diag_BA!D236</f>
        <v>Catheter -Urine (TZ)</v>
      </c>
      <c r="F145" s="375" t="s">
        <v>47</v>
      </c>
    </row>
    <row r="146" spans="4:6" s="327" customFormat="1" x14ac:dyDescent="0.2">
      <c r="D146" s="328" t="str">
        <f>Diag_BA!D237</f>
        <v>Cervical brush (UG)</v>
      </c>
      <c r="F146" s="375" t="s">
        <v>47</v>
      </c>
    </row>
    <row r="147" spans="4:6" s="327" customFormat="1" x14ac:dyDescent="0.2">
      <c r="D147" s="328" t="str">
        <f>Diag_BA!D238</f>
        <v>Chlorine 0.5% (Jik-diluted) (ZM)</v>
      </c>
      <c r="F147" s="375" t="s">
        <v>47</v>
      </c>
    </row>
    <row r="148" spans="4:6" s="327" customFormat="1" x14ac:dyDescent="0.2">
      <c r="D148" s="328" t="str">
        <f>Diag_BA!D239</f>
        <v>Chlorine 0.5% (Jik-diluted)  (TZ)</v>
      </c>
      <c r="F148" s="375" t="s">
        <v>47</v>
      </c>
    </row>
    <row r="149" spans="4:6" s="327" customFormat="1" x14ac:dyDescent="0.2">
      <c r="D149" s="328" t="str">
        <f>Diag_BA!D240</f>
        <v>Cidex (2-4% glutaraldehyde) (ZM)</v>
      </c>
      <c r="F149" s="375" t="s">
        <v>47</v>
      </c>
    </row>
    <row r="150" spans="4:6" s="327" customFormat="1" x14ac:dyDescent="0.2">
      <c r="D150" s="328" t="str">
        <f>Diag_BA!D241</f>
        <v>Cidex (2-4% glutaraldehyde) (TZ)</v>
      </c>
      <c r="F150" s="375" t="s">
        <v>47</v>
      </c>
    </row>
    <row r="151" spans="4:6" s="327" customFormat="1" x14ac:dyDescent="0.2">
      <c r="D151" s="328" t="str">
        <f>Diag_BA!D242</f>
        <v>Ciprofloxacin (500mg) (UG)</v>
      </c>
      <c r="F151" s="375" t="s">
        <v>47</v>
      </c>
    </row>
    <row r="152" spans="4:6" s="327" customFormat="1" x14ac:dyDescent="0.2">
      <c r="D152" s="328" t="str">
        <f>Diag_BA!D243</f>
        <v>Ciprofloxacin (500mg) 250MG (ZM)</v>
      </c>
      <c r="F152" s="375" t="s">
        <v>47</v>
      </c>
    </row>
    <row r="153" spans="4:6" s="327" customFormat="1" x14ac:dyDescent="0.2">
      <c r="D153" s="328" t="str">
        <f>Diag_BA!D244</f>
        <v>Cisplatin (50 mg) (ZM)</v>
      </c>
      <c r="F153" s="375" t="s">
        <v>47</v>
      </c>
    </row>
    <row r="154" spans="4:6" s="327" customFormat="1" x14ac:dyDescent="0.2">
      <c r="D154" s="328" t="str">
        <f>Diag_BA!D245</f>
        <v>Cisplatin (50 mg) (TZ)</v>
      </c>
      <c r="F154" s="375" t="s">
        <v>47</v>
      </c>
    </row>
    <row r="155" spans="4:6" s="327" customFormat="1" x14ac:dyDescent="0.2">
      <c r="D155" s="328" t="str">
        <f>Diag_BA!D246</f>
        <v>Citokit (UG)</v>
      </c>
      <c r="F155" s="375" t="s">
        <v>47</v>
      </c>
    </row>
    <row r="156" spans="4:6" s="327" customFormat="1" x14ac:dyDescent="0.2">
      <c r="D156" s="328" t="str">
        <f>Diag_BA!D247</f>
        <v>Colostomy Bag (TZ)</v>
      </c>
      <c r="F156" s="375" t="s">
        <v>47</v>
      </c>
    </row>
    <row r="157" spans="4:6" s="327" customFormat="1" x14ac:dyDescent="0.2">
      <c r="D157" s="328" t="str">
        <f>Diag_BA!D248</f>
        <v>Condom  (TZ)</v>
      </c>
      <c r="F157" s="375" t="s">
        <v>47</v>
      </c>
    </row>
    <row r="158" spans="4:6" s="327" customFormat="1" x14ac:dyDescent="0.2">
      <c r="D158" s="328" t="str">
        <f>Diag_BA!D249</f>
        <v>Condom MALE (ZM)</v>
      </c>
      <c r="F158" s="375" t="s">
        <v>47</v>
      </c>
    </row>
    <row r="159" spans="4:6" s="327" customFormat="1" x14ac:dyDescent="0.2">
      <c r="D159" s="328" t="str">
        <f>Diag_BA!D250</f>
        <v>Cotton swab (ZM)</v>
      </c>
      <c r="F159" s="375" t="s">
        <v>47</v>
      </c>
    </row>
    <row r="160" spans="4:6" s="327" customFormat="1" x14ac:dyDescent="0.2">
      <c r="D160" s="328" t="str">
        <f>Diag_BA!D251</f>
        <v>Cotton swab (TZ)</v>
      </c>
      <c r="F160" s="375" t="s">
        <v>47</v>
      </c>
    </row>
    <row r="161" spans="4:6" s="327" customFormat="1" x14ac:dyDescent="0.2">
      <c r="D161" s="328" t="str">
        <f>Diag_BA!D252</f>
        <v>Cotton swabs (UG)</v>
      </c>
      <c r="F161" s="375" t="s">
        <v>47</v>
      </c>
    </row>
    <row r="162" spans="4:6" s="327" customFormat="1" x14ac:dyDescent="0.2">
      <c r="D162" s="328" t="str">
        <f>Diag_BA!D253</f>
        <v>Cotton Wool, roll, non-sterile (ZM)</v>
      </c>
      <c r="F162" s="375" t="s">
        <v>47</v>
      </c>
    </row>
    <row r="163" spans="4:6" s="327" customFormat="1" x14ac:dyDescent="0.2">
      <c r="D163" s="328" t="str">
        <f>Diag_BA!D254</f>
        <v>Cotton Wool, roll, non-sterile (TZ)</v>
      </c>
      <c r="F163" s="375" t="s">
        <v>47</v>
      </c>
    </row>
    <row r="164" spans="4:6" s="322" customFormat="1" x14ac:dyDescent="0.2">
      <c r="D164" s="374" t="str">
        <f>Diag_BA!D255</f>
        <v xml:space="preserve">Dexamethasone (ZM) </v>
      </c>
      <c r="F164" s="342" t="s">
        <v>47</v>
      </c>
    </row>
    <row r="165" spans="4:6" s="327" customFormat="1" x14ac:dyDescent="0.2">
      <c r="D165" s="328" t="str">
        <f>Diag_BA!D256</f>
        <v>Diclofenac (50mg) (ZM)</v>
      </c>
      <c r="F165" s="375" t="s">
        <v>47</v>
      </c>
    </row>
    <row r="166" spans="4:6" s="327" customFormat="1" x14ac:dyDescent="0.2">
      <c r="D166" s="328" t="str">
        <f>Diag_BA!D257</f>
        <v>Diclofenac (50mg) (TZ)</v>
      </c>
      <c r="F166" s="375" t="s">
        <v>47</v>
      </c>
    </row>
    <row r="167" spans="4:6" s="327" customFormat="1" x14ac:dyDescent="0.2">
      <c r="D167" s="328" t="str">
        <f>Diag_BA!D258</f>
        <v>Distilled water (ZM)</v>
      </c>
      <c r="F167" s="375" t="s">
        <v>47</v>
      </c>
    </row>
    <row r="168" spans="4:6" s="327" customFormat="1" x14ac:dyDescent="0.2">
      <c r="D168" s="328" t="str">
        <f>Diag_BA!D259</f>
        <v>Distilled water (UG)</v>
      </c>
      <c r="F168" s="375" t="s">
        <v>47</v>
      </c>
    </row>
    <row r="169" spans="4:6" s="327" customFormat="1" x14ac:dyDescent="0.2">
      <c r="D169" s="328" t="str">
        <f>Diag_BA!D260</f>
        <v>Dulcolax (10mg) (ZM)</v>
      </c>
      <c r="F169" s="375" t="s">
        <v>47</v>
      </c>
    </row>
    <row r="170" spans="4:6" s="327" customFormat="1" x14ac:dyDescent="0.2">
      <c r="D170" s="328" t="str">
        <f>Diag_BA!D261</f>
        <v>Dulcolax (10mg) (TZ)</v>
      </c>
      <c r="F170" s="375" t="s">
        <v>47</v>
      </c>
    </row>
    <row r="171" spans="4:6" s="322" customFormat="1" x14ac:dyDescent="0.2">
      <c r="D171" s="374" t="str">
        <f>Diag_BA!D262</f>
        <v>Emend (ZM)</v>
      </c>
      <c r="F171" s="342" t="s">
        <v>47</v>
      </c>
    </row>
    <row r="172" spans="4:6" s="327" customFormat="1" x14ac:dyDescent="0.2">
      <c r="D172" s="328" t="str">
        <f>Diag_BA!D263</f>
        <v>Formalin (UG)</v>
      </c>
      <c r="F172" s="375" t="s">
        <v>47</v>
      </c>
    </row>
    <row r="173" spans="4:6" s="327" customFormat="1" x14ac:dyDescent="0.2">
      <c r="D173" s="328" t="str">
        <f>Diag_BA!D264</f>
        <v>Formalin AR 40% (ZM)</v>
      </c>
      <c r="F173" s="375" t="s">
        <v>47</v>
      </c>
    </row>
    <row r="174" spans="4:6" s="327" customFormat="1" x14ac:dyDescent="0.2">
      <c r="D174" s="328" t="str">
        <f>Diag_BA!D265</f>
        <v>Formalin AR 40% (TZ)</v>
      </c>
      <c r="F174" s="375" t="s">
        <v>47</v>
      </c>
    </row>
    <row r="175" spans="4:6" s="322" customFormat="1" x14ac:dyDescent="0.2">
      <c r="D175" s="374" t="str">
        <f>Diag_BA!D266</f>
        <v>Frusamide (ZM)</v>
      </c>
      <c r="F175" s="342" t="s">
        <v>47</v>
      </c>
    </row>
    <row r="176" spans="4:6" s="327" customFormat="1" x14ac:dyDescent="0.2">
      <c r="D176" s="328" t="str">
        <f>Diag_BA!D267</f>
        <v>Gas - N2O (UG)</v>
      </c>
      <c r="F176" s="375" t="s">
        <v>47</v>
      </c>
    </row>
    <row r="177" spans="4:6" s="327" customFormat="1" x14ac:dyDescent="0.2">
      <c r="D177" s="328" t="str">
        <f>Diag_BA!D268</f>
        <v>Gas Cylinder (Nitrous Oxide) 72 kg. (ZM)</v>
      </c>
      <c r="F177" s="375" t="s">
        <v>47</v>
      </c>
    </row>
    <row r="178" spans="4:6" s="327" customFormat="1" x14ac:dyDescent="0.2">
      <c r="D178" s="328" t="str">
        <f>Diag_BA!D269</f>
        <v>Gas Cylinder (TZ)</v>
      </c>
      <c r="F178" s="375" t="s">
        <v>47</v>
      </c>
    </row>
    <row r="179" spans="4:6" s="327" customFormat="1" x14ac:dyDescent="0.2">
      <c r="D179" s="328" t="str">
        <f>Diag_BA!D270</f>
        <v>Gauze (UG)</v>
      </c>
      <c r="F179" s="375" t="s">
        <v>47</v>
      </c>
    </row>
    <row r="180" spans="4:6" s="327" customFormat="1" x14ac:dyDescent="0.2">
      <c r="D180" s="328" t="str">
        <f>Diag_BA!D271</f>
        <v>Gauze hospital quality 10x4 cm (TZ)</v>
      </c>
      <c r="F180" s="375" t="s">
        <v>47</v>
      </c>
    </row>
    <row r="181" spans="4:6" s="327" customFormat="1" x14ac:dyDescent="0.2">
      <c r="D181" s="328" t="str">
        <f>Diag_BA!D272</f>
        <v>Gauze, Non-Sterile (ZM)</v>
      </c>
      <c r="F181" s="375" t="s">
        <v>47</v>
      </c>
    </row>
    <row r="182" spans="4:6" s="327" customFormat="1" x14ac:dyDescent="0.2">
      <c r="D182" s="328" t="str">
        <f>Diag_BA!D273</f>
        <v>Gauze, Non-Sterile (TZ)</v>
      </c>
      <c r="F182" s="375" t="s">
        <v>47</v>
      </c>
    </row>
    <row r="183" spans="4:6" s="327" customFormat="1" x14ac:dyDescent="0.2">
      <c r="D183" s="328" t="str">
        <f>Diag_BA!D274</f>
        <v>Gauze, Sterile (ZM)</v>
      </c>
      <c r="F183" s="375" t="s">
        <v>47</v>
      </c>
    </row>
    <row r="184" spans="4:6" s="327" customFormat="1" x14ac:dyDescent="0.2">
      <c r="D184" s="328" t="str">
        <f>Diag_BA!D275</f>
        <v>Gauze, Sterile (TZ)</v>
      </c>
      <c r="F184" s="375" t="s">
        <v>47</v>
      </c>
    </row>
    <row r="185" spans="4:6" s="327" customFormat="1" x14ac:dyDescent="0.2">
      <c r="D185" s="328" t="str">
        <f>Diag_BA!D276</f>
        <v>Gloves (UG)</v>
      </c>
      <c r="F185" s="375" t="s">
        <v>47</v>
      </c>
    </row>
    <row r="186" spans="4:6" s="327" customFormat="1" x14ac:dyDescent="0.2">
      <c r="D186" s="328" t="str">
        <f>Diag_BA!D277</f>
        <v>Gloves, Non-Sterile, Examination, latex, assorted sizes, disp. (ZM)</v>
      </c>
      <c r="F186" s="375" t="s">
        <v>47</v>
      </c>
    </row>
    <row r="187" spans="4:6" s="327" customFormat="1" x14ac:dyDescent="0.2">
      <c r="D187" s="328" t="str">
        <f>Diag_BA!D278</f>
        <v>Gloves, Non-Sterile, Examination, latex, medium, disp. (TZ)</v>
      </c>
      <c r="F187" s="375" t="s">
        <v>47</v>
      </c>
    </row>
    <row r="188" spans="4:6" s="327" customFormat="1" x14ac:dyDescent="0.2">
      <c r="D188" s="328" t="str">
        <f>Diag_BA!D279</f>
        <v>Gloves, Sterile (TZ)</v>
      </c>
      <c r="F188" s="375" t="s">
        <v>47</v>
      </c>
    </row>
    <row r="189" spans="4:6" s="327" customFormat="1" x14ac:dyDescent="0.2">
      <c r="D189" s="328" t="str">
        <f>Diag_BA!D280</f>
        <v>Gloves, Sterile 7.5 (ZM)</v>
      </c>
      <c r="F189" s="375" t="s">
        <v>47</v>
      </c>
    </row>
    <row r="190" spans="4:6" s="327" customFormat="1" x14ac:dyDescent="0.2">
      <c r="D190" s="328" t="str">
        <f>Diag_BA!D281</f>
        <v>Halothane (ZM)</v>
      </c>
      <c r="F190" s="375" t="s">
        <v>47</v>
      </c>
    </row>
    <row r="191" spans="4:6" s="327" customFormat="1" x14ac:dyDescent="0.2">
      <c r="D191" s="328" t="str">
        <f>Diag_BA!D282</f>
        <v>IV canula 22G  (ZM)</v>
      </c>
      <c r="F191" s="375" t="s">
        <v>47</v>
      </c>
    </row>
    <row r="192" spans="4:6" s="327" customFormat="1" x14ac:dyDescent="0.2">
      <c r="D192" s="328" t="str">
        <f>Diag_BA!D283</f>
        <v>IV canula 22G (each) (TZ)</v>
      </c>
      <c r="F192" s="375" t="s">
        <v>47</v>
      </c>
    </row>
    <row r="193" spans="4:6" s="327" customFormat="1" x14ac:dyDescent="0.2">
      <c r="D193" s="328" t="str">
        <f>Diag_BA!D284</f>
        <v>IV giving set (each) (TZ)</v>
      </c>
      <c r="F193" s="375" t="s">
        <v>47</v>
      </c>
    </row>
    <row r="194" spans="4:6" s="322" customFormat="1" x14ac:dyDescent="0.2">
      <c r="D194" s="374" t="str">
        <f>Diag_BA!D285</f>
        <v>IV giving set (closed system) (ZM)</v>
      </c>
      <c r="F194" s="342" t="s">
        <v>47</v>
      </c>
    </row>
    <row r="195" spans="4:6" s="327" customFormat="1" x14ac:dyDescent="0.2">
      <c r="D195" s="328" t="str">
        <f>Diag_BA!D286</f>
        <v>IV line (set) (ZM)</v>
      </c>
      <c r="F195" s="375" t="s">
        <v>47</v>
      </c>
    </row>
    <row r="196" spans="4:6" s="327" customFormat="1" x14ac:dyDescent="0.2">
      <c r="D196" s="328" t="str">
        <f>Diag_BA!D287</f>
        <v>IV line (set) (TZ)</v>
      </c>
      <c r="F196" s="375" t="s">
        <v>47</v>
      </c>
    </row>
    <row r="197" spans="4:6" s="327" customFormat="1" x14ac:dyDescent="0.2">
      <c r="D197" s="328" t="str">
        <f>Diag_BA!D288</f>
        <v>Ketamine (ZM)</v>
      </c>
      <c r="F197" s="375" t="s">
        <v>47</v>
      </c>
    </row>
    <row r="198" spans="4:6" s="327" customFormat="1" x14ac:dyDescent="0.2">
      <c r="D198" s="328" t="str">
        <f>Diag_BA!D289</f>
        <v>Kitchen Towel (ZM)</v>
      </c>
      <c r="F198" s="375" t="s">
        <v>47</v>
      </c>
    </row>
    <row r="199" spans="4:6" s="327" customFormat="1" x14ac:dyDescent="0.2">
      <c r="D199" s="328" t="str">
        <f>Diag_BA!D290</f>
        <v>K-Y jelly  (TZ)</v>
      </c>
      <c r="F199" s="375" t="s">
        <v>47</v>
      </c>
    </row>
    <row r="200" spans="4:6" s="327" customFormat="1" x14ac:dyDescent="0.2">
      <c r="D200" s="328" t="str">
        <f>Diag_BA!D291</f>
        <v>K-Y jelly Tube w/ 100 applcations ea) (ZM)</v>
      </c>
      <c r="F200" s="375" t="s">
        <v>47</v>
      </c>
    </row>
    <row r="201" spans="4:6" s="327" customFormat="1" x14ac:dyDescent="0.2">
      <c r="D201" s="328" t="str">
        <f>Diag_BA!D292</f>
        <v>Label (TZ)</v>
      </c>
      <c r="F201" s="375" t="s">
        <v>47</v>
      </c>
    </row>
    <row r="202" spans="4:6" s="327" customFormat="1" x14ac:dyDescent="0.2">
      <c r="D202" s="328" t="str">
        <f>Diag_BA!D293</f>
        <v>Lidocaine 1% or 2% without epinephrine (UG)</v>
      </c>
      <c r="F202" s="375" t="s">
        <v>47</v>
      </c>
    </row>
    <row r="203" spans="4:6" s="327" customFormat="1" x14ac:dyDescent="0.2">
      <c r="D203" s="328" t="str">
        <f>Diag_BA!D294</f>
        <v>Lidocaine 2% with epinephrine 1:80000 (ZM)</v>
      </c>
      <c r="F203" s="375" t="s">
        <v>47</v>
      </c>
    </row>
    <row r="204" spans="4:6" s="327" customFormat="1" x14ac:dyDescent="0.2">
      <c r="D204" s="328" t="str">
        <f>Diag_BA!D295</f>
        <v>Lidocaine: 2% with adrenalin 1:80000 (TZ)</v>
      </c>
      <c r="F204" s="375" t="s">
        <v>47</v>
      </c>
    </row>
    <row r="205" spans="4:6" s="327" customFormat="1" x14ac:dyDescent="0.2">
      <c r="D205" s="328" t="str">
        <f>Diag_BA!D296</f>
        <v>Liquid soap (UG)</v>
      </c>
      <c r="F205" s="375" t="s">
        <v>47</v>
      </c>
    </row>
    <row r="206" spans="4:6" s="327" customFormat="1" x14ac:dyDescent="0.2">
      <c r="D206" s="328" t="str">
        <f>Diag_BA!D297</f>
        <v>Lugol's iodine (UG)</v>
      </c>
      <c r="F206" s="375" t="s">
        <v>47</v>
      </c>
    </row>
    <row r="207" spans="4:6" s="322" customFormat="1" x14ac:dyDescent="0.2">
      <c r="D207" s="374" t="str">
        <f>Diag_BA!D298</f>
        <v>Mannitol (ZM)</v>
      </c>
      <c r="F207" s="342" t="s">
        <v>47</v>
      </c>
    </row>
    <row r="208" spans="4:6" s="327" customFormat="1" x14ac:dyDescent="0.2">
      <c r="D208" s="328" t="str">
        <f>Diag_BA!D299</f>
        <v>Metronizadol (200mg) (ZM)</v>
      </c>
      <c r="F208" s="375" t="s">
        <v>47</v>
      </c>
    </row>
    <row r="209" spans="4:6" s="327" customFormat="1" x14ac:dyDescent="0.2">
      <c r="D209" s="328" t="str">
        <f>Diag_BA!D300</f>
        <v>Metronizadol (200mg) (UG)</v>
      </c>
      <c r="F209" s="375" t="s">
        <v>47</v>
      </c>
    </row>
    <row r="210" spans="4:6" s="327" customFormat="1" x14ac:dyDescent="0.2">
      <c r="D210" s="328" t="str">
        <f>Diag_BA!D301</f>
        <v>Metronizadol (400mg) (UG)</v>
      </c>
      <c r="F210" s="375" t="s">
        <v>47</v>
      </c>
    </row>
    <row r="211" spans="4:6" s="327" customFormat="1" x14ac:dyDescent="0.2">
      <c r="D211" s="328" t="str">
        <f>Diag_BA!D302</f>
        <v>Mictomycin  C (10mg) (TZ)</v>
      </c>
      <c r="F211" s="375" t="s">
        <v>47</v>
      </c>
    </row>
    <row r="212" spans="4:6" s="327" customFormat="1" x14ac:dyDescent="0.2">
      <c r="D212" s="328" t="str">
        <f>Diag_BA!D303</f>
        <v>Mitomycin  C (10mg) (ZM)</v>
      </c>
      <c r="F212" s="375" t="s">
        <v>47</v>
      </c>
    </row>
    <row r="213" spans="4:6" s="327" customFormat="1" x14ac:dyDescent="0.2">
      <c r="D213" s="328" t="str">
        <f>Diag_BA!D304</f>
        <v>Monsel's solution (UG)</v>
      </c>
      <c r="F213" s="375" t="s">
        <v>47</v>
      </c>
    </row>
    <row r="214" spans="4:6" s="327" customFormat="1" x14ac:dyDescent="0.2">
      <c r="D214" s="328" t="str">
        <f>Diag_BA!D305</f>
        <v>Monsel's solution (ZM)</v>
      </c>
      <c r="F214" s="375" t="s">
        <v>47</v>
      </c>
    </row>
    <row r="215" spans="4:6" s="327" customFormat="1" x14ac:dyDescent="0.2">
      <c r="D215" s="328" t="str">
        <f>Diag_BA!D306</f>
        <v>Morphine (10mg) (ZM)</v>
      </c>
      <c r="F215" s="375" t="s">
        <v>47</v>
      </c>
    </row>
    <row r="216" spans="4:6" s="327" customFormat="1" x14ac:dyDescent="0.2">
      <c r="D216" s="328" t="str">
        <f>Diag_BA!D307</f>
        <v>Morphine (10mg) (TZ)</v>
      </c>
      <c r="F216" s="375" t="s">
        <v>47</v>
      </c>
    </row>
    <row r="217" spans="4:6" s="327" customFormat="1" x14ac:dyDescent="0.2">
      <c r="D217" s="328" t="str">
        <f>Diag_BA!D308</f>
        <v>Mutton Cloth (ZM)</v>
      </c>
      <c r="F217" s="375" t="s">
        <v>47</v>
      </c>
    </row>
    <row r="218" spans="4:6" s="327" customFormat="1" x14ac:dyDescent="0.2">
      <c r="D218" s="328" t="str">
        <f>Diag_BA!D309</f>
        <v>Needle – 18 or 20 gauge (TZ)</v>
      </c>
      <c r="F218" s="375" t="s">
        <v>47</v>
      </c>
    </row>
    <row r="219" spans="4:6" s="327" customFormat="1" x14ac:dyDescent="0.2">
      <c r="D219" s="328" t="str">
        <f>Diag_BA!D310</f>
        <v>Needle - Spinal 22G (disposable) (ZM)</v>
      </c>
      <c r="F219" s="375" t="s">
        <v>47</v>
      </c>
    </row>
    <row r="220" spans="4:6" s="327" customFormat="1" x14ac:dyDescent="0.2">
      <c r="D220" s="328" t="str">
        <f>Diag_BA!D311</f>
        <v>Needle - Spinal 22G (disposable) (TZ)</v>
      </c>
      <c r="F220" s="375" t="s">
        <v>47</v>
      </c>
    </row>
    <row r="221" spans="4:6" s="327" customFormat="1" x14ac:dyDescent="0.2">
      <c r="D221" s="328" t="str">
        <f>Diag_BA!D312</f>
        <v>Needles - Dental 27G Long (ZM)</v>
      </c>
      <c r="F221" s="375" t="s">
        <v>47</v>
      </c>
    </row>
    <row r="222" spans="4:6" s="327" customFormat="1" x14ac:dyDescent="0.2">
      <c r="D222" s="328" t="str">
        <f>Diag_BA!D313</f>
        <v>Neostymine (ZM)</v>
      </c>
      <c r="F222" s="375" t="s">
        <v>47</v>
      </c>
    </row>
    <row r="223" spans="4:6" s="327" customFormat="1" x14ac:dyDescent="0.2">
      <c r="D223" s="328" t="str">
        <f>Diag_BA!D314</f>
        <v>Normal saline (UG)</v>
      </c>
      <c r="F223" s="375" t="s">
        <v>47</v>
      </c>
    </row>
    <row r="224" spans="4:6" s="322" customFormat="1" x14ac:dyDescent="0.2">
      <c r="D224" s="374" t="str">
        <f>Diag_BA!D315</f>
        <v>Normal saline (ZM)</v>
      </c>
      <c r="F224" s="342" t="s">
        <v>47</v>
      </c>
    </row>
    <row r="225" spans="4:6" s="327" customFormat="1" x14ac:dyDescent="0.2">
      <c r="D225" s="328" t="str">
        <f>Diag_BA!D316</f>
        <v>Nystain (200mg) (UG)</v>
      </c>
      <c r="F225" s="375" t="s">
        <v>47</v>
      </c>
    </row>
    <row r="226" spans="4:6" s="322" customFormat="1" x14ac:dyDescent="0.2">
      <c r="D226" s="374" t="str">
        <f>Diag_BA!D317</f>
        <v>Ondansetron (IV) 4mg vials</v>
      </c>
      <c r="F226" s="342" t="s">
        <v>47</v>
      </c>
    </row>
    <row r="227" spans="4:6" s="322" customFormat="1" x14ac:dyDescent="0.2">
      <c r="D227" s="374" t="str">
        <f>Diag_BA!D318</f>
        <v>Ondasetron (oral) (4mg tablets)</v>
      </c>
      <c r="F227" s="342" t="s">
        <v>47</v>
      </c>
    </row>
    <row r="228" spans="4:6" s="327" customFormat="1" x14ac:dyDescent="0.2">
      <c r="D228" s="328" t="str">
        <f>Diag_BA!D319</f>
        <v>Opiods - Pethidine (ZM)</v>
      </c>
      <c r="F228" s="375" t="s">
        <v>47</v>
      </c>
    </row>
    <row r="229" spans="4:6" s="322" customFormat="1" x14ac:dyDescent="0.2">
      <c r="D229" s="374" t="str">
        <f>Diag_BA!D320</f>
        <v>Supplies Category 109</v>
      </c>
      <c r="F229" s="342" t="s">
        <v>47</v>
      </c>
    </row>
    <row r="230" spans="4:6" s="327" customFormat="1" x14ac:dyDescent="0.2">
      <c r="D230" s="328" t="str">
        <f>Diag_BA!D321</f>
        <v>Oralpharyngeal airway (ZM)</v>
      </c>
      <c r="F230" s="375" t="s">
        <v>47</v>
      </c>
    </row>
    <row r="231" spans="4:6" s="327" customFormat="1" x14ac:dyDescent="0.2">
      <c r="D231" s="328" t="str">
        <f>Diag_BA!D322</f>
        <v>Oxygen Mask (ZM)</v>
      </c>
      <c r="F231" s="375" t="s">
        <v>47</v>
      </c>
    </row>
    <row r="232" spans="4:6" s="327" customFormat="1" x14ac:dyDescent="0.2">
      <c r="D232" s="328" t="str">
        <f>Diag_BA!D323</f>
        <v>Pancuronuien (ZM)</v>
      </c>
      <c r="F232" s="375" t="s">
        <v>47</v>
      </c>
    </row>
    <row r="233" spans="4:6" s="327" customFormat="1" x14ac:dyDescent="0.2">
      <c r="D233" s="328" t="str">
        <f>Diag_BA!D324</f>
        <v>Paracetamol (1g) (UG)</v>
      </c>
      <c r="F233" s="375" t="s">
        <v>47</v>
      </c>
    </row>
    <row r="234" spans="4:6" s="327" customFormat="1" x14ac:dyDescent="0.2">
      <c r="D234" s="328" t="str">
        <f>Diag_BA!D325</f>
        <v>Paracetamol (500mg) (ZM)</v>
      </c>
      <c r="F234" s="375" t="s">
        <v>47</v>
      </c>
    </row>
    <row r="235" spans="4:6" s="327" customFormat="1" x14ac:dyDescent="0.2">
      <c r="D235" s="328" t="str">
        <f>Diag_BA!D326</f>
        <v>Paracetamol (500mg) (TZ)</v>
      </c>
      <c r="F235" s="375" t="s">
        <v>47</v>
      </c>
    </row>
    <row r="236" spans="4:6" s="327" customFormat="1" x14ac:dyDescent="0.2">
      <c r="D236" s="328" t="str">
        <f>Diag_BA!D327</f>
        <v>Paracetamol (500mg) (UG)</v>
      </c>
      <c r="F236" s="375" t="s">
        <v>47</v>
      </c>
    </row>
    <row r="237" spans="4:6" s="327" customFormat="1" x14ac:dyDescent="0.2">
      <c r="D237" s="328" t="str">
        <f>Diag_BA!D328</f>
        <v>Pathology form (TZ)</v>
      </c>
      <c r="F237" s="375" t="s">
        <v>47</v>
      </c>
    </row>
    <row r="238" spans="4:6" s="327" customFormat="1" x14ac:dyDescent="0.2">
      <c r="D238" s="328" t="str">
        <f>Diag_BA!D329</f>
        <v>Patient card (TZ)</v>
      </c>
      <c r="F238" s="375" t="s">
        <v>47</v>
      </c>
    </row>
    <row r="239" spans="4:6" s="327" customFormat="1" x14ac:dyDescent="0.2">
      <c r="D239" s="328" t="str">
        <f>Diag_BA!D330</f>
        <v>Pencil (TZ)</v>
      </c>
      <c r="F239" s="375" t="s">
        <v>47</v>
      </c>
    </row>
    <row r="240" spans="4:6" s="327" customFormat="1" x14ac:dyDescent="0.2">
      <c r="D240" s="328" t="str">
        <f>Diag_BA!D331</f>
        <v>Perthodine (TZ)</v>
      </c>
      <c r="F240" s="375" t="s">
        <v>47</v>
      </c>
    </row>
    <row r="241" spans="4:6" s="327" customFormat="1" x14ac:dyDescent="0.2">
      <c r="D241" s="328" t="str">
        <f>Diag_BA!D332</f>
        <v>Pipette Tips (TZ)</v>
      </c>
      <c r="F241" s="375" t="s">
        <v>47</v>
      </c>
    </row>
    <row r="242" spans="4:6" s="327" customFormat="1" x14ac:dyDescent="0.2">
      <c r="D242" s="328" t="str">
        <f>Diag_BA!D333</f>
        <v>Pipette, Fixed, 50 microlitre (TZ)</v>
      </c>
      <c r="F242" s="375" t="s">
        <v>47</v>
      </c>
    </row>
    <row r="243" spans="4:6" s="327" customFormat="1" x14ac:dyDescent="0.2">
      <c r="D243" s="328" t="str">
        <f>Diag_BA!D334</f>
        <v>Pipette, Repeater (TZ)</v>
      </c>
      <c r="F243" s="375" t="s">
        <v>47</v>
      </c>
    </row>
    <row r="244" spans="4:6" s="327" customFormat="1" x14ac:dyDescent="0.2">
      <c r="D244" s="328" t="str">
        <f>Diag_BA!D335</f>
        <v>Pregnancy test– urine test strip (ZM)</v>
      </c>
      <c r="F244" s="375" t="s">
        <v>47</v>
      </c>
    </row>
    <row r="245" spans="4:6" s="327" customFormat="1" x14ac:dyDescent="0.2">
      <c r="D245" s="328" t="str">
        <f>Diag_BA!D336</f>
        <v>Pregnancy tests – urine test strips (TZ)</v>
      </c>
      <c r="F245" s="375" t="s">
        <v>47</v>
      </c>
    </row>
    <row r="246" spans="4:6" s="327" customFormat="1" x14ac:dyDescent="0.2">
      <c r="D246" s="328" t="str">
        <f>Diag_BA!D337</f>
        <v>Profol, 2%, 20 mg/l, 50ml (ZM)</v>
      </c>
      <c r="F246" s="375" t="s">
        <v>47</v>
      </c>
    </row>
    <row r="247" spans="4:6" s="327" customFormat="1" x14ac:dyDescent="0.2">
      <c r="D247" s="328" t="str">
        <f>Diag_BA!D338</f>
        <v>Repeater Tips (TZ)</v>
      </c>
      <c r="F247" s="375" t="s">
        <v>47</v>
      </c>
    </row>
    <row r="248" spans="4:6" s="327" customFormat="1" x14ac:dyDescent="0.2">
      <c r="D248" s="328" t="str">
        <f>Diag_BA!D339</f>
        <v>Return electrode (UG)</v>
      </c>
      <c r="F248" s="375" t="s">
        <v>47</v>
      </c>
    </row>
    <row r="249" spans="4:6" s="327" customFormat="1" x14ac:dyDescent="0.2">
      <c r="D249" s="328" t="str">
        <f>Diag_BA!D340</f>
        <v>Saline solution, normal (ZM)</v>
      </c>
      <c r="F249" s="375" t="s">
        <v>47</v>
      </c>
    </row>
    <row r="250" spans="4:6" s="327" customFormat="1" x14ac:dyDescent="0.2">
      <c r="D250" s="328" t="str">
        <f>Diag_BA!D341</f>
        <v>Saline solution, normal (TZ)</v>
      </c>
      <c r="F250" s="375" t="s">
        <v>47</v>
      </c>
    </row>
    <row r="251" spans="4:6" s="327" customFormat="1" x14ac:dyDescent="0.2">
      <c r="D251" s="328" t="str">
        <f>Diag_BA!D342</f>
        <v>Sanitary pad (ZM)</v>
      </c>
      <c r="F251" s="375" t="s">
        <v>47</v>
      </c>
    </row>
    <row r="252" spans="4:6" s="327" customFormat="1" x14ac:dyDescent="0.2">
      <c r="D252" s="328" t="str">
        <f>Diag_BA!D343</f>
        <v>Sanitary pad (UG)</v>
      </c>
      <c r="F252" s="375" t="s">
        <v>47</v>
      </c>
    </row>
    <row r="253" spans="4:6" s="327" customFormat="1" x14ac:dyDescent="0.2">
      <c r="D253" s="328" t="str">
        <f>Diag_BA!D344</f>
        <v>Scouring Powder (Ajax)</v>
      </c>
      <c r="F253" s="375" t="s">
        <v>47</v>
      </c>
    </row>
    <row r="254" spans="4:6" s="327" customFormat="1" x14ac:dyDescent="0.2">
      <c r="D254" s="328" t="str">
        <f>Diag_BA!D345</f>
        <v>Soap (or hand sanitizer) (ZM)</v>
      </c>
      <c r="F254" s="375" t="s">
        <v>47</v>
      </c>
    </row>
    <row r="255" spans="4:6" s="327" customFormat="1" x14ac:dyDescent="0.2">
      <c r="D255" s="328" t="str">
        <f>Diag_BA!D346</f>
        <v>Soap (or hand sanitizer) (TZ)</v>
      </c>
      <c r="F255" s="375" t="s">
        <v>47</v>
      </c>
    </row>
    <row r="256" spans="4:6" s="327" customFormat="1" x14ac:dyDescent="0.2">
      <c r="D256" s="328" t="str">
        <f>Diag_BA!D347</f>
        <v>Specimen bottle / recyled syringe bottles (UG)</v>
      </c>
      <c r="F256" s="375" t="s">
        <v>47</v>
      </c>
    </row>
    <row r="257" spans="4:6" s="327" customFormat="1" x14ac:dyDescent="0.2">
      <c r="D257" s="328" t="str">
        <f>Diag_BA!D348</f>
        <v>Specimen cup with lid and label - 100 cc (TZ)</v>
      </c>
      <c r="F257" s="375" t="s">
        <v>47</v>
      </c>
    </row>
    <row r="258" spans="4:6" s="327" customFormat="1" x14ac:dyDescent="0.2">
      <c r="D258" s="328" t="str">
        <f>Diag_BA!D349</f>
        <v>Surgical Apron (ZM)</v>
      </c>
      <c r="F258" s="375" t="s">
        <v>47</v>
      </c>
    </row>
    <row r="259" spans="4:6" s="327" customFormat="1" x14ac:dyDescent="0.2">
      <c r="D259" s="328" t="str">
        <f>Diag_BA!D350</f>
        <v>Suxamethonium (ZM)</v>
      </c>
      <c r="F259" s="375" t="s">
        <v>47</v>
      </c>
    </row>
    <row r="260" spans="4:6" s="327" customFormat="1" x14ac:dyDescent="0.2">
      <c r="D260" s="328" t="str">
        <f>Diag_BA!D351</f>
        <v>Syringe - 2cc (ZM)</v>
      </c>
      <c r="F260" s="375" t="s">
        <v>47</v>
      </c>
    </row>
    <row r="261" spans="4:6" s="327" customFormat="1" x14ac:dyDescent="0.2">
      <c r="D261" s="328" t="str">
        <f>Diag_BA!D352</f>
        <v>Syringe - 2ml (UG)</v>
      </c>
      <c r="F261" s="375" t="s">
        <v>47</v>
      </c>
    </row>
    <row r="262" spans="4:6" s="327" customFormat="1" x14ac:dyDescent="0.2">
      <c r="D262" s="328" t="str">
        <f>Diag_BA!D353</f>
        <v>Syringe, 10 cc with needle (ZM)</v>
      </c>
      <c r="F262" s="375" t="s">
        <v>47</v>
      </c>
    </row>
    <row r="263" spans="4:6" s="327" customFormat="1" x14ac:dyDescent="0.2">
      <c r="D263" s="328" t="str">
        <f>Diag_BA!D354</f>
        <v>Syringe, 5 cc with needle (ZM)</v>
      </c>
      <c r="F263" s="375" t="s">
        <v>47</v>
      </c>
    </row>
    <row r="264" spans="4:6" s="327" customFormat="1" x14ac:dyDescent="0.2">
      <c r="D264" s="328" t="str">
        <f>Diag_BA!D355</f>
        <v>Syringes, 10 cc with needle (TZ)</v>
      </c>
      <c r="F264" s="375" t="s">
        <v>47</v>
      </c>
    </row>
    <row r="265" spans="4:6" s="327" customFormat="1" x14ac:dyDescent="0.2">
      <c r="D265" s="328" t="str">
        <f>Diag_BA!D356</f>
        <v>Syringes, 5 cc with needle (TZ)</v>
      </c>
      <c r="F265" s="375" t="s">
        <v>47</v>
      </c>
    </row>
    <row r="266" spans="4:6" s="327" customFormat="1" x14ac:dyDescent="0.2">
      <c r="D266" s="328" t="str">
        <f>Diag_BA!D357</f>
        <v>Syringes, Dental, 25 gauge (ZM)</v>
      </c>
      <c r="F266" s="375" t="s">
        <v>47</v>
      </c>
    </row>
    <row r="267" spans="4:6" s="327" customFormat="1" x14ac:dyDescent="0.2">
      <c r="D267" s="328" t="str">
        <f>Diag_BA!D358</f>
        <v>Thiopentone,500mg vial (ZM)</v>
      </c>
      <c r="F267" s="375" t="s">
        <v>47</v>
      </c>
    </row>
    <row r="268" spans="4:6" s="327" customFormat="1" x14ac:dyDescent="0.2">
      <c r="D268" s="328" t="str">
        <f>Diag_BA!D359</f>
        <v>Toilet Tissues (roll) – 500 sheets (ZM)</v>
      </c>
      <c r="F268" s="375" t="s">
        <v>47</v>
      </c>
    </row>
    <row r="269" spans="4:6" s="327" customFormat="1" x14ac:dyDescent="0.2">
      <c r="D269" s="328" t="str">
        <f>Diag_BA!D360</f>
        <v>Tramadol (50mg)  (ZM)</v>
      </c>
      <c r="F269" s="375" t="s">
        <v>47</v>
      </c>
    </row>
    <row r="270" spans="4:6" s="327" customFormat="1" x14ac:dyDescent="0.2">
      <c r="D270" s="328" t="str">
        <f>Diag_BA!D361</f>
        <v>Tramadol (50mg) (TZ)</v>
      </c>
      <c r="F270" s="375" t="s">
        <v>47</v>
      </c>
    </row>
    <row r="271" spans="4:6" s="327" customFormat="1" x14ac:dyDescent="0.2">
      <c r="D271" s="328" t="str">
        <f>Diag_BA!D362</f>
        <v>Tubes - Endotrach (ZM)</v>
      </c>
      <c r="F271" s="375" t="s">
        <v>47</v>
      </c>
    </row>
    <row r="272" spans="4:6" s="327" customFormat="1" x14ac:dyDescent="0.2">
      <c r="D272" s="328" t="str">
        <f>Diag_BA!D363</f>
        <v>Urine Bag (ZM)</v>
      </c>
      <c r="F272" s="375" t="s">
        <v>47</v>
      </c>
    </row>
    <row r="273" spans="4:6" s="327" customFormat="1" x14ac:dyDescent="0.2">
      <c r="D273" s="328" t="str">
        <f>Diag_BA!D364</f>
        <v>Urine Bag (TZ)</v>
      </c>
      <c r="F273" s="375" t="s">
        <v>47</v>
      </c>
    </row>
    <row r="274" spans="4:6" s="327" customFormat="1" x14ac:dyDescent="0.2">
      <c r="D274" s="328" t="str">
        <f>Diag_BA!D365</f>
        <v>Washing powder (ZM)</v>
      </c>
      <c r="F274" s="375" t="s">
        <v>47</v>
      </c>
    </row>
    <row r="275" spans="4:6" s="327" customFormat="1" x14ac:dyDescent="0.2">
      <c r="D275" s="328" t="str">
        <f>Diag_BA!D366</f>
        <v>Wire electrode (UG)</v>
      </c>
      <c r="F275" s="375" t="s">
        <v>47</v>
      </c>
    </row>
    <row r="276" spans="4:6" s="327" customFormat="1" x14ac:dyDescent="0.2">
      <c r="D276" s="328" t="str">
        <f>Diag_BA!D367</f>
        <v>Wood stick (ZM)</v>
      </c>
      <c r="F276" s="375" t="s">
        <v>47</v>
      </c>
    </row>
    <row r="277" spans="4:6" s="327" customFormat="1" x14ac:dyDescent="0.2">
      <c r="D277" s="328" t="str">
        <f>Diag_BA!D368</f>
        <v>Wood stick (TZ)</v>
      </c>
      <c r="F277" s="375" t="s">
        <v>47</v>
      </c>
    </row>
    <row r="278" spans="4:6" s="327" customFormat="1" x14ac:dyDescent="0.2">
      <c r="D278" s="328" t="str">
        <f>Diag_BA!D369</f>
        <v>Supplies Category 158</v>
      </c>
      <c r="F278" s="375" t="s">
        <v>47</v>
      </c>
    </row>
    <row r="279" spans="4:6" s="327" customFormat="1" x14ac:dyDescent="0.2">
      <c r="D279" s="328" t="str">
        <f>Diag_BA!D370</f>
        <v>Supplies Category 159</v>
      </c>
      <c r="F279" s="375" t="s">
        <v>47</v>
      </c>
    </row>
    <row r="280" spans="4:6" s="327" customFormat="1" x14ac:dyDescent="0.2">
      <c r="D280" s="328" t="str">
        <f>Diag_BA!D371</f>
        <v>Supplies Category 160</v>
      </c>
      <c r="F280" s="375" t="s">
        <v>47</v>
      </c>
    </row>
    <row r="281" spans="4:6" s="327" customFormat="1" x14ac:dyDescent="0.2">
      <c r="D281" s="328" t="str">
        <f>Diag_BA!D372</f>
        <v>Supplies Category 161</v>
      </c>
      <c r="F281" s="375" t="s">
        <v>47</v>
      </c>
    </row>
    <row r="282" spans="4:6" s="327" customFormat="1" x14ac:dyDescent="0.2">
      <c r="D282" s="328" t="str">
        <f>Diag_BA!D373</f>
        <v>Supplies Category 162</v>
      </c>
      <c r="F282" s="375" t="s">
        <v>47</v>
      </c>
    </row>
    <row r="283" spans="4:6" s="327" customFormat="1" x14ac:dyDescent="0.2">
      <c r="D283" s="328" t="str">
        <f>Diag_BA!D374</f>
        <v>Supplies Category 163</v>
      </c>
      <c r="F283" s="375" t="s">
        <v>47</v>
      </c>
    </row>
    <row r="284" spans="4:6" s="327" customFormat="1" x14ac:dyDescent="0.2">
      <c r="D284" s="328" t="str">
        <f>Diag_BA!D375</f>
        <v>Other Supply (Specify)</v>
      </c>
      <c r="F284" s="375" t="s">
        <v>47</v>
      </c>
    </row>
    <row r="285" spans="4:6" s="327" customFormat="1" x14ac:dyDescent="0.2">
      <c r="D285" s="328" t="str">
        <f>Diag_BA!D376</f>
        <v>Other Supply (Specify)</v>
      </c>
      <c r="F285" s="375" t="s">
        <v>47</v>
      </c>
    </row>
    <row r="286" spans="4:6" s="327" customFormat="1" x14ac:dyDescent="0.2">
      <c r="D286" s="328" t="str">
        <f>Diag_BA!D377</f>
        <v>Other Supply (Specify)</v>
      </c>
      <c r="F286" s="375" t="s">
        <v>47</v>
      </c>
    </row>
    <row r="287" spans="4:6" s="327" customFormat="1" x14ac:dyDescent="0.2">
      <c r="D287" s="328" t="str">
        <f>Diag_BA!D378</f>
        <v>Other Supply (Specify)</v>
      </c>
      <c r="F287" s="375" t="s">
        <v>47</v>
      </c>
    </row>
    <row r="288" spans="4:6" s="327" customFormat="1" x14ac:dyDescent="0.2"/>
    <row r="289" spans="3:6" s="327" customFormat="1" ht="15.75" x14ac:dyDescent="0.2">
      <c r="C289" s="330" t="s">
        <v>313</v>
      </c>
      <c r="F289" s="330" t="s">
        <v>32</v>
      </c>
    </row>
    <row r="290" spans="3:6" s="327" customFormat="1" x14ac:dyDescent="0.2"/>
    <row r="291" spans="3:6" s="327" customFormat="1" x14ac:dyDescent="0.2">
      <c r="D291" s="331" t="s">
        <v>313</v>
      </c>
      <c r="F291" s="518" t="s">
        <v>381</v>
      </c>
    </row>
    <row r="292" spans="3:6" s="327" customFormat="1" x14ac:dyDescent="0.2">
      <c r="D292" s="328" t="str">
        <f>Diag_BA!D381</f>
        <v>_Not Applicable</v>
      </c>
      <c r="F292" s="375" t="s">
        <v>47</v>
      </c>
    </row>
    <row r="293" spans="3:6" s="327" customFormat="1" x14ac:dyDescent="0.2">
      <c r="D293" s="328" t="str">
        <f>Diag_BA!D382</f>
        <v>Aluminum pail with lid (TZ)</v>
      </c>
      <c r="F293" s="375" t="s">
        <v>47</v>
      </c>
    </row>
    <row r="294" spans="3:6" s="327" customFormat="1" x14ac:dyDescent="0.2">
      <c r="D294" s="328" t="str">
        <f>Diag_BA!D383</f>
        <v>Autoclaving Machine (ZM)</v>
      </c>
      <c r="F294" s="375" t="s">
        <v>47</v>
      </c>
    </row>
    <row r="295" spans="3:6" s="327" customFormat="1" x14ac:dyDescent="0.2">
      <c r="D295" s="328" t="str">
        <f>Diag_BA!D384</f>
        <v>Ball electrode  5mm/Ellman (ZM)</v>
      </c>
      <c r="F295" s="375" t="s">
        <v>47</v>
      </c>
    </row>
    <row r="296" spans="3:6" s="327" customFormat="1" x14ac:dyDescent="0.2">
      <c r="D296" s="328" t="str">
        <f>Diag_BA!D385</f>
        <v>Basin (for examination couch) (ZM)</v>
      </c>
      <c r="F296" s="375" t="s">
        <v>47</v>
      </c>
    </row>
    <row r="297" spans="3:6" s="327" customFormat="1" x14ac:dyDescent="0.2">
      <c r="D297" s="328" t="str">
        <f>Diag_BA!D386</f>
        <v>Battery Charger (ZM)</v>
      </c>
      <c r="F297" s="375" t="s">
        <v>47</v>
      </c>
    </row>
    <row r="298" spans="3:6" s="327" customFormat="1" x14ac:dyDescent="0.2">
      <c r="D298" s="328" t="str">
        <f>Diag_BA!D387</f>
        <v>Bucket (UG)</v>
      </c>
      <c r="F298" s="375" t="s">
        <v>47</v>
      </c>
    </row>
    <row r="299" spans="3:6" s="327" customFormat="1" x14ac:dyDescent="0.2">
      <c r="D299" s="328" t="str">
        <f>Diag_BA!D388</f>
        <v>Bucket 20Lt plastic with lid (ZM)</v>
      </c>
      <c r="F299" s="375" t="s">
        <v>47</v>
      </c>
    </row>
    <row r="300" spans="3:6" s="327" customFormat="1" x14ac:dyDescent="0.2">
      <c r="D300" s="328" t="str">
        <f>Diag_BA!D389</f>
        <v>Camera Rechargeable batteries ( set of 6) (ZM)</v>
      </c>
      <c r="F300" s="375" t="s">
        <v>47</v>
      </c>
    </row>
    <row r="301" spans="3:6" s="327" customFormat="1" x14ac:dyDescent="0.2">
      <c r="D301" s="328" t="str">
        <f>Diag_BA!D390</f>
        <v>Card Reader (ZM)</v>
      </c>
      <c r="F301" s="375" t="s">
        <v>47</v>
      </c>
    </row>
    <row r="302" spans="3:6" s="327" customFormat="1" x14ac:dyDescent="0.2">
      <c r="D302" s="328" t="str">
        <f>Diag_BA!D391</f>
        <v>CareHPV Machine (kit set) (ZM)</v>
      </c>
      <c r="F302" s="375" t="s">
        <v>47</v>
      </c>
    </row>
    <row r="303" spans="3:6" s="327" customFormat="1" x14ac:dyDescent="0.2">
      <c r="D303" s="328" t="str">
        <f>Diag_BA!D392</f>
        <v>CareHPV Machine (kit)  (TZ)</v>
      </c>
      <c r="F303" s="375" t="s">
        <v>47</v>
      </c>
    </row>
    <row r="304" spans="3:6" s="327" customFormat="1" x14ac:dyDescent="0.2">
      <c r="D304" s="328" t="str">
        <f>Diag_BA!D393</f>
        <v>Cauterizer (ZM)</v>
      </c>
      <c r="F304" s="375" t="s">
        <v>47</v>
      </c>
    </row>
    <row r="305" spans="4:6" s="327" customFormat="1" x14ac:dyDescent="0.2">
      <c r="D305" s="328" t="str">
        <f>Diag_BA!D394</f>
        <v>Cauterizer  (TZ)</v>
      </c>
      <c r="F305" s="375" t="s">
        <v>47</v>
      </c>
    </row>
    <row r="306" spans="4:6" s="327" customFormat="1" x14ac:dyDescent="0.2">
      <c r="D306" s="328" t="str">
        <f>Diag_BA!D395</f>
        <v>Cervical Cold Coagulator with Instrument Cable and Therapy Probe (ZM)</v>
      </c>
      <c r="F306" s="375" t="s">
        <v>47</v>
      </c>
    </row>
    <row r="307" spans="4:6" s="327" customFormat="1" x14ac:dyDescent="0.2">
      <c r="D307" s="328" t="str">
        <f>Diag_BA!D396</f>
        <v>Chair (ZM)</v>
      </c>
      <c r="F307" s="375" t="s">
        <v>47</v>
      </c>
    </row>
    <row r="308" spans="4:6" s="327" customFormat="1" x14ac:dyDescent="0.2">
      <c r="D308" s="328" t="str">
        <f>Diag_BA!D397</f>
        <v>Cheetal forceps (UG)</v>
      </c>
      <c r="F308" s="375" t="s">
        <v>47</v>
      </c>
    </row>
    <row r="309" spans="4:6" s="327" customFormat="1" x14ac:dyDescent="0.2">
      <c r="D309" s="328" t="str">
        <f>Diag_BA!D398</f>
        <v>Colposcope (set) (ZM)</v>
      </c>
      <c r="F309" s="375" t="s">
        <v>47</v>
      </c>
    </row>
    <row r="310" spans="4:6" s="327" customFormat="1" x14ac:dyDescent="0.2">
      <c r="D310" s="328" t="str">
        <f>Diag_BA!D399</f>
        <v>Colposcope (UG)</v>
      </c>
      <c r="F310" s="375" t="s">
        <v>47</v>
      </c>
    </row>
    <row r="311" spans="4:6" s="327" customFormat="1" x14ac:dyDescent="0.2">
      <c r="D311" s="328" t="str">
        <f>Diag_BA!D400</f>
        <v>Colposcopy equipment (TZ)</v>
      </c>
      <c r="F311" s="375" t="s">
        <v>47</v>
      </c>
    </row>
    <row r="312" spans="4:6" s="327" customFormat="1" x14ac:dyDescent="0.2">
      <c r="D312" s="328" t="str">
        <f>Diag_BA!D401</f>
        <v>Cryotherapy unit (UG)</v>
      </c>
      <c r="F312" s="375" t="s">
        <v>47</v>
      </c>
    </row>
    <row r="313" spans="4:6" s="327" customFormat="1" x14ac:dyDescent="0.2">
      <c r="D313" s="328" t="str">
        <f>Diag_BA!D402</f>
        <v>Cryotherapy Unit with cryotips (set) (ZM)</v>
      </c>
      <c r="F313" s="375" t="s">
        <v>47</v>
      </c>
    </row>
    <row r="314" spans="4:6" s="327" customFormat="1" x14ac:dyDescent="0.2">
      <c r="D314" s="328" t="str">
        <f>Diag_BA!D403</f>
        <v>Cryotherapy Unit with cryotips (TZ)</v>
      </c>
      <c r="F314" s="375" t="s">
        <v>47</v>
      </c>
    </row>
    <row r="315" spans="4:6" s="327" customFormat="1" x14ac:dyDescent="0.2">
      <c r="D315" s="328" t="str">
        <f>Diag_BA!D404</f>
        <v>Digital Camera (ZM)</v>
      </c>
      <c r="F315" s="375" t="s">
        <v>47</v>
      </c>
    </row>
    <row r="316" spans="4:6" s="327" customFormat="1" x14ac:dyDescent="0.2">
      <c r="D316" s="328" t="str">
        <f>Diag_BA!D405</f>
        <v>Dissecting forceps – 12.5 cm  (TZ)</v>
      </c>
      <c r="F316" s="375" t="s">
        <v>47</v>
      </c>
    </row>
    <row r="317" spans="4:6" s="327" customFormat="1" x14ac:dyDescent="0.2">
      <c r="D317" s="328" t="str">
        <f>Diag_BA!D406</f>
        <v>Doctor's Stool (ZM)</v>
      </c>
      <c r="F317" s="375" t="s">
        <v>47</v>
      </c>
    </row>
    <row r="318" spans="4:6" s="327" customFormat="1" x14ac:dyDescent="0.2">
      <c r="D318" s="328" t="str">
        <f>Diag_BA!D407</f>
        <v>Endocervical speculum  (UG)</v>
      </c>
      <c r="F318" s="375" t="s">
        <v>47</v>
      </c>
    </row>
    <row r="319" spans="4:6" s="327" customFormat="1" x14ac:dyDescent="0.2">
      <c r="D319" s="328" t="str">
        <f>Diag_BA!D408</f>
        <v>Examination bed (UG)</v>
      </c>
      <c r="F319" s="375" t="s">
        <v>47</v>
      </c>
    </row>
    <row r="320" spans="4:6" s="327" customFormat="1" x14ac:dyDescent="0.2">
      <c r="D320" s="328" t="str">
        <f>Diag_BA!D409</f>
        <v>Examination couch (with Stirrups) (ZM)</v>
      </c>
      <c r="F320" s="375" t="s">
        <v>47</v>
      </c>
    </row>
    <row r="321" spans="4:6" s="327" customFormat="1" x14ac:dyDescent="0.2">
      <c r="D321" s="328" t="str">
        <f>Diag_BA!D410</f>
        <v>Examination light (Halogen, no bulb) (ZM)</v>
      </c>
      <c r="F321" s="375" t="s">
        <v>47</v>
      </c>
    </row>
    <row r="322" spans="4:6" s="327" customFormat="1" x14ac:dyDescent="0.2">
      <c r="D322" s="328" t="str">
        <f>Diag_BA!D411</f>
        <v>Examination light source  (TZ)</v>
      </c>
      <c r="F322" s="375" t="s">
        <v>47</v>
      </c>
    </row>
    <row r="323" spans="4:6" s="327" customFormat="1" x14ac:dyDescent="0.2">
      <c r="D323" s="328" t="str">
        <f>Diag_BA!D412</f>
        <v>Examination light source (Halogen) with bulb (set) (ZM)</v>
      </c>
      <c r="F323" s="375" t="s">
        <v>47</v>
      </c>
    </row>
    <row r="324" spans="4:6" s="327" customFormat="1" x14ac:dyDescent="0.2">
      <c r="D324" s="328" t="str">
        <f>Diag_BA!D413</f>
        <v>Examination table (UG)</v>
      </c>
      <c r="F324" s="375" t="s">
        <v>47</v>
      </c>
    </row>
    <row r="325" spans="4:6" s="327" customFormat="1" x14ac:dyDescent="0.2">
      <c r="D325" s="328" t="str">
        <f>Diag_BA!D414</f>
        <v>Filing Cabinet (ZM)</v>
      </c>
      <c r="F325" s="375" t="s">
        <v>47</v>
      </c>
    </row>
    <row r="326" spans="4:6" s="327" customFormat="1" x14ac:dyDescent="0.2">
      <c r="D326" s="328" t="str">
        <f>Diag_BA!D415</f>
        <v>Forceps (UG)</v>
      </c>
      <c r="F326" s="375" t="s">
        <v>47</v>
      </c>
    </row>
    <row r="327" spans="4:6" s="327" customFormat="1" x14ac:dyDescent="0.2">
      <c r="D327" s="328" t="str">
        <f>Diag_BA!D416</f>
        <v>Forceps Babcocks  (ZM)</v>
      </c>
      <c r="F327" s="375" t="s">
        <v>47</v>
      </c>
    </row>
    <row r="328" spans="4:6" s="327" customFormat="1" x14ac:dyDescent="0.2">
      <c r="D328" s="328" t="str">
        <f>Diag_BA!D417</f>
        <v>Forceps tissue - babcocks  (TZ)</v>
      </c>
      <c r="F328" s="375" t="s">
        <v>47</v>
      </c>
    </row>
    <row r="329" spans="4:6" s="327" customFormat="1" x14ac:dyDescent="0.2">
      <c r="D329" s="328" t="str">
        <f>Diag_BA!D418</f>
        <v>Forceps tissue - long  (TZ)</v>
      </c>
      <c r="F329" s="375" t="s">
        <v>47</v>
      </c>
    </row>
    <row r="330" spans="4:6" s="327" customFormat="1" x14ac:dyDescent="0.2">
      <c r="D330" s="328" t="str">
        <f>Diag_BA!D419</f>
        <v>Forceps tissue- litlewoods 19 cm  (TZ)</v>
      </c>
      <c r="F330" s="375" t="s">
        <v>47</v>
      </c>
    </row>
    <row r="331" spans="4:6" s="327" customFormat="1" x14ac:dyDescent="0.2">
      <c r="D331" s="328" t="str">
        <f>Diag_BA!D420</f>
        <v>Forceps, Cheetal (ZM)</v>
      </c>
      <c r="F331" s="375" t="s">
        <v>47</v>
      </c>
    </row>
    <row r="332" spans="4:6" s="327" customFormat="1" x14ac:dyDescent="0.2">
      <c r="D332" s="328" t="str">
        <f>Diag_BA!D421</f>
        <v>Forceps, Dissecting - 12.5 cm (ZM)</v>
      </c>
      <c r="F332" s="375" t="s">
        <v>47</v>
      </c>
    </row>
    <row r="333" spans="4:6" s="327" customFormat="1" x14ac:dyDescent="0.2">
      <c r="D333" s="328" t="str">
        <f>Diag_BA!D422</f>
        <v>Forceps, Littlewoods 19 cm (ZM)</v>
      </c>
      <c r="F333" s="375" t="s">
        <v>47</v>
      </c>
    </row>
    <row r="334" spans="4:6" s="327" customFormat="1" x14ac:dyDescent="0.2">
      <c r="D334" s="328" t="str">
        <f>Diag_BA!D423</f>
        <v>Forceps, Long  (ZM)</v>
      </c>
      <c r="F334" s="375" t="s">
        <v>47</v>
      </c>
    </row>
    <row r="335" spans="4:6" s="327" customFormat="1" x14ac:dyDescent="0.2">
      <c r="D335" s="328" t="str">
        <f>Diag_BA!D424</f>
        <v>Forceps, ovum (ZM)</v>
      </c>
      <c r="F335" s="375" t="s">
        <v>47</v>
      </c>
    </row>
    <row r="336" spans="4:6" s="327" customFormat="1" x14ac:dyDescent="0.2">
      <c r="D336" s="328" t="str">
        <f>Diag_BA!D425</f>
        <v>Forceps, ovum  (TZ)</v>
      </c>
      <c r="F336" s="375" t="s">
        <v>47</v>
      </c>
    </row>
    <row r="337" spans="4:6" s="327" customFormat="1" x14ac:dyDescent="0.2">
      <c r="D337" s="328" t="str">
        <f>Diag_BA!D426</f>
        <v>Forceps, Punch biopsy (ZM)</v>
      </c>
      <c r="F337" s="375" t="s">
        <v>47</v>
      </c>
    </row>
    <row r="338" spans="4:6" s="327" customFormat="1" x14ac:dyDescent="0.2">
      <c r="D338" s="328" t="str">
        <f>Diag_BA!D427</f>
        <v>Forceps, punch biopsy (TZ)</v>
      </c>
      <c r="F338" s="375" t="s">
        <v>47</v>
      </c>
    </row>
    <row r="339" spans="4:6" s="327" customFormat="1" x14ac:dyDescent="0.2">
      <c r="D339" s="328" t="str">
        <f>Diag_BA!D428</f>
        <v>Forceps, Sponge holder (ZM)</v>
      </c>
      <c r="F339" s="375" t="s">
        <v>47</v>
      </c>
    </row>
    <row r="340" spans="4:6" s="327" customFormat="1" x14ac:dyDescent="0.2">
      <c r="D340" s="328" t="str">
        <f>Diag_BA!D429</f>
        <v>Forceps, sponge holder  (TZ)</v>
      </c>
      <c r="F340" s="375" t="s">
        <v>47</v>
      </c>
    </row>
    <row r="341" spans="4:6" s="327" customFormat="1" x14ac:dyDescent="0.2">
      <c r="D341" s="328" t="str">
        <f>Diag_BA!D430</f>
        <v>Gallipot (ZM)</v>
      </c>
      <c r="F341" s="375" t="s">
        <v>47</v>
      </c>
    </row>
    <row r="342" spans="4:6" s="327" customFormat="1" x14ac:dyDescent="0.2">
      <c r="D342" s="328" t="str">
        <f>Diag_BA!D431</f>
        <v>Gallipot (UG)</v>
      </c>
      <c r="F342" s="375" t="s">
        <v>47</v>
      </c>
    </row>
    <row r="343" spans="4:6" s="327" customFormat="1" x14ac:dyDescent="0.2">
      <c r="D343" s="328" t="str">
        <f>Diag_BA!D432</f>
        <v>Gas cylinder adaptor (ZM)</v>
      </c>
      <c r="F343" s="375" t="s">
        <v>47</v>
      </c>
    </row>
    <row r="344" spans="4:6" s="327" customFormat="1" x14ac:dyDescent="0.2">
      <c r="D344" s="328" t="str">
        <f>Diag_BA!D433</f>
        <v>Gas cylinder adaptor  (TZ)</v>
      </c>
      <c r="F344" s="375" t="s">
        <v>47</v>
      </c>
    </row>
    <row r="345" spans="4:6" s="327" customFormat="1" x14ac:dyDescent="0.2">
      <c r="D345" s="328" t="str">
        <f>Diag_BA!D434</f>
        <v>Gynecological examination bed  (TZ)</v>
      </c>
      <c r="F345" s="375" t="s">
        <v>47</v>
      </c>
    </row>
    <row r="346" spans="4:6" s="327" customFormat="1" x14ac:dyDescent="0.2">
      <c r="D346" s="328" t="str">
        <f>Diag_BA!D435</f>
        <v>Halogen Bulbs (ZM)</v>
      </c>
      <c r="F346" s="375" t="s">
        <v>47</v>
      </c>
    </row>
    <row r="347" spans="4:6" s="327" customFormat="1" x14ac:dyDescent="0.2">
      <c r="D347" s="328" t="str">
        <f>Diag_BA!D436</f>
        <v>Hysterectomy Set (ZM)</v>
      </c>
      <c r="F347" s="375" t="s">
        <v>47</v>
      </c>
    </row>
    <row r="348" spans="4:6" s="327" customFormat="1" x14ac:dyDescent="0.2">
      <c r="D348" s="328" t="str">
        <f>Diag_BA!D437</f>
        <v>Instrument tray (ZM)</v>
      </c>
      <c r="F348" s="375" t="s">
        <v>47</v>
      </c>
    </row>
    <row r="349" spans="4:6" s="327" customFormat="1" x14ac:dyDescent="0.2">
      <c r="D349" s="328" t="str">
        <f>Diag_BA!D438</f>
        <v>Instrument tray  (TZ)</v>
      </c>
      <c r="F349" s="375" t="s">
        <v>47</v>
      </c>
    </row>
    <row r="350" spans="4:6" s="327" customFormat="1" x14ac:dyDescent="0.2">
      <c r="D350" s="328" t="str">
        <f>Diag_BA!D439</f>
        <v>Kidney Dish (ZM)</v>
      </c>
      <c r="F350" s="375" t="s">
        <v>47</v>
      </c>
    </row>
    <row r="351" spans="4:6" s="327" customFormat="1" x14ac:dyDescent="0.2">
      <c r="D351" s="328" t="str">
        <f>Diag_BA!D440</f>
        <v>Kidney Dish (UG)</v>
      </c>
      <c r="F351" s="375" t="s">
        <v>47</v>
      </c>
    </row>
    <row r="352" spans="4:6" s="327" customFormat="1" x14ac:dyDescent="0.2">
      <c r="D352" s="328" t="str">
        <f>Diag_BA!D441</f>
        <v>Lamp (UG)</v>
      </c>
      <c r="F352" s="375" t="s">
        <v>47</v>
      </c>
    </row>
    <row r="353" spans="4:6" s="327" customFormat="1" x14ac:dyDescent="0.2">
      <c r="D353" s="328" t="str">
        <f>Diag_BA!D442</f>
        <v>Laptop / Desktop Computer (ZM)</v>
      </c>
      <c r="F353" s="375" t="s">
        <v>47</v>
      </c>
    </row>
    <row r="354" spans="4:6" s="327" customFormat="1" x14ac:dyDescent="0.2">
      <c r="D354" s="328" t="str">
        <f>Diag_BA!D443</f>
        <v>LEEP Equipment  (TZ)</v>
      </c>
      <c r="F354" s="375" t="s">
        <v>47</v>
      </c>
    </row>
    <row r="355" spans="4:6" s="327" customFormat="1" x14ac:dyDescent="0.2">
      <c r="D355" s="328" t="str">
        <f>Diag_BA!D444</f>
        <v>LEEP machine plus smoke evacuator system plus accessories (ZM)</v>
      </c>
      <c r="F355" s="375" t="s">
        <v>47</v>
      </c>
    </row>
    <row r="356" spans="4:6" s="327" customFormat="1" x14ac:dyDescent="0.2">
      <c r="D356" s="328" t="str">
        <f>Diag_BA!D445</f>
        <v>LEEP machine  with coated speculums (UG)</v>
      </c>
      <c r="F356" s="375" t="s">
        <v>47</v>
      </c>
    </row>
    <row r="357" spans="4:6" s="327" customFormat="1" x14ac:dyDescent="0.2">
      <c r="D357" s="328" t="str">
        <f>Diag_BA!D446</f>
        <v>Lensmate SX 40 Filter Adapter 58mm (ZM)</v>
      </c>
      <c r="F357" s="375" t="s">
        <v>47</v>
      </c>
    </row>
    <row r="358" spans="4:6" s="327" customFormat="1" x14ac:dyDescent="0.2">
      <c r="D358" s="328" t="str">
        <f>Diag_BA!D447</f>
        <v>Loop Electrodes - 5 mm x 5mm (Ellman) (ZM)</v>
      </c>
      <c r="F358" s="375" t="s">
        <v>47</v>
      </c>
    </row>
    <row r="359" spans="4:6" s="327" customFormat="1" x14ac:dyDescent="0.2">
      <c r="D359" s="328" t="str">
        <f>Diag_BA!D448</f>
        <v>Loop Electrodes - 10 mm x 10mm (Ellman) (ZM)</v>
      </c>
      <c r="F359" s="375" t="s">
        <v>47</v>
      </c>
    </row>
    <row r="360" spans="4:6" s="327" customFormat="1" x14ac:dyDescent="0.2">
      <c r="D360" s="328" t="str">
        <f>Diag_BA!D449</f>
        <v>Loop Electrodes - 20 mm x 8mm (Ellman) (ZM)</v>
      </c>
      <c r="F360" s="375" t="s">
        <v>47</v>
      </c>
    </row>
    <row r="361" spans="4:6" s="327" customFormat="1" x14ac:dyDescent="0.2">
      <c r="D361" s="328" t="str">
        <f>Diag_BA!D450</f>
        <v>Loop Electrodes - 20 mm x 15mm (Ellman) (ZM)</v>
      </c>
      <c r="F361" s="375" t="s">
        <v>47</v>
      </c>
    </row>
    <row r="362" spans="4:6" s="327" customFormat="1" x14ac:dyDescent="0.2">
      <c r="D362" s="328" t="str">
        <f>Diag_BA!D451</f>
        <v>Mackintosh (Plastic sheet for exam couch) (ZM)</v>
      </c>
      <c r="F362" s="375" t="s">
        <v>47</v>
      </c>
    </row>
    <row r="363" spans="4:6" s="327" customFormat="1" x14ac:dyDescent="0.2">
      <c r="D363" s="328" t="str">
        <f>Diag_BA!D452</f>
        <v>Magnification Lens (ZM)</v>
      </c>
      <c r="F363" s="375" t="s">
        <v>47</v>
      </c>
    </row>
    <row r="364" spans="4:6" s="327" customFormat="1" x14ac:dyDescent="0.2">
      <c r="D364" s="328" t="str">
        <f>Diag_BA!D453</f>
        <v>Medical Rubber Mackintosh Sheet (ZM)</v>
      </c>
      <c r="F364" s="375" t="s">
        <v>47</v>
      </c>
    </row>
    <row r="365" spans="4:6" s="327" customFormat="1" x14ac:dyDescent="0.2">
      <c r="D365" s="328" t="str">
        <f>Diag_BA!D454</f>
        <v>Medical Rubber Mackintosh Sheet   (TZ)</v>
      </c>
      <c r="F365" s="375" t="s">
        <v>47</v>
      </c>
    </row>
    <row r="366" spans="4:6" s="327" customFormat="1" x14ac:dyDescent="0.2">
      <c r="D366" s="328" t="str">
        <f>Diag_BA!D455</f>
        <v>Memory Card (ZM)</v>
      </c>
      <c r="F366" s="375" t="s">
        <v>47</v>
      </c>
    </row>
    <row r="367" spans="4:6" s="327" customFormat="1" x14ac:dyDescent="0.2">
      <c r="D367" s="328" t="str">
        <f>Diag_BA!D456</f>
        <v>Multi-Tip Cryo-Probe System with British adapter for NO2 includes gun, regulator, hose(2/3Tips included) (set) (ZM)</v>
      </c>
      <c r="F367" s="375" t="s">
        <v>47</v>
      </c>
    </row>
    <row r="368" spans="4:6" s="327" customFormat="1" x14ac:dyDescent="0.2">
      <c r="D368" s="328" t="str">
        <f>Diag_BA!D457</f>
        <v>Non-conducting speculum  Pederson  (ZM)</v>
      </c>
      <c r="F368" s="375" t="s">
        <v>47</v>
      </c>
    </row>
    <row r="369" spans="4:6" s="327" customFormat="1" x14ac:dyDescent="0.2">
      <c r="D369" s="328" t="str">
        <f>Diag_BA!D458</f>
        <v>Non-conducting speculum (UG)</v>
      </c>
      <c r="F369" s="375" t="s">
        <v>47</v>
      </c>
    </row>
    <row r="370" spans="4:6" s="327" customFormat="1" x14ac:dyDescent="0.2">
      <c r="D370" s="328" t="str">
        <f>Diag_BA!D459</f>
        <v>Nurses Table (ZM)</v>
      </c>
      <c r="F370" s="375" t="s">
        <v>47</v>
      </c>
    </row>
    <row r="371" spans="4:6" s="327" customFormat="1" x14ac:dyDescent="0.2">
      <c r="D371" s="328" t="str">
        <f>Diag_BA!D460</f>
        <v>Pillow (ZM)</v>
      </c>
      <c r="F371" s="375" t="s">
        <v>47</v>
      </c>
    </row>
    <row r="372" spans="4:6" s="327" customFormat="1" x14ac:dyDescent="0.2">
      <c r="D372" s="328" t="str">
        <f>Diag_BA!D461</f>
        <v>Plastic apron (ZM)</v>
      </c>
      <c r="F372" s="375" t="s">
        <v>47</v>
      </c>
    </row>
    <row r="373" spans="4:6" s="327" customFormat="1" x14ac:dyDescent="0.2">
      <c r="D373" s="328" t="str">
        <f>Diag_BA!D462</f>
        <v>Plastic apron  (TZ)</v>
      </c>
      <c r="F373" s="375" t="s">
        <v>47</v>
      </c>
    </row>
    <row r="374" spans="4:6" s="327" customFormat="1" x14ac:dyDescent="0.2">
      <c r="D374" s="328" t="str">
        <f>Diag_BA!D463</f>
        <v>Privacy screen (portable) (ZM)</v>
      </c>
      <c r="F374" s="375" t="s">
        <v>47</v>
      </c>
    </row>
    <row r="375" spans="4:6" s="327" customFormat="1" x14ac:dyDescent="0.2">
      <c r="D375" s="328" t="str">
        <f>Diag_BA!D464</f>
        <v>Privacy screen (portable) (TZ)</v>
      </c>
      <c r="F375" s="375" t="s">
        <v>47</v>
      </c>
    </row>
    <row r="376" spans="4:6" s="327" customFormat="1" x14ac:dyDescent="0.2">
      <c r="D376" s="328" t="str">
        <f>Diag_BA!D465</f>
        <v>Punch Biopsy Forceps  Titanium 10" (ZM)</v>
      </c>
      <c r="F376" s="375" t="s">
        <v>47</v>
      </c>
    </row>
    <row r="377" spans="4:6" s="327" customFormat="1" x14ac:dyDescent="0.2">
      <c r="D377" s="328" t="str">
        <f>Diag_BA!D466</f>
        <v>Punch Biopsy Forceps (UG)</v>
      </c>
      <c r="F377" s="375" t="s">
        <v>47</v>
      </c>
    </row>
    <row r="378" spans="4:6" s="327" customFormat="1" x14ac:dyDescent="0.2">
      <c r="D378" s="328" t="str">
        <f>Diag_BA!D467</f>
        <v>Radiotherapy Machine - intra-cavity ( internal)  (TZ)</v>
      </c>
      <c r="F378" s="375" t="s">
        <v>47</v>
      </c>
    </row>
    <row r="379" spans="4:6" s="327" customFormat="1" x14ac:dyDescent="0.2">
      <c r="D379" s="328" t="str">
        <f>Diag_BA!D468</f>
        <v>Radiotherapy Machine - teletherapy (external) Cobalt-60  (TZ)</v>
      </c>
      <c r="F379" s="375" t="s">
        <v>47</v>
      </c>
    </row>
    <row r="380" spans="4:6" s="327" customFormat="1" x14ac:dyDescent="0.2">
      <c r="D380" s="328" t="str">
        <f>Diag_BA!D469</f>
        <v>Radiotherapy Treatment Couch  (TZ)</v>
      </c>
      <c r="F380" s="375" t="s">
        <v>47</v>
      </c>
    </row>
    <row r="381" spans="4:6" s="327" customFormat="1" x14ac:dyDescent="0.2">
      <c r="D381" s="328" t="str">
        <f>Diag_BA!D470</f>
        <v>Registration book, patient  (TZ)</v>
      </c>
      <c r="F381" s="375" t="s">
        <v>47</v>
      </c>
    </row>
    <row r="382" spans="4:6" s="327" customFormat="1" x14ac:dyDescent="0.2">
      <c r="D382" s="328" t="str">
        <f>Diag_BA!D471</f>
        <v>Retractor 3.5" Coated Lateral Wall (ZM)</v>
      </c>
      <c r="F382" s="375" t="s">
        <v>47</v>
      </c>
    </row>
    <row r="383" spans="4:6" s="327" customFormat="1" x14ac:dyDescent="0.2">
      <c r="D383" s="328" t="str">
        <f>Diag_BA!D472</f>
        <v>Smoke evacuator (UG)</v>
      </c>
      <c r="F383" s="375" t="s">
        <v>47</v>
      </c>
    </row>
    <row r="384" spans="4:6" s="327" customFormat="1" x14ac:dyDescent="0.2">
      <c r="D384" s="328" t="str">
        <f>Diag_BA!D473</f>
        <v>Specimen Tube rack  (TZ)</v>
      </c>
      <c r="F384" s="375" t="s">
        <v>47</v>
      </c>
    </row>
    <row r="385" spans="4:6" s="327" customFormat="1" x14ac:dyDescent="0.2">
      <c r="D385" s="328" t="str">
        <f>Diag_BA!D474</f>
        <v>Speculum  (TZ)</v>
      </c>
      <c r="F385" s="375" t="s">
        <v>47</v>
      </c>
    </row>
    <row r="386" spans="4:6" s="327" customFormat="1" x14ac:dyDescent="0.2">
      <c r="D386" s="328" t="str">
        <f>Diag_BA!D475</f>
        <v>Speculum (reusable) (UG)</v>
      </c>
      <c r="F386" s="375" t="s">
        <v>47</v>
      </c>
    </row>
    <row r="387" spans="4:6" s="327" customFormat="1" x14ac:dyDescent="0.2">
      <c r="D387" s="328" t="str">
        <f>Diag_BA!D476</f>
        <v>Speculum (UG)</v>
      </c>
      <c r="F387" s="375" t="s">
        <v>47</v>
      </c>
    </row>
    <row r="388" spans="4:6" s="327" customFormat="1" x14ac:dyDescent="0.2">
      <c r="D388" s="328" t="str">
        <f>Diag_BA!D477</f>
        <v>Speculum Graves' large  (ZM)</v>
      </c>
      <c r="F388" s="375" t="s">
        <v>47</v>
      </c>
    </row>
    <row r="389" spans="4:6" s="327" customFormat="1" x14ac:dyDescent="0.2">
      <c r="D389" s="328" t="str">
        <f>Diag_BA!D478</f>
        <v>Speculum Graves' Medium (ZM)</v>
      </c>
      <c r="F389" s="375" t="s">
        <v>47</v>
      </c>
    </row>
    <row r="390" spans="4:6" s="327" customFormat="1" x14ac:dyDescent="0.2">
      <c r="D390" s="328" t="str">
        <f>Diag_BA!D479</f>
        <v>Speculum  Graves'  Small (ZM)</v>
      </c>
      <c r="F390" s="375" t="s">
        <v>47</v>
      </c>
    </row>
    <row r="391" spans="4:6" s="327" customFormat="1" x14ac:dyDescent="0.2">
      <c r="D391" s="328" t="str">
        <f>Diag_BA!D480</f>
        <v>Speculum, endocervical (ZM)</v>
      </c>
      <c r="F391" s="375" t="s">
        <v>47</v>
      </c>
    </row>
    <row r="392" spans="4:6" s="327" customFormat="1" x14ac:dyDescent="0.2">
      <c r="D392" s="328" t="str">
        <f>Diag_BA!D481</f>
        <v>Sponge holding forceps (UG)</v>
      </c>
      <c r="F392" s="375" t="s">
        <v>47</v>
      </c>
    </row>
    <row r="393" spans="4:6" s="327" customFormat="1" x14ac:dyDescent="0.2">
      <c r="D393" s="328" t="str">
        <f>Diag_BA!D482</f>
        <v>Steel trolley (Two/three shelves) (ZM)</v>
      </c>
      <c r="F393" s="375" t="s">
        <v>47</v>
      </c>
    </row>
    <row r="394" spans="4:6" s="327" customFormat="1" x14ac:dyDescent="0.2">
      <c r="D394" s="328" t="str">
        <f>Diag_BA!D483</f>
        <v>Step-on stool (ZM)</v>
      </c>
      <c r="F394" s="375" t="s">
        <v>47</v>
      </c>
    </row>
    <row r="395" spans="4:6" s="327" customFormat="1" x14ac:dyDescent="0.2">
      <c r="D395" s="328" t="str">
        <f>Diag_BA!D484</f>
        <v>Sterilising Drum (ZM)</v>
      </c>
      <c r="F395" s="375" t="s">
        <v>47</v>
      </c>
    </row>
    <row r="396" spans="4:6" s="327" customFormat="1" x14ac:dyDescent="0.2">
      <c r="D396" s="328" t="str">
        <f>Diag_BA!D485</f>
        <v>Sterilizer (UG)</v>
      </c>
      <c r="F396" s="375" t="s">
        <v>47</v>
      </c>
    </row>
    <row r="397" spans="4:6" s="327" customFormat="1" x14ac:dyDescent="0.2">
      <c r="D397" s="328" t="str">
        <f>Diag_BA!D486</f>
        <v>Television set (ZM)</v>
      </c>
      <c r="F397" s="375" t="s">
        <v>47</v>
      </c>
    </row>
    <row r="398" spans="4:6" s="327" customFormat="1" x14ac:dyDescent="0.2">
      <c r="D398" s="328" t="str">
        <f>Diag_BA!D487</f>
        <v>Timer / wall clock (UG)</v>
      </c>
      <c r="F398" s="375" t="s">
        <v>47</v>
      </c>
    </row>
    <row r="399" spans="4:6" s="327" customFormat="1" x14ac:dyDescent="0.2">
      <c r="D399" s="328" t="str">
        <f>Diag_BA!D488</f>
        <v>Torch (UG)</v>
      </c>
      <c r="F399" s="375" t="s">
        <v>47</v>
      </c>
    </row>
    <row r="400" spans="4:6" s="327" customFormat="1" x14ac:dyDescent="0.2">
      <c r="D400" s="328" t="str">
        <f>Diag_BA!D489</f>
        <v>Uterine Cervical Dilator (ZM)</v>
      </c>
      <c r="F400" s="375" t="s">
        <v>47</v>
      </c>
    </row>
    <row r="401" spans="3:6" s="327" customFormat="1" x14ac:dyDescent="0.2">
      <c r="D401" s="328" t="str">
        <f>Diag_BA!D490</f>
        <v>Uterine Cervical Dilator  (TZ)</v>
      </c>
      <c r="F401" s="375" t="s">
        <v>47</v>
      </c>
    </row>
    <row r="402" spans="3:6" s="327" customFormat="1" x14ac:dyDescent="0.2">
      <c r="D402" s="328" t="str">
        <f>Diag_BA!D491</f>
        <v>Uterine Probe (ZM)</v>
      </c>
      <c r="F402" s="375" t="s">
        <v>47</v>
      </c>
    </row>
    <row r="403" spans="3:6" s="327" customFormat="1" x14ac:dyDescent="0.2">
      <c r="D403" s="328" t="str">
        <f>Diag_BA!D492</f>
        <v>Uterine Probe  (TZ)</v>
      </c>
      <c r="F403" s="375" t="s">
        <v>47</v>
      </c>
    </row>
    <row r="404" spans="3:6" s="327" customFormat="1" x14ac:dyDescent="0.2">
      <c r="D404" s="328" t="str">
        <f>Diag_BA!D493</f>
        <v>Equipment Category 113</v>
      </c>
      <c r="F404" s="375" t="s">
        <v>47</v>
      </c>
    </row>
    <row r="405" spans="3:6" s="327" customFormat="1" x14ac:dyDescent="0.2">
      <c r="D405" s="328" t="str">
        <f>Diag_BA!D494</f>
        <v>Equipment Category 114</v>
      </c>
      <c r="F405" s="375" t="s">
        <v>47</v>
      </c>
    </row>
    <row r="406" spans="3:6" s="327" customFormat="1" x14ac:dyDescent="0.2">
      <c r="D406" s="328" t="str">
        <f>Diag_BA!D495</f>
        <v>Equipment Category 115</v>
      </c>
      <c r="F406" s="375" t="s">
        <v>47</v>
      </c>
    </row>
    <row r="407" spans="3:6" s="327" customFormat="1" x14ac:dyDescent="0.2">
      <c r="D407" s="328" t="str">
        <f>Diag_BA!D496</f>
        <v>Equipment Category 116</v>
      </c>
      <c r="F407" s="375" t="s">
        <v>47</v>
      </c>
    </row>
    <row r="408" spans="3:6" s="327" customFormat="1" x14ac:dyDescent="0.2">
      <c r="D408" s="328" t="str">
        <f>Diag_BA!D497</f>
        <v>Equipment Category 117</v>
      </c>
      <c r="F408" s="375" t="s">
        <v>47</v>
      </c>
    </row>
    <row r="409" spans="3:6" s="327" customFormat="1" x14ac:dyDescent="0.2">
      <c r="D409" s="328" t="str">
        <f>Diag_BA!D498</f>
        <v>Equipment Category 118</v>
      </c>
      <c r="F409" s="375" t="s">
        <v>47</v>
      </c>
    </row>
    <row r="410" spans="3:6" s="327" customFormat="1" x14ac:dyDescent="0.2">
      <c r="D410" s="328" t="str">
        <f>Diag_BA!D499</f>
        <v>Equipment Category 119</v>
      </c>
      <c r="F410" s="375" t="s">
        <v>47</v>
      </c>
    </row>
    <row r="411" spans="3:6" s="327" customFormat="1" x14ac:dyDescent="0.2">
      <c r="D411" s="328" t="str">
        <f>Diag_BA!D500</f>
        <v>Equipment Category 120</v>
      </c>
      <c r="F411" s="375" t="s">
        <v>47</v>
      </c>
    </row>
    <row r="412" spans="3:6" s="327" customFormat="1" x14ac:dyDescent="0.2">
      <c r="D412" s="328" t="str">
        <f>Diag_BA!D501</f>
        <v>Equipment Category 121</v>
      </c>
      <c r="F412" s="375" t="s">
        <v>47</v>
      </c>
    </row>
    <row r="413" spans="3:6" s="327" customFormat="1" x14ac:dyDescent="0.2">
      <c r="D413" s="328" t="str">
        <f>Diag_BA!D502</f>
        <v>Equipment Category 122</v>
      </c>
      <c r="F413" s="375" t="s">
        <v>47</v>
      </c>
    </row>
    <row r="414" spans="3:6" s="327" customFormat="1" x14ac:dyDescent="0.2">
      <c r="D414" s="328" t="str">
        <f>Diag_BA!D503</f>
        <v>Equipment Category 123</v>
      </c>
      <c r="F414" s="375" t="s">
        <v>47</v>
      </c>
    </row>
    <row r="415" spans="3:6" s="327" customFormat="1" x14ac:dyDescent="0.2"/>
    <row r="416" spans="3:6" s="327" customFormat="1" ht="15.75" x14ac:dyDescent="0.2">
      <c r="C416" s="330" t="s">
        <v>186</v>
      </c>
      <c r="F416" s="330" t="s">
        <v>32</v>
      </c>
    </row>
    <row r="417" spans="4:6" s="327" customFormat="1" x14ac:dyDescent="0.2"/>
    <row r="418" spans="4:6" s="327" customFormat="1" x14ac:dyDescent="0.2">
      <c r="D418" s="331" t="s">
        <v>186</v>
      </c>
      <c r="F418" s="518" t="s">
        <v>382</v>
      </c>
    </row>
    <row r="419" spans="4:6" s="327" customFormat="1" x14ac:dyDescent="0.2">
      <c r="D419" s="328" t="str">
        <f>Diag_BA!D506</f>
        <v>_Not Applicable</v>
      </c>
      <c r="F419" s="375" t="s">
        <v>47</v>
      </c>
    </row>
    <row r="420" spans="4:6" s="327" customFormat="1" x14ac:dyDescent="0.2">
      <c r="D420" s="328" t="str">
        <f>Diag_BA!D507</f>
        <v>Biopsy Pathology (ZM)</v>
      </c>
      <c r="F420" s="375" t="s">
        <v>47</v>
      </c>
    </row>
    <row r="421" spans="4:6" s="327" customFormat="1" x14ac:dyDescent="0.2">
      <c r="D421" s="328" t="str">
        <f>Diag_BA!D508</f>
        <v>Blood chemistry (TZ)</v>
      </c>
      <c r="F421" s="375" t="s">
        <v>47</v>
      </c>
    </row>
    <row r="422" spans="4:6" s="327" customFormat="1" x14ac:dyDescent="0.2">
      <c r="D422" s="328" t="str">
        <f>Diag_BA!D509</f>
        <v>Blood slide for malaria (TZ)</v>
      </c>
      <c r="F422" s="375" t="s">
        <v>47</v>
      </c>
    </row>
    <row r="423" spans="4:6" s="327" customFormat="1" x14ac:dyDescent="0.2">
      <c r="D423" s="328" t="str">
        <f>Diag_BA!D510</f>
        <v>CareHPV test (TZ)</v>
      </c>
      <c r="F423" s="375" t="s">
        <v>47</v>
      </c>
    </row>
    <row r="424" spans="4:6" s="327" customFormat="1" x14ac:dyDescent="0.2">
      <c r="D424" s="328" t="str">
        <f>Diag_BA!D511</f>
        <v>Chest X-ray (ZM)</v>
      </c>
      <c r="F424" s="375" t="s">
        <v>47</v>
      </c>
    </row>
    <row r="425" spans="4:6" s="327" customFormat="1" x14ac:dyDescent="0.2">
      <c r="D425" s="328" t="str">
        <f>Diag_BA!D512</f>
        <v>Chest x-ray (TZ)</v>
      </c>
      <c r="F425" s="375" t="s">
        <v>47</v>
      </c>
    </row>
    <row r="426" spans="4:6" s="327" customFormat="1" x14ac:dyDescent="0.2">
      <c r="D426" s="328" t="str">
        <f>Diag_BA!D513</f>
        <v>Full Blood Count (ZM)</v>
      </c>
      <c r="F426" s="375" t="s">
        <v>47</v>
      </c>
    </row>
    <row r="427" spans="4:6" s="327" customFormat="1" x14ac:dyDescent="0.2">
      <c r="D427" s="328" t="str">
        <f>Diag_BA!D514</f>
        <v>Full blood picture (TZ)</v>
      </c>
      <c r="F427" s="375" t="s">
        <v>47</v>
      </c>
    </row>
    <row r="428" spans="4:6" s="327" customFormat="1" x14ac:dyDescent="0.2">
      <c r="D428" s="328" t="str">
        <f>Diag_BA!D515</f>
        <v>Grouping, X matching (TZ)</v>
      </c>
      <c r="F428" s="375" t="s">
        <v>47</v>
      </c>
    </row>
    <row r="429" spans="4:6" s="327" customFormat="1" x14ac:dyDescent="0.2">
      <c r="D429" s="328" t="str">
        <f>Diag_BA!D516</f>
        <v>Haemoglobin (TZ)</v>
      </c>
      <c r="F429" s="375" t="s">
        <v>47</v>
      </c>
    </row>
    <row r="430" spans="4:6" s="327" customFormat="1" x14ac:dyDescent="0.2">
      <c r="D430" s="328" t="str">
        <f>Diag_BA!D517</f>
        <v>Histopathology (TZ)</v>
      </c>
      <c r="F430" s="375" t="s">
        <v>47</v>
      </c>
    </row>
    <row r="431" spans="4:6" s="327" customFormat="1" x14ac:dyDescent="0.2">
      <c r="D431" s="328" t="str">
        <f>Diag_BA!D518</f>
        <v>Home Care (Day) (TZ)</v>
      </c>
      <c r="F431" s="375" t="s">
        <v>47</v>
      </c>
    </row>
    <row r="432" spans="4:6" s="327" customFormat="1" x14ac:dyDescent="0.2">
      <c r="D432" s="328" t="str">
        <f>Diag_BA!D519</f>
        <v>Hospital Stay (Bed Day) (TZ)</v>
      </c>
      <c r="F432" s="375" t="s">
        <v>47</v>
      </c>
    </row>
    <row r="433" spans="4:6" s="327" customFormat="1" x14ac:dyDescent="0.2">
      <c r="D433" s="328" t="str">
        <f>Diag_BA!D520</f>
        <v>Hysterectomy Pathology (ZM)</v>
      </c>
      <c r="F433" s="375" t="s">
        <v>47</v>
      </c>
    </row>
    <row r="434" spans="4:6" s="327" customFormat="1" x14ac:dyDescent="0.2">
      <c r="D434" s="328" t="str">
        <f>Diag_BA!D521</f>
        <v>LEEP Pathology (ZM)</v>
      </c>
      <c r="F434" s="375" t="s">
        <v>47</v>
      </c>
    </row>
    <row r="435" spans="4:6" s="327" customFormat="1" x14ac:dyDescent="0.2">
      <c r="D435" s="328" t="str">
        <f>Diag_BA!D522</f>
        <v>Liver Function (ZM)</v>
      </c>
      <c r="F435" s="375" t="s">
        <v>47</v>
      </c>
    </row>
    <row r="436" spans="4:6" s="327" customFormat="1" x14ac:dyDescent="0.2">
      <c r="D436" s="328" t="str">
        <f>Diag_BA!D523</f>
        <v>Planning x-ray (TZ)</v>
      </c>
      <c r="F436" s="375" t="s">
        <v>47</v>
      </c>
    </row>
    <row r="437" spans="4:6" s="327" customFormat="1" x14ac:dyDescent="0.2">
      <c r="D437" s="328" t="str">
        <f>Diag_BA!D524</f>
        <v>Renal Function (ZM)</v>
      </c>
      <c r="F437" s="375" t="s">
        <v>47</v>
      </c>
    </row>
    <row r="438" spans="4:6" s="327" customFormat="1" x14ac:dyDescent="0.2">
      <c r="D438" s="328" t="str">
        <f>Diag_BA!D525</f>
        <v>Ultrasound (ZM)</v>
      </c>
      <c r="F438" s="375" t="s">
        <v>47</v>
      </c>
    </row>
    <row r="439" spans="4:6" s="327" customFormat="1" x14ac:dyDescent="0.2">
      <c r="D439" s="328" t="str">
        <f>Diag_BA!D526</f>
        <v>ultrasound (abdominal &amp; pelvic) (TZ)</v>
      </c>
      <c r="F439" s="375" t="s">
        <v>47</v>
      </c>
    </row>
    <row r="440" spans="4:6" s="327" customFormat="1" x14ac:dyDescent="0.2">
      <c r="D440" s="328" t="str">
        <f>Diag_BA!D527</f>
        <v>Urine/stool test (TZ)</v>
      </c>
      <c r="F440" s="375" t="s">
        <v>47</v>
      </c>
    </row>
    <row r="441" spans="4:6" s="327" customFormat="1" x14ac:dyDescent="0.2">
      <c r="D441" s="328" t="str">
        <f>Diag_BA!D528</f>
        <v>Lab Tests &amp; Other Direct Costs Category 23</v>
      </c>
      <c r="F441" s="375" t="s">
        <v>47</v>
      </c>
    </row>
    <row r="442" spans="4:6" s="327" customFormat="1" x14ac:dyDescent="0.2">
      <c r="D442" s="328" t="str">
        <f>Diag_BA!D529</f>
        <v>Lab Tests &amp; Other Direct Costs Category 24</v>
      </c>
      <c r="F442" s="375" t="s">
        <v>47</v>
      </c>
    </row>
    <row r="443" spans="4:6" s="327" customFormat="1" x14ac:dyDescent="0.2">
      <c r="D443" s="328" t="str">
        <f>Diag_BA!D530</f>
        <v>Lab Tests &amp; Other Direct Costs Category 25</v>
      </c>
      <c r="F443" s="375" t="s">
        <v>47</v>
      </c>
    </row>
    <row r="444" spans="4:6" s="327" customFormat="1" x14ac:dyDescent="0.2">
      <c r="D444" s="328" t="str">
        <f>Diag_BA!D531</f>
        <v>Lab Tests &amp; Other Direct Costs Category 26</v>
      </c>
      <c r="F444" s="375" t="s">
        <v>47</v>
      </c>
    </row>
    <row r="445" spans="4:6" s="327" customFormat="1" x14ac:dyDescent="0.2">
      <c r="D445" s="328" t="str">
        <f>Diag_BA!D532</f>
        <v>Lab Tests &amp; Other Direct Costs Category 27</v>
      </c>
      <c r="F445" s="375" t="s">
        <v>47</v>
      </c>
    </row>
    <row r="446" spans="4:6" s="327" customFormat="1" x14ac:dyDescent="0.2">
      <c r="D446" s="328" t="str">
        <f>Diag_BA!D533</f>
        <v>Lab Tests &amp; Other Direct Costs Category 28</v>
      </c>
      <c r="F446" s="375" t="s">
        <v>47</v>
      </c>
    </row>
    <row r="447" spans="4:6" s="327" customFormat="1" x14ac:dyDescent="0.2">
      <c r="D447" s="328" t="str">
        <f>Diag_BA!D534</f>
        <v>Lab Tests &amp; Other Direct Costs Category 29</v>
      </c>
      <c r="F447" s="375" t="s">
        <v>47</v>
      </c>
    </row>
    <row r="448" spans="4:6" s="327" customFormat="1" x14ac:dyDescent="0.2">
      <c r="D448" s="328" t="str">
        <f>Diag_BA!D535</f>
        <v>Lab Tests &amp; Other Direct Costs Category 30</v>
      </c>
      <c r="F448" s="375" t="s">
        <v>47</v>
      </c>
    </row>
    <row r="449" spans="4:6" s="327" customFormat="1" x14ac:dyDescent="0.2">
      <c r="D449" s="328" t="str">
        <f>Diag_BA!D536</f>
        <v>Lab Tests &amp; Other Direct Costs Category 31</v>
      </c>
      <c r="F449" s="375" t="s">
        <v>47</v>
      </c>
    </row>
    <row r="450" spans="4:6" s="327" customFormat="1" x14ac:dyDescent="0.2">
      <c r="D450" s="328" t="str">
        <f>Diag_BA!D537</f>
        <v>Lab Tests &amp; Other Direct Costs Category 32</v>
      </c>
      <c r="F450" s="375" t="s">
        <v>47</v>
      </c>
    </row>
    <row r="451" spans="4:6" s="327" customFormat="1" x14ac:dyDescent="0.2">
      <c r="D451" s="328" t="str">
        <f>Diag_BA!D538</f>
        <v>Last ODC Row</v>
      </c>
      <c r="F451" s="375" t="s">
        <v>47</v>
      </c>
    </row>
  </sheetData>
  <sheetProtection password="F0F4" sheet="1" scenarios="1"/>
  <mergeCells count="1">
    <mergeCell ref="B3:D3"/>
  </mergeCells>
  <hyperlinks>
    <hyperlink ref="A4" location="$B$5" tooltip="Go to Top of Sheet" display="$B$5"/>
    <hyperlink ref="C4" location="HL_Sheet_Main_29" tooltip="Go to Next Sheet" display="HL_Sheet_Main_29"/>
    <hyperlink ref="B4" location="HL_Sheet_Main_15" tooltip="Go to Previous Sheet" display="HL_Sheet_Main_15"/>
    <hyperlink ref="B3" location="HL_Home" tooltip="Go to Table of Contents" display="HL_Home"/>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1">
    <tabColor rgb="FF7030A0"/>
    <pageSetUpPr autoPageBreaks="0"/>
  </sheetPr>
  <dimension ref="A1:F2686"/>
  <sheetViews>
    <sheetView showGridLines="0" topLeftCell="A26" zoomScaleNormal="100" workbookViewId="0">
      <selection activeCell="F36" sqref="F36"/>
    </sheetView>
  </sheetViews>
  <sheetFormatPr defaultColWidth="11.7109375" defaultRowHeight="12.75" x14ac:dyDescent="0.2"/>
  <cols>
    <col min="1" max="3" width="3.7109375" style="49" customWidth="1"/>
    <col min="4" max="4" width="35.7109375" style="49" customWidth="1"/>
    <col min="5" max="5" width="3.7109375" style="49" customWidth="1"/>
    <col min="6" max="6" width="35.7109375" style="49" customWidth="1"/>
    <col min="7" max="7" width="3.7109375" style="49" customWidth="1"/>
    <col min="8" max="16384" width="11.7109375" style="49"/>
  </cols>
  <sheetData>
    <row r="1" spans="1:6" ht="23.25" x14ac:dyDescent="0.2">
      <c r="A1" s="422"/>
      <c r="B1" s="100" t="s">
        <v>178</v>
      </c>
    </row>
    <row r="2" spans="1:6" ht="18.75" x14ac:dyDescent="0.2">
      <c r="B2" s="101" t="str">
        <f>Model_Name</f>
        <v>Zambia C4P* - Screening &amp; Treatment Tool</v>
      </c>
    </row>
    <row r="3" spans="1:6" x14ac:dyDescent="0.2">
      <c r="B3" s="716" t="s">
        <v>2</v>
      </c>
      <c r="C3" s="716"/>
      <c r="D3" s="716"/>
    </row>
    <row r="4" spans="1:6" x14ac:dyDescent="0.2">
      <c r="A4" s="102" t="s">
        <v>4</v>
      </c>
      <c r="B4" s="343" t="s">
        <v>6</v>
      </c>
      <c r="C4" s="344" t="s">
        <v>7</v>
      </c>
    </row>
    <row r="5" spans="1:6" s="327" customFormat="1" x14ac:dyDescent="0.2"/>
    <row r="6" spans="1:6" s="327" customFormat="1" x14ac:dyDescent="0.2"/>
    <row r="7" spans="1:6" s="327" customFormat="1" ht="18.75" x14ac:dyDescent="0.2">
      <c r="B7" s="426" t="s">
        <v>273</v>
      </c>
    </row>
    <row r="8" spans="1:6" s="327" customFormat="1" x14ac:dyDescent="0.2"/>
    <row r="9" spans="1:6" s="327" customFormat="1" ht="15.75" x14ac:dyDescent="0.2">
      <c r="C9" s="330" t="s">
        <v>81</v>
      </c>
      <c r="F9" s="330" t="s">
        <v>32</v>
      </c>
    </row>
    <row r="10" spans="1:6" s="327" customFormat="1" x14ac:dyDescent="0.2"/>
    <row r="11" spans="1:6" s="327" customFormat="1" x14ac:dyDescent="0.2">
      <c r="D11" s="331" t="s">
        <v>81</v>
      </c>
      <c r="F11" s="643" t="s">
        <v>197</v>
      </c>
    </row>
    <row r="12" spans="1:6" s="327" customFormat="1" x14ac:dyDescent="0.2">
      <c r="D12" s="567" t="str">
        <f>IF(ROWS(D$12:D12)=1,"N/A",ROWS(D$12:D12)-1)</f>
        <v>N/A</v>
      </c>
      <c r="F12" s="375" t="s">
        <v>47</v>
      </c>
    </row>
    <row r="13" spans="1:6" s="327" customFormat="1" x14ac:dyDescent="0.2">
      <c r="D13" s="567">
        <f>IF(ROWS(D$12:D13)=1,"N/A",ROWS(D$12:D13)-1)</f>
        <v>1</v>
      </c>
      <c r="F13" s="375" t="s">
        <v>47</v>
      </c>
    </row>
    <row r="14" spans="1:6" s="327" customFormat="1" x14ac:dyDescent="0.2">
      <c r="D14" s="567">
        <f>IF(ROWS(D$12:D14)=1,"N/A",ROWS(D$12:D14)-1)</f>
        <v>2</v>
      </c>
      <c r="F14" s="375" t="s">
        <v>47</v>
      </c>
    </row>
    <row r="15" spans="1:6" s="327" customFormat="1" x14ac:dyDescent="0.2">
      <c r="D15" s="567">
        <f>IF(ROWS(D$12:D15)=1,"N/A",ROWS(D$12:D15)-1)</f>
        <v>3</v>
      </c>
      <c r="F15" s="375" t="s">
        <v>47</v>
      </c>
    </row>
    <row r="16" spans="1:6" s="327" customFormat="1" x14ac:dyDescent="0.2">
      <c r="D16" s="567">
        <f>IF(ROWS(D$12:D16)=1,"N/A",ROWS(D$12:D16)-1)</f>
        <v>4</v>
      </c>
      <c r="F16" s="375" t="s">
        <v>47</v>
      </c>
    </row>
    <row r="17" spans="3:6" s="327" customFormat="1" x14ac:dyDescent="0.2">
      <c r="D17" s="567">
        <f>IF(ROWS(D$12:D17)=1,"N/A",ROWS(D$12:D17)-1)</f>
        <v>5</v>
      </c>
      <c r="F17" s="375" t="s">
        <v>47</v>
      </c>
    </row>
    <row r="18" spans="3:6" s="327" customFormat="1" x14ac:dyDescent="0.2">
      <c r="D18" s="567">
        <f>IF(ROWS(D$12:D18)=1,"N/A",ROWS(D$12:D18)-1)</f>
        <v>6</v>
      </c>
      <c r="F18" s="375" t="s">
        <v>47</v>
      </c>
    </row>
    <row r="19" spans="3:6" s="327" customFormat="1" x14ac:dyDescent="0.2"/>
    <row r="20" spans="3:6" s="327" customFormat="1" ht="15.75" x14ac:dyDescent="0.2">
      <c r="C20" s="330" t="s">
        <v>133</v>
      </c>
      <c r="F20" s="330" t="s">
        <v>32</v>
      </c>
    </row>
    <row r="21" spans="3:6" s="327" customFormat="1" x14ac:dyDescent="0.2"/>
    <row r="22" spans="3:6" s="327" customFormat="1" x14ac:dyDescent="0.2">
      <c r="D22" s="331" t="s">
        <v>75</v>
      </c>
      <c r="F22" s="643" t="s">
        <v>198</v>
      </c>
    </row>
    <row r="23" spans="3:6" s="327" customFormat="1" x14ac:dyDescent="0.2">
      <c r="D23" s="566" t="str">
        <f>Intv_BA!D165</f>
        <v>Central</v>
      </c>
      <c r="F23" s="375" t="s">
        <v>47</v>
      </c>
    </row>
    <row r="24" spans="3:6" s="327" customFormat="1" x14ac:dyDescent="0.2">
      <c r="D24" s="566" t="str">
        <f>Intv_BA!D166</f>
        <v>Copperbelt</v>
      </c>
      <c r="F24" s="375" t="s">
        <v>47</v>
      </c>
    </row>
    <row r="25" spans="3:6" s="327" customFormat="1" x14ac:dyDescent="0.2">
      <c r="D25" s="566" t="str">
        <f>Intv_BA!D167</f>
        <v>Eastern</v>
      </c>
      <c r="F25" s="375" t="s">
        <v>47</v>
      </c>
    </row>
    <row r="26" spans="3:6" s="327" customFormat="1" x14ac:dyDescent="0.2">
      <c r="D26" s="566" t="str">
        <f>Intv_BA!D168</f>
        <v>Luapula</v>
      </c>
      <c r="F26" s="375" t="s">
        <v>47</v>
      </c>
    </row>
    <row r="27" spans="3:6" s="327" customFormat="1" x14ac:dyDescent="0.2">
      <c r="D27" s="566" t="str">
        <f>Intv_BA!D169</f>
        <v>Lusaka</v>
      </c>
      <c r="F27" s="375" t="s">
        <v>47</v>
      </c>
    </row>
    <row r="28" spans="3:6" s="327" customFormat="1" x14ac:dyDescent="0.2">
      <c r="D28" s="566" t="str">
        <f>Intv_BA!D170</f>
        <v>Muchinga</v>
      </c>
      <c r="F28" s="375" t="s">
        <v>47</v>
      </c>
    </row>
    <row r="29" spans="3:6" s="327" customFormat="1" x14ac:dyDescent="0.2">
      <c r="D29" s="566" t="str">
        <f>Intv_BA!D171</f>
        <v>Northern</v>
      </c>
      <c r="F29" s="375" t="s">
        <v>47</v>
      </c>
    </row>
    <row r="30" spans="3:6" s="327" customFormat="1" x14ac:dyDescent="0.2">
      <c r="D30" s="566" t="str">
        <f>Intv_BA!D172</f>
        <v>North-Western</v>
      </c>
      <c r="F30" s="375" t="s">
        <v>47</v>
      </c>
    </row>
    <row r="31" spans="3:6" s="327" customFormat="1" x14ac:dyDescent="0.2">
      <c r="D31" s="566" t="str">
        <f>Intv_BA!D173</f>
        <v>Southern</v>
      </c>
      <c r="F31" s="375" t="s">
        <v>47</v>
      </c>
    </row>
    <row r="32" spans="3:6" s="327" customFormat="1" x14ac:dyDescent="0.2">
      <c r="D32" s="566" t="str">
        <f>Intv_BA!D174</f>
        <v>Western</v>
      </c>
      <c r="F32" s="375" t="s">
        <v>47</v>
      </c>
    </row>
    <row r="33" spans="3:6" s="327" customFormat="1" x14ac:dyDescent="0.2"/>
    <row r="34" spans="3:6" s="327" customFormat="1" ht="15.75" x14ac:dyDescent="0.2">
      <c r="C34" s="330" t="s">
        <v>212</v>
      </c>
      <c r="F34" s="330" t="s">
        <v>32</v>
      </c>
    </row>
    <row r="35" spans="3:6" s="327" customFormat="1" x14ac:dyDescent="0.2"/>
    <row r="36" spans="3:6" s="327" customFormat="1" x14ac:dyDescent="0.2">
      <c r="D36" s="331" t="s">
        <v>213</v>
      </c>
      <c r="F36" s="643" t="s">
        <v>219</v>
      </c>
    </row>
    <row r="37" spans="3:6" s="327" customFormat="1" x14ac:dyDescent="0.2">
      <c r="D37" s="328" t="str">
        <f>Intv_Ann_TA!D200</f>
        <v>USD</v>
      </c>
      <c r="F37" s="375" t="s">
        <v>47</v>
      </c>
    </row>
    <row r="38" spans="3:6" s="327" customFormat="1" x14ac:dyDescent="0.2">
      <c r="D38" s="328" t="str">
        <f>Intv_Ann_TA!D201</f>
        <v>ZMW</v>
      </c>
      <c r="F38" s="375" t="s">
        <v>47</v>
      </c>
    </row>
    <row r="39" spans="3:6" s="327" customFormat="1" x14ac:dyDescent="0.2"/>
    <row r="40" spans="3:6" s="327" customFormat="1" ht="15.75" x14ac:dyDescent="0.2">
      <c r="C40" s="330" t="s">
        <v>37</v>
      </c>
      <c r="F40" s="330" t="s">
        <v>32</v>
      </c>
    </row>
    <row r="41" spans="3:6" s="327" customFormat="1" x14ac:dyDescent="0.2"/>
    <row r="42" spans="3:6" s="327" customFormat="1" x14ac:dyDescent="0.2">
      <c r="D42" s="331" t="s">
        <v>37</v>
      </c>
      <c r="F42" s="643" t="s">
        <v>225</v>
      </c>
    </row>
    <row r="43" spans="3:6" s="327" customFormat="1" x14ac:dyDescent="0.2">
      <c r="D43" s="21" t="str">
        <f>Intv_BA!$I$181&amp;CHOOSE(ROWS(D$43:D43),""," '000"," Millions"," Billions")</f>
        <v>USD</v>
      </c>
      <c r="F43" s="643" t="s">
        <v>47</v>
      </c>
    </row>
    <row r="44" spans="3:6" s="327" customFormat="1" x14ac:dyDescent="0.2">
      <c r="D44" s="21" t="str">
        <f>Intv_BA!$I$181&amp;CHOOSE(ROWS(D$43:D44),""," '000"," Millions"," Billions")</f>
        <v>USD '000</v>
      </c>
      <c r="F44" s="643" t="s">
        <v>47</v>
      </c>
    </row>
    <row r="45" spans="3:6" s="327" customFormat="1" x14ac:dyDescent="0.2">
      <c r="D45" s="21" t="str">
        <f>Intv_BA!$I$181&amp;CHOOSE(ROWS(D$43:D45),""," '000"," Millions"," Billions")</f>
        <v>USD Millions</v>
      </c>
      <c r="F45" s="643" t="s">
        <v>47</v>
      </c>
    </row>
    <row r="46" spans="3:6" s="327" customFormat="1" x14ac:dyDescent="0.2">
      <c r="D46" s="21" t="str">
        <f>Intv_BA!$I$181&amp;CHOOSE(ROWS(D$43:D46),""," '000"," Millions"," Billions")</f>
        <v>USD Billions</v>
      </c>
      <c r="F46" s="643" t="s">
        <v>47</v>
      </c>
    </row>
    <row r="47" spans="3:6" s="327" customFormat="1" x14ac:dyDescent="0.2"/>
    <row r="48" spans="3:6" s="327" customFormat="1" ht="15.75" x14ac:dyDescent="0.2">
      <c r="C48" s="330" t="s">
        <v>308</v>
      </c>
      <c r="F48" s="330" t="s">
        <v>32</v>
      </c>
    </row>
    <row r="49" spans="4:6" s="327" customFormat="1" x14ac:dyDescent="0.2"/>
    <row r="50" spans="4:6" s="327" customFormat="1" x14ac:dyDescent="0.2">
      <c r="D50" s="331" t="s">
        <v>308</v>
      </c>
      <c r="F50" s="643" t="s">
        <v>342</v>
      </c>
    </row>
    <row r="51" spans="4:6" s="327" customFormat="1" x14ac:dyDescent="0.2">
      <c r="D51" s="328" t="str">
        <f>Intv_BA!D184</f>
        <v>_Not Applicable</v>
      </c>
      <c r="F51" s="375" t="s">
        <v>47</v>
      </c>
    </row>
    <row r="52" spans="4:6" s="327" customFormat="1" x14ac:dyDescent="0.2">
      <c r="D52" s="328" t="str">
        <f>Intv_BA!D185</f>
        <v>Biomedical scientist (ZM)</v>
      </c>
      <c r="F52" s="375" t="s">
        <v>47</v>
      </c>
    </row>
    <row r="53" spans="4:6" s="327" customFormat="1" x14ac:dyDescent="0.2">
      <c r="D53" s="328" t="str">
        <f>Intv_BA!D186</f>
        <v>Clinical officer  (ZM)</v>
      </c>
      <c r="F53" s="375" t="s">
        <v>47</v>
      </c>
    </row>
    <row r="54" spans="4:6" s="327" customFormat="1" x14ac:dyDescent="0.2">
      <c r="D54" s="328" t="str">
        <f>Intv_BA!D187</f>
        <v>Consultant  (ZM)</v>
      </c>
      <c r="F54" s="375" t="s">
        <v>47</v>
      </c>
    </row>
    <row r="55" spans="4:6" s="327" customFormat="1" x14ac:dyDescent="0.2">
      <c r="D55" s="328" t="str">
        <f>Intv_BA!D188</f>
        <v>General Medical Doctor</v>
      </c>
      <c r="F55" s="375" t="s">
        <v>47</v>
      </c>
    </row>
    <row r="56" spans="4:6" s="327" customFormat="1" x14ac:dyDescent="0.2">
      <c r="D56" s="328" t="str">
        <f>Intv_BA!D189</f>
        <v>Junior Resident Medical officer  (ZM)</v>
      </c>
      <c r="F56" s="375" t="s">
        <v>47</v>
      </c>
    </row>
    <row r="57" spans="4:6" s="327" customFormat="1" x14ac:dyDescent="0.2">
      <c r="D57" s="328" t="str">
        <f>Intv_BA!D190</f>
        <v>Lab Scientist (ZM)</v>
      </c>
      <c r="F57" s="375" t="s">
        <v>47</v>
      </c>
    </row>
    <row r="58" spans="4:6" s="327" customFormat="1" x14ac:dyDescent="0.2">
      <c r="D58" s="328" t="str">
        <f>Intv_BA!D191</f>
        <v>Lab Technician (ZM)</v>
      </c>
      <c r="F58" s="375" t="s">
        <v>47</v>
      </c>
    </row>
    <row r="59" spans="4:6" s="327" customFormat="1" x14ac:dyDescent="0.2">
      <c r="D59" s="328" t="str">
        <f>Intv_BA!D192</f>
        <v>Lab Technologist (ZM)</v>
      </c>
      <c r="F59" s="375" t="s">
        <v>47</v>
      </c>
    </row>
    <row r="60" spans="4:6" s="327" customFormat="1" x14ac:dyDescent="0.2">
      <c r="D60" s="328" t="str">
        <f>Intv_BA!D193</f>
        <v>Medical Physicist (ZM)</v>
      </c>
      <c r="F60" s="375" t="s">
        <v>47</v>
      </c>
    </row>
    <row r="61" spans="4:6" s="327" customFormat="1" x14ac:dyDescent="0.2">
      <c r="D61" s="328" t="str">
        <f>Intv_BA!D194</f>
        <v>Nursing Officer (ZM)</v>
      </c>
      <c r="F61" s="375" t="s">
        <v>47</v>
      </c>
    </row>
    <row r="62" spans="4:6" s="327" customFormat="1" x14ac:dyDescent="0.2">
      <c r="D62" s="328" t="str">
        <f>Intv_BA!D195</f>
        <v>Pathologist (ZM)</v>
      </c>
      <c r="F62" s="375" t="s">
        <v>47</v>
      </c>
    </row>
    <row r="63" spans="4:6" s="327" customFormat="1" x14ac:dyDescent="0.2">
      <c r="D63" s="328" t="str">
        <f>Intv_BA!D196</f>
        <v>Pharmacy Technologist (ZM)</v>
      </c>
      <c r="F63" s="375" t="s">
        <v>47</v>
      </c>
    </row>
    <row r="64" spans="4:6" s="327" customFormat="1" x14ac:dyDescent="0.2">
      <c r="D64" s="328" t="str">
        <f>Intv_BA!D197</f>
        <v>Principal Nursing Officer (ZM)</v>
      </c>
      <c r="F64" s="375" t="s">
        <v>47</v>
      </c>
    </row>
    <row r="65" spans="4:6" s="327" customFormat="1" x14ac:dyDescent="0.2">
      <c r="D65" s="328" t="str">
        <f>Intv_BA!D198</f>
        <v>Principal Pharmacist (ZM)</v>
      </c>
      <c r="F65" s="375" t="s">
        <v>47</v>
      </c>
    </row>
    <row r="66" spans="4:6" s="327" customFormat="1" x14ac:dyDescent="0.2">
      <c r="D66" s="328" t="str">
        <f>Intv_BA!D199</f>
        <v>Principal Radiographer (ZM)</v>
      </c>
      <c r="F66" s="375" t="s">
        <v>47</v>
      </c>
    </row>
    <row r="67" spans="4:6" s="327" customFormat="1" x14ac:dyDescent="0.2">
      <c r="D67" s="328" t="str">
        <f>Intv_BA!D200</f>
        <v>Principal Therapist - Radiation (ZM)</v>
      </c>
      <c r="F67" s="375" t="s">
        <v>47</v>
      </c>
    </row>
    <row r="68" spans="4:6" s="327" customFormat="1" x14ac:dyDescent="0.2">
      <c r="D68" s="328" t="str">
        <f>Intv_BA!D201</f>
        <v>Radiation Lab Scientist (ZM)</v>
      </c>
      <c r="F68" s="375" t="s">
        <v>47</v>
      </c>
    </row>
    <row r="69" spans="4:6" s="327" customFormat="1" x14ac:dyDescent="0.2">
      <c r="D69" s="328" t="str">
        <f>Intv_BA!D202</f>
        <v>Radiation Protection Officer (ZM)</v>
      </c>
      <c r="F69" s="375" t="s">
        <v>47</v>
      </c>
    </row>
    <row r="70" spans="4:6" s="327" customFormat="1" x14ac:dyDescent="0.2">
      <c r="D70" s="328" t="str">
        <f>Intv_BA!D203</f>
        <v>Radiographer (ZM)</v>
      </c>
      <c r="F70" s="375" t="s">
        <v>47</v>
      </c>
    </row>
    <row r="71" spans="4:6" s="327" customFormat="1" x14ac:dyDescent="0.2">
      <c r="D71" s="328" t="str">
        <f>Intv_BA!D204</f>
        <v>Registered Nurse (ZM)</v>
      </c>
      <c r="F71" s="375" t="s">
        <v>47</v>
      </c>
    </row>
    <row r="72" spans="4:6" s="327" customFormat="1" x14ac:dyDescent="0.2">
      <c r="D72" s="328" t="str">
        <f>Intv_BA!D205</f>
        <v>Senior Enrolled Nurse (ZM)</v>
      </c>
      <c r="F72" s="375" t="s">
        <v>47</v>
      </c>
    </row>
    <row r="73" spans="4:6" s="327" customFormat="1" x14ac:dyDescent="0.2">
      <c r="D73" s="328" t="str">
        <f>Intv_BA!D206</f>
        <v>Senior Nursing Officer (ZM)</v>
      </c>
      <c r="F73" s="375" t="s">
        <v>47</v>
      </c>
    </row>
    <row r="74" spans="4:6" s="327" customFormat="1" x14ac:dyDescent="0.2">
      <c r="D74" s="328" t="str">
        <f>Intv_BA!D207</f>
        <v>Senior Radiation protection Officer (ZM)</v>
      </c>
      <c r="F74" s="375" t="s">
        <v>47</v>
      </c>
    </row>
    <row r="75" spans="4:6" s="327" customFormat="1" x14ac:dyDescent="0.2">
      <c r="D75" s="328" t="str">
        <f>Intv_BA!D208</f>
        <v>Senior Radiographer (ZM)</v>
      </c>
      <c r="F75" s="375" t="s">
        <v>47</v>
      </c>
    </row>
    <row r="76" spans="4:6" s="327" customFormat="1" x14ac:dyDescent="0.2">
      <c r="D76" s="328" t="str">
        <f>Intv_BA!D209</f>
        <v>Zambia Enrolled Nurse (ZEN) (ZM)</v>
      </c>
      <c r="F76" s="375" t="s">
        <v>47</v>
      </c>
    </row>
    <row r="77" spans="4:6" s="327" customFormat="1" x14ac:dyDescent="0.2">
      <c r="D77" s="328" t="str">
        <f>Intv_BA!D210</f>
        <v>Personnel - Hospital Cadre - Other 27</v>
      </c>
      <c r="F77" s="375" t="s">
        <v>47</v>
      </c>
    </row>
    <row r="78" spans="4:6" s="327" customFormat="1" x14ac:dyDescent="0.2">
      <c r="D78" s="328" t="str">
        <f>Intv_BA!D211</f>
        <v>Personnel - Hospital Cadre - Other 28</v>
      </c>
      <c r="F78" s="375" t="s">
        <v>47</v>
      </c>
    </row>
    <row r="79" spans="4:6" s="327" customFormat="1" x14ac:dyDescent="0.2">
      <c r="D79" s="328" t="str">
        <f>Intv_BA!D212</f>
        <v>Personnel - Hospital Cadre - Other 29</v>
      </c>
      <c r="F79" s="375" t="s">
        <v>47</v>
      </c>
    </row>
    <row r="80" spans="4:6" s="327" customFormat="1" x14ac:dyDescent="0.2">
      <c r="D80" s="328" t="str">
        <f>Intv_BA!D213</f>
        <v>Personnel - Hospital Cadre - Other 30</v>
      </c>
      <c r="F80" s="375" t="s">
        <v>47</v>
      </c>
    </row>
    <row r="81" spans="3:6" s="327" customFormat="1" x14ac:dyDescent="0.2">
      <c r="D81" s="328" t="str">
        <f>Intv_BA!D214</f>
        <v>Personnel - Hospital Cadre - Other 31</v>
      </c>
      <c r="F81" s="375" t="s">
        <v>47</v>
      </c>
    </row>
    <row r="82" spans="3:6" s="327" customFormat="1" x14ac:dyDescent="0.2"/>
    <row r="83" spans="3:6" s="327" customFormat="1" ht="15.75" x14ac:dyDescent="0.2">
      <c r="C83" s="330" t="s">
        <v>310</v>
      </c>
      <c r="F83" s="330" t="s">
        <v>32</v>
      </c>
    </row>
    <row r="84" spans="3:6" s="327" customFormat="1" x14ac:dyDescent="0.2"/>
    <row r="85" spans="3:6" s="327" customFormat="1" x14ac:dyDescent="0.2">
      <c r="D85" s="331" t="s">
        <v>310</v>
      </c>
      <c r="F85" s="643" t="s">
        <v>348</v>
      </c>
    </row>
    <row r="86" spans="3:6" s="327" customFormat="1" x14ac:dyDescent="0.2">
      <c r="D86" s="328" t="str">
        <f>Intv_BA!D217</f>
        <v>_Not Applicable</v>
      </c>
      <c r="F86" s="375" t="s">
        <v>47</v>
      </c>
    </row>
    <row r="87" spans="3:6" s="327" customFormat="1" x14ac:dyDescent="0.2">
      <c r="D87" s="328" t="str">
        <f>Intv_BA!D218</f>
        <v>Biomedical scientist (ZM)</v>
      </c>
      <c r="F87" s="375" t="s">
        <v>47</v>
      </c>
    </row>
    <row r="88" spans="3:6" s="327" customFormat="1" x14ac:dyDescent="0.2">
      <c r="D88" s="328" t="str">
        <f>Intv_BA!D219</f>
        <v>Clinical officer  (ZM)</v>
      </c>
      <c r="F88" s="375" t="s">
        <v>47</v>
      </c>
    </row>
    <row r="89" spans="3:6" s="327" customFormat="1" x14ac:dyDescent="0.2">
      <c r="D89" s="328" t="str">
        <f>Intv_BA!D220</f>
        <v>Consultant  (ZM)</v>
      </c>
      <c r="F89" s="375" t="s">
        <v>47</v>
      </c>
    </row>
    <row r="90" spans="3:6" s="327" customFormat="1" x14ac:dyDescent="0.2">
      <c r="D90" s="328" t="str">
        <f>Intv_BA!D221</f>
        <v>General Medical Doctor</v>
      </c>
      <c r="F90" s="375" t="s">
        <v>47</v>
      </c>
    </row>
    <row r="91" spans="3:6" s="327" customFormat="1" x14ac:dyDescent="0.2">
      <c r="D91" s="328" t="str">
        <f>Intv_BA!D222</f>
        <v>Junior Resident Medical officer  (ZM)</v>
      </c>
      <c r="F91" s="375" t="s">
        <v>47</v>
      </c>
    </row>
    <row r="92" spans="3:6" s="327" customFormat="1" x14ac:dyDescent="0.2">
      <c r="D92" s="328" t="str">
        <f>Intv_BA!D223</f>
        <v>Lab Scientist (ZM)</v>
      </c>
      <c r="F92" s="375" t="s">
        <v>47</v>
      </c>
    </row>
    <row r="93" spans="3:6" s="327" customFormat="1" x14ac:dyDescent="0.2">
      <c r="D93" s="328" t="str">
        <f>Intv_BA!D224</f>
        <v>Lab Technician (ZM)</v>
      </c>
      <c r="F93" s="375" t="s">
        <v>47</v>
      </c>
    </row>
    <row r="94" spans="3:6" s="327" customFormat="1" x14ac:dyDescent="0.2">
      <c r="D94" s="328" t="str">
        <f>Intv_BA!D225</f>
        <v>Lab Technologist (ZM)</v>
      </c>
      <c r="F94" s="375" t="s">
        <v>47</v>
      </c>
    </row>
    <row r="95" spans="3:6" s="327" customFormat="1" x14ac:dyDescent="0.2">
      <c r="D95" s="328" t="str">
        <f>Intv_BA!D226</f>
        <v>Medical Physicist (ZM)</v>
      </c>
      <c r="F95" s="375" t="s">
        <v>47</v>
      </c>
    </row>
    <row r="96" spans="3:6" s="327" customFormat="1" x14ac:dyDescent="0.2">
      <c r="D96" s="328" t="str">
        <f>Intv_BA!D227</f>
        <v>Nursing Officer (ZM)</v>
      </c>
      <c r="F96" s="375" t="s">
        <v>47</v>
      </c>
    </row>
    <row r="97" spans="4:6" s="327" customFormat="1" x14ac:dyDescent="0.2">
      <c r="D97" s="328" t="str">
        <f>Intv_BA!D228</f>
        <v>Pathologist (ZM)</v>
      </c>
      <c r="F97" s="375" t="s">
        <v>47</v>
      </c>
    </row>
    <row r="98" spans="4:6" s="327" customFormat="1" x14ac:dyDescent="0.2">
      <c r="D98" s="328" t="str">
        <f>Intv_BA!D229</f>
        <v>Pharmacy Technologist (ZM)</v>
      </c>
      <c r="F98" s="375" t="s">
        <v>47</v>
      </c>
    </row>
    <row r="99" spans="4:6" s="327" customFormat="1" x14ac:dyDescent="0.2">
      <c r="D99" s="328" t="str">
        <f>Intv_BA!D230</f>
        <v>Principal Nursing Officer (ZM)</v>
      </c>
      <c r="F99" s="375" t="s">
        <v>47</v>
      </c>
    </row>
    <row r="100" spans="4:6" s="327" customFormat="1" x14ac:dyDescent="0.2">
      <c r="D100" s="328" t="str">
        <f>Intv_BA!D231</f>
        <v>Principal Pharmacist (ZM)</v>
      </c>
      <c r="F100" s="375" t="s">
        <v>47</v>
      </c>
    </row>
    <row r="101" spans="4:6" s="327" customFormat="1" x14ac:dyDescent="0.2">
      <c r="D101" s="328" t="str">
        <f>Intv_BA!D232</f>
        <v>Principal Radiographer (ZM)</v>
      </c>
      <c r="F101" s="375" t="s">
        <v>47</v>
      </c>
    </row>
    <row r="102" spans="4:6" s="327" customFormat="1" x14ac:dyDescent="0.2">
      <c r="D102" s="328" t="str">
        <f>Intv_BA!D233</f>
        <v>Principal Therapist - Radiation (ZM)</v>
      </c>
      <c r="F102" s="375" t="s">
        <v>47</v>
      </c>
    </row>
    <row r="103" spans="4:6" s="327" customFormat="1" x14ac:dyDescent="0.2">
      <c r="D103" s="328" t="str">
        <f>Intv_BA!D234</f>
        <v>Radiation Lab Scientist (ZM)</v>
      </c>
      <c r="F103" s="375" t="s">
        <v>47</v>
      </c>
    </row>
    <row r="104" spans="4:6" s="327" customFormat="1" x14ac:dyDescent="0.2">
      <c r="D104" s="328" t="str">
        <f>Intv_BA!D235</f>
        <v>Radiation Protection Officer (ZM)</v>
      </c>
      <c r="F104" s="375" t="s">
        <v>47</v>
      </c>
    </row>
    <row r="105" spans="4:6" s="327" customFormat="1" x14ac:dyDescent="0.2">
      <c r="D105" s="328" t="str">
        <f>Intv_BA!D236</f>
        <v>Radiographer (ZM)</v>
      </c>
      <c r="F105" s="375" t="s">
        <v>47</v>
      </c>
    </row>
    <row r="106" spans="4:6" s="327" customFormat="1" x14ac:dyDescent="0.2">
      <c r="D106" s="328" t="str">
        <f>Intv_BA!D237</f>
        <v>Registered Nurse (ZM)</v>
      </c>
      <c r="F106" s="375" t="s">
        <v>47</v>
      </c>
    </row>
    <row r="107" spans="4:6" s="327" customFormat="1" x14ac:dyDescent="0.2">
      <c r="D107" s="328" t="str">
        <f>Intv_BA!D238</f>
        <v>Senior Enrolled Nurse (ZM)</v>
      </c>
      <c r="F107" s="375" t="s">
        <v>47</v>
      </c>
    </row>
    <row r="108" spans="4:6" s="327" customFormat="1" x14ac:dyDescent="0.2">
      <c r="D108" s="328" t="str">
        <f>Intv_BA!D239</f>
        <v>Senior Nursing Officer (ZM)</v>
      </c>
      <c r="F108" s="375" t="s">
        <v>47</v>
      </c>
    </row>
    <row r="109" spans="4:6" s="327" customFormat="1" x14ac:dyDescent="0.2">
      <c r="D109" s="328" t="str">
        <f>Intv_BA!D240</f>
        <v>Senior Radiation protection Officer (ZM)</v>
      </c>
      <c r="F109" s="375" t="s">
        <v>47</v>
      </c>
    </row>
    <row r="110" spans="4:6" s="327" customFormat="1" x14ac:dyDescent="0.2">
      <c r="D110" s="328" t="str">
        <f>Intv_BA!D241</f>
        <v>Senior Radiographer (ZM)</v>
      </c>
      <c r="F110" s="375" t="s">
        <v>47</v>
      </c>
    </row>
    <row r="111" spans="4:6" s="327" customFormat="1" x14ac:dyDescent="0.2">
      <c r="D111" s="328" t="str">
        <f>Intv_BA!D242</f>
        <v>Zambia Enrolled Nurse (ZEN) (ZM)</v>
      </c>
      <c r="F111" s="375" t="s">
        <v>47</v>
      </c>
    </row>
    <row r="112" spans="4:6" s="327" customFormat="1" x14ac:dyDescent="0.2">
      <c r="D112" s="328" t="str">
        <f>Intv_BA!D243</f>
        <v>Personnel - Other Category 27</v>
      </c>
      <c r="F112" s="375" t="s">
        <v>47</v>
      </c>
    </row>
    <row r="113" spans="3:6" s="327" customFormat="1" x14ac:dyDescent="0.2">
      <c r="D113" s="328" t="str">
        <f>Intv_BA!D244</f>
        <v>Personnel - Other Category 28</v>
      </c>
      <c r="F113" s="375" t="s">
        <v>47</v>
      </c>
    </row>
    <row r="114" spans="3:6" s="327" customFormat="1" x14ac:dyDescent="0.2">
      <c r="D114" s="328" t="str">
        <f>Intv_BA!D245</f>
        <v>Personnel - Other Category 29</v>
      </c>
      <c r="F114" s="375" t="s">
        <v>47</v>
      </c>
    </row>
    <row r="115" spans="3:6" s="327" customFormat="1" x14ac:dyDescent="0.2">
      <c r="D115" s="328" t="str">
        <f>Intv_BA!D246</f>
        <v>Personnel - Other Category 30</v>
      </c>
      <c r="F115" s="375" t="s">
        <v>47</v>
      </c>
    </row>
    <row r="116" spans="3:6" s="327" customFormat="1" x14ac:dyDescent="0.2">
      <c r="D116" s="328">
        <f>Intv_BA!D247</f>
        <v>0</v>
      </c>
      <c r="F116" s="375" t="s">
        <v>47</v>
      </c>
    </row>
    <row r="117" spans="3:6" s="327" customFormat="1" x14ac:dyDescent="0.2"/>
    <row r="118" spans="3:6" s="327" customFormat="1" ht="15.75" x14ac:dyDescent="0.2">
      <c r="C118" s="330" t="s">
        <v>316</v>
      </c>
      <c r="F118" s="330" t="s">
        <v>32</v>
      </c>
    </row>
    <row r="119" spans="3:6" s="327" customFormat="1" x14ac:dyDescent="0.2"/>
    <row r="120" spans="3:6" s="327" customFormat="1" x14ac:dyDescent="0.2">
      <c r="D120" s="331" t="s">
        <v>316</v>
      </c>
      <c r="F120" s="643" t="s">
        <v>354</v>
      </c>
    </row>
    <row r="121" spans="3:6" s="327" customFormat="1" x14ac:dyDescent="0.2">
      <c r="D121" s="328" t="str">
        <f>Intv_BA!D250</f>
        <v>_Not Applicable</v>
      </c>
      <c r="F121" s="375" t="s">
        <v>47</v>
      </c>
    </row>
    <row r="122" spans="3:6" s="327" customFormat="1" x14ac:dyDescent="0.2">
      <c r="D122" s="328" t="str">
        <f>Intv_BA!D251</f>
        <v>10 ml syringes with long 27-gauge needle (UG)</v>
      </c>
      <c r="F122" s="375" t="s">
        <v>47</v>
      </c>
    </row>
    <row r="123" spans="3:6" s="327" customFormat="1" x14ac:dyDescent="0.2">
      <c r="D123" s="328" t="str">
        <f>Intv_BA!D252</f>
        <v>100% alcohol (UG)</v>
      </c>
      <c r="F123" s="375" t="s">
        <v>47</v>
      </c>
    </row>
    <row r="124" spans="3:6" s="327" customFormat="1" x14ac:dyDescent="0.2">
      <c r="D124" s="328" t="str">
        <f>Intv_BA!D253</f>
        <v>100% Ethanol (UG)</v>
      </c>
      <c r="F124" s="375" t="s">
        <v>47</v>
      </c>
    </row>
    <row r="125" spans="3:6" s="327" customFormat="1" x14ac:dyDescent="0.2">
      <c r="D125" s="328" t="str">
        <f>Intv_BA!D254</f>
        <v>5% acetic acid (UG)</v>
      </c>
      <c r="F125" s="375" t="s">
        <v>47</v>
      </c>
    </row>
    <row r="126" spans="3:6" s="327" customFormat="1" x14ac:dyDescent="0.2">
      <c r="D126" s="328" t="str">
        <f>Intv_BA!D255</f>
        <v>Acetic acid (UG)</v>
      </c>
      <c r="F126" s="375" t="s">
        <v>47</v>
      </c>
    </row>
    <row r="127" spans="3:6" s="327" customFormat="1" x14ac:dyDescent="0.2">
      <c r="D127" s="328" t="str">
        <f>Intv_BA!D256</f>
        <v>Acetic acid, 3–5% dilution (ZM)</v>
      </c>
      <c r="F127" s="375" t="s">
        <v>47</v>
      </c>
    </row>
    <row r="128" spans="3:6" s="327" customFormat="1" x14ac:dyDescent="0.2">
      <c r="D128" s="328" t="str">
        <f>Intv_BA!D257</f>
        <v>Acetic acid, 3–5% dilution (TZ)</v>
      </c>
      <c r="F128" s="375" t="s">
        <v>47</v>
      </c>
    </row>
    <row r="129" spans="4:6" s="327" customFormat="1" x14ac:dyDescent="0.2">
      <c r="D129" s="328" t="str">
        <f>Intv_BA!D258</f>
        <v>Alcohol, 60-90% isopropyl or ethyl (TZ)</v>
      </c>
      <c r="F129" s="375" t="s">
        <v>47</v>
      </c>
    </row>
    <row r="130" spans="4:6" s="327" customFormat="1" x14ac:dyDescent="0.2">
      <c r="D130" s="328" t="str">
        <f>Intv_BA!D259</f>
        <v>Alcohol, 60-90% isopropyl or ethyl 95% (ZM)</v>
      </c>
      <c r="F130" s="375" t="s">
        <v>47</v>
      </c>
    </row>
    <row r="131" spans="4:6" s="327" customFormat="1" x14ac:dyDescent="0.2">
      <c r="D131" s="328" t="str">
        <f>Intv_BA!D260</f>
        <v>Amitriptyline hydrochloride( 25mg) (ZM)</v>
      </c>
      <c r="F131" s="375" t="s">
        <v>47</v>
      </c>
    </row>
    <row r="132" spans="4:6" s="327" customFormat="1" x14ac:dyDescent="0.2">
      <c r="D132" s="328" t="str">
        <f>Intv_BA!D261</f>
        <v>Amitriptyline hydrochloride( 25mg) (TZ)</v>
      </c>
      <c r="F132" s="375" t="s">
        <v>47</v>
      </c>
    </row>
    <row r="133" spans="4:6" s="327" customFormat="1" x14ac:dyDescent="0.2">
      <c r="D133" s="328" t="str">
        <f>Intv_BA!D262</f>
        <v>Anticeptic solution (UG)</v>
      </c>
      <c r="F133" s="375" t="s">
        <v>47</v>
      </c>
    </row>
    <row r="134" spans="4:6" s="327" customFormat="1" x14ac:dyDescent="0.2">
      <c r="D134" s="328" t="str">
        <f>Intv_BA!D263</f>
        <v>Arithromycin (250g) (ZM)</v>
      </c>
      <c r="F134" s="375" t="s">
        <v>47</v>
      </c>
    </row>
    <row r="135" spans="4:6" s="327" customFormat="1" x14ac:dyDescent="0.2">
      <c r="D135" s="328" t="str">
        <f>Intv_BA!D264</f>
        <v>Arithromycin (250g) (UG)</v>
      </c>
      <c r="F135" s="375" t="s">
        <v>47</v>
      </c>
    </row>
    <row r="136" spans="4:6" s="327" customFormat="1" x14ac:dyDescent="0.2">
      <c r="D136" s="328" t="str">
        <f>Intv_BA!D265</f>
        <v>Arithromycin (5g) (UG)</v>
      </c>
      <c r="F136" s="375" t="s">
        <v>47</v>
      </c>
    </row>
    <row r="137" spans="4:6" s="327" customFormat="1" x14ac:dyDescent="0.2">
      <c r="D137" s="328" t="str">
        <f>Intv_BA!D266</f>
        <v>Atropine (ZM)</v>
      </c>
      <c r="F137" s="375" t="s">
        <v>47</v>
      </c>
    </row>
    <row r="138" spans="4:6" s="327" customFormat="1" x14ac:dyDescent="0.2">
      <c r="D138" s="328" t="str">
        <f>Intv_BA!D267</f>
        <v>Ball electrode (UG)</v>
      </c>
      <c r="F138" s="375" t="s">
        <v>47</v>
      </c>
    </row>
    <row r="139" spans="4:6" s="327" customFormat="1" x14ac:dyDescent="0.2">
      <c r="D139" s="328" t="str">
        <f>Intv_BA!D268</f>
        <v>Bed linen sheet (100 uses) (ZM)</v>
      </c>
      <c r="F139" s="375" t="s">
        <v>47</v>
      </c>
    </row>
    <row r="140" spans="4:6" s="327" customFormat="1" x14ac:dyDescent="0.2">
      <c r="D140" s="328" t="str">
        <f>Intv_BA!D269</f>
        <v>Bed linen sheet (TZ)</v>
      </c>
      <c r="F140" s="375" t="s">
        <v>47</v>
      </c>
    </row>
    <row r="141" spans="4:6" s="327" customFormat="1" x14ac:dyDescent="0.2">
      <c r="D141" s="328" t="str">
        <f>Intv_BA!D270</f>
        <v>Bin Liner (ZM)</v>
      </c>
      <c r="F141" s="375" t="s">
        <v>47</v>
      </c>
    </row>
    <row r="142" spans="4:6" s="327" customFormat="1" x14ac:dyDescent="0.2">
      <c r="D142" s="328" t="str">
        <f>Intv_BA!D271</f>
        <v>Bleach (JIK)</v>
      </c>
      <c r="F142" s="375" t="s">
        <v>47</v>
      </c>
    </row>
    <row r="143" spans="4:6" s="327" customFormat="1" x14ac:dyDescent="0.2">
      <c r="D143" s="328" t="str">
        <f>Intv_BA!D272</f>
        <v>Bleach (UG)</v>
      </c>
      <c r="F143" s="375" t="s">
        <v>47</v>
      </c>
    </row>
    <row r="144" spans="4:6" s="327" customFormat="1" x14ac:dyDescent="0.2">
      <c r="D144" s="328" t="str">
        <f>Intv_BA!D273</f>
        <v>careHPV DCM tube (UG)</v>
      </c>
      <c r="F144" s="375" t="s">
        <v>47</v>
      </c>
    </row>
    <row r="145" spans="4:6" s="327" customFormat="1" x14ac:dyDescent="0.2">
      <c r="D145" s="328" t="str">
        <f>Intv_BA!D274</f>
        <v>Catheter -Urine (TZ)</v>
      </c>
      <c r="F145" s="375" t="s">
        <v>47</v>
      </c>
    </row>
    <row r="146" spans="4:6" s="327" customFormat="1" x14ac:dyDescent="0.2">
      <c r="D146" s="328" t="str">
        <f>Intv_BA!D275</f>
        <v>Cervical brush (UG)</v>
      </c>
      <c r="F146" s="375" t="s">
        <v>47</v>
      </c>
    </row>
    <row r="147" spans="4:6" s="327" customFormat="1" x14ac:dyDescent="0.2">
      <c r="D147" s="328" t="str">
        <f>Intv_BA!D276</f>
        <v>Chlorine 0.5% (Jik-diluted) (ZM)</v>
      </c>
      <c r="F147" s="375" t="s">
        <v>47</v>
      </c>
    </row>
    <row r="148" spans="4:6" s="327" customFormat="1" x14ac:dyDescent="0.2">
      <c r="D148" s="328" t="str">
        <f>Intv_BA!D277</f>
        <v>Chlorine 0.5% (Jik-diluted)  (TZ)</v>
      </c>
      <c r="F148" s="375" t="s">
        <v>47</v>
      </c>
    </row>
    <row r="149" spans="4:6" s="327" customFormat="1" x14ac:dyDescent="0.2">
      <c r="D149" s="328" t="str">
        <f>Intv_BA!D278</f>
        <v>Cidex (2-4% glutaraldehyde) (ZM)</v>
      </c>
      <c r="F149" s="375" t="s">
        <v>47</v>
      </c>
    </row>
    <row r="150" spans="4:6" s="327" customFormat="1" x14ac:dyDescent="0.2">
      <c r="D150" s="328" t="str">
        <f>Intv_BA!D279</f>
        <v>Cidex (2-4% glutaraldehyde) (TZ)</v>
      </c>
      <c r="F150" s="375" t="s">
        <v>47</v>
      </c>
    </row>
    <row r="151" spans="4:6" s="327" customFormat="1" x14ac:dyDescent="0.2">
      <c r="D151" s="328" t="str">
        <f>Intv_BA!D280</f>
        <v>Ciprofloxacin (500mg) (UG)</v>
      </c>
      <c r="F151" s="375" t="s">
        <v>47</v>
      </c>
    </row>
    <row r="152" spans="4:6" s="327" customFormat="1" x14ac:dyDescent="0.2">
      <c r="D152" s="328" t="str">
        <f>Intv_BA!D281</f>
        <v>Ciprofloxacin (500mg) 250MG (ZM)</v>
      </c>
      <c r="F152" s="375" t="s">
        <v>47</v>
      </c>
    </row>
    <row r="153" spans="4:6" s="327" customFormat="1" x14ac:dyDescent="0.2">
      <c r="D153" s="328" t="str">
        <f>Intv_BA!D282</f>
        <v>Cisplatin (50 mg) (ZM)</v>
      </c>
      <c r="F153" s="375" t="s">
        <v>47</v>
      </c>
    </row>
    <row r="154" spans="4:6" s="327" customFormat="1" x14ac:dyDescent="0.2">
      <c r="D154" s="328" t="str">
        <f>Intv_BA!D283</f>
        <v>Cisplatin (50 mg) (TZ)</v>
      </c>
      <c r="F154" s="375" t="s">
        <v>47</v>
      </c>
    </row>
    <row r="155" spans="4:6" s="327" customFormat="1" x14ac:dyDescent="0.2">
      <c r="D155" s="328" t="str">
        <f>Intv_BA!D284</f>
        <v>Citokit (UG)</v>
      </c>
      <c r="F155" s="375" t="s">
        <v>47</v>
      </c>
    </row>
    <row r="156" spans="4:6" s="327" customFormat="1" x14ac:dyDescent="0.2">
      <c r="D156" s="328" t="str">
        <f>Intv_BA!D285</f>
        <v>Colostomy Bag (TZ)</v>
      </c>
      <c r="F156" s="375" t="s">
        <v>47</v>
      </c>
    </row>
    <row r="157" spans="4:6" s="327" customFormat="1" x14ac:dyDescent="0.2">
      <c r="D157" s="328" t="str">
        <f>Intv_BA!D286</f>
        <v>Condom  (TZ)</v>
      </c>
      <c r="F157" s="375" t="s">
        <v>47</v>
      </c>
    </row>
    <row r="158" spans="4:6" s="327" customFormat="1" x14ac:dyDescent="0.2">
      <c r="D158" s="328" t="str">
        <f>Intv_BA!D287</f>
        <v>Condom MALE (ZM)</v>
      </c>
      <c r="F158" s="375" t="s">
        <v>47</v>
      </c>
    </row>
    <row r="159" spans="4:6" s="327" customFormat="1" x14ac:dyDescent="0.2">
      <c r="D159" s="328" t="str">
        <f>Intv_BA!D288</f>
        <v>Cotton swab (ZM)</v>
      </c>
      <c r="F159" s="375" t="s">
        <v>47</v>
      </c>
    </row>
    <row r="160" spans="4:6" s="327" customFormat="1" x14ac:dyDescent="0.2">
      <c r="D160" s="328" t="str">
        <f>Intv_BA!D289</f>
        <v>Cotton swab (TZ)</v>
      </c>
      <c r="F160" s="375" t="s">
        <v>47</v>
      </c>
    </row>
    <row r="161" spans="4:6" s="327" customFormat="1" x14ac:dyDescent="0.2">
      <c r="D161" s="328" t="str">
        <f>Intv_BA!D290</f>
        <v>Cotton swabs (UG)</v>
      </c>
      <c r="F161" s="375" t="s">
        <v>47</v>
      </c>
    </row>
    <row r="162" spans="4:6" s="327" customFormat="1" x14ac:dyDescent="0.2">
      <c r="D162" s="328" t="str">
        <f>Intv_BA!D291</f>
        <v>Cotton Wool, roll, non-sterile (ZM)</v>
      </c>
      <c r="F162" s="375" t="s">
        <v>47</v>
      </c>
    </row>
    <row r="163" spans="4:6" s="327" customFormat="1" x14ac:dyDescent="0.2">
      <c r="D163" s="328" t="str">
        <f>Intv_BA!D292</f>
        <v>Cotton Wool, roll, non-sterile (TZ)</v>
      </c>
      <c r="F163" s="375" t="s">
        <v>47</v>
      </c>
    </row>
    <row r="164" spans="4:6" s="327" customFormat="1" x14ac:dyDescent="0.2">
      <c r="D164" s="328" t="str">
        <f>Intv_BA!D293</f>
        <v xml:space="preserve">Dexamethasone (ZM) </v>
      </c>
      <c r="F164" s="375" t="s">
        <v>47</v>
      </c>
    </row>
    <row r="165" spans="4:6" s="327" customFormat="1" x14ac:dyDescent="0.2">
      <c r="D165" s="328" t="str">
        <f>Intv_BA!D294</f>
        <v>Diclofenac (50mg) (ZM)</v>
      </c>
      <c r="F165" s="375" t="s">
        <v>47</v>
      </c>
    </row>
    <row r="166" spans="4:6" s="327" customFormat="1" x14ac:dyDescent="0.2">
      <c r="D166" s="328" t="str">
        <f>Intv_BA!D295</f>
        <v>Diclofenac (50mg) (TZ)</v>
      </c>
      <c r="F166" s="375" t="s">
        <v>47</v>
      </c>
    </row>
    <row r="167" spans="4:6" s="327" customFormat="1" x14ac:dyDescent="0.2">
      <c r="D167" s="328" t="str">
        <f>Intv_BA!D296</f>
        <v>Distilled water (ZM)</v>
      </c>
      <c r="F167" s="375" t="s">
        <v>47</v>
      </c>
    </row>
    <row r="168" spans="4:6" s="327" customFormat="1" x14ac:dyDescent="0.2">
      <c r="D168" s="328" t="str">
        <f>Intv_BA!D297</f>
        <v>Distilled water (UG)</v>
      </c>
      <c r="F168" s="375" t="s">
        <v>47</v>
      </c>
    </row>
    <row r="169" spans="4:6" s="327" customFormat="1" x14ac:dyDescent="0.2">
      <c r="D169" s="328" t="str">
        <f>Intv_BA!D298</f>
        <v>Dulcolax (10mg) (ZM)</v>
      </c>
      <c r="F169" s="375" t="s">
        <v>47</v>
      </c>
    </row>
    <row r="170" spans="4:6" s="327" customFormat="1" x14ac:dyDescent="0.2">
      <c r="D170" s="328" t="str">
        <f>Intv_BA!D299</f>
        <v>Dulcolax (10mg) (TZ)</v>
      </c>
      <c r="F170" s="375" t="s">
        <v>47</v>
      </c>
    </row>
    <row r="171" spans="4:6" s="327" customFormat="1" x14ac:dyDescent="0.2">
      <c r="D171" s="328" t="str">
        <f>Intv_BA!D300</f>
        <v>Emend (ZM)</v>
      </c>
      <c r="F171" s="375" t="s">
        <v>47</v>
      </c>
    </row>
    <row r="172" spans="4:6" s="327" customFormat="1" x14ac:dyDescent="0.2">
      <c r="D172" s="328" t="str">
        <f>Intv_BA!D301</f>
        <v>Formalin (UG)</v>
      </c>
      <c r="F172" s="375" t="s">
        <v>47</v>
      </c>
    </row>
    <row r="173" spans="4:6" s="327" customFormat="1" x14ac:dyDescent="0.2">
      <c r="D173" s="328" t="str">
        <f>Intv_BA!D302</f>
        <v>Formalin AR 40% (ZM)</v>
      </c>
      <c r="F173" s="375" t="s">
        <v>47</v>
      </c>
    </row>
    <row r="174" spans="4:6" s="327" customFormat="1" x14ac:dyDescent="0.2">
      <c r="D174" s="328" t="str">
        <f>Intv_BA!D303</f>
        <v>Formalin AR 40% (TZ)</v>
      </c>
      <c r="F174" s="375" t="s">
        <v>47</v>
      </c>
    </row>
    <row r="175" spans="4:6" s="327" customFormat="1" x14ac:dyDescent="0.2">
      <c r="D175" s="328" t="str">
        <f>Intv_BA!D304</f>
        <v>Frusamide (ZM)</v>
      </c>
      <c r="F175" s="375" t="s">
        <v>47</v>
      </c>
    </row>
    <row r="176" spans="4:6" s="327" customFormat="1" x14ac:dyDescent="0.2">
      <c r="D176" s="328" t="str">
        <f>Intv_BA!D305</f>
        <v>Gas - N2O (UG)</v>
      </c>
      <c r="F176" s="375" t="s">
        <v>47</v>
      </c>
    </row>
    <row r="177" spans="4:6" s="327" customFormat="1" x14ac:dyDescent="0.2">
      <c r="D177" s="328" t="str">
        <f>Intv_BA!D306</f>
        <v>Gas Cylinder (Nitrous Oxide) 72 kg. (ZM)</v>
      </c>
      <c r="F177" s="375" t="s">
        <v>47</v>
      </c>
    </row>
    <row r="178" spans="4:6" s="327" customFormat="1" x14ac:dyDescent="0.2">
      <c r="D178" s="328" t="str">
        <f>Intv_BA!D307</f>
        <v>Gas Cylinder (TZ)</v>
      </c>
      <c r="F178" s="375" t="s">
        <v>47</v>
      </c>
    </row>
    <row r="179" spans="4:6" s="327" customFormat="1" x14ac:dyDescent="0.2">
      <c r="D179" s="328" t="str">
        <f>Intv_BA!D308</f>
        <v>Gauze (UG)</v>
      </c>
      <c r="F179" s="375" t="s">
        <v>47</v>
      </c>
    </row>
    <row r="180" spans="4:6" s="327" customFormat="1" x14ac:dyDescent="0.2">
      <c r="D180" s="328" t="str">
        <f>Intv_BA!D309</f>
        <v>Gauze hospital quality 10x4 cm (TZ)</v>
      </c>
      <c r="F180" s="375" t="s">
        <v>47</v>
      </c>
    </row>
    <row r="181" spans="4:6" s="327" customFormat="1" x14ac:dyDescent="0.2">
      <c r="D181" s="328" t="str">
        <f>Intv_BA!D310</f>
        <v>Gauze, Non-Sterile (ZM)</v>
      </c>
      <c r="F181" s="375" t="s">
        <v>47</v>
      </c>
    </row>
    <row r="182" spans="4:6" s="327" customFormat="1" x14ac:dyDescent="0.2">
      <c r="D182" s="328" t="str">
        <f>Intv_BA!D311</f>
        <v>Gauze, Non-Sterile (TZ)</v>
      </c>
      <c r="F182" s="375" t="s">
        <v>47</v>
      </c>
    </row>
    <row r="183" spans="4:6" s="327" customFormat="1" x14ac:dyDescent="0.2">
      <c r="D183" s="328" t="str">
        <f>Intv_BA!D312</f>
        <v>Gauze, Sterile (ZM)</v>
      </c>
      <c r="F183" s="375" t="s">
        <v>47</v>
      </c>
    </row>
    <row r="184" spans="4:6" s="327" customFormat="1" x14ac:dyDescent="0.2">
      <c r="D184" s="328" t="str">
        <f>Intv_BA!D313</f>
        <v>Gauze, Sterile (TZ)</v>
      </c>
      <c r="F184" s="375" t="s">
        <v>47</v>
      </c>
    </row>
    <row r="185" spans="4:6" s="327" customFormat="1" x14ac:dyDescent="0.2">
      <c r="D185" s="328" t="str">
        <f>Intv_BA!D314</f>
        <v>Gloves (UG)</v>
      </c>
      <c r="F185" s="375" t="s">
        <v>47</v>
      </c>
    </row>
    <row r="186" spans="4:6" s="327" customFormat="1" x14ac:dyDescent="0.2">
      <c r="D186" s="328" t="str">
        <f>Intv_BA!D315</f>
        <v>Gloves, Non-Sterile, Examination, latex, assorted sizes, disp. (ZM)</v>
      </c>
      <c r="F186" s="375" t="s">
        <v>47</v>
      </c>
    </row>
    <row r="187" spans="4:6" s="327" customFormat="1" x14ac:dyDescent="0.2">
      <c r="D187" s="328" t="str">
        <f>Intv_BA!D316</f>
        <v>Gloves, Non-Sterile, Examination, latex, medium, disp. (TZ)</v>
      </c>
      <c r="F187" s="375" t="s">
        <v>47</v>
      </c>
    </row>
    <row r="188" spans="4:6" s="327" customFormat="1" x14ac:dyDescent="0.2">
      <c r="D188" s="328" t="str">
        <f>Intv_BA!D317</f>
        <v>Gloves, Sterile (TZ)</v>
      </c>
      <c r="F188" s="375" t="s">
        <v>47</v>
      </c>
    </row>
    <row r="189" spans="4:6" s="327" customFormat="1" x14ac:dyDescent="0.2">
      <c r="D189" s="328" t="str">
        <f>Intv_BA!D318</f>
        <v>Gloves, Sterile 7.5 (ZM)</v>
      </c>
      <c r="F189" s="375" t="s">
        <v>47</v>
      </c>
    </row>
    <row r="190" spans="4:6" s="327" customFormat="1" x14ac:dyDescent="0.2">
      <c r="D190" s="328" t="str">
        <f>Intv_BA!D319</f>
        <v>Halothane (ZM)</v>
      </c>
      <c r="F190" s="375" t="s">
        <v>47</v>
      </c>
    </row>
    <row r="191" spans="4:6" s="327" customFormat="1" x14ac:dyDescent="0.2">
      <c r="D191" s="328" t="str">
        <f>Intv_BA!D320</f>
        <v>IV canula 22G  (ZM)</v>
      </c>
      <c r="F191" s="375" t="s">
        <v>47</v>
      </c>
    </row>
    <row r="192" spans="4:6" s="327" customFormat="1" x14ac:dyDescent="0.2">
      <c r="D192" s="328" t="str">
        <f>Intv_BA!D321</f>
        <v>IV canula 22G (each) (TZ)</v>
      </c>
      <c r="F192" s="375" t="s">
        <v>47</v>
      </c>
    </row>
    <row r="193" spans="4:6" s="327" customFormat="1" x14ac:dyDescent="0.2">
      <c r="D193" s="328" t="str">
        <f>Intv_BA!D322</f>
        <v>IV giving set (each) (TZ)</v>
      </c>
      <c r="F193" s="375" t="s">
        <v>47</v>
      </c>
    </row>
    <row r="194" spans="4:6" s="327" customFormat="1" x14ac:dyDescent="0.2">
      <c r="D194" s="328" t="str">
        <f>Intv_BA!D323</f>
        <v>IV giving set (closed system) (ZM)</v>
      </c>
      <c r="F194" s="375" t="s">
        <v>47</v>
      </c>
    </row>
    <row r="195" spans="4:6" s="327" customFormat="1" x14ac:dyDescent="0.2">
      <c r="D195" s="328" t="str">
        <f>Intv_BA!D324</f>
        <v>IV line (set) (ZM)</v>
      </c>
      <c r="F195" s="375" t="s">
        <v>47</v>
      </c>
    </row>
    <row r="196" spans="4:6" s="327" customFormat="1" x14ac:dyDescent="0.2">
      <c r="D196" s="328" t="str">
        <f>Intv_BA!D325</f>
        <v>IV line (set) (TZ)</v>
      </c>
      <c r="F196" s="375" t="s">
        <v>47</v>
      </c>
    </row>
    <row r="197" spans="4:6" s="327" customFormat="1" x14ac:dyDescent="0.2">
      <c r="D197" s="328" t="str">
        <f>Intv_BA!D326</f>
        <v>Ketamine (ZM)</v>
      </c>
      <c r="F197" s="375" t="s">
        <v>47</v>
      </c>
    </row>
    <row r="198" spans="4:6" s="327" customFormat="1" x14ac:dyDescent="0.2">
      <c r="D198" s="328" t="str">
        <f>Intv_BA!D327</f>
        <v>Kitchen Towel (ZM)</v>
      </c>
      <c r="F198" s="375" t="s">
        <v>47</v>
      </c>
    </row>
    <row r="199" spans="4:6" s="327" customFormat="1" x14ac:dyDescent="0.2">
      <c r="D199" s="328" t="str">
        <f>Intv_BA!D328</f>
        <v>K-Y jelly  (TZ)</v>
      </c>
      <c r="F199" s="375" t="s">
        <v>47</v>
      </c>
    </row>
    <row r="200" spans="4:6" s="327" customFormat="1" x14ac:dyDescent="0.2">
      <c r="D200" s="328" t="str">
        <f>Intv_BA!D329</f>
        <v>K-Y jelly Tube w/ 100 applcations ea) (ZM)</v>
      </c>
      <c r="F200" s="375" t="s">
        <v>47</v>
      </c>
    </row>
    <row r="201" spans="4:6" s="327" customFormat="1" x14ac:dyDescent="0.2">
      <c r="D201" s="328" t="str">
        <f>Intv_BA!D330</f>
        <v>Label (TZ)</v>
      </c>
      <c r="F201" s="375" t="s">
        <v>47</v>
      </c>
    </row>
    <row r="202" spans="4:6" s="327" customFormat="1" x14ac:dyDescent="0.2">
      <c r="D202" s="328" t="str">
        <f>Intv_BA!D331</f>
        <v>Lidocaine 1% or 2% without epinephrine (UG)</v>
      </c>
      <c r="F202" s="375" t="s">
        <v>47</v>
      </c>
    </row>
    <row r="203" spans="4:6" s="327" customFormat="1" x14ac:dyDescent="0.2">
      <c r="D203" s="328" t="str">
        <f>Intv_BA!D332</f>
        <v>Lidocaine 2% with epinephrine 1:80000 (ZM)</v>
      </c>
      <c r="F203" s="375" t="s">
        <v>47</v>
      </c>
    </row>
    <row r="204" spans="4:6" s="327" customFormat="1" x14ac:dyDescent="0.2">
      <c r="D204" s="328" t="str">
        <f>Intv_BA!D333</f>
        <v>Lidocaine: 2% with adrenalin 1:80000 (TZ)</v>
      </c>
      <c r="F204" s="375" t="s">
        <v>47</v>
      </c>
    </row>
    <row r="205" spans="4:6" s="327" customFormat="1" x14ac:dyDescent="0.2">
      <c r="D205" s="328" t="str">
        <f>Intv_BA!D334</f>
        <v>Liquid soap (UG)</v>
      </c>
      <c r="F205" s="375" t="s">
        <v>47</v>
      </c>
    </row>
    <row r="206" spans="4:6" s="327" customFormat="1" x14ac:dyDescent="0.2">
      <c r="D206" s="328" t="str">
        <f>Intv_BA!D335</f>
        <v>Lugol's iodine (UG)</v>
      </c>
      <c r="F206" s="375" t="s">
        <v>47</v>
      </c>
    </row>
    <row r="207" spans="4:6" s="327" customFormat="1" x14ac:dyDescent="0.2">
      <c r="D207" s="328" t="str">
        <f>Intv_BA!D336</f>
        <v>Mannitol (ZM)</v>
      </c>
      <c r="F207" s="375" t="s">
        <v>47</v>
      </c>
    </row>
    <row r="208" spans="4:6" s="327" customFormat="1" x14ac:dyDescent="0.2">
      <c r="D208" s="328" t="str">
        <f>Intv_BA!D337</f>
        <v>Metronizadol (200mg) (ZM)</v>
      </c>
      <c r="F208" s="375" t="s">
        <v>47</v>
      </c>
    </row>
    <row r="209" spans="4:6" s="327" customFormat="1" x14ac:dyDescent="0.2">
      <c r="D209" s="328" t="str">
        <f>Intv_BA!D338</f>
        <v>Metronizadol (200mg) (UG)</v>
      </c>
      <c r="F209" s="375" t="s">
        <v>47</v>
      </c>
    </row>
    <row r="210" spans="4:6" s="327" customFormat="1" x14ac:dyDescent="0.2">
      <c r="D210" s="328" t="str">
        <f>Intv_BA!D339</f>
        <v>Metronizadol (400mg) (UG)</v>
      </c>
      <c r="F210" s="375" t="s">
        <v>47</v>
      </c>
    </row>
    <row r="211" spans="4:6" s="327" customFormat="1" x14ac:dyDescent="0.2">
      <c r="D211" s="328" t="str">
        <f>Intv_BA!D340</f>
        <v>Mictomycin  C (10mg) (TZ)</v>
      </c>
      <c r="F211" s="375" t="s">
        <v>47</v>
      </c>
    </row>
    <row r="212" spans="4:6" s="327" customFormat="1" x14ac:dyDescent="0.2">
      <c r="D212" s="328" t="str">
        <f>Intv_BA!D341</f>
        <v>Mitomycin  C (10mg) (ZM)</v>
      </c>
      <c r="F212" s="375" t="s">
        <v>47</v>
      </c>
    </row>
    <row r="213" spans="4:6" s="327" customFormat="1" x14ac:dyDescent="0.2">
      <c r="D213" s="328" t="str">
        <f>Intv_BA!D342</f>
        <v>Monsel's solution (UG)</v>
      </c>
      <c r="F213" s="375" t="s">
        <v>47</v>
      </c>
    </row>
    <row r="214" spans="4:6" s="327" customFormat="1" x14ac:dyDescent="0.2">
      <c r="D214" s="328" t="str">
        <f>Intv_BA!D343</f>
        <v>Monsel's solution (ZM)</v>
      </c>
      <c r="F214" s="375" t="s">
        <v>47</v>
      </c>
    </row>
    <row r="215" spans="4:6" s="327" customFormat="1" x14ac:dyDescent="0.2">
      <c r="D215" s="328" t="str">
        <f>Intv_BA!D344</f>
        <v>Morphine (10mg) (ZM)</v>
      </c>
      <c r="F215" s="375" t="s">
        <v>47</v>
      </c>
    </row>
    <row r="216" spans="4:6" s="327" customFormat="1" x14ac:dyDescent="0.2">
      <c r="D216" s="328" t="str">
        <f>Intv_BA!D345</f>
        <v>Morphine (10mg) (TZ)</v>
      </c>
      <c r="F216" s="375" t="s">
        <v>47</v>
      </c>
    </row>
    <row r="217" spans="4:6" s="327" customFormat="1" x14ac:dyDescent="0.2">
      <c r="D217" s="328" t="str">
        <f>Intv_BA!D346</f>
        <v>Mutton Cloth (ZM)</v>
      </c>
      <c r="F217" s="375" t="s">
        <v>47</v>
      </c>
    </row>
    <row r="218" spans="4:6" s="327" customFormat="1" x14ac:dyDescent="0.2">
      <c r="D218" s="328" t="str">
        <f>Intv_BA!D347</f>
        <v>Needle – 18 or 20 gauge (TZ)</v>
      </c>
      <c r="F218" s="375" t="s">
        <v>47</v>
      </c>
    </row>
    <row r="219" spans="4:6" s="327" customFormat="1" x14ac:dyDescent="0.2">
      <c r="D219" s="328" t="str">
        <f>Intv_BA!D348</f>
        <v>Needle - Spinal 22G (disposable) (ZM)</v>
      </c>
      <c r="F219" s="375" t="s">
        <v>47</v>
      </c>
    </row>
    <row r="220" spans="4:6" s="327" customFormat="1" x14ac:dyDescent="0.2">
      <c r="D220" s="328" t="str">
        <f>Intv_BA!D349</f>
        <v>Needle - Spinal 22G (disposable) (TZ)</v>
      </c>
      <c r="F220" s="375" t="s">
        <v>47</v>
      </c>
    </row>
    <row r="221" spans="4:6" s="327" customFormat="1" x14ac:dyDescent="0.2">
      <c r="D221" s="328" t="str">
        <f>Intv_BA!D350</f>
        <v>Needles - Dental 27G Long (ZM)</v>
      </c>
      <c r="F221" s="375" t="s">
        <v>47</v>
      </c>
    </row>
    <row r="222" spans="4:6" s="327" customFormat="1" x14ac:dyDescent="0.2">
      <c r="D222" s="328" t="str">
        <f>Intv_BA!D351</f>
        <v>Neostymine (ZM)</v>
      </c>
      <c r="F222" s="375" t="s">
        <v>47</v>
      </c>
    </row>
    <row r="223" spans="4:6" s="327" customFormat="1" x14ac:dyDescent="0.2">
      <c r="D223" s="328" t="str">
        <f>Intv_BA!D352</f>
        <v>Normal saline (UG)</v>
      </c>
      <c r="F223" s="375" t="s">
        <v>47</v>
      </c>
    </row>
    <row r="224" spans="4:6" s="327" customFormat="1" x14ac:dyDescent="0.2">
      <c r="D224" s="328" t="str">
        <f>Intv_BA!D353</f>
        <v>Normal saline (ZM)</v>
      </c>
      <c r="F224" s="375" t="s">
        <v>47</v>
      </c>
    </row>
    <row r="225" spans="4:6" s="327" customFormat="1" x14ac:dyDescent="0.2">
      <c r="D225" s="328" t="str">
        <f>Intv_BA!D354</f>
        <v>Nystain (200mg) (UG)</v>
      </c>
      <c r="F225" s="375" t="s">
        <v>47</v>
      </c>
    </row>
    <row r="226" spans="4:6" s="327" customFormat="1" x14ac:dyDescent="0.2">
      <c r="D226" s="328" t="str">
        <f>Intv_BA!D355</f>
        <v>Ondansetron (IV) 4mg vials</v>
      </c>
      <c r="F226" s="375" t="s">
        <v>47</v>
      </c>
    </row>
    <row r="227" spans="4:6" s="327" customFormat="1" x14ac:dyDescent="0.2">
      <c r="D227" s="328" t="str">
        <f>Intv_BA!D356</f>
        <v>Ondasetron (oral) (4mg tablets)</v>
      </c>
      <c r="F227" s="375" t="s">
        <v>47</v>
      </c>
    </row>
    <row r="228" spans="4:6" s="327" customFormat="1" x14ac:dyDescent="0.2">
      <c r="D228" s="328" t="str">
        <f>Intv_BA!D357</f>
        <v>Opiods - Pethidine (ZM)</v>
      </c>
      <c r="F228" s="375" t="s">
        <v>47</v>
      </c>
    </row>
    <row r="229" spans="4:6" s="327" customFormat="1" x14ac:dyDescent="0.2">
      <c r="D229" s="328" t="str">
        <f>Intv_BA!D358</f>
        <v>Supplies Category 109</v>
      </c>
      <c r="F229" s="375" t="s">
        <v>47</v>
      </c>
    </row>
    <row r="230" spans="4:6" s="327" customFormat="1" x14ac:dyDescent="0.2">
      <c r="D230" s="328" t="str">
        <f>Intv_BA!D359</f>
        <v>Oralpharyngeal airway (ZM)</v>
      </c>
      <c r="F230" s="375" t="s">
        <v>47</v>
      </c>
    </row>
    <row r="231" spans="4:6" s="327" customFormat="1" x14ac:dyDescent="0.2">
      <c r="D231" s="328" t="str">
        <f>Intv_BA!D360</f>
        <v>Oxygen Mask (ZM)</v>
      </c>
      <c r="F231" s="375" t="s">
        <v>47</v>
      </c>
    </row>
    <row r="232" spans="4:6" s="327" customFormat="1" x14ac:dyDescent="0.2">
      <c r="D232" s="328" t="str">
        <f>Intv_BA!D361</f>
        <v>Pancuronuien (ZM)</v>
      </c>
      <c r="F232" s="375" t="s">
        <v>47</v>
      </c>
    </row>
    <row r="233" spans="4:6" s="327" customFormat="1" x14ac:dyDescent="0.2">
      <c r="D233" s="328" t="str">
        <f>Intv_BA!D362</f>
        <v>Paracetamol (1g) (UG)</v>
      </c>
      <c r="F233" s="375" t="s">
        <v>47</v>
      </c>
    </row>
    <row r="234" spans="4:6" s="327" customFormat="1" x14ac:dyDescent="0.2">
      <c r="D234" s="328" t="str">
        <f>Intv_BA!D363</f>
        <v>Paracetamol (500mg) (ZM)</v>
      </c>
      <c r="F234" s="375" t="s">
        <v>47</v>
      </c>
    </row>
    <row r="235" spans="4:6" s="327" customFormat="1" x14ac:dyDescent="0.2">
      <c r="D235" s="328" t="str">
        <f>Intv_BA!D364</f>
        <v>Paracetamol (500mg) (TZ)</v>
      </c>
      <c r="F235" s="375" t="s">
        <v>47</v>
      </c>
    </row>
    <row r="236" spans="4:6" s="327" customFormat="1" x14ac:dyDescent="0.2">
      <c r="D236" s="328" t="str">
        <f>Intv_BA!D365</f>
        <v>Paracetamol (500mg) (UG)</v>
      </c>
      <c r="F236" s="375" t="s">
        <v>47</v>
      </c>
    </row>
    <row r="237" spans="4:6" s="327" customFormat="1" x14ac:dyDescent="0.2">
      <c r="D237" s="328" t="str">
        <f>Intv_BA!D366</f>
        <v>Pathology form (TZ)</v>
      </c>
      <c r="F237" s="375" t="s">
        <v>47</v>
      </c>
    </row>
    <row r="238" spans="4:6" s="327" customFormat="1" x14ac:dyDescent="0.2">
      <c r="D238" s="328" t="str">
        <f>Intv_BA!D367</f>
        <v>Patient card (TZ)</v>
      </c>
      <c r="F238" s="375" t="s">
        <v>47</v>
      </c>
    </row>
    <row r="239" spans="4:6" s="327" customFormat="1" x14ac:dyDescent="0.2">
      <c r="D239" s="328" t="str">
        <f>Intv_BA!D368</f>
        <v>Pencil (TZ)</v>
      </c>
      <c r="F239" s="375" t="s">
        <v>47</v>
      </c>
    </row>
    <row r="240" spans="4:6" s="327" customFormat="1" x14ac:dyDescent="0.2">
      <c r="D240" s="328" t="str">
        <f>Intv_BA!D369</f>
        <v>Perthodine (TZ)</v>
      </c>
      <c r="F240" s="375" t="s">
        <v>47</v>
      </c>
    </row>
    <row r="241" spans="4:6" s="327" customFormat="1" x14ac:dyDescent="0.2">
      <c r="D241" s="328" t="str">
        <f>Intv_BA!D370</f>
        <v>Pipette Tips (TZ)</v>
      </c>
      <c r="F241" s="375" t="s">
        <v>47</v>
      </c>
    </row>
    <row r="242" spans="4:6" s="327" customFormat="1" x14ac:dyDescent="0.2">
      <c r="D242" s="328" t="str">
        <f>Intv_BA!D371</f>
        <v>Pipette, Fixed, 50 microlitre (TZ)</v>
      </c>
      <c r="F242" s="375" t="s">
        <v>47</v>
      </c>
    </row>
    <row r="243" spans="4:6" s="327" customFormat="1" x14ac:dyDescent="0.2">
      <c r="D243" s="328" t="str">
        <f>Intv_BA!D372</f>
        <v>Pipette, Repeater (TZ)</v>
      </c>
      <c r="F243" s="375" t="s">
        <v>47</v>
      </c>
    </row>
    <row r="244" spans="4:6" s="327" customFormat="1" x14ac:dyDescent="0.2">
      <c r="D244" s="328" t="str">
        <f>Intv_BA!D373</f>
        <v>Pregnancy test– urine test strip (ZM)</v>
      </c>
      <c r="F244" s="375" t="s">
        <v>47</v>
      </c>
    </row>
    <row r="245" spans="4:6" s="327" customFormat="1" x14ac:dyDescent="0.2">
      <c r="D245" s="328" t="str">
        <f>Intv_BA!D374</f>
        <v>Pregnancy tests – urine test strips (TZ)</v>
      </c>
      <c r="F245" s="375" t="s">
        <v>47</v>
      </c>
    </row>
    <row r="246" spans="4:6" s="327" customFormat="1" x14ac:dyDescent="0.2">
      <c r="D246" s="328" t="str">
        <f>Intv_BA!D375</f>
        <v>Profol, 2%, 20 mg/l, 50ml (ZM)</v>
      </c>
      <c r="F246" s="375" t="s">
        <v>47</v>
      </c>
    </row>
    <row r="247" spans="4:6" s="327" customFormat="1" x14ac:dyDescent="0.2">
      <c r="D247" s="328" t="str">
        <f>Intv_BA!D376</f>
        <v>Repeater Tips (TZ)</v>
      </c>
      <c r="F247" s="375" t="s">
        <v>47</v>
      </c>
    </row>
    <row r="248" spans="4:6" s="327" customFormat="1" x14ac:dyDescent="0.2">
      <c r="D248" s="328" t="str">
        <f>Intv_BA!D377</f>
        <v>Return electrode (UG)</v>
      </c>
      <c r="F248" s="375" t="s">
        <v>47</v>
      </c>
    </row>
    <row r="249" spans="4:6" s="327" customFormat="1" x14ac:dyDescent="0.2">
      <c r="D249" s="328" t="str">
        <f>Intv_BA!D378</f>
        <v>Saline solution, normal (ZM)</v>
      </c>
      <c r="F249" s="375" t="s">
        <v>47</v>
      </c>
    </row>
    <row r="250" spans="4:6" s="327" customFormat="1" x14ac:dyDescent="0.2">
      <c r="D250" s="328" t="str">
        <f>Intv_BA!D379</f>
        <v>Saline solution, normal (TZ)</v>
      </c>
      <c r="F250" s="375" t="s">
        <v>47</v>
      </c>
    </row>
    <row r="251" spans="4:6" s="327" customFormat="1" x14ac:dyDescent="0.2">
      <c r="D251" s="328" t="str">
        <f>Intv_BA!D380</f>
        <v>Sanitary pad (ZM)</v>
      </c>
      <c r="F251" s="375" t="s">
        <v>47</v>
      </c>
    </row>
    <row r="252" spans="4:6" s="327" customFormat="1" x14ac:dyDescent="0.2">
      <c r="D252" s="328" t="str">
        <f>Intv_BA!D381</f>
        <v>Sanitary pad (UG)</v>
      </c>
      <c r="F252" s="375" t="s">
        <v>47</v>
      </c>
    </row>
    <row r="253" spans="4:6" s="327" customFormat="1" x14ac:dyDescent="0.2">
      <c r="D253" s="328" t="str">
        <f>Intv_BA!D382</f>
        <v>Scouring Powder (Ajax)</v>
      </c>
      <c r="F253" s="375" t="s">
        <v>47</v>
      </c>
    </row>
    <row r="254" spans="4:6" s="327" customFormat="1" x14ac:dyDescent="0.2">
      <c r="D254" s="328" t="str">
        <f>Intv_BA!D383</f>
        <v>Soap (or hand sanitizer) (ZM)</v>
      </c>
      <c r="F254" s="375" t="s">
        <v>47</v>
      </c>
    </row>
    <row r="255" spans="4:6" s="327" customFormat="1" x14ac:dyDescent="0.2">
      <c r="D255" s="328" t="str">
        <f>Intv_BA!D384</f>
        <v>Soap (or hand sanitizer) (TZ)</v>
      </c>
      <c r="F255" s="375" t="s">
        <v>47</v>
      </c>
    </row>
    <row r="256" spans="4:6" s="327" customFormat="1" x14ac:dyDescent="0.2">
      <c r="D256" s="328" t="str">
        <f>Intv_BA!D385</f>
        <v>Specimen bottle / recyled syringe bottles (UG)</v>
      </c>
      <c r="F256" s="375" t="s">
        <v>47</v>
      </c>
    </row>
    <row r="257" spans="4:6" s="327" customFormat="1" x14ac:dyDescent="0.2">
      <c r="D257" s="328" t="str">
        <f>Intv_BA!D386</f>
        <v>Specimen cup with lid and label - 100 cc (TZ)</v>
      </c>
      <c r="F257" s="375" t="s">
        <v>47</v>
      </c>
    </row>
    <row r="258" spans="4:6" s="327" customFormat="1" x14ac:dyDescent="0.2">
      <c r="D258" s="328" t="str">
        <f>Intv_BA!D387</f>
        <v>Surgical Apron (ZM)</v>
      </c>
      <c r="F258" s="375" t="s">
        <v>47</v>
      </c>
    </row>
    <row r="259" spans="4:6" s="327" customFormat="1" x14ac:dyDescent="0.2">
      <c r="D259" s="328" t="str">
        <f>Intv_BA!D388</f>
        <v>Suxamethonium (ZM)</v>
      </c>
      <c r="F259" s="375" t="s">
        <v>47</v>
      </c>
    </row>
    <row r="260" spans="4:6" s="327" customFormat="1" x14ac:dyDescent="0.2">
      <c r="D260" s="328" t="str">
        <f>Intv_BA!D389</f>
        <v>Syringe - 2cc (ZM)</v>
      </c>
      <c r="F260" s="375" t="s">
        <v>47</v>
      </c>
    </row>
    <row r="261" spans="4:6" s="327" customFormat="1" x14ac:dyDescent="0.2">
      <c r="D261" s="328" t="str">
        <f>Intv_BA!D390</f>
        <v>Syringe - 2ml (UG)</v>
      </c>
      <c r="F261" s="375" t="s">
        <v>47</v>
      </c>
    </row>
    <row r="262" spans="4:6" s="327" customFormat="1" x14ac:dyDescent="0.2">
      <c r="D262" s="328" t="str">
        <f>Intv_BA!D391</f>
        <v>Syringe, 10 cc with needle (ZM)</v>
      </c>
      <c r="F262" s="375" t="s">
        <v>47</v>
      </c>
    </row>
    <row r="263" spans="4:6" s="327" customFormat="1" x14ac:dyDescent="0.2">
      <c r="D263" s="328" t="str">
        <f>Intv_BA!D392</f>
        <v>Syringe, 5 cc with needle (ZM)</v>
      </c>
      <c r="F263" s="375" t="s">
        <v>47</v>
      </c>
    </row>
    <row r="264" spans="4:6" s="327" customFormat="1" x14ac:dyDescent="0.2">
      <c r="D264" s="328" t="str">
        <f>Intv_BA!D393</f>
        <v>Syringes, 10 cc with needle (TZ)</v>
      </c>
      <c r="F264" s="375" t="s">
        <v>47</v>
      </c>
    </row>
    <row r="265" spans="4:6" s="327" customFormat="1" x14ac:dyDescent="0.2">
      <c r="D265" s="328" t="str">
        <f>Intv_BA!D394</f>
        <v>Syringes, 5 cc with needle (TZ)</v>
      </c>
      <c r="F265" s="375" t="s">
        <v>47</v>
      </c>
    </row>
    <row r="266" spans="4:6" s="327" customFormat="1" x14ac:dyDescent="0.2">
      <c r="D266" s="328" t="str">
        <f>Intv_BA!D395</f>
        <v>Syringes, Dental, 25 gauge (ZM)</v>
      </c>
      <c r="F266" s="375" t="s">
        <v>47</v>
      </c>
    </row>
    <row r="267" spans="4:6" s="327" customFormat="1" x14ac:dyDescent="0.2">
      <c r="D267" s="328" t="str">
        <f>Intv_BA!D396</f>
        <v>Thiopentone,500mg vial (ZM)</v>
      </c>
      <c r="F267" s="375" t="s">
        <v>47</v>
      </c>
    </row>
    <row r="268" spans="4:6" s="327" customFormat="1" x14ac:dyDescent="0.2">
      <c r="D268" s="328" t="str">
        <f>Intv_BA!D397</f>
        <v>Toilet Tissues (roll) – 500 sheets (ZM)</v>
      </c>
      <c r="F268" s="375" t="s">
        <v>47</v>
      </c>
    </row>
    <row r="269" spans="4:6" s="327" customFormat="1" x14ac:dyDescent="0.2">
      <c r="D269" s="328" t="str">
        <f>Intv_BA!D398</f>
        <v>Tramadol (50mg)  (ZM)</v>
      </c>
      <c r="F269" s="375" t="s">
        <v>47</v>
      </c>
    </row>
    <row r="270" spans="4:6" s="327" customFormat="1" x14ac:dyDescent="0.2">
      <c r="D270" s="328" t="str">
        <f>Intv_BA!D399</f>
        <v>Tramadol (50mg) (TZ)</v>
      </c>
      <c r="F270" s="375" t="s">
        <v>47</v>
      </c>
    </row>
    <row r="271" spans="4:6" s="327" customFormat="1" x14ac:dyDescent="0.2">
      <c r="D271" s="328" t="str">
        <f>Intv_BA!D400</f>
        <v>Tubes - Endotrach (ZM)</v>
      </c>
      <c r="F271" s="375" t="s">
        <v>47</v>
      </c>
    </row>
    <row r="272" spans="4:6" s="327" customFormat="1" x14ac:dyDescent="0.2">
      <c r="D272" s="328" t="str">
        <f>Intv_BA!D401</f>
        <v>Urine Bag (ZM)</v>
      </c>
      <c r="F272" s="375" t="s">
        <v>47</v>
      </c>
    </row>
    <row r="273" spans="4:6" s="327" customFormat="1" x14ac:dyDescent="0.2">
      <c r="D273" s="328" t="str">
        <f>Intv_BA!D402</f>
        <v>Urine Bag (TZ)</v>
      </c>
      <c r="F273" s="375" t="s">
        <v>47</v>
      </c>
    </row>
    <row r="274" spans="4:6" s="327" customFormat="1" x14ac:dyDescent="0.2">
      <c r="D274" s="328" t="str">
        <f>Intv_BA!D403</f>
        <v>Washing powder (ZM)</v>
      </c>
      <c r="F274" s="375" t="s">
        <v>47</v>
      </c>
    </row>
    <row r="275" spans="4:6" s="327" customFormat="1" x14ac:dyDescent="0.2">
      <c r="D275" s="328" t="str">
        <f>Intv_BA!D404</f>
        <v>Wire electrode (UG)</v>
      </c>
      <c r="F275" s="375" t="s">
        <v>47</v>
      </c>
    </row>
    <row r="276" spans="4:6" s="327" customFormat="1" x14ac:dyDescent="0.2">
      <c r="D276" s="328" t="str">
        <f>Intv_BA!D405</f>
        <v>Wood stick (ZM)</v>
      </c>
      <c r="F276" s="375" t="s">
        <v>47</v>
      </c>
    </row>
    <row r="277" spans="4:6" s="327" customFormat="1" x14ac:dyDescent="0.2">
      <c r="D277" s="328" t="str">
        <f>Intv_BA!D406</f>
        <v>Wood stick (TZ)</v>
      </c>
      <c r="F277" s="375" t="s">
        <v>47</v>
      </c>
    </row>
    <row r="278" spans="4:6" s="327" customFormat="1" x14ac:dyDescent="0.2">
      <c r="D278" s="328" t="str">
        <f>Intv_BA!D407</f>
        <v>Supplies Category 158</v>
      </c>
      <c r="F278" s="375" t="s">
        <v>47</v>
      </c>
    </row>
    <row r="279" spans="4:6" s="327" customFormat="1" x14ac:dyDescent="0.2">
      <c r="D279" s="328" t="str">
        <f>Intv_BA!D408</f>
        <v>Supplies Category 159</v>
      </c>
      <c r="F279" s="375" t="s">
        <v>47</v>
      </c>
    </row>
    <row r="280" spans="4:6" s="327" customFormat="1" x14ac:dyDescent="0.2">
      <c r="D280" s="328" t="str">
        <f>Intv_BA!D409</f>
        <v>Supplies Category 160</v>
      </c>
      <c r="F280" s="375" t="s">
        <v>47</v>
      </c>
    </row>
    <row r="281" spans="4:6" s="327" customFormat="1" x14ac:dyDescent="0.2">
      <c r="D281" s="328" t="str">
        <f>Intv_BA!D410</f>
        <v>Supplies Category 161</v>
      </c>
      <c r="F281" s="375" t="s">
        <v>47</v>
      </c>
    </row>
    <row r="282" spans="4:6" s="327" customFormat="1" x14ac:dyDescent="0.2">
      <c r="D282" s="328" t="str">
        <f>Intv_BA!D411</f>
        <v>Supplies Category 162</v>
      </c>
      <c r="F282" s="375" t="s">
        <v>47</v>
      </c>
    </row>
    <row r="283" spans="4:6" s="327" customFormat="1" x14ac:dyDescent="0.2">
      <c r="D283" s="328" t="str">
        <f>Intv_BA!D412</f>
        <v>Supplies Category 163</v>
      </c>
      <c r="F283" s="375" t="s">
        <v>47</v>
      </c>
    </row>
    <row r="284" spans="4:6" s="327" customFormat="1" x14ac:dyDescent="0.2">
      <c r="D284" s="328" t="str">
        <f>Intv_BA!D413</f>
        <v>Other Supply (Specify)</v>
      </c>
      <c r="F284" s="375" t="s">
        <v>47</v>
      </c>
    </row>
    <row r="285" spans="4:6" s="327" customFormat="1" x14ac:dyDescent="0.2">
      <c r="D285" s="328" t="str">
        <f>Intv_BA!D414</f>
        <v>Other Supply (Specify)</v>
      </c>
      <c r="F285" s="375" t="s">
        <v>47</v>
      </c>
    </row>
    <row r="286" spans="4:6" s="327" customFormat="1" x14ac:dyDescent="0.2">
      <c r="D286" s="328" t="str">
        <f>Intv_BA!D415</f>
        <v>Other Supply (Specify)</v>
      </c>
      <c r="F286" s="375" t="s">
        <v>47</v>
      </c>
    </row>
    <row r="287" spans="4:6" s="327" customFormat="1" x14ac:dyDescent="0.2">
      <c r="D287" s="328" t="str">
        <f>Intv_BA!D416</f>
        <v>Other Supply (Specify)</v>
      </c>
      <c r="F287" s="375" t="s">
        <v>47</v>
      </c>
    </row>
    <row r="288" spans="4:6" s="327" customFormat="1" x14ac:dyDescent="0.2"/>
    <row r="289" spans="3:6" s="327" customFormat="1" ht="15.75" x14ac:dyDescent="0.2">
      <c r="C289" s="330" t="s">
        <v>313</v>
      </c>
      <c r="F289" s="330" t="s">
        <v>32</v>
      </c>
    </row>
    <row r="290" spans="3:6" s="327" customFormat="1" x14ac:dyDescent="0.2"/>
    <row r="291" spans="3:6" s="327" customFormat="1" x14ac:dyDescent="0.2">
      <c r="D291" s="331" t="s">
        <v>313</v>
      </c>
      <c r="F291" s="643" t="s">
        <v>360</v>
      </c>
    </row>
    <row r="292" spans="3:6" s="327" customFormat="1" x14ac:dyDescent="0.2">
      <c r="D292" s="328" t="str">
        <f>Intv_BA!D419</f>
        <v>_Not Applicable</v>
      </c>
      <c r="F292" s="375" t="s">
        <v>47</v>
      </c>
    </row>
    <row r="293" spans="3:6" s="327" customFormat="1" x14ac:dyDescent="0.2">
      <c r="D293" s="328" t="str">
        <f>Intv_BA!D420</f>
        <v>Aluminum pail with lid (TZ)</v>
      </c>
      <c r="F293" s="375" t="s">
        <v>47</v>
      </c>
    </row>
    <row r="294" spans="3:6" s="327" customFormat="1" x14ac:dyDescent="0.2">
      <c r="D294" s="328" t="str">
        <f>Intv_BA!D421</f>
        <v>Autoclaving Machine (ZM)</v>
      </c>
      <c r="F294" s="375" t="s">
        <v>47</v>
      </c>
    </row>
    <row r="295" spans="3:6" s="327" customFormat="1" x14ac:dyDescent="0.2">
      <c r="D295" s="328" t="str">
        <f>Intv_BA!D422</f>
        <v>Ball electrode  5mm/Ellman (ZM)</v>
      </c>
      <c r="F295" s="375" t="s">
        <v>47</v>
      </c>
    </row>
    <row r="296" spans="3:6" s="327" customFormat="1" x14ac:dyDescent="0.2">
      <c r="D296" s="328" t="str">
        <f>Intv_BA!D423</f>
        <v>Basin (for examination couch) (ZM)</v>
      </c>
      <c r="F296" s="375" t="s">
        <v>47</v>
      </c>
    </row>
    <row r="297" spans="3:6" s="327" customFormat="1" x14ac:dyDescent="0.2">
      <c r="D297" s="328" t="str">
        <f>Intv_BA!D424</f>
        <v>Battery Charger (ZM)</v>
      </c>
      <c r="F297" s="375" t="s">
        <v>47</v>
      </c>
    </row>
    <row r="298" spans="3:6" s="327" customFormat="1" x14ac:dyDescent="0.2">
      <c r="D298" s="328" t="str">
        <f>Intv_BA!D425</f>
        <v>Bucket (UG)</v>
      </c>
      <c r="F298" s="375" t="s">
        <v>47</v>
      </c>
    </row>
    <row r="299" spans="3:6" s="327" customFormat="1" x14ac:dyDescent="0.2">
      <c r="D299" s="328" t="str">
        <f>Intv_BA!D426</f>
        <v>Bucket 20Lt plastic with lid (ZM)</v>
      </c>
      <c r="F299" s="375" t="s">
        <v>47</v>
      </c>
    </row>
    <row r="300" spans="3:6" s="327" customFormat="1" x14ac:dyDescent="0.2">
      <c r="D300" s="328" t="str">
        <f>Intv_BA!D427</f>
        <v>Camera Rechargeable batteries ( set of 6) (ZM)</v>
      </c>
      <c r="F300" s="375" t="s">
        <v>47</v>
      </c>
    </row>
    <row r="301" spans="3:6" s="327" customFormat="1" x14ac:dyDescent="0.2">
      <c r="D301" s="328" t="str">
        <f>Intv_BA!D428</f>
        <v>Card Reader (ZM)</v>
      </c>
      <c r="F301" s="375" t="s">
        <v>47</v>
      </c>
    </row>
    <row r="302" spans="3:6" s="327" customFormat="1" x14ac:dyDescent="0.2">
      <c r="D302" s="328" t="str">
        <f>Intv_BA!D429</f>
        <v>CareHPV Machine (kit set) (ZM)</v>
      </c>
      <c r="F302" s="375" t="s">
        <v>47</v>
      </c>
    </row>
    <row r="303" spans="3:6" s="327" customFormat="1" x14ac:dyDescent="0.2">
      <c r="D303" s="328" t="str">
        <f>Intv_BA!D430</f>
        <v>CareHPV Machine (kit)  (TZ)</v>
      </c>
      <c r="F303" s="375" t="s">
        <v>47</v>
      </c>
    </row>
    <row r="304" spans="3:6" s="327" customFormat="1" x14ac:dyDescent="0.2">
      <c r="D304" s="328" t="str">
        <f>Intv_BA!D431</f>
        <v>Cauterizer (ZM)</v>
      </c>
      <c r="F304" s="375" t="s">
        <v>47</v>
      </c>
    </row>
    <row r="305" spans="4:6" s="327" customFormat="1" x14ac:dyDescent="0.2">
      <c r="D305" s="328" t="str">
        <f>Intv_BA!D432</f>
        <v>Cauterizer  (TZ)</v>
      </c>
      <c r="F305" s="375" t="s">
        <v>47</v>
      </c>
    </row>
    <row r="306" spans="4:6" s="327" customFormat="1" x14ac:dyDescent="0.2">
      <c r="D306" s="328" t="str">
        <f>Intv_BA!D433</f>
        <v>Cervical Cold Coagulator with Instrument Cable and Therapy Probe (ZM)</v>
      </c>
      <c r="F306" s="375" t="s">
        <v>47</v>
      </c>
    </row>
    <row r="307" spans="4:6" s="327" customFormat="1" x14ac:dyDescent="0.2">
      <c r="D307" s="328" t="str">
        <f>Intv_BA!D434</f>
        <v>Chair (ZM)</v>
      </c>
      <c r="F307" s="375" t="s">
        <v>47</v>
      </c>
    </row>
    <row r="308" spans="4:6" s="327" customFormat="1" x14ac:dyDescent="0.2">
      <c r="D308" s="328" t="str">
        <f>Intv_BA!D435</f>
        <v>Cheetal forceps (UG)</v>
      </c>
      <c r="F308" s="375" t="s">
        <v>47</v>
      </c>
    </row>
    <row r="309" spans="4:6" s="327" customFormat="1" x14ac:dyDescent="0.2">
      <c r="D309" s="328" t="str">
        <f>Intv_BA!D436</f>
        <v>Colposcope (set) (ZM)</v>
      </c>
      <c r="F309" s="375" t="s">
        <v>47</v>
      </c>
    </row>
    <row r="310" spans="4:6" s="327" customFormat="1" x14ac:dyDescent="0.2">
      <c r="D310" s="328" t="str">
        <f>Intv_BA!D437</f>
        <v>Colposcope (UG)</v>
      </c>
      <c r="F310" s="375" t="s">
        <v>47</v>
      </c>
    </row>
    <row r="311" spans="4:6" s="327" customFormat="1" x14ac:dyDescent="0.2">
      <c r="D311" s="328" t="str">
        <f>Intv_BA!D438</f>
        <v>Colposcopy equipment (TZ)</v>
      </c>
      <c r="F311" s="375" t="s">
        <v>47</v>
      </c>
    </row>
    <row r="312" spans="4:6" s="327" customFormat="1" x14ac:dyDescent="0.2">
      <c r="D312" s="328" t="str">
        <f>Intv_BA!D439</f>
        <v>Cryotherapy unit (UG)</v>
      </c>
      <c r="F312" s="375" t="s">
        <v>47</v>
      </c>
    </row>
    <row r="313" spans="4:6" s="327" customFormat="1" x14ac:dyDescent="0.2">
      <c r="D313" s="328" t="str">
        <f>Intv_BA!D440</f>
        <v>Cryotherapy Unit with cryotips (set) (ZM)</v>
      </c>
      <c r="F313" s="375" t="s">
        <v>47</v>
      </c>
    </row>
    <row r="314" spans="4:6" s="327" customFormat="1" x14ac:dyDescent="0.2">
      <c r="D314" s="328" t="str">
        <f>Intv_BA!D441</f>
        <v>Cryotherapy Unit with cryotips (TZ)</v>
      </c>
      <c r="F314" s="375" t="s">
        <v>47</v>
      </c>
    </row>
    <row r="315" spans="4:6" s="327" customFormat="1" x14ac:dyDescent="0.2">
      <c r="D315" s="328" t="str">
        <f>Intv_BA!D442</f>
        <v>Digital Camera (ZM)</v>
      </c>
      <c r="F315" s="375" t="s">
        <v>47</v>
      </c>
    </row>
    <row r="316" spans="4:6" s="327" customFormat="1" x14ac:dyDescent="0.2">
      <c r="D316" s="328" t="str">
        <f>Intv_BA!D443</f>
        <v>Dissecting forceps – 12.5 cm  (TZ)</v>
      </c>
      <c r="F316" s="375" t="s">
        <v>47</v>
      </c>
    </row>
    <row r="317" spans="4:6" s="327" customFormat="1" x14ac:dyDescent="0.2">
      <c r="D317" s="328" t="str">
        <f>Intv_BA!D444</f>
        <v>Doctor's Stool (ZM)</v>
      </c>
      <c r="F317" s="375" t="s">
        <v>47</v>
      </c>
    </row>
    <row r="318" spans="4:6" s="327" customFormat="1" x14ac:dyDescent="0.2">
      <c r="D318" s="328" t="str">
        <f>Intv_BA!D445</f>
        <v>Endocervical speculum  (UG)</v>
      </c>
      <c r="F318" s="375" t="s">
        <v>47</v>
      </c>
    </row>
    <row r="319" spans="4:6" s="327" customFormat="1" x14ac:dyDescent="0.2">
      <c r="D319" s="328" t="str">
        <f>Intv_BA!D446</f>
        <v>Examination bed (UG)</v>
      </c>
      <c r="F319" s="375" t="s">
        <v>47</v>
      </c>
    </row>
    <row r="320" spans="4:6" s="327" customFormat="1" x14ac:dyDescent="0.2">
      <c r="D320" s="328" t="str">
        <f>Intv_BA!D447</f>
        <v>Examination couch (with Stirrups) (ZM)</v>
      </c>
      <c r="F320" s="375" t="s">
        <v>47</v>
      </c>
    </row>
    <row r="321" spans="4:6" s="327" customFormat="1" x14ac:dyDescent="0.2">
      <c r="D321" s="328" t="str">
        <f>Intv_BA!D448</f>
        <v>Examination light (Halogen, no bulb) (ZM)</v>
      </c>
      <c r="F321" s="375" t="s">
        <v>47</v>
      </c>
    </row>
    <row r="322" spans="4:6" s="327" customFormat="1" x14ac:dyDescent="0.2">
      <c r="D322" s="328" t="str">
        <f>Intv_BA!D449</f>
        <v>Examination light source  (TZ)</v>
      </c>
      <c r="F322" s="375" t="s">
        <v>47</v>
      </c>
    </row>
    <row r="323" spans="4:6" s="327" customFormat="1" x14ac:dyDescent="0.2">
      <c r="D323" s="328" t="str">
        <f>Intv_BA!D450</f>
        <v>Examination light source (Halogen) with bulb (set) (ZM)</v>
      </c>
      <c r="F323" s="375" t="s">
        <v>47</v>
      </c>
    </row>
    <row r="324" spans="4:6" s="327" customFormat="1" x14ac:dyDescent="0.2">
      <c r="D324" s="328" t="str">
        <f>Intv_BA!D451</f>
        <v>Examination table (UG)</v>
      </c>
      <c r="F324" s="375" t="s">
        <v>47</v>
      </c>
    </row>
    <row r="325" spans="4:6" s="327" customFormat="1" x14ac:dyDescent="0.2">
      <c r="D325" s="328" t="str">
        <f>Intv_BA!D452</f>
        <v>Filing Cabinet (ZM)</v>
      </c>
      <c r="F325" s="375" t="s">
        <v>47</v>
      </c>
    </row>
    <row r="326" spans="4:6" s="327" customFormat="1" x14ac:dyDescent="0.2">
      <c r="D326" s="328" t="str">
        <f>Intv_BA!D453</f>
        <v>Forceps (UG)</v>
      </c>
      <c r="F326" s="375" t="s">
        <v>47</v>
      </c>
    </row>
    <row r="327" spans="4:6" s="327" customFormat="1" x14ac:dyDescent="0.2">
      <c r="D327" s="328" t="str">
        <f>Intv_BA!D454</f>
        <v>Forceps Babcocks  (ZM)</v>
      </c>
      <c r="F327" s="375" t="s">
        <v>47</v>
      </c>
    </row>
    <row r="328" spans="4:6" s="327" customFormat="1" x14ac:dyDescent="0.2">
      <c r="D328" s="328" t="str">
        <f>Intv_BA!D455</f>
        <v>Forceps tissue - babcocks  (TZ)</v>
      </c>
      <c r="F328" s="375" t="s">
        <v>47</v>
      </c>
    </row>
    <row r="329" spans="4:6" s="327" customFormat="1" x14ac:dyDescent="0.2">
      <c r="D329" s="328" t="str">
        <f>Intv_BA!D456</f>
        <v>Forceps tissue - long  (TZ)</v>
      </c>
      <c r="F329" s="375" t="s">
        <v>47</v>
      </c>
    </row>
    <row r="330" spans="4:6" s="327" customFormat="1" x14ac:dyDescent="0.2">
      <c r="D330" s="328" t="str">
        <f>Intv_BA!D457</f>
        <v>Forceps tissue- litlewoods 19 cm  (TZ)</v>
      </c>
      <c r="F330" s="375" t="s">
        <v>47</v>
      </c>
    </row>
    <row r="331" spans="4:6" s="327" customFormat="1" x14ac:dyDescent="0.2">
      <c r="D331" s="328" t="str">
        <f>Intv_BA!D458</f>
        <v>Forceps, Cheetal (ZM)</v>
      </c>
      <c r="F331" s="375" t="s">
        <v>47</v>
      </c>
    </row>
    <row r="332" spans="4:6" s="327" customFormat="1" x14ac:dyDescent="0.2">
      <c r="D332" s="328" t="str">
        <f>Intv_BA!D459</f>
        <v>Forceps, Dissecting - 12.5 cm (ZM)</v>
      </c>
      <c r="F332" s="375" t="s">
        <v>47</v>
      </c>
    </row>
    <row r="333" spans="4:6" s="327" customFormat="1" x14ac:dyDescent="0.2">
      <c r="D333" s="328" t="str">
        <f>Intv_BA!D460</f>
        <v>Forceps, Littlewoods 19 cm (ZM)</v>
      </c>
      <c r="F333" s="375" t="s">
        <v>47</v>
      </c>
    </row>
    <row r="334" spans="4:6" s="327" customFormat="1" x14ac:dyDescent="0.2">
      <c r="D334" s="328" t="str">
        <f>Intv_BA!D461</f>
        <v>Forceps, Long  (ZM)</v>
      </c>
      <c r="F334" s="375" t="s">
        <v>47</v>
      </c>
    </row>
    <row r="335" spans="4:6" s="327" customFormat="1" x14ac:dyDescent="0.2">
      <c r="D335" s="328" t="str">
        <f>Intv_BA!D462</f>
        <v>Forceps, ovum (ZM)</v>
      </c>
      <c r="F335" s="375" t="s">
        <v>47</v>
      </c>
    </row>
    <row r="336" spans="4:6" s="327" customFormat="1" x14ac:dyDescent="0.2">
      <c r="D336" s="328" t="str">
        <f>Intv_BA!D463</f>
        <v>Forceps, ovum  (TZ)</v>
      </c>
      <c r="F336" s="375" t="s">
        <v>47</v>
      </c>
    </row>
    <row r="337" spans="4:6" s="327" customFormat="1" x14ac:dyDescent="0.2">
      <c r="D337" s="328" t="str">
        <f>Intv_BA!D464</f>
        <v>Forceps, Punch biopsy (ZM)</v>
      </c>
      <c r="F337" s="375" t="s">
        <v>47</v>
      </c>
    </row>
    <row r="338" spans="4:6" s="327" customFormat="1" x14ac:dyDescent="0.2">
      <c r="D338" s="328" t="str">
        <f>Intv_BA!D465</f>
        <v>Forceps, punch biopsy (TZ)</v>
      </c>
      <c r="F338" s="375" t="s">
        <v>47</v>
      </c>
    </row>
    <row r="339" spans="4:6" s="327" customFormat="1" x14ac:dyDescent="0.2">
      <c r="D339" s="328" t="str">
        <f>Intv_BA!D466</f>
        <v>Forceps, Sponge holder (ZM)</v>
      </c>
      <c r="F339" s="375" t="s">
        <v>47</v>
      </c>
    </row>
    <row r="340" spans="4:6" s="327" customFormat="1" x14ac:dyDescent="0.2">
      <c r="D340" s="328" t="str">
        <f>Intv_BA!D467</f>
        <v>Forceps, sponge holder  (TZ)</v>
      </c>
      <c r="F340" s="375" t="s">
        <v>47</v>
      </c>
    </row>
    <row r="341" spans="4:6" s="327" customFormat="1" x14ac:dyDescent="0.2">
      <c r="D341" s="328" t="str">
        <f>Intv_BA!D468</f>
        <v>Gallipot (ZM)</v>
      </c>
      <c r="F341" s="375" t="s">
        <v>47</v>
      </c>
    </row>
    <row r="342" spans="4:6" s="327" customFormat="1" x14ac:dyDescent="0.2">
      <c r="D342" s="328" t="str">
        <f>Intv_BA!D469</f>
        <v>Gallipot (UG)</v>
      </c>
      <c r="F342" s="375" t="s">
        <v>47</v>
      </c>
    </row>
    <row r="343" spans="4:6" s="327" customFormat="1" x14ac:dyDescent="0.2">
      <c r="D343" s="328" t="str">
        <f>Intv_BA!D470</f>
        <v>Gas cylinder adaptor (ZM)</v>
      </c>
      <c r="F343" s="375" t="s">
        <v>47</v>
      </c>
    </row>
    <row r="344" spans="4:6" s="327" customFormat="1" x14ac:dyDescent="0.2">
      <c r="D344" s="328" t="str">
        <f>Intv_BA!D471</f>
        <v>Gas cylinder adaptor  (TZ)</v>
      </c>
      <c r="F344" s="375" t="s">
        <v>47</v>
      </c>
    </row>
    <row r="345" spans="4:6" s="327" customFormat="1" x14ac:dyDescent="0.2">
      <c r="D345" s="328" t="str">
        <f>Intv_BA!D472</f>
        <v>Gynecological examination bed  (TZ)</v>
      </c>
      <c r="F345" s="375" t="s">
        <v>47</v>
      </c>
    </row>
    <row r="346" spans="4:6" s="327" customFormat="1" x14ac:dyDescent="0.2">
      <c r="D346" s="328" t="str">
        <f>Intv_BA!D473</f>
        <v>Halogen Bulbs (ZM)</v>
      </c>
      <c r="F346" s="375" t="s">
        <v>47</v>
      </c>
    </row>
    <row r="347" spans="4:6" s="327" customFormat="1" x14ac:dyDescent="0.2">
      <c r="D347" s="328" t="str">
        <f>Intv_BA!D474</f>
        <v>Hysterectomy Set (ZM)</v>
      </c>
      <c r="F347" s="375" t="s">
        <v>47</v>
      </c>
    </row>
    <row r="348" spans="4:6" s="327" customFormat="1" x14ac:dyDescent="0.2">
      <c r="D348" s="328" t="str">
        <f>Intv_BA!D475</f>
        <v>Instrument tray (ZM)</v>
      </c>
      <c r="F348" s="375" t="s">
        <v>47</v>
      </c>
    </row>
    <row r="349" spans="4:6" s="327" customFormat="1" x14ac:dyDescent="0.2">
      <c r="D349" s="328" t="str">
        <f>Intv_BA!D476</f>
        <v>Instrument tray  (TZ)</v>
      </c>
      <c r="F349" s="375" t="s">
        <v>47</v>
      </c>
    </row>
    <row r="350" spans="4:6" s="327" customFormat="1" x14ac:dyDescent="0.2">
      <c r="D350" s="328" t="str">
        <f>Intv_BA!D477</f>
        <v>Kidney Dish (ZM)</v>
      </c>
      <c r="F350" s="375" t="s">
        <v>47</v>
      </c>
    </row>
    <row r="351" spans="4:6" s="327" customFormat="1" x14ac:dyDescent="0.2">
      <c r="D351" s="328" t="str">
        <f>Intv_BA!D478</f>
        <v>Kidney Dish (UG)</v>
      </c>
      <c r="F351" s="375" t="s">
        <v>47</v>
      </c>
    </row>
    <row r="352" spans="4:6" s="327" customFormat="1" x14ac:dyDescent="0.2">
      <c r="D352" s="328" t="str">
        <f>Intv_BA!D479</f>
        <v>Lamp (UG)</v>
      </c>
      <c r="F352" s="375" t="s">
        <v>47</v>
      </c>
    </row>
    <row r="353" spans="4:6" s="327" customFormat="1" x14ac:dyDescent="0.2">
      <c r="D353" s="328" t="str">
        <f>Intv_BA!D480</f>
        <v>Laptop / Desktop Computer (ZM)</v>
      </c>
      <c r="F353" s="375" t="s">
        <v>47</v>
      </c>
    </row>
    <row r="354" spans="4:6" s="327" customFormat="1" x14ac:dyDescent="0.2">
      <c r="D354" s="328" t="str">
        <f>Intv_BA!D481</f>
        <v>LEEP Equipment  (TZ)</v>
      </c>
      <c r="F354" s="375" t="s">
        <v>47</v>
      </c>
    </row>
    <row r="355" spans="4:6" s="327" customFormat="1" x14ac:dyDescent="0.2">
      <c r="D355" s="328" t="str">
        <f>Intv_BA!D482</f>
        <v>LEEP machine plus smoke evacuator system plus accessories (ZM)</v>
      </c>
      <c r="F355" s="375" t="s">
        <v>47</v>
      </c>
    </row>
    <row r="356" spans="4:6" s="327" customFormat="1" x14ac:dyDescent="0.2">
      <c r="D356" s="328" t="str">
        <f>Intv_BA!D483</f>
        <v>LEEP machine  with coated speculums (UG)</v>
      </c>
      <c r="F356" s="375" t="s">
        <v>47</v>
      </c>
    </row>
    <row r="357" spans="4:6" s="327" customFormat="1" x14ac:dyDescent="0.2">
      <c r="D357" s="328" t="str">
        <f>Intv_BA!D484</f>
        <v>Lensmate SX 40 Filter Adapter 58mm (ZM)</v>
      </c>
      <c r="F357" s="375" t="s">
        <v>47</v>
      </c>
    </row>
    <row r="358" spans="4:6" s="327" customFormat="1" x14ac:dyDescent="0.2">
      <c r="D358" s="328" t="str">
        <f>Intv_BA!D485</f>
        <v>Loop Electrodes - 5 mm x 5mm (Ellman) (ZM)</v>
      </c>
      <c r="F358" s="375" t="s">
        <v>47</v>
      </c>
    </row>
    <row r="359" spans="4:6" s="327" customFormat="1" x14ac:dyDescent="0.2">
      <c r="D359" s="328" t="str">
        <f>Intv_BA!D486</f>
        <v>Loop Electrodes - 10 mm x 10mm (Ellman) (ZM)</v>
      </c>
      <c r="F359" s="375" t="s">
        <v>47</v>
      </c>
    </row>
    <row r="360" spans="4:6" s="327" customFormat="1" x14ac:dyDescent="0.2">
      <c r="D360" s="328" t="str">
        <f>Intv_BA!D487</f>
        <v>Loop Electrodes - 20 mm x 8mm (Ellman) (ZM)</v>
      </c>
      <c r="F360" s="375" t="s">
        <v>47</v>
      </c>
    </row>
    <row r="361" spans="4:6" s="327" customFormat="1" x14ac:dyDescent="0.2">
      <c r="D361" s="328" t="str">
        <f>Intv_BA!D488</f>
        <v>Loop Electrodes - 20 mm x 15mm (Ellman) (ZM)</v>
      </c>
      <c r="F361" s="375" t="s">
        <v>47</v>
      </c>
    </row>
    <row r="362" spans="4:6" s="327" customFormat="1" x14ac:dyDescent="0.2">
      <c r="D362" s="328" t="str">
        <f>Intv_BA!D489</f>
        <v>Mackintosh (Plastic sheet for exam couch) (ZM)</v>
      </c>
      <c r="F362" s="375" t="s">
        <v>47</v>
      </c>
    </row>
    <row r="363" spans="4:6" s="327" customFormat="1" x14ac:dyDescent="0.2">
      <c r="D363" s="328" t="str">
        <f>Intv_BA!D490</f>
        <v>Magnification Lens (ZM)</v>
      </c>
      <c r="F363" s="375" t="s">
        <v>47</v>
      </c>
    </row>
    <row r="364" spans="4:6" s="327" customFormat="1" x14ac:dyDescent="0.2">
      <c r="D364" s="328" t="str">
        <f>Intv_BA!D491</f>
        <v>Medical Rubber Mackintosh Sheet (ZM)</v>
      </c>
      <c r="F364" s="375" t="s">
        <v>47</v>
      </c>
    </row>
    <row r="365" spans="4:6" s="327" customFormat="1" x14ac:dyDescent="0.2">
      <c r="D365" s="328" t="str">
        <f>Intv_BA!D492</f>
        <v>Medical Rubber Mackintosh Sheet   (TZ)</v>
      </c>
      <c r="F365" s="375" t="s">
        <v>47</v>
      </c>
    </row>
    <row r="366" spans="4:6" s="327" customFormat="1" x14ac:dyDescent="0.2">
      <c r="D366" s="328" t="str">
        <f>Intv_BA!D493</f>
        <v>Memory Card (ZM)</v>
      </c>
      <c r="F366" s="375" t="s">
        <v>47</v>
      </c>
    </row>
    <row r="367" spans="4:6" s="327" customFormat="1" x14ac:dyDescent="0.2">
      <c r="D367" s="328" t="str">
        <f>Intv_BA!D494</f>
        <v>Multi-Tip Cryo-Probe System with British adapter for NO2 includes gun, regulator, hose(2/3Tips included) (set) (ZM)</v>
      </c>
      <c r="F367" s="375" t="s">
        <v>47</v>
      </c>
    </row>
    <row r="368" spans="4:6" s="327" customFormat="1" x14ac:dyDescent="0.2">
      <c r="D368" s="328" t="str">
        <f>Intv_BA!D495</f>
        <v>Non-conducting speculum  Pederson  (ZM)</v>
      </c>
      <c r="F368" s="375" t="s">
        <v>47</v>
      </c>
    </row>
    <row r="369" spans="4:6" s="327" customFormat="1" x14ac:dyDescent="0.2">
      <c r="D369" s="328" t="str">
        <f>Intv_BA!D496</f>
        <v>Non-conducting speculum (UG)</v>
      </c>
      <c r="F369" s="375" t="s">
        <v>47</v>
      </c>
    </row>
    <row r="370" spans="4:6" s="327" customFormat="1" x14ac:dyDescent="0.2">
      <c r="D370" s="328" t="str">
        <f>Intv_BA!D497</f>
        <v>Nurses Table (ZM)</v>
      </c>
      <c r="F370" s="375" t="s">
        <v>47</v>
      </c>
    </row>
    <row r="371" spans="4:6" s="327" customFormat="1" x14ac:dyDescent="0.2">
      <c r="D371" s="328" t="str">
        <f>Intv_BA!D498</f>
        <v>Pillow (ZM)</v>
      </c>
      <c r="F371" s="375" t="s">
        <v>47</v>
      </c>
    </row>
    <row r="372" spans="4:6" s="327" customFormat="1" x14ac:dyDescent="0.2">
      <c r="D372" s="328" t="str">
        <f>Intv_BA!D499</f>
        <v>Plastic apron (ZM)</v>
      </c>
      <c r="F372" s="375" t="s">
        <v>47</v>
      </c>
    </row>
    <row r="373" spans="4:6" s="327" customFormat="1" x14ac:dyDescent="0.2">
      <c r="D373" s="328" t="str">
        <f>Intv_BA!D500</f>
        <v>Plastic apron  (TZ)</v>
      </c>
      <c r="F373" s="375" t="s">
        <v>47</v>
      </c>
    </row>
    <row r="374" spans="4:6" s="327" customFormat="1" x14ac:dyDescent="0.2">
      <c r="D374" s="328" t="str">
        <f>Intv_BA!D501</f>
        <v>Privacy screen (portable) (ZM)</v>
      </c>
      <c r="F374" s="375" t="s">
        <v>47</v>
      </c>
    </row>
    <row r="375" spans="4:6" s="327" customFormat="1" x14ac:dyDescent="0.2">
      <c r="D375" s="328" t="str">
        <f>Intv_BA!D502</f>
        <v>Privacy screen (portable) (TZ)</v>
      </c>
      <c r="F375" s="375" t="s">
        <v>47</v>
      </c>
    </row>
    <row r="376" spans="4:6" s="327" customFormat="1" x14ac:dyDescent="0.2">
      <c r="D376" s="328" t="str">
        <f>Intv_BA!D503</f>
        <v>Punch Biopsy Forceps  Titanium 10" (ZM)</v>
      </c>
      <c r="F376" s="375" t="s">
        <v>47</v>
      </c>
    </row>
    <row r="377" spans="4:6" s="327" customFormat="1" x14ac:dyDescent="0.2">
      <c r="D377" s="328" t="str">
        <f>Intv_BA!D504</f>
        <v>Punch Biopsy Forceps (UG)</v>
      </c>
      <c r="F377" s="375" t="s">
        <v>47</v>
      </c>
    </row>
    <row r="378" spans="4:6" s="327" customFormat="1" x14ac:dyDescent="0.2">
      <c r="D378" s="328" t="str">
        <f>Intv_BA!D505</f>
        <v>Radiotherapy Machine - intra-cavity ( internal)  (TZ)</v>
      </c>
      <c r="F378" s="375" t="s">
        <v>47</v>
      </c>
    </row>
    <row r="379" spans="4:6" s="327" customFormat="1" x14ac:dyDescent="0.2">
      <c r="D379" s="328" t="str">
        <f>Intv_BA!D506</f>
        <v>Radiotherapy Machine - teletherapy (external) Cobalt-60  (TZ)</v>
      </c>
      <c r="F379" s="375" t="s">
        <v>47</v>
      </c>
    </row>
    <row r="380" spans="4:6" s="327" customFormat="1" x14ac:dyDescent="0.2">
      <c r="D380" s="328" t="str">
        <f>Intv_BA!D507</f>
        <v>Radiotherapy Treatment Couch  (TZ)</v>
      </c>
      <c r="F380" s="375" t="s">
        <v>47</v>
      </c>
    </row>
    <row r="381" spans="4:6" s="327" customFormat="1" x14ac:dyDescent="0.2">
      <c r="D381" s="328" t="str">
        <f>Intv_BA!D508</f>
        <v>Registration book, patient  (TZ)</v>
      </c>
      <c r="F381" s="375" t="s">
        <v>47</v>
      </c>
    </row>
    <row r="382" spans="4:6" s="327" customFormat="1" x14ac:dyDescent="0.2">
      <c r="D382" s="328" t="str">
        <f>Intv_BA!D509</f>
        <v>Retractor 3.5" Coated Lateral Wall (ZM)</v>
      </c>
      <c r="F382" s="375" t="s">
        <v>47</v>
      </c>
    </row>
    <row r="383" spans="4:6" s="327" customFormat="1" x14ac:dyDescent="0.2">
      <c r="D383" s="328" t="str">
        <f>Intv_BA!D510</f>
        <v>Smoke evacuator (UG)</v>
      </c>
      <c r="F383" s="375" t="s">
        <v>47</v>
      </c>
    </row>
    <row r="384" spans="4:6" s="327" customFormat="1" x14ac:dyDescent="0.2">
      <c r="D384" s="328" t="str">
        <f>Intv_BA!D511</f>
        <v>Specimen Tube rack  (TZ)</v>
      </c>
      <c r="F384" s="375" t="s">
        <v>47</v>
      </c>
    </row>
    <row r="385" spans="4:6" s="327" customFormat="1" x14ac:dyDescent="0.2">
      <c r="D385" s="328" t="str">
        <f>Intv_BA!D512</f>
        <v>Speculum  (TZ)</v>
      </c>
      <c r="F385" s="375" t="s">
        <v>47</v>
      </c>
    </row>
    <row r="386" spans="4:6" s="327" customFormat="1" x14ac:dyDescent="0.2">
      <c r="D386" s="328" t="str">
        <f>Intv_BA!D513</f>
        <v>Speculum (reusable) (UG)</v>
      </c>
      <c r="F386" s="375" t="s">
        <v>47</v>
      </c>
    </row>
    <row r="387" spans="4:6" s="327" customFormat="1" x14ac:dyDescent="0.2">
      <c r="D387" s="328" t="str">
        <f>Intv_BA!D514</f>
        <v>Speculum (UG)</v>
      </c>
      <c r="F387" s="375" t="s">
        <v>47</v>
      </c>
    </row>
    <row r="388" spans="4:6" s="327" customFormat="1" x14ac:dyDescent="0.2">
      <c r="D388" s="328" t="str">
        <f>Intv_BA!D515</f>
        <v>Speculum Graves' large  (ZM)</v>
      </c>
      <c r="F388" s="375" t="s">
        <v>47</v>
      </c>
    </row>
    <row r="389" spans="4:6" s="327" customFormat="1" x14ac:dyDescent="0.2">
      <c r="D389" s="328" t="str">
        <f>Intv_BA!D516</f>
        <v>Speculum Graves' Medium (ZM)</v>
      </c>
      <c r="F389" s="375" t="s">
        <v>47</v>
      </c>
    </row>
    <row r="390" spans="4:6" s="327" customFormat="1" x14ac:dyDescent="0.2">
      <c r="D390" s="328" t="str">
        <f>Intv_BA!D517</f>
        <v>Speculum  Graves'  Small (ZM)</v>
      </c>
      <c r="F390" s="375" t="s">
        <v>47</v>
      </c>
    </row>
    <row r="391" spans="4:6" s="327" customFormat="1" x14ac:dyDescent="0.2">
      <c r="D391" s="328" t="str">
        <f>Intv_BA!D518</f>
        <v>Speculum, endocervical (ZM)</v>
      </c>
      <c r="F391" s="375" t="s">
        <v>47</v>
      </c>
    </row>
    <row r="392" spans="4:6" s="327" customFormat="1" x14ac:dyDescent="0.2">
      <c r="D392" s="328" t="str">
        <f>Intv_BA!D519</f>
        <v>Sponge holding forceps (UG)</v>
      </c>
      <c r="F392" s="375" t="s">
        <v>47</v>
      </c>
    </row>
    <row r="393" spans="4:6" s="327" customFormat="1" x14ac:dyDescent="0.2">
      <c r="D393" s="328" t="str">
        <f>Intv_BA!D520</f>
        <v>Steel trolley (Two/three shelves) (ZM)</v>
      </c>
      <c r="F393" s="375" t="s">
        <v>47</v>
      </c>
    </row>
    <row r="394" spans="4:6" s="327" customFormat="1" x14ac:dyDescent="0.2">
      <c r="D394" s="328" t="str">
        <f>Intv_BA!D521</f>
        <v>Step-on stool (ZM)</v>
      </c>
      <c r="F394" s="375" t="s">
        <v>47</v>
      </c>
    </row>
    <row r="395" spans="4:6" s="327" customFormat="1" x14ac:dyDescent="0.2">
      <c r="D395" s="328" t="str">
        <f>Intv_BA!D522</f>
        <v>Sterilising Drum (ZM)</v>
      </c>
      <c r="F395" s="375" t="s">
        <v>47</v>
      </c>
    </row>
    <row r="396" spans="4:6" s="327" customFormat="1" x14ac:dyDescent="0.2">
      <c r="D396" s="328" t="str">
        <f>Intv_BA!D523</f>
        <v>Sterilizer (UG)</v>
      </c>
      <c r="F396" s="375" t="s">
        <v>47</v>
      </c>
    </row>
    <row r="397" spans="4:6" s="327" customFormat="1" x14ac:dyDescent="0.2">
      <c r="D397" s="328" t="str">
        <f>Intv_BA!D524</f>
        <v>Television set (ZM)</v>
      </c>
      <c r="F397" s="375" t="s">
        <v>47</v>
      </c>
    </row>
    <row r="398" spans="4:6" s="327" customFormat="1" x14ac:dyDescent="0.2">
      <c r="D398" s="328" t="str">
        <f>Intv_BA!D525</f>
        <v>Timer / wall clock (UG)</v>
      </c>
      <c r="F398" s="375" t="s">
        <v>47</v>
      </c>
    </row>
    <row r="399" spans="4:6" s="327" customFormat="1" x14ac:dyDescent="0.2">
      <c r="D399" s="328" t="str">
        <f>Intv_BA!D526</f>
        <v>Torch (UG)</v>
      </c>
      <c r="F399" s="375" t="s">
        <v>47</v>
      </c>
    </row>
    <row r="400" spans="4:6" s="327" customFormat="1" x14ac:dyDescent="0.2">
      <c r="D400" s="328" t="str">
        <f>Intv_BA!D527</f>
        <v>Uterine Cervical Dilator (ZM)</v>
      </c>
      <c r="F400" s="375" t="s">
        <v>47</v>
      </c>
    </row>
    <row r="401" spans="3:6" s="327" customFormat="1" x14ac:dyDescent="0.2">
      <c r="D401" s="328" t="str">
        <f>Intv_BA!D528</f>
        <v>Uterine Cervical Dilator  (TZ)</v>
      </c>
      <c r="F401" s="375" t="s">
        <v>47</v>
      </c>
    </row>
    <row r="402" spans="3:6" s="327" customFormat="1" x14ac:dyDescent="0.2">
      <c r="D402" s="328" t="str">
        <f>Intv_BA!D529</f>
        <v>Uterine Probe (ZM)</v>
      </c>
      <c r="F402" s="375" t="s">
        <v>47</v>
      </c>
    </row>
    <row r="403" spans="3:6" s="327" customFormat="1" x14ac:dyDescent="0.2">
      <c r="D403" s="328" t="str">
        <f>Intv_BA!D530</f>
        <v>Uterine Probe  (TZ)</v>
      </c>
      <c r="F403" s="375" t="s">
        <v>47</v>
      </c>
    </row>
    <row r="404" spans="3:6" s="327" customFormat="1" x14ac:dyDescent="0.2">
      <c r="D404" s="328" t="str">
        <f>Intv_BA!D531</f>
        <v>Equipment Category 113</v>
      </c>
      <c r="F404" s="375" t="s">
        <v>47</v>
      </c>
    </row>
    <row r="405" spans="3:6" s="327" customFormat="1" x14ac:dyDescent="0.2">
      <c r="D405" s="328" t="str">
        <f>Intv_BA!D532</f>
        <v>Equipment Category 114</v>
      </c>
      <c r="F405" s="375" t="s">
        <v>47</v>
      </c>
    </row>
    <row r="406" spans="3:6" s="327" customFormat="1" x14ac:dyDescent="0.2">
      <c r="D406" s="328" t="str">
        <f>Intv_BA!D533</f>
        <v>Equipment Category 115</v>
      </c>
      <c r="F406" s="375" t="s">
        <v>47</v>
      </c>
    </row>
    <row r="407" spans="3:6" s="327" customFormat="1" x14ac:dyDescent="0.2">
      <c r="D407" s="328" t="str">
        <f>Intv_BA!D534</f>
        <v>Equipment Category 116</v>
      </c>
      <c r="F407" s="375" t="s">
        <v>47</v>
      </c>
    </row>
    <row r="408" spans="3:6" s="327" customFormat="1" x14ac:dyDescent="0.2">
      <c r="D408" s="328" t="str">
        <f>Intv_BA!D535</f>
        <v>Equipment Category 117</v>
      </c>
      <c r="F408" s="375" t="s">
        <v>47</v>
      </c>
    </row>
    <row r="409" spans="3:6" s="327" customFormat="1" x14ac:dyDescent="0.2">
      <c r="D409" s="328" t="str">
        <f>Intv_BA!D536</f>
        <v>Equipment Category 118</v>
      </c>
      <c r="F409" s="375" t="s">
        <v>47</v>
      </c>
    </row>
    <row r="410" spans="3:6" s="327" customFormat="1" x14ac:dyDescent="0.2">
      <c r="D410" s="328" t="str">
        <f>Intv_BA!D537</f>
        <v>Equipment Category 119</v>
      </c>
      <c r="F410" s="375" t="s">
        <v>47</v>
      </c>
    </row>
    <row r="411" spans="3:6" s="327" customFormat="1" x14ac:dyDescent="0.2">
      <c r="D411" s="328" t="str">
        <f>Intv_BA!D538</f>
        <v>Equipment Category 120</v>
      </c>
      <c r="F411" s="375" t="s">
        <v>47</v>
      </c>
    </row>
    <row r="412" spans="3:6" s="327" customFormat="1" x14ac:dyDescent="0.2">
      <c r="D412" s="328" t="str">
        <f>Intv_BA!D539</f>
        <v>Equipment Category 121</v>
      </c>
      <c r="F412" s="375" t="s">
        <v>47</v>
      </c>
    </row>
    <row r="413" spans="3:6" s="327" customFormat="1" x14ac:dyDescent="0.2">
      <c r="D413" s="328" t="str">
        <f>Intv_BA!D540</f>
        <v>Equipment Category 122</v>
      </c>
      <c r="F413" s="375" t="s">
        <v>47</v>
      </c>
    </row>
    <row r="414" spans="3:6" s="327" customFormat="1" x14ac:dyDescent="0.2">
      <c r="D414" s="328" t="str">
        <f>Intv_BA!D541</f>
        <v>Equipment Category 123</v>
      </c>
      <c r="F414" s="375" t="s">
        <v>47</v>
      </c>
    </row>
    <row r="415" spans="3:6" s="327" customFormat="1" x14ac:dyDescent="0.2"/>
    <row r="416" spans="3:6" s="327" customFormat="1" ht="15.75" x14ac:dyDescent="0.2">
      <c r="C416" s="330" t="s">
        <v>186</v>
      </c>
      <c r="F416" s="330" t="s">
        <v>32</v>
      </c>
    </row>
    <row r="417" spans="4:6" s="327" customFormat="1" x14ac:dyDescent="0.2"/>
    <row r="418" spans="4:6" s="327" customFormat="1" x14ac:dyDescent="0.2">
      <c r="D418" s="331" t="s">
        <v>186</v>
      </c>
      <c r="F418" s="643" t="s">
        <v>372</v>
      </c>
    </row>
    <row r="419" spans="4:6" s="327" customFormat="1" x14ac:dyDescent="0.2">
      <c r="D419" s="328" t="str">
        <f>Intv_BA!D544</f>
        <v>_Not Applicable</v>
      </c>
      <c r="F419" s="375" t="s">
        <v>47</v>
      </c>
    </row>
    <row r="420" spans="4:6" s="327" customFormat="1" x14ac:dyDescent="0.2">
      <c r="D420" s="328" t="str">
        <f>Intv_BA!D545</f>
        <v>Biopsy Pathology (ZM)</v>
      </c>
      <c r="F420" s="375" t="s">
        <v>47</v>
      </c>
    </row>
    <row r="421" spans="4:6" s="327" customFormat="1" x14ac:dyDescent="0.2">
      <c r="D421" s="328" t="str">
        <f>Intv_BA!D546</f>
        <v>Blood chemistry (TZ)</v>
      </c>
      <c r="F421" s="375" t="s">
        <v>47</v>
      </c>
    </row>
    <row r="422" spans="4:6" s="327" customFormat="1" x14ac:dyDescent="0.2">
      <c r="D422" s="328" t="str">
        <f>Intv_BA!D547</f>
        <v>Blood slide for malaria (TZ)</v>
      </c>
      <c r="F422" s="375" t="s">
        <v>47</v>
      </c>
    </row>
    <row r="423" spans="4:6" s="327" customFormat="1" x14ac:dyDescent="0.2">
      <c r="D423" s="328" t="str">
        <f>Intv_BA!D548</f>
        <v>CareHPV test (TZ)</v>
      </c>
      <c r="F423" s="375" t="s">
        <v>47</v>
      </c>
    </row>
    <row r="424" spans="4:6" s="327" customFormat="1" x14ac:dyDescent="0.2">
      <c r="D424" s="328" t="str">
        <f>Intv_BA!D549</f>
        <v>Chest X-ray (ZM)</v>
      </c>
      <c r="F424" s="375" t="s">
        <v>47</v>
      </c>
    </row>
    <row r="425" spans="4:6" s="327" customFormat="1" x14ac:dyDescent="0.2">
      <c r="D425" s="328" t="str">
        <f>Intv_BA!D550</f>
        <v>Chest x-ray (TZ)</v>
      </c>
      <c r="F425" s="375" t="s">
        <v>47</v>
      </c>
    </row>
    <row r="426" spans="4:6" s="327" customFormat="1" x14ac:dyDescent="0.2">
      <c r="D426" s="328" t="str">
        <f>Intv_BA!D551</f>
        <v>Full Blood Count (ZM)</v>
      </c>
      <c r="F426" s="375" t="s">
        <v>47</v>
      </c>
    </row>
    <row r="427" spans="4:6" s="327" customFormat="1" x14ac:dyDescent="0.2">
      <c r="D427" s="328" t="str">
        <f>Intv_BA!D552</f>
        <v>Full blood picture (TZ)</v>
      </c>
      <c r="F427" s="375" t="s">
        <v>47</v>
      </c>
    </row>
    <row r="428" spans="4:6" s="327" customFormat="1" x14ac:dyDescent="0.2">
      <c r="D428" s="328" t="str">
        <f>Intv_BA!D553</f>
        <v>Grouping, X matching (TZ)</v>
      </c>
      <c r="F428" s="375" t="s">
        <v>47</v>
      </c>
    </row>
    <row r="429" spans="4:6" s="327" customFormat="1" x14ac:dyDescent="0.2">
      <c r="D429" s="328" t="str">
        <f>Intv_BA!D554</f>
        <v>Haemoglobin (TZ)</v>
      </c>
      <c r="F429" s="375" t="s">
        <v>47</v>
      </c>
    </row>
    <row r="430" spans="4:6" s="327" customFormat="1" x14ac:dyDescent="0.2">
      <c r="D430" s="328" t="str">
        <f>Intv_BA!D555</f>
        <v>Histopathology (TZ)</v>
      </c>
      <c r="F430" s="375" t="s">
        <v>47</v>
      </c>
    </row>
    <row r="431" spans="4:6" s="327" customFormat="1" x14ac:dyDescent="0.2">
      <c r="D431" s="328" t="str">
        <f>Intv_BA!D556</f>
        <v>Home Care (Day) (TZ)</v>
      </c>
      <c r="F431" s="375" t="s">
        <v>47</v>
      </c>
    </row>
    <row r="432" spans="4:6" s="327" customFormat="1" x14ac:dyDescent="0.2">
      <c r="D432" s="328" t="str">
        <f>Intv_BA!D557</f>
        <v>Hospital Stay (Bed Day) (TZ)</v>
      </c>
      <c r="F432" s="375" t="s">
        <v>47</v>
      </c>
    </row>
    <row r="433" spans="4:6" s="327" customFormat="1" x14ac:dyDescent="0.2">
      <c r="D433" s="328" t="str">
        <f>Intv_BA!D558</f>
        <v>Hysterectomy Pathology (ZM)</v>
      </c>
      <c r="F433" s="375" t="s">
        <v>47</v>
      </c>
    </row>
    <row r="434" spans="4:6" s="327" customFormat="1" x14ac:dyDescent="0.2">
      <c r="D434" s="328" t="str">
        <f>Intv_BA!D559</f>
        <v>LEEP Pathology (ZM)</v>
      </c>
      <c r="F434" s="375" t="s">
        <v>47</v>
      </c>
    </row>
    <row r="435" spans="4:6" s="327" customFormat="1" x14ac:dyDescent="0.2">
      <c r="D435" s="328" t="str">
        <f>Intv_BA!D560</f>
        <v>Liver Function (ZM)</v>
      </c>
      <c r="F435" s="375" t="s">
        <v>47</v>
      </c>
    </row>
    <row r="436" spans="4:6" s="327" customFormat="1" x14ac:dyDescent="0.2">
      <c r="D436" s="328" t="str">
        <f>Intv_BA!D561</f>
        <v>Planning x-ray (TZ)</v>
      </c>
      <c r="F436" s="375" t="s">
        <v>47</v>
      </c>
    </row>
    <row r="437" spans="4:6" s="327" customFormat="1" x14ac:dyDescent="0.2">
      <c r="D437" s="328" t="str">
        <f>Intv_BA!D562</f>
        <v>Renal Function (ZM)</v>
      </c>
      <c r="F437" s="375" t="s">
        <v>47</v>
      </c>
    </row>
    <row r="438" spans="4:6" s="327" customFormat="1" x14ac:dyDescent="0.2">
      <c r="D438" s="328" t="str">
        <f>Intv_BA!D563</f>
        <v>Ultrasound (ZM)</v>
      </c>
      <c r="F438" s="375" t="s">
        <v>47</v>
      </c>
    </row>
    <row r="439" spans="4:6" s="327" customFormat="1" x14ac:dyDescent="0.2">
      <c r="D439" s="328" t="str">
        <f>Intv_BA!D564</f>
        <v>ultrasound (abdominal &amp; pelvic) (TZ)</v>
      </c>
      <c r="F439" s="375" t="s">
        <v>47</v>
      </c>
    </row>
    <row r="440" spans="4:6" s="327" customFormat="1" x14ac:dyDescent="0.2">
      <c r="D440" s="328" t="str">
        <f>Intv_BA!D565</f>
        <v>Urine/stool test (TZ)</v>
      </c>
      <c r="F440" s="375" t="s">
        <v>47</v>
      </c>
    </row>
    <row r="441" spans="4:6" s="327" customFormat="1" x14ac:dyDescent="0.2">
      <c r="D441" s="328" t="str">
        <f>Intv_BA!D566</f>
        <v>Lab Tests &amp; Other Direct Costs Category 23</v>
      </c>
      <c r="F441" s="375" t="s">
        <v>47</v>
      </c>
    </row>
    <row r="442" spans="4:6" s="327" customFormat="1" x14ac:dyDescent="0.2">
      <c r="D442" s="328" t="str">
        <f>Intv_BA!D567</f>
        <v>Lab Tests &amp; Other Direct Costs Category 24</v>
      </c>
      <c r="F442" s="375" t="s">
        <v>47</v>
      </c>
    </row>
    <row r="443" spans="4:6" s="327" customFormat="1" x14ac:dyDescent="0.2">
      <c r="D443" s="328" t="str">
        <f>Intv_BA!D568</f>
        <v>Lab Tests &amp; Other Direct Costs Category 25</v>
      </c>
      <c r="F443" s="375" t="s">
        <v>47</v>
      </c>
    </row>
    <row r="444" spans="4:6" s="327" customFormat="1" x14ac:dyDescent="0.2">
      <c r="D444" s="328" t="str">
        <f>Intv_BA!D569</f>
        <v>Lab Tests &amp; Other Direct Costs Category 26</v>
      </c>
      <c r="F444" s="375" t="s">
        <v>47</v>
      </c>
    </row>
    <row r="445" spans="4:6" s="327" customFormat="1" x14ac:dyDescent="0.2">
      <c r="D445" s="328" t="str">
        <f>Intv_BA!D570</f>
        <v>Lab Tests &amp; Other Direct Costs Category 27</v>
      </c>
      <c r="F445" s="375" t="s">
        <v>47</v>
      </c>
    </row>
    <row r="446" spans="4:6" s="327" customFormat="1" x14ac:dyDescent="0.2">
      <c r="D446" s="328" t="str">
        <f>Intv_BA!D571</f>
        <v>Lab Tests &amp; Other Direct Costs Category 28</v>
      </c>
      <c r="F446" s="375" t="s">
        <v>47</v>
      </c>
    </row>
    <row r="447" spans="4:6" s="327" customFormat="1" x14ac:dyDescent="0.2">
      <c r="D447" s="328" t="str">
        <f>Intv_BA!D572</f>
        <v>Lab Tests &amp; Other Direct Costs Category 29</v>
      </c>
      <c r="F447" s="375" t="s">
        <v>47</v>
      </c>
    </row>
    <row r="448" spans="4:6" s="327" customFormat="1" x14ac:dyDescent="0.2">
      <c r="D448" s="328" t="str">
        <f>Intv_BA!D573</f>
        <v>Lab Tests &amp; Other Direct Costs Category 30</v>
      </c>
      <c r="F448" s="375" t="s">
        <v>47</v>
      </c>
    </row>
    <row r="449" spans="2:6" s="327" customFormat="1" x14ac:dyDescent="0.2">
      <c r="D449" s="328" t="str">
        <f>Intv_BA!D574</f>
        <v>Lab Tests &amp; Other Direct Costs Category 31</v>
      </c>
      <c r="F449" s="375" t="s">
        <v>47</v>
      </c>
    </row>
    <row r="450" spans="2:6" s="327" customFormat="1" x14ac:dyDescent="0.2">
      <c r="D450" s="328" t="str">
        <f>Intv_BA!D575</f>
        <v>Lab Tests &amp; Other Direct Costs Category 32</v>
      </c>
      <c r="F450" s="375" t="s">
        <v>47</v>
      </c>
    </row>
    <row r="451" spans="2:6" s="327" customFormat="1" x14ac:dyDescent="0.2">
      <c r="D451" s="328" t="str">
        <f>Intv_BA!D576</f>
        <v>Last ODC Row</v>
      </c>
      <c r="F451" s="375" t="s">
        <v>47</v>
      </c>
    </row>
    <row r="454" spans="2:6" ht="18.75" x14ac:dyDescent="0.2">
      <c r="B454" s="426" t="s">
        <v>179</v>
      </c>
    </row>
    <row r="456" spans="2:6" ht="15.75" x14ac:dyDescent="0.2">
      <c r="C456" s="19" t="s">
        <v>81</v>
      </c>
      <c r="F456" s="19" t="s">
        <v>32</v>
      </c>
    </row>
    <row r="458" spans="2:6" x14ac:dyDescent="0.2">
      <c r="D458" s="20" t="s">
        <v>81</v>
      </c>
      <c r="F458" s="438" t="s">
        <v>199</v>
      </c>
    </row>
    <row r="459" spans="2:6" x14ac:dyDescent="0.2">
      <c r="D459" s="21" t="str">
        <f>IF(ROWS(D$459:D459)=1,"N/A",ROWS(D$459:D459)-1)</f>
        <v>N/A</v>
      </c>
      <c r="F459" s="375" t="s">
        <v>47</v>
      </c>
    </row>
    <row r="460" spans="2:6" x14ac:dyDescent="0.2">
      <c r="D460" s="21">
        <f>IF(ROWS(D$459:D460)=1,"N/A",ROWS(D$459:D460)-1)</f>
        <v>1</v>
      </c>
      <c r="F460" s="375" t="s">
        <v>47</v>
      </c>
    </row>
    <row r="461" spans="2:6" x14ac:dyDescent="0.2">
      <c r="D461" s="21">
        <f>IF(ROWS(D$459:D461)=1,"N/A",ROWS(D$459:D461)-1)</f>
        <v>2</v>
      </c>
      <c r="F461" s="375" t="s">
        <v>47</v>
      </c>
    </row>
    <row r="462" spans="2:6" x14ac:dyDescent="0.2">
      <c r="D462" s="21">
        <f>IF(ROWS(D$459:D462)=1,"N/A",ROWS(D$459:D462)-1)</f>
        <v>3</v>
      </c>
      <c r="F462" s="375" t="s">
        <v>47</v>
      </c>
    </row>
    <row r="463" spans="2:6" x14ac:dyDescent="0.2">
      <c r="D463" s="21">
        <f>IF(ROWS(D$459:D463)=1,"N/A",ROWS(D$459:D463)-1)</f>
        <v>4</v>
      </c>
      <c r="F463" s="375" t="s">
        <v>47</v>
      </c>
    </row>
    <row r="464" spans="2:6" x14ac:dyDescent="0.2">
      <c r="D464" s="21">
        <f>IF(ROWS(D$459:D464)=1,"N/A",ROWS(D$459:D464)-1)</f>
        <v>5</v>
      </c>
      <c r="F464" s="375" t="s">
        <v>47</v>
      </c>
    </row>
    <row r="465" spans="3:6" s="322" customFormat="1" x14ac:dyDescent="0.2">
      <c r="D465" s="320">
        <f>IF(ROWS(D$459:D465)=1,"N/A",ROWS(D$459:D465)-1)</f>
        <v>6</v>
      </c>
      <c r="F465" s="342" t="s">
        <v>47</v>
      </c>
    </row>
    <row r="467" spans="3:6" ht="15.75" x14ac:dyDescent="0.2">
      <c r="C467" s="19" t="s">
        <v>133</v>
      </c>
      <c r="F467" s="19" t="s">
        <v>32</v>
      </c>
    </row>
    <row r="469" spans="3:6" x14ac:dyDescent="0.2">
      <c r="D469" s="20" t="s">
        <v>75</v>
      </c>
      <c r="F469" s="518" t="s">
        <v>200</v>
      </c>
    </row>
    <row r="470" spans="3:6" x14ac:dyDescent="0.2">
      <c r="D470" s="328" t="str">
        <f>Intv_BA!D758</f>
        <v>Central</v>
      </c>
      <c r="F470" s="375" t="s">
        <v>47</v>
      </c>
    </row>
    <row r="471" spans="3:6" x14ac:dyDescent="0.2">
      <c r="D471" s="328" t="str">
        <f>Intv_BA!D759</f>
        <v>Copperbelt</v>
      </c>
      <c r="F471" s="375" t="s">
        <v>47</v>
      </c>
    </row>
    <row r="472" spans="3:6" x14ac:dyDescent="0.2">
      <c r="D472" s="328" t="str">
        <f>Intv_BA!D760</f>
        <v>Eastern</v>
      </c>
      <c r="F472" s="375" t="s">
        <v>47</v>
      </c>
    </row>
    <row r="473" spans="3:6" x14ac:dyDescent="0.2">
      <c r="D473" s="328" t="str">
        <f>Intv_BA!D761</f>
        <v>Luapula</v>
      </c>
      <c r="F473" s="375" t="s">
        <v>47</v>
      </c>
    </row>
    <row r="474" spans="3:6" x14ac:dyDescent="0.2">
      <c r="D474" s="328" t="str">
        <f>Intv_BA!D762</f>
        <v>Lusaka</v>
      </c>
      <c r="F474" s="375" t="s">
        <v>47</v>
      </c>
    </row>
    <row r="475" spans="3:6" s="322" customFormat="1" x14ac:dyDescent="0.2">
      <c r="D475" s="374" t="str">
        <f>Intv_BA!D763</f>
        <v>Muchinga</v>
      </c>
      <c r="F475" s="342" t="s">
        <v>47</v>
      </c>
    </row>
    <row r="476" spans="3:6" s="322" customFormat="1" x14ac:dyDescent="0.2">
      <c r="D476" s="374" t="str">
        <f>Intv_BA!D764</f>
        <v>Northern</v>
      </c>
      <c r="F476" s="342" t="s">
        <v>47</v>
      </c>
    </row>
    <row r="477" spans="3:6" s="322" customFormat="1" x14ac:dyDescent="0.2">
      <c r="D477" s="374" t="str">
        <f>Intv_BA!D765</f>
        <v>North-Western</v>
      </c>
      <c r="F477" s="342" t="s">
        <v>47</v>
      </c>
    </row>
    <row r="478" spans="3:6" s="322" customFormat="1" x14ac:dyDescent="0.2">
      <c r="D478" s="374" t="str">
        <f>Intv_BA!D766</f>
        <v>Southern</v>
      </c>
      <c r="F478" s="342" t="s">
        <v>47</v>
      </c>
    </row>
    <row r="479" spans="3:6" s="322" customFormat="1" x14ac:dyDescent="0.2">
      <c r="D479" s="374" t="str">
        <f>Intv_BA!D767</f>
        <v>Western</v>
      </c>
      <c r="F479" s="342" t="s">
        <v>47</v>
      </c>
    </row>
    <row r="481" spans="3:6" ht="15.75" x14ac:dyDescent="0.2">
      <c r="C481" s="19" t="s">
        <v>212</v>
      </c>
      <c r="F481" s="19" t="s">
        <v>32</v>
      </c>
    </row>
    <row r="483" spans="3:6" x14ac:dyDescent="0.2">
      <c r="D483" s="20" t="s">
        <v>213</v>
      </c>
      <c r="F483" s="598" t="s">
        <v>220</v>
      </c>
    </row>
    <row r="484" spans="3:6" x14ac:dyDescent="0.2">
      <c r="D484" s="10" t="str">
        <f>Intv_Ann_TA!D395</f>
        <v>USD</v>
      </c>
      <c r="F484" s="375" t="s">
        <v>47</v>
      </c>
    </row>
    <row r="485" spans="3:6" s="322" customFormat="1" x14ac:dyDescent="0.2">
      <c r="D485" s="374" t="str">
        <f>Intv_Ann_TA!D396</f>
        <v>ZMW</v>
      </c>
      <c r="F485" s="342" t="s">
        <v>47</v>
      </c>
    </row>
    <row r="487" spans="3:6" ht="15.75" x14ac:dyDescent="0.2">
      <c r="C487" s="19" t="s">
        <v>37</v>
      </c>
      <c r="F487" s="19" t="s">
        <v>32</v>
      </c>
    </row>
    <row r="489" spans="3:6" x14ac:dyDescent="0.2">
      <c r="D489" s="20" t="s">
        <v>37</v>
      </c>
      <c r="F489" s="98" t="s">
        <v>226</v>
      </c>
    </row>
    <row r="490" spans="3:6" x14ac:dyDescent="0.2">
      <c r="D490" s="21" t="str">
        <f>Intv_BA!$I$774&amp;CHOOSE(ROWS(D$490:D490),""," '000"," Millions"," Billions")</f>
        <v>USD</v>
      </c>
      <c r="F490" s="98" t="s">
        <v>47</v>
      </c>
    </row>
    <row r="491" spans="3:6" x14ac:dyDescent="0.2">
      <c r="D491" s="21" t="str">
        <f>Intv_BA!$I$774&amp;CHOOSE(ROWS(D$490:D491),""," '000"," Millions"," Billions")</f>
        <v>USD '000</v>
      </c>
      <c r="F491" s="98" t="s">
        <v>47</v>
      </c>
    </row>
    <row r="492" spans="3:6" x14ac:dyDescent="0.2">
      <c r="D492" s="21" t="str">
        <f>Intv_BA!$I$774&amp;CHOOSE(ROWS(D$490:D492),""," '000"," Millions"," Billions")</f>
        <v>USD Millions</v>
      </c>
      <c r="F492" s="98" t="s">
        <v>47</v>
      </c>
    </row>
    <row r="493" spans="3:6" x14ac:dyDescent="0.2">
      <c r="D493" s="21" t="str">
        <f>Intv_BA!$I$774&amp;CHOOSE(ROWS(D$490:D493),""," '000"," Millions"," Billions")</f>
        <v>USD Billions</v>
      </c>
      <c r="F493" s="98" t="s">
        <v>47</v>
      </c>
    </row>
    <row r="495" spans="3:6" ht="15.75" x14ac:dyDescent="0.2">
      <c r="C495" s="19" t="s">
        <v>308</v>
      </c>
      <c r="F495" s="19" t="s">
        <v>32</v>
      </c>
    </row>
    <row r="497" spans="4:6" x14ac:dyDescent="0.2">
      <c r="D497" s="20" t="s">
        <v>308</v>
      </c>
      <c r="F497" s="492" t="s">
        <v>343</v>
      </c>
    </row>
    <row r="498" spans="4:6" x14ac:dyDescent="0.2">
      <c r="D498" s="10" t="str">
        <f>Intv_BA!D777</f>
        <v>_Not Applicable</v>
      </c>
      <c r="F498" s="375" t="s">
        <v>47</v>
      </c>
    </row>
    <row r="499" spans="4:6" s="322" customFormat="1" x14ac:dyDescent="0.2">
      <c r="D499" s="374" t="str">
        <f>Intv_BA!D778</f>
        <v>Biomedical scientist (ZM)</v>
      </c>
      <c r="F499" s="342" t="s">
        <v>47</v>
      </c>
    </row>
    <row r="500" spans="4:6" s="322" customFormat="1" x14ac:dyDescent="0.2">
      <c r="D500" s="374" t="str">
        <f>Intv_BA!D779</f>
        <v>Clinical officer  (ZM)</v>
      </c>
      <c r="F500" s="342" t="s">
        <v>47</v>
      </c>
    </row>
    <row r="501" spans="4:6" x14ac:dyDescent="0.2">
      <c r="D501" s="10" t="str">
        <f>Intv_BA!D780</f>
        <v>Consultant  (ZM)</v>
      </c>
      <c r="F501" s="375" t="s">
        <v>47</v>
      </c>
    </row>
    <row r="502" spans="4:6" s="322" customFormat="1" x14ac:dyDescent="0.2">
      <c r="D502" s="374" t="str">
        <f>Intv_BA!D781</f>
        <v>General Medical Doctor</v>
      </c>
      <c r="F502" s="342" t="s">
        <v>47</v>
      </c>
    </row>
    <row r="503" spans="4:6" x14ac:dyDescent="0.2">
      <c r="D503" s="10" t="str">
        <f>Intv_BA!D782</f>
        <v>Junior Resident Medical officer  (ZM)</v>
      </c>
      <c r="F503" s="375" t="s">
        <v>47</v>
      </c>
    </row>
    <row r="504" spans="4:6" s="322" customFormat="1" x14ac:dyDescent="0.2">
      <c r="D504" s="374" t="str">
        <f>Intv_BA!D783</f>
        <v>Lab Scientist (ZM)</v>
      </c>
      <c r="F504" s="342" t="s">
        <v>47</v>
      </c>
    </row>
    <row r="505" spans="4:6" s="322" customFormat="1" x14ac:dyDescent="0.2">
      <c r="D505" s="374" t="str">
        <f>Intv_BA!D784</f>
        <v>Lab Technician (ZM)</v>
      </c>
      <c r="F505" s="342" t="s">
        <v>47</v>
      </c>
    </row>
    <row r="506" spans="4:6" x14ac:dyDescent="0.2">
      <c r="D506" s="10" t="str">
        <f>Intv_BA!D785</f>
        <v>Lab Technologist (ZM)</v>
      </c>
      <c r="F506" s="375" t="s">
        <v>47</v>
      </c>
    </row>
    <row r="507" spans="4:6" x14ac:dyDescent="0.2">
      <c r="D507" s="10" t="str">
        <f>Intv_BA!D786</f>
        <v>Medical Physicist (ZM)</v>
      </c>
      <c r="F507" s="375" t="s">
        <v>47</v>
      </c>
    </row>
    <row r="508" spans="4:6" s="322" customFormat="1" x14ac:dyDescent="0.2">
      <c r="D508" s="374" t="str">
        <f>Intv_BA!D787</f>
        <v>Nursing Officer (ZM)</v>
      </c>
      <c r="F508" s="342" t="s">
        <v>47</v>
      </c>
    </row>
    <row r="509" spans="4:6" s="322" customFormat="1" x14ac:dyDescent="0.2">
      <c r="D509" s="374" t="str">
        <f>Intv_BA!D788</f>
        <v>Pathologist (ZM)</v>
      </c>
      <c r="F509" s="342" t="s">
        <v>47</v>
      </c>
    </row>
    <row r="510" spans="4:6" s="47" customFormat="1" x14ac:dyDescent="0.2">
      <c r="D510" s="289" t="str">
        <f>Intv_BA!D789</f>
        <v>Pharmacy Technologist (ZM)</v>
      </c>
      <c r="F510" s="342" t="s">
        <v>47</v>
      </c>
    </row>
    <row r="511" spans="4:6" s="322" customFormat="1" x14ac:dyDescent="0.2">
      <c r="D511" s="374" t="str">
        <f>Intv_BA!D790</f>
        <v>Principal Nursing Officer (ZM)</v>
      </c>
      <c r="F511" s="342" t="s">
        <v>47</v>
      </c>
    </row>
    <row r="512" spans="4:6" s="322" customFormat="1" x14ac:dyDescent="0.2">
      <c r="D512" s="374" t="str">
        <f>Intv_BA!D791</f>
        <v>Principal Pharmacist (ZM)</v>
      </c>
      <c r="F512" s="342" t="s">
        <v>47</v>
      </c>
    </row>
    <row r="513" spans="4:6" x14ac:dyDescent="0.2">
      <c r="D513" s="10" t="str">
        <f>Intv_BA!D792</f>
        <v>Principal Radiographer (ZM)</v>
      </c>
      <c r="F513" s="375" t="s">
        <v>47</v>
      </c>
    </row>
    <row r="514" spans="4:6" x14ac:dyDescent="0.2">
      <c r="D514" s="10" t="str">
        <f>Intv_BA!D793</f>
        <v>Principal Therapist - Radiation (ZM)</v>
      </c>
      <c r="F514" s="375" t="s">
        <v>47</v>
      </c>
    </row>
    <row r="515" spans="4:6" x14ac:dyDescent="0.2">
      <c r="D515" s="10" t="str">
        <f>Intv_BA!D794</f>
        <v>Radiation Lab Scientist (ZM)</v>
      </c>
      <c r="F515" s="375" t="s">
        <v>47</v>
      </c>
    </row>
    <row r="516" spans="4:6" x14ac:dyDescent="0.2">
      <c r="D516" s="10" t="str">
        <f>Intv_BA!D795</f>
        <v>Radiation Protection Officer (ZM)</v>
      </c>
      <c r="F516" s="375" t="s">
        <v>47</v>
      </c>
    </row>
    <row r="517" spans="4:6" s="322" customFormat="1" x14ac:dyDescent="0.2">
      <c r="D517" s="374" t="str">
        <f>Intv_BA!D796</f>
        <v>Radiographer (ZM)</v>
      </c>
      <c r="F517" s="342" t="s">
        <v>47</v>
      </c>
    </row>
    <row r="518" spans="4:6" s="322" customFormat="1" x14ac:dyDescent="0.2">
      <c r="D518" s="374" t="str">
        <f>Intv_BA!D797</f>
        <v>Registered Nurse (ZM)</v>
      </c>
      <c r="F518" s="342" t="s">
        <v>47</v>
      </c>
    </row>
    <row r="519" spans="4:6" s="322" customFormat="1" x14ac:dyDescent="0.2">
      <c r="D519" s="374" t="str">
        <f>Intv_BA!D798</f>
        <v>Senior Enrolled Nurse (ZM)</v>
      </c>
      <c r="F519" s="342" t="s">
        <v>47</v>
      </c>
    </row>
    <row r="520" spans="4:6" s="322" customFormat="1" x14ac:dyDescent="0.2">
      <c r="D520" s="374" t="str">
        <f>Intv_BA!D799</f>
        <v>Senior Nursing Officer (ZM)</v>
      </c>
      <c r="F520" s="342" t="s">
        <v>47</v>
      </c>
    </row>
    <row r="521" spans="4:6" s="322" customFormat="1" x14ac:dyDescent="0.2">
      <c r="D521" s="374" t="str">
        <f>Intv_BA!D800</f>
        <v>Senior Radiation protection Officer (ZM)</v>
      </c>
      <c r="F521" s="342" t="s">
        <v>47</v>
      </c>
    </row>
    <row r="522" spans="4:6" s="322" customFormat="1" x14ac:dyDescent="0.2">
      <c r="D522" s="374" t="str">
        <f>Intv_BA!D801</f>
        <v>Senior Radiographer (ZM)</v>
      </c>
      <c r="F522" s="342" t="s">
        <v>47</v>
      </c>
    </row>
    <row r="523" spans="4:6" s="322" customFormat="1" x14ac:dyDescent="0.2">
      <c r="D523" s="374" t="str">
        <f>Intv_BA!D802</f>
        <v>Zambia Enrolled Nurse (ZEN) (ZM)</v>
      </c>
      <c r="F523" s="342" t="s">
        <v>47</v>
      </c>
    </row>
    <row r="524" spans="4:6" s="322" customFormat="1" x14ac:dyDescent="0.2">
      <c r="D524" s="374" t="str">
        <f>Intv_BA!D803</f>
        <v>Personnel - Hospital Cadre - Other 27</v>
      </c>
      <c r="F524" s="342" t="s">
        <v>47</v>
      </c>
    </row>
    <row r="525" spans="4:6" s="322" customFormat="1" x14ac:dyDescent="0.2">
      <c r="D525" s="374" t="str">
        <f>Intv_BA!D804</f>
        <v>Personnel - Hospital Cadre - Other 28</v>
      </c>
      <c r="F525" s="342" t="s">
        <v>47</v>
      </c>
    </row>
    <row r="526" spans="4:6" s="322" customFormat="1" x14ac:dyDescent="0.2">
      <c r="D526" s="374" t="str">
        <f>Intv_BA!D805</f>
        <v>Personnel - Hospital Cadre - Other 29</v>
      </c>
      <c r="F526" s="342" t="s">
        <v>47</v>
      </c>
    </row>
    <row r="527" spans="4:6" s="322" customFormat="1" x14ac:dyDescent="0.2">
      <c r="D527" s="374" t="str">
        <f>Intv_BA!D806</f>
        <v>Personnel - Hospital Cadre - Other 30</v>
      </c>
      <c r="F527" s="342" t="s">
        <v>47</v>
      </c>
    </row>
    <row r="528" spans="4:6" s="322" customFormat="1" x14ac:dyDescent="0.2">
      <c r="D528" s="374" t="str">
        <f>Intv_BA!D807</f>
        <v>Personnel - Hospital Cadre - Other 31</v>
      </c>
      <c r="F528" s="342" t="s">
        <v>47</v>
      </c>
    </row>
    <row r="530" spans="3:6" ht="15.75" x14ac:dyDescent="0.2">
      <c r="C530" s="19" t="s">
        <v>310</v>
      </c>
      <c r="F530" s="19" t="s">
        <v>32</v>
      </c>
    </row>
    <row r="532" spans="3:6" x14ac:dyDescent="0.2">
      <c r="D532" s="20" t="s">
        <v>310</v>
      </c>
      <c r="F532" s="492" t="s">
        <v>349</v>
      </c>
    </row>
    <row r="533" spans="3:6" x14ac:dyDescent="0.2">
      <c r="D533" s="10" t="str">
        <f>Intv_BA!D810</f>
        <v>_Not Applicable</v>
      </c>
      <c r="F533" s="375" t="s">
        <v>47</v>
      </c>
    </row>
    <row r="534" spans="3:6" s="47" customFormat="1" x14ac:dyDescent="0.2">
      <c r="D534" s="289" t="str">
        <f>Intv_BA!D811</f>
        <v>Biomedical scientist (ZM)</v>
      </c>
      <c r="F534" s="342" t="s">
        <v>47</v>
      </c>
    </row>
    <row r="535" spans="3:6" x14ac:dyDescent="0.2">
      <c r="D535" s="10" t="str">
        <f>Intv_BA!D812</f>
        <v>Clinical officer  (ZM)</v>
      </c>
      <c r="F535" s="375" t="s">
        <v>47</v>
      </c>
    </row>
    <row r="536" spans="3:6" x14ac:dyDescent="0.2">
      <c r="D536" s="10" t="str">
        <f>Intv_BA!D813</f>
        <v>Consultant  (ZM)</v>
      </c>
      <c r="F536" s="375" t="s">
        <v>47</v>
      </c>
    </row>
    <row r="537" spans="3:6" s="322" customFormat="1" x14ac:dyDescent="0.2">
      <c r="D537" s="374" t="str">
        <f>Intv_BA!D814</f>
        <v>General Medical Doctor</v>
      </c>
      <c r="F537" s="342" t="s">
        <v>47</v>
      </c>
    </row>
    <row r="538" spans="3:6" x14ac:dyDescent="0.2">
      <c r="D538" s="10" t="str">
        <f>Intv_BA!D815</f>
        <v>Junior Resident Medical officer  (ZM)</v>
      </c>
      <c r="F538" s="375" t="s">
        <v>47</v>
      </c>
    </row>
    <row r="539" spans="3:6" x14ac:dyDescent="0.2">
      <c r="D539" s="10" t="str">
        <f>Intv_BA!D816</f>
        <v>Lab Scientist (ZM)</v>
      </c>
      <c r="F539" s="375" t="s">
        <v>47</v>
      </c>
    </row>
    <row r="540" spans="3:6" s="322" customFormat="1" x14ac:dyDescent="0.2">
      <c r="D540" s="374" t="str">
        <f>Intv_BA!D817</f>
        <v>Lab Technician (ZM)</v>
      </c>
      <c r="F540" s="342" t="s">
        <v>47</v>
      </c>
    </row>
    <row r="541" spans="3:6" s="322" customFormat="1" x14ac:dyDescent="0.2">
      <c r="D541" s="374" t="str">
        <f>Intv_BA!D818</f>
        <v>Lab Technologist (ZM)</v>
      </c>
      <c r="F541" s="342" t="s">
        <v>47</v>
      </c>
    </row>
    <row r="542" spans="3:6" s="322" customFormat="1" x14ac:dyDescent="0.2">
      <c r="D542" s="374" t="str">
        <f>Intv_BA!D819</f>
        <v>Medical Physicist (ZM)</v>
      </c>
      <c r="F542" s="342" t="s">
        <v>47</v>
      </c>
    </row>
    <row r="543" spans="3:6" s="322" customFormat="1" x14ac:dyDescent="0.2">
      <c r="D543" s="374" t="str">
        <f>Intv_BA!D820</f>
        <v>Nursing Officer (ZM)</v>
      </c>
      <c r="F543" s="342" t="s">
        <v>47</v>
      </c>
    </row>
    <row r="544" spans="3:6" s="322" customFormat="1" x14ac:dyDescent="0.2">
      <c r="D544" s="374" t="str">
        <f>Intv_BA!D821</f>
        <v>Pathologist (ZM)</v>
      </c>
      <c r="F544" s="342" t="s">
        <v>47</v>
      </c>
    </row>
    <row r="545" spans="4:6" s="322" customFormat="1" x14ac:dyDescent="0.2">
      <c r="D545" s="374" t="str">
        <f>Intv_BA!D822</f>
        <v>Pharmacy Technologist (ZM)</v>
      </c>
      <c r="F545" s="342" t="s">
        <v>47</v>
      </c>
    </row>
    <row r="546" spans="4:6" s="322" customFormat="1" x14ac:dyDescent="0.2">
      <c r="D546" s="374" t="str">
        <f>Intv_BA!D823</f>
        <v>Principal Nursing Officer (ZM)</v>
      </c>
      <c r="F546" s="342" t="s">
        <v>47</v>
      </c>
    </row>
    <row r="547" spans="4:6" s="322" customFormat="1" x14ac:dyDescent="0.2">
      <c r="D547" s="374" t="str">
        <f>Intv_BA!D824</f>
        <v>Principal Pharmacist (ZM)</v>
      </c>
      <c r="F547" s="342" t="s">
        <v>47</v>
      </c>
    </row>
    <row r="548" spans="4:6" s="322" customFormat="1" x14ac:dyDescent="0.2">
      <c r="D548" s="374" t="str">
        <f>Intv_BA!D825</f>
        <v>Principal Radiographer (ZM)</v>
      </c>
      <c r="F548" s="342" t="s">
        <v>47</v>
      </c>
    </row>
    <row r="549" spans="4:6" x14ac:dyDescent="0.2">
      <c r="D549" s="10" t="str">
        <f>Intv_BA!D826</f>
        <v>Principal Therapist - Radiation (ZM)</v>
      </c>
      <c r="F549" s="375" t="s">
        <v>47</v>
      </c>
    </row>
    <row r="550" spans="4:6" x14ac:dyDescent="0.2">
      <c r="D550" s="10" t="str">
        <f>Intv_BA!D827</f>
        <v>Radiation Lab Scientist (ZM)</v>
      </c>
      <c r="F550" s="375" t="s">
        <v>47</v>
      </c>
    </row>
    <row r="551" spans="4:6" x14ac:dyDescent="0.2">
      <c r="D551" s="10" t="str">
        <f>Intv_BA!D828</f>
        <v>Radiation Protection Officer (ZM)</v>
      </c>
      <c r="F551" s="375" t="s">
        <v>47</v>
      </c>
    </row>
    <row r="552" spans="4:6" s="47" customFormat="1" x14ac:dyDescent="0.2">
      <c r="D552" s="289" t="str">
        <f>Intv_BA!D829</f>
        <v>Radiographer (ZM)</v>
      </c>
      <c r="F552" s="342" t="s">
        <v>47</v>
      </c>
    </row>
    <row r="553" spans="4:6" s="322" customFormat="1" x14ac:dyDescent="0.2">
      <c r="D553" s="374" t="str">
        <f>Intv_BA!D830</f>
        <v>Registered Nurse (ZM)</v>
      </c>
      <c r="F553" s="342" t="s">
        <v>47</v>
      </c>
    </row>
    <row r="554" spans="4:6" s="322" customFormat="1" x14ac:dyDescent="0.2">
      <c r="D554" s="374" t="str">
        <f>Intv_BA!D831</f>
        <v>Senior Enrolled Nurse (ZM)</v>
      </c>
      <c r="F554" s="342" t="s">
        <v>47</v>
      </c>
    </row>
    <row r="555" spans="4:6" s="322" customFormat="1" x14ac:dyDescent="0.2">
      <c r="D555" s="374" t="str">
        <f>Intv_BA!D832</f>
        <v>Senior Nursing Officer (ZM)</v>
      </c>
      <c r="F555" s="342" t="s">
        <v>47</v>
      </c>
    </row>
    <row r="556" spans="4:6" s="322" customFormat="1" x14ac:dyDescent="0.2">
      <c r="D556" s="374" t="str">
        <f>Intv_BA!D833</f>
        <v>Senior Radiation protection Officer (ZM)</v>
      </c>
      <c r="F556" s="342" t="s">
        <v>47</v>
      </c>
    </row>
    <row r="557" spans="4:6" s="322" customFormat="1" x14ac:dyDescent="0.2">
      <c r="D557" s="374" t="str">
        <f>Intv_BA!D834</f>
        <v>Senior Radiographer (ZM)</v>
      </c>
      <c r="F557" s="342" t="s">
        <v>47</v>
      </c>
    </row>
    <row r="558" spans="4:6" s="322" customFormat="1" x14ac:dyDescent="0.2">
      <c r="D558" s="374" t="str">
        <f>Intv_BA!D835</f>
        <v>Zambia Enrolled Nurse (ZEN) (ZM)</v>
      </c>
      <c r="F558" s="342" t="s">
        <v>47</v>
      </c>
    </row>
    <row r="559" spans="4:6" s="322" customFormat="1" x14ac:dyDescent="0.2">
      <c r="D559" s="374" t="str">
        <f>Intv_BA!D836</f>
        <v>Personnel - Other Category 27</v>
      </c>
      <c r="F559" s="342" t="s">
        <v>47</v>
      </c>
    </row>
    <row r="560" spans="4:6" s="322" customFormat="1" x14ac:dyDescent="0.2">
      <c r="D560" s="374" t="str">
        <f>Intv_BA!D837</f>
        <v>Personnel - Other Category 28</v>
      </c>
      <c r="F560" s="342" t="s">
        <v>47</v>
      </c>
    </row>
    <row r="561" spans="3:6" s="322" customFormat="1" x14ac:dyDescent="0.2">
      <c r="D561" s="374" t="str">
        <f>Intv_BA!D838</f>
        <v>Personnel - Other Category 29</v>
      </c>
      <c r="F561" s="342" t="s">
        <v>47</v>
      </c>
    </row>
    <row r="562" spans="3:6" s="322" customFormat="1" x14ac:dyDescent="0.2">
      <c r="D562" s="374" t="str">
        <f>Intv_BA!D839</f>
        <v>Personnel - Other Category 30</v>
      </c>
      <c r="F562" s="342" t="s">
        <v>47</v>
      </c>
    </row>
    <row r="563" spans="3:6" s="322" customFormat="1" x14ac:dyDescent="0.2">
      <c r="D563" s="374">
        <f>Intv_BA!D840</f>
        <v>0</v>
      </c>
      <c r="F563" s="342" t="s">
        <v>47</v>
      </c>
    </row>
    <row r="565" spans="3:6" ht="15.75" x14ac:dyDescent="0.2">
      <c r="C565" s="19" t="s">
        <v>316</v>
      </c>
      <c r="F565" s="19" t="s">
        <v>32</v>
      </c>
    </row>
    <row r="567" spans="3:6" x14ac:dyDescent="0.2">
      <c r="D567" s="20" t="s">
        <v>316</v>
      </c>
      <c r="F567" s="568" t="s">
        <v>355</v>
      </c>
    </row>
    <row r="568" spans="3:6" s="47" customFormat="1" x14ac:dyDescent="0.2">
      <c r="D568" s="289" t="str">
        <f>Intv_BA!D843</f>
        <v>_Not Applicable</v>
      </c>
      <c r="F568" s="342" t="s">
        <v>47</v>
      </c>
    </row>
    <row r="569" spans="3:6" s="47" customFormat="1" x14ac:dyDescent="0.2">
      <c r="D569" s="289" t="str">
        <f>Intv_BA!D844</f>
        <v>10 ml syringes with long 27-gauge needle (UG)</v>
      </c>
      <c r="F569" s="342" t="s">
        <v>47</v>
      </c>
    </row>
    <row r="570" spans="3:6" s="47" customFormat="1" x14ac:dyDescent="0.2">
      <c r="D570" s="289" t="str">
        <f>Intv_BA!D845</f>
        <v>100% alcohol (UG)</v>
      </c>
      <c r="F570" s="342" t="s">
        <v>47</v>
      </c>
    </row>
    <row r="571" spans="3:6" s="47" customFormat="1" x14ac:dyDescent="0.2">
      <c r="D571" s="289" t="str">
        <f>Intv_BA!D846</f>
        <v>100% Ethanol (UG)</v>
      </c>
      <c r="F571" s="342" t="s">
        <v>47</v>
      </c>
    </row>
    <row r="572" spans="3:6" s="47" customFormat="1" x14ac:dyDescent="0.2">
      <c r="D572" s="289" t="str">
        <f>Intv_BA!D847</f>
        <v>5% acetic acid (UG)</v>
      </c>
      <c r="F572" s="342" t="s">
        <v>47</v>
      </c>
    </row>
    <row r="573" spans="3:6" s="47" customFormat="1" x14ac:dyDescent="0.2">
      <c r="D573" s="289" t="str">
        <f>Intv_BA!D848</f>
        <v>Acetic acid (UG)</v>
      </c>
      <c r="F573" s="342" t="s">
        <v>47</v>
      </c>
    </row>
    <row r="574" spans="3:6" s="47" customFormat="1" x14ac:dyDescent="0.2">
      <c r="D574" s="289" t="str">
        <f>Intv_BA!D849</f>
        <v>Acetic acid, 3–5% dilution (ZM)</v>
      </c>
      <c r="F574" s="342" t="s">
        <v>47</v>
      </c>
    </row>
    <row r="575" spans="3:6" s="47" customFormat="1" x14ac:dyDescent="0.2">
      <c r="D575" s="289" t="str">
        <f>Intv_BA!D850</f>
        <v>Acetic acid, 3–5% dilution (TZ)</v>
      </c>
      <c r="F575" s="342" t="s">
        <v>47</v>
      </c>
    </row>
    <row r="576" spans="3:6" s="47" customFormat="1" x14ac:dyDescent="0.2">
      <c r="D576" s="289" t="str">
        <f>Intv_BA!D851</f>
        <v>Alcohol, 60-90% isopropyl or ethyl (TZ)</v>
      </c>
      <c r="F576" s="342" t="s">
        <v>47</v>
      </c>
    </row>
    <row r="577" spans="4:6" s="47" customFormat="1" x14ac:dyDescent="0.2">
      <c r="D577" s="289" t="str">
        <f>Intv_BA!D852</f>
        <v>Alcohol, 60-90% isopropyl or ethyl 95% (ZM)</v>
      </c>
      <c r="F577" s="342" t="s">
        <v>47</v>
      </c>
    </row>
    <row r="578" spans="4:6" s="47" customFormat="1" x14ac:dyDescent="0.2">
      <c r="D578" s="289" t="str">
        <f>Intv_BA!D853</f>
        <v>Amitriptyline hydrochloride( 25mg) (ZM)</v>
      </c>
      <c r="F578" s="342" t="s">
        <v>47</v>
      </c>
    </row>
    <row r="579" spans="4:6" s="47" customFormat="1" x14ac:dyDescent="0.2">
      <c r="D579" s="289" t="str">
        <f>Intv_BA!D854</f>
        <v>Amitriptyline hydrochloride( 25mg) (TZ)</v>
      </c>
      <c r="F579" s="342" t="s">
        <v>47</v>
      </c>
    </row>
    <row r="580" spans="4:6" s="47" customFormat="1" x14ac:dyDescent="0.2">
      <c r="D580" s="289" t="str">
        <f>Intv_BA!D855</f>
        <v>Anticeptic solution (UG)</v>
      </c>
      <c r="F580" s="342" t="s">
        <v>47</v>
      </c>
    </row>
    <row r="581" spans="4:6" s="47" customFormat="1" x14ac:dyDescent="0.2">
      <c r="D581" s="289" t="str">
        <f>Intv_BA!D856</f>
        <v>Arithromycin (250g) (ZM)</v>
      </c>
      <c r="F581" s="342" t="s">
        <v>47</v>
      </c>
    </row>
    <row r="582" spans="4:6" s="47" customFormat="1" x14ac:dyDescent="0.2">
      <c r="D582" s="289" t="str">
        <f>Intv_BA!D857</f>
        <v>Arithromycin (250g) (UG)</v>
      </c>
      <c r="F582" s="342" t="s">
        <v>47</v>
      </c>
    </row>
    <row r="583" spans="4:6" s="47" customFormat="1" x14ac:dyDescent="0.2">
      <c r="D583" s="289" t="str">
        <f>Intv_BA!D858</f>
        <v>Arithromycin (5g) (UG)</v>
      </c>
      <c r="F583" s="342" t="s">
        <v>47</v>
      </c>
    </row>
    <row r="584" spans="4:6" s="47" customFormat="1" x14ac:dyDescent="0.2">
      <c r="D584" s="289" t="str">
        <f>Intv_BA!D859</f>
        <v>Atropine (ZM)</v>
      </c>
      <c r="F584" s="342" t="s">
        <v>47</v>
      </c>
    </row>
    <row r="585" spans="4:6" s="47" customFormat="1" x14ac:dyDescent="0.2">
      <c r="D585" s="289" t="str">
        <f>Intv_BA!D860</f>
        <v>Ball electrode (UG)</v>
      </c>
      <c r="F585" s="342" t="s">
        <v>47</v>
      </c>
    </row>
    <row r="586" spans="4:6" s="47" customFormat="1" x14ac:dyDescent="0.2">
      <c r="D586" s="289" t="str">
        <f>Intv_BA!D861</f>
        <v>Bed linen sheet (100 uses) (ZM)</v>
      </c>
      <c r="F586" s="342" t="s">
        <v>47</v>
      </c>
    </row>
    <row r="587" spans="4:6" s="47" customFormat="1" x14ac:dyDescent="0.2">
      <c r="D587" s="289" t="str">
        <f>Intv_BA!D862</f>
        <v>Bed linen sheet (TZ)</v>
      </c>
      <c r="F587" s="342" t="s">
        <v>47</v>
      </c>
    </row>
    <row r="588" spans="4:6" s="47" customFormat="1" x14ac:dyDescent="0.2">
      <c r="D588" s="289" t="str">
        <f>Intv_BA!D863</f>
        <v>Bin Liner (ZM)</v>
      </c>
      <c r="F588" s="342" t="s">
        <v>47</v>
      </c>
    </row>
    <row r="589" spans="4:6" s="47" customFormat="1" x14ac:dyDescent="0.2">
      <c r="D589" s="289" t="str">
        <f>Intv_BA!D864</f>
        <v>Bleach (JIK)</v>
      </c>
      <c r="F589" s="342" t="s">
        <v>47</v>
      </c>
    </row>
    <row r="590" spans="4:6" s="47" customFormat="1" x14ac:dyDescent="0.2">
      <c r="D590" s="289" t="str">
        <f>Intv_BA!D865</f>
        <v>Bleach (UG)</v>
      </c>
      <c r="F590" s="342" t="s">
        <v>47</v>
      </c>
    </row>
    <row r="591" spans="4:6" s="47" customFormat="1" x14ac:dyDescent="0.2">
      <c r="D591" s="289" t="str">
        <f>Intv_BA!D866</f>
        <v>careHPV DCM tube (UG)</v>
      </c>
      <c r="F591" s="342" t="s">
        <v>47</v>
      </c>
    </row>
    <row r="592" spans="4:6" s="47" customFormat="1" x14ac:dyDescent="0.2">
      <c r="D592" s="289" t="str">
        <f>Intv_BA!D867</f>
        <v>Catheter -Urine (TZ)</v>
      </c>
      <c r="F592" s="342" t="s">
        <v>47</v>
      </c>
    </row>
    <row r="593" spans="4:6" s="47" customFormat="1" x14ac:dyDescent="0.2">
      <c r="D593" s="289" t="str">
        <f>Intv_BA!D868</f>
        <v>Cervical brush (UG)</v>
      </c>
      <c r="F593" s="342" t="s">
        <v>47</v>
      </c>
    </row>
    <row r="594" spans="4:6" s="47" customFormat="1" x14ac:dyDescent="0.2">
      <c r="D594" s="289" t="str">
        <f>Intv_BA!D869</f>
        <v>Chlorine 0.5% (Jik-diluted) (ZM)</v>
      </c>
      <c r="F594" s="342" t="s">
        <v>47</v>
      </c>
    </row>
    <row r="595" spans="4:6" s="47" customFormat="1" x14ac:dyDescent="0.2">
      <c r="D595" s="289" t="str">
        <f>Intv_BA!D870</f>
        <v>Chlorine 0.5% (Jik-diluted)  (TZ)</v>
      </c>
      <c r="F595" s="342" t="s">
        <v>47</v>
      </c>
    </row>
    <row r="596" spans="4:6" s="47" customFormat="1" x14ac:dyDescent="0.2">
      <c r="D596" s="289" t="str">
        <f>Intv_BA!D871</f>
        <v>Cidex (2-4% glutaraldehyde) (ZM)</v>
      </c>
      <c r="F596" s="342" t="s">
        <v>47</v>
      </c>
    </row>
    <row r="597" spans="4:6" s="47" customFormat="1" x14ac:dyDescent="0.2">
      <c r="D597" s="289" t="str">
        <f>Intv_BA!D872</f>
        <v>Cidex (2-4% glutaraldehyde) (TZ)</v>
      </c>
      <c r="F597" s="342" t="s">
        <v>47</v>
      </c>
    </row>
    <row r="598" spans="4:6" s="47" customFormat="1" x14ac:dyDescent="0.2">
      <c r="D598" s="289" t="str">
        <f>Intv_BA!D873</f>
        <v>Ciprofloxacin (500mg) (UG)</v>
      </c>
      <c r="F598" s="342" t="s">
        <v>47</v>
      </c>
    </row>
    <row r="599" spans="4:6" s="47" customFormat="1" x14ac:dyDescent="0.2">
      <c r="D599" s="289" t="str">
        <f>Intv_BA!D874</f>
        <v>Ciprofloxacin (500mg) 250MG (ZM)</v>
      </c>
      <c r="F599" s="342" t="s">
        <v>47</v>
      </c>
    </row>
    <row r="600" spans="4:6" s="47" customFormat="1" x14ac:dyDescent="0.2">
      <c r="D600" s="289" t="str">
        <f>Intv_BA!D875</f>
        <v>Cisplatin (50 mg) (ZM)</v>
      </c>
      <c r="F600" s="342" t="s">
        <v>47</v>
      </c>
    </row>
    <row r="601" spans="4:6" s="47" customFormat="1" x14ac:dyDescent="0.2">
      <c r="D601" s="289" t="str">
        <f>Intv_BA!D876</f>
        <v>Cisplatin (50 mg) (TZ)</v>
      </c>
      <c r="F601" s="342" t="s">
        <v>47</v>
      </c>
    </row>
    <row r="602" spans="4:6" s="47" customFormat="1" x14ac:dyDescent="0.2">
      <c r="D602" s="289" t="str">
        <f>Intv_BA!D877</f>
        <v>Citokit (UG)</v>
      </c>
      <c r="F602" s="342" t="s">
        <v>47</v>
      </c>
    </row>
    <row r="603" spans="4:6" s="47" customFormat="1" x14ac:dyDescent="0.2">
      <c r="D603" s="289" t="str">
        <f>Intv_BA!D878</f>
        <v>Colostomy Bag (TZ)</v>
      </c>
      <c r="F603" s="342" t="s">
        <v>47</v>
      </c>
    </row>
    <row r="604" spans="4:6" s="322" customFormat="1" x14ac:dyDescent="0.2">
      <c r="D604" s="374" t="str">
        <f>Intv_BA!D879</f>
        <v>Condom  (TZ)</v>
      </c>
      <c r="F604" s="342" t="s">
        <v>47</v>
      </c>
    </row>
    <row r="605" spans="4:6" s="322" customFormat="1" x14ac:dyDescent="0.2">
      <c r="D605" s="374" t="str">
        <f>Intv_BA!D880</f>
        <v>Condom MALE (ZM)</v>
      </c>
      <c r="F605" s="342" t="s">
        <v>47</v>
      </c>
    </row>
    <row r="606" spans="4:6" s="322" customFormat="1" x14ac:dyDescent="0.2">
      <c r="D606" s="374" t="str">
        <f>Intv_BA!D881</f>
        <v>Cotton swab (ZM)</v>
      </c>
      <c r="F606" s="342" t="s">
        <v>47</v>
      </c>
    </row>
    <row r="607" spans="4:6" s="322" customFormat="1" x14ac:dyDescent="0.2">
      <c r="D607" s="374" t="str">
        <f>Intv_BA!D882</f>
        <v>Cotton swab (TZ)</v>
      </c>
      <c r="F607" s="342" t="s">
        <v>47</v>
      </c>
    </row>
    <row r="608" spans="4:6" s="322" customFormat="1" x14ac:dyDescent="0.2">
      <c r="D608" s="374" t="str">
        <f>Intv_BA!D883</f>
        <v>Cotton swabs (UG)</v>
      </c>
      <c r="F608" s="342" t="s">
        <v>47</v>
      </c>
    </row>
    <row r="609" spans="4:6" s="322" customFormat="1" x14ac:dyDescent="0.2">
      <c r="D609" s="374" t="str">
        <f>Intv_BA!D884</f>
        <v>Cotton Wool, roll, non-sterile (ZM)</v>
      </c>
      <c r="F609" s="342" t="s">
        <v>47</v>
      </c>
    </row>
    <row r="610" spans="4:6" s="322" customFormat="1" x14ac:dyDescent="0.2">
      <c r="D610" s="374" t="str">
        <f>Intv_BA!D885</f>
        <v>Cotton Wool, roll, non-sterile (TZ)</v>
      </c>
      <c r="F610" s="342" t="s">
        <v>47</v>
      </c>
    </row>
    <row r="611" spans="4:6" s="322" customFormat="1" x14ac:dyDescent="0.2">
      <c r="D611" s="374" t="str">
        <f>Intv_BA!D886</f>
        <v xml:space="preserve">Dexamethasone (ZM) </v>
      </c>
      <c r="F611" s="342" t="s">
        <v>47</v>
      </c>
    </row>
    <row r="612" spans="4:6" s="322" customFormat="1" x14ac:dyDescent="0.2">
      <c r="D612" s="374" t="str">
        <f>Intv_BA!D887</f>
        <v>Diclofenac (50mg) (ZM)</v>
      </c>
      <c r="F612" s="342" t="s">
        <v>47</v>
      </c>
    </row>
    <row r="613" spans="4:6" s="322" customFormat="1" x14ac:dyDescent="0.2">
      <c r="D613" s="374" t="str">
        <f>Intv_BA!D888</f>
        <v>Diclofenac (50mg) (TZ)</v>
      </c>
      <c r="F613" s="342" t="s">
        <v>47</v>
      </c>
    </row>
    <row r="614" spans="4:6" s="322" customFormat="1" x14ac:dyDescent="0.2">
      <c r="D614" s="374" t="str">
        <f>Intv_BA!D889</f>
        <v>Distilled water (ZM)</v>
      </c>
      <c r="F614" s="342" t="s">
        <v>47</v>
      </c>
    </row>
    <row r="615" spans="4:6" s="322" customFormat="1" x14ac:dyDescent="0.2">
      <c r="D615" s="374" t="str">
        <f>Intv_BA!D890</f>
        <v>Distilled water (UG)</v>
      </c>
      <c r="F615" s="342" t="s">
        <v>47</v>
      </c>
    </row>
    <row r="616" spans="4:6" s="322" customFormat="1" x14ac:dyDescent="0.2">
      <c r="D616" s="374" t="str">
        <f>Intv_BA!D891</f>
        <v>Dulcolax (10mg) (ZM)</v>
      </c>
      <c r="F616" s="342" t="s">
        <v>47</v>
      </c>
    </row>
    <row r="617" spans="4:6" s="322" customFormat="1" x14ac:dyDescent="0.2">
      <c r="D617" s="374" t="str">
        <f>Intv_BA!D892</f>
        <v>Dulcolax (10mg) (TZ)</v>
      </c>
      <c r="F617" s="342" t="s">
        <v>47</v>
      </c>
    </row>
    <row r="618" spans="4:6" s="322" customFormat="1" x14ac:dyDescent="0.2">
      <c r="D618" s="374" t="str">
        <f>Intv_BA!D893</f>
        <v>Emend (ZM)</v>
      </c>
      <c r="F618" s="342" t="s">
        <v>47</v>
      </c>
    </row>
    <row r="619" spans="4:6" s="322" customFormat="1" x14ac:dyDescent="0.2">
      <c r="D619" s="374" t="str">
        <f>Intv_BA!D894</f>
        <v>Formalin (UG)</v>
      </c>
      <c r="F619" s="342" t="s">
        <v>47</v>
      </c>
    </row>
    <row r="620" spans="4:6" s="322" customFormat="1" x14ac:dyDescent="0.2">
      <c r="D620" s="374" t="str">
        <f>Intv_BA!D895</f>
        <v>Formalin AR 40% (ZM)</v>
      </c>
      <c r="F620" s="342" t="s">
        <v>47</v>
      </c>
    </row>
    <row r="621" spans="4:6" s="322" customFormat="1" x14ac:dyDescent="0.2">
      <c r="D621" s="374" t="str">
        <f>Intv_BA!D896</f>
        <v>Formalin AR 40% (TZ)</v>
      </c>
      <c r="F621" s="342" t="s">
        <v>47</v>
      </c>
    </row>
    <row r="622" spans="4:6" s="322" customFormat="1" x14ac:dyDescent="0.2">
      <c r="D622" s="374" t="str">
        <f>Intv_BA!D897</f>
        <v>Frusamide (ZM)</v>
      </c>
      <c r="F622" s="342" t="s">
        <v>47</v>
      </c>
    </row>
    <row r="623" spans="4:6" s="322" customFormat="1" x14ac:dyDescent="0.2">
      <c r="D623" s="374" t="str">
        <f>Intv_BA!D898</f>
        <v>Gas - N2O (UG)</v>
      </c>
      <c r="F623" s="342" t="s">
        <v>47</v>
      </c>
    </row>
    <row r="624" spans="4:6" s="322" customFormat="1" x14ac:dyDescent="0.2">
      <c r="D624" s="374" t="str">
        <f>Intv_BA!D899</f>
        <v>Gas Cylinder (Nitrous Oxide) 72 kg. (ZM)</v>
      </c>
      <c r="F624" s="342" t="s">
        <v>47</v>
      </c>
    </row>
    <row r="625" spans="4:6" s="322" customFormat="1" x14ac:dyDescent="0.2">
      <c r="D625" s="374" t="str">
        <f>Intv_BA!D900</f>
        <v>Gas Cylinder (TZ)</v>
      </c>
      <c r="F625" s="342" t="s">
        <v>47</v>
      </c>
    </row>
    <row r="626" spans="4:6" s="322" customFormat="1" x14ac:dyDescent="0.2">
      <c r="D626" s="374" t="str">
        <f>Intv_BA!D901</f>
        <v>Gauze (UG)</v>
      </c>
      <c r="F626" s="342" t="s">
        <v>47</v>
      </c>
    </row>
    <row r="627" spans="4:6" s="322" customFormat="1" x14ac:dyDescent="0.2">
      <c r="D627" s="374" t="str">
        <f>Intv_BA!D902</f>
        <v>Gauze hospital quality 10x4 cm (TZ)</v>
      </c>
      <c r="F627" s="342" t="s">
        <v>47</v>
      </c>
    </row>
    <row r="628" spans="4:6" s="322" customFormat="1" x14ac:dyDescent="0.2">
      <c r="D628" s="374" t="str">
        <f>Intv_BA!D903</f>
        <v>Gauze, Non-Sterile (ZM)</v>
      </c>
      <c r="F628" s="342" t="s">
        <v>47</v>
      </c>
    </row>
    <row r="629" spans="4:6" s="322" customFormat="1" x14ac:dyDescent="0.2">
      <c r="D629" s="374" t="str">
        <f>Intv_BA!D904</f>
        <v>Gauze, Non-Sterile (TZ)</v>
      </c>
      <c r="F629" s="342" t="s">
        <v>47</v>
      </c>
    </row>
    <row r="630" spans="4:6" s="322" customFormat="1" x14ac:dyDescent="0.2">
      <c r="D630" s="374" t="str">
        <f>Intv_BA!D905</f>
        <v>Gauze, Sterile (ZM)</v>
      </c>
      <c r="F630" s="342" t="s">
        <v>47</v>
      </c>
    </row>
    <row r="631" spans="4:6" s="322" customFormat="1" x14ac:dyDescent="0.2">
      <c r="D631" s="374" t="str">
        <f>Intv_BA!D906</f>
        <v>Gauze, Sterile (TZ)</v>
      </c>
      <c r="F631" s="342" t="s">
        <v>47</v>
      </c>
    </row>
    <row r="632" spans="4:6" s="322" customFormat="1" x14ac:dyDescent="0.2">
      <c r="D632" s="374" t="str">
        <f>Intv_BA!D907</f>
        <v>Gloves (UG)</v>
      </c>
      <c r="F632" s="342" t="s">
        <v>47</v>
      </c>
    </row>
    <row r="633" spans="4:6" s="322" customFormat="1" x14ac:dyDescent="0.2">
      <c r="D633" s="374" t="str">
        <f>Intv_BA!D908</f>
        <v>Gloves, Non-Sterile, Examination, latex, assorted sizes, disp. (ZM)</v>
      </c>
      <c r="F633" s="342" t="s">
        <v>47</v>
      </c>
    </row>
    <row r="634" spans="4:6" s="322" customFormat="1" x14ac:dyDescent="0.2">
      <c r="D634" s="374" t="str">
        <f>Intv_BA!D909</f>
        <v>Gloves, Non-Sterile, Examination, latex, medium, disp. (TZ)</v>
      </c>
      <c r="F634" s="342" t="s">
        <v>47</v>
      </c>
    </row>
    <row r="635" spans="4:6" s="322" customFormat="1" x14ac:dyDescent="0.2">
      <c r="D635" s="374" t="str">
        <f>Intv_BA!D910</f>
        <v>Gloves, Sterile (TZ)</v>
      </c>
      <c r="F635" s="342" t="s">
        <v>47</v>
      </c>
    </row>
    <row r="636" spans="4:6" s="322" customFormat="1" x14ac:dyDescent="0.2">
      <c r="D636" s="374" t="str">
        <f>Intv_BA!D911</f>
        <v>Gloves, Sterile 7.5 (ZM)</v>
      </c>
      <c r="F636" s="342" t="s">
        <v>47</v>
      </c>
    </row>
    <row r="637" spans="4:6" s="322" customFormat="1" x14ac:dyDescent="0.2">
      <c r="D637" s="374" t="str">
        <f>Intv_BA!D912</f>
        <v>Halothane (ZM)</v>
      </c>
      <c r="F637" s="342" t="s">
        <v>47</v>
      </c>
    </row>
    <row r="638" spans="4:6" s="322" customFormat="1" x14ac:dyDescent="0.2">
      <c r="D638" s="374" t="str">
        <f>Intv_BA!D913</f>
        <v>IV canula 22G  (ZM)</v>
      </c>
      <c r="F638" s="342" t="s">
        <v>47</v>
      </c>
    </row>
    <row r="639" spans="4:6" s="322" customFormat="1" x14ac:dyDescent="0.2">
      <c r="D639" s="374" t="str">
        <f>Intv_BA!D914</f>
        <v>IV canula 22G (each) (TZ)</v>
      </c>
      <c r="F639" s="342" t="s">
        <v>47</v>
      </c>
    </row>
    <row r="640" spans="4:6" s="322" customFormat="1" x14ac:dyDescent="0.2">
      <c r="D640" s="374" t="str">
        <f>Intv_BA!D915</f>
        <v>IV giving set (each) (TZ)</v>
      </c>
      <c r="F640" s="342" t="s">
        <v>47</v>
      </c>
    </row>
    <row r="641" spans="4:6" s="322" customFormat="1" x14ac:dyDescent="0.2">
      <c r="D641" s="374" t="str">
        <f>Intv_BA!D916</f>
        <v>IV giving set (closed system) (ZM)</v>
      </c>
      <c r="F641" s="342" t="s">
        <v>47</v>
      </c>
    </row>
    <row r="642" spans="4:6" s="322" customFormat="1" x14ac:dyDescent="0.2">
      <c r="D642" s="374" t="str">
        <f>Intv_BA!D917</f>
        <v>IV line (set) (ZM)</v>
      </c>
      <c r="F642" s="342" t="s">
        <v>47</v>
      </c>
    </row>
    <row r="643" spans="4:6" s="322" customFormat="1" x14ac:dyDescent="0.2">
      <c r="D643" s="374" t="str">
        <f>Intv_BA!D918</f>
        <v>IV line (set) (TZ)</v>
      </c>
      <c r="F643" s="342" t="s">
        <v>47</v>
      </c>
    </row>
    <row r="644" spans="4:6" s="322" customFormat="1" x14ac:dyDescent="0.2">
      <c r="D644" s="374" t="str">
        <f>Intv_BA!D919</f>
        <v>Ketamine (ZM)</v>
      </c>
      <c r="F644" s="342" t="s">
        <v>47</v>
      </c>
    </row>
    <row r="645" spans="4:6" s="322" customFormat="1" x14ac:dyDescent="0.2">
      <c r="D645" s="374" t="str">
        <f>Intv_BA!D920</f>
        <v>Kitchen Towel (ZM)</v>
      </c>
      <c r="F645" s="342" t="s">
        <v>47</v>
      </c>
    </row>
    <row r="646" spans="4:6" s="322" customFormat="1" x14ac:dyDescent="0.2">
      <c r="D646" s="374" t="str">
        <f>Intv_BA!D921</f>
        <v>K-Y jelly  (TZ)</v>
      </c>
      <c r="F646" s="342" t="s">
        <v>47</v>
      </c>
    </row>
    <row r="647" spans="4:6" s="322" customFormat="1" x14ac:dyDescent="0.2">
      <c r="D647" s="374" t="str">
        <f>Intv_BA!D922</f>
        <v>K-Y jelly Tube w/ 100 applcations ea) (ZM)</v>
      </c>
      <c r="F647" s="342" t="s">
        <v>47</v>
      </c>
    </row>
    <row r="648" spans="4:6" s="322" customFormat="1" x14ac:dyDescent="0.2">
      <c r="D648" s="374" t="str">
        <f>Intv_BA!D923</f>
        <v>Label (TZ)</v>
      </c>
      <c r="F648" s="342" t="s">
        <v>47</v>
      </c>
    </row>
    <row r="649" spans="4:6" s="322" customFormat="1" x14ac:dyDescent="0.2">
      <c r="D649" s="374" t="str">
        <f>Intv_BA!D924</f>
        <v>Lidocaine 1% or 2% without epinephrine (UG)</v>
      </c>
      <c r="F649" s="342" t="s">
        <v>47</v>
      </c>
    </row>
    <row r="650" spans="4:6" s="322" customFormat="1" x14ac:dyDescent="0.2">
      <c r="D650" s="374" t="str">
        <f>Intv_BA!D925</f>
        <v>Lidocaine 2% with epinephrine 1:80000 (ZM)</v>
      </c>
      <c r="F650" s="342" t="s">
        <v>47</v>
      </c>
    </row>
    <row r="651" spans="4:6" s="322" customFormat="1" x14ac:dyDescent="0.2">
      <c r="D651" s="374" t="str">
        <f>Intv_BA!D926</f>
        <v>Lidocaine: 2% with adrenalin 1:80000 (TZ)</v>
      </c>
      <c r="F651" s="342" t="s">
        <v>47</v>
      </c>
    </row>
    <row r="652" spans="4:6" s="322" customFormat="1" x14ac:dyDescent="0.2">
      <c r="D652" s="374" t="str">
        <f>Intv_BA!D927</f>
        <v>Liquid soap (UG)</v>
      </c>
      <c r="F652" s="342" t="s">
        <v>47</v>
      </c>
    </row>
    <row r="653" spans="4:6" s="322" customFormat="1" x14ac:dyDescent="0.2">
      <c r="D653" s="374" t="str">
        <f>Intv_BA!D928</f>
        <v>Lugol's iodine (UG)</v>
      </c>
      <c r="F653" s="342" t="s">
        <v>47</v>
      </c>
    </row>
    <row r="654" spans="4:6" s="322" customFormat="1" x14ac:dyDescent="0.2">
      <c r="D654" s="374" t="str">
        <f>Intv_BA!D929</f>
        <v>Mannitol (ZM)</v>
      </c>
      <c r="F654" s="342" t="s">
        <v>47</v>
      </c>
    </row>
    <row r="655" spans="4:6" s="322" customFormat="1" x14ac:dyDescent="0.2">
      <c r="D655" s="374" t="str">
        <f>Intv_BA!D930</f>
        <v>Metronizadol (200mg) (ZM)</v>
      </c>
      <c r="F655" s="342" t="s">
        <v>47</v>
      </c>
    </row>
    <row r="656" spans="4:6" s="322" customFormat="1" x14ac:dyDescent="0.2">
      <c r="D656" s="374" t="str">
        <f>Intv_BA!D931</f>
        <v>Metronizadol (200mg) (UG)</v>
      </c>
      <c r="F656" s="342" t="s">
        <v>47</v>
      </c>
    </row>
    <row r="657" spans="4:6" s="322" customFormat="1" x14ac:dyDescent="0.2">
      <c r="D657" s="374" t="str">
        <f>Intv_BA!D932</f>
        <v>Metronizadol (400mg) (UG)</v>
      </c>
      <c r="F657" s="342" t="s">
        <v>47</v>
      </c>
    </row>
    <row r="658" spans="4:6" s="322" customFormat="1" x14ac:dyDescent="0.2">
      <c r="D658" s="374" t="str">
        <f>Intv_BA!D933</f>
        <v>Mictomycin  C (10mg) (TZ)</v>
      </c>
      <c r="F658" s="342" t="s">
        <v>47</v>
      </c>
    </row>
    <row r="659" spans="4:6" s="322" customFormat="1" x14ac:dyDescent="0.2">
      <c r="D659" s="374" t="str">
        <f>Intv_BA!D934</f>
        <v>Mitomycin  C (10mg) (ZM)</v>
      </c>
      <c r="F659" s="342" t="s">
        <v>47</v>
      </c>
    </row>
    <row r="660" spans="4:6" s="322" customFormat="1" x14ac:dyDescent="0.2">
      <c r="D660" s="374" t="str">
        <f>Intv_BA!D935</f>
        <v>Monsel's solution (UG)</v>
      </c>
      <c r="F660" s="342" t="s">
        <v>47</v>
      </c>
    </row>
    <row r="661" spans="4:6" s="322" customFormat="1" x14ac:dyDescent="0.2">
      <c r="D661" s="374" t="str">
        <f>Intv_BA!D936</f>
        <v>Monsel's solution (ZM)</v>
      </c>
      <c r="F661" s="342" t="s">
        <v>47</v>
      </c>
    </row>
    <row r="662" spans="4:6" s="322" customFormat="1" x14ac:dyDescent="0.2">
      <c r="D662" s="374" t="str">
        <f>Intv_BA!D937</f>
        <v>Morphine (10mg) (ZM)</v>
      </c>
      <c r="F662" s="342" t="s">
        <v>47</v>
      </c>
    </row>
    <row r="663" spans="4:6" s="322" customFormat="1" x14ac:dyDescent="0.2">
      <c r="D663" s="374" t="str">
        <f>Intv_BA!D938</f>
        <v>Morphine (10mg) (TZ)</v>
      </c>
      <c r="F663" s="342" t="s">
        <v>47</v>
      </c>
    </row>
    <row r="664" spans="4:6" s="322" customFormat="1" x14ac:dyDescent="0.2">
      <c r="D664" s="374" t="str">
        <f>Intv_BA!D939</f>
        <v>Mutton Cloth (ZM)</v>
      </c>
      <c r="F664" s="342" t="s">
        <v>47</v>
      </c>
    </row>
    <row r="665" spans="4:6" s="322" customFormat="1" x14ac:dyDescent="0.2">
      <c r="D665" s="374" t="str">
        <f>Intv_BA!D940</f>
        <v>Needle – 18 or 20 gauge (TZ)</v>
      </c>
      <c r="F665" s="342" t="s">
        <v>47</v>
      </c>
    </row>
    <row r="666" spans="4:6" s="322" customFormat="1" x14ac:dyDescent="0.2">
      <c r="D666" s="374" t="str">
        <f>Intv_BA!D941</f>
        <v>Needle - Spinal 22G (disposable) (ZM)</v>
      </c>
      <c r="F666" s="342" t="s">
        <v>47</v>
      </c>
    </row>
    <row r="667" spans="4:6" s="322" customFormat="1" x14ac:dyDescent="0.2">
      <c r="D667" s="374" t="str">
        <f>Intv_BA!D942</f>
        <v>Needle - Spinal 22G (disposable) (TZ)</v>
      </c>
      <c r="F667" s="342" t="s">
        <v>47</v>
      </c>
    </row>
    <row r="668" spans="4:6" s="322" customFormat="1" x14ac:dyDescent="0.2">
      <c r="D668" s="374" t="str">
        <f>Intv_BA!D943</f>
        <v>Needles - Dental 27G Long (ZM)</v>
      </c>
      <c r="F668" s="342" t="s">
        <v>47</v>
      </c>
    </row>
    <row r="669" spans="4:6" s="322" customFormat="1" x14ac:dyDescent="0.2">
      <c r="D669" s="374" t="str">
        <f>Intv_BA!D944</f>
        <v>Neostymine (ZM)</v>
      </c>
      <c r="F669" s="342" t="s">
        <v>47</v>
      </c>
    </row>
    <row r="670" spans="4:6" s="322" customFormat="1" x14ac:dyDescent="0.2">
      <c r="D670" s="374" t="str">
        <f>Intv_BA!D945</f>
        <v>Normal saline (UG)</v>
      </c>
      <c r="F670" s="342" t="s">
        <v>47</v>
      </c>
    </row>
    <row r="671" spans="4:6" s="322" customFormat="1" x14ac:dyDescent="0.2">
      <c r="D671" s="374" t="str">
        <f>Intv_BA!D946</f>
        <v>Normal saline (ZM)</v>
      </c>
      <c r="F671" s="342" t="s">
        <v>47</v>
      </c>
    </row>
    <row r="672" spans="4:6" s="322" customFormat="1" x14ac:dyDescent="0.2">
      <c r="D672" s="374" t="str">
        <f>Intv_BA!D947</f>
        <v>Nystain (200mg) (UG)</v>
      </c>
      <c r="F672" s="342" t="s">
        <v>47</v>
      </c>
    </row>
    <row r="673" spans="4:6" s="322" customFormat="1" x14ac:dyDescent="0.2">
      <c r="D673" s="374" t="str">
        <f>Intv_BA!D948</f>
        <v>Ondansetron (IV) 4mg vials</v>
      </c>
      <c r="F673" s="342" t="s">
        <v>47</v>
      </c>
    </row>
    <row r="674" spans="4:6" s="322" customFormat="1" x14ac:dyDescent="0.2">
      <c r="D674" s="374" t="str">
        <f>Intv_BA!D949</f>
        <v>Ondasetron (oral) (4mg tablets)</v>
      </c>
      <c r="F674" s="342" t="s">
        <v>47</v>
      </c>
    </row>
    <row r="675" spans="4:6" s="47" customFormat="1" x14ac:dyDescent="0.2">
      <c r="D675" s="289" t="str">
        <f>Intv_BA!D950</f>
        <v>Opiods - Pethidine (ZM)</v>
      </c>
      <c r="F675" s="342" t="s">
        <v>47</v>
      </c>
    </row>
    <row r="676" spans="4:6" s="322" customFormat="1" x14ac:dyDescent="0.2">
      <c r="D676" s="374" t="str">
        <f>Intv_BA!D951</f>
        <v>Supplies Category 109</v>
      </c>
      <c r="F676" s="342" t="s">
        <v>47</v>
      </c>
    </row>
    <row r="677" spans="4:6" s="47" customFormat="1" x14ac:dyDescent="0.2">
      <c r="D677" s="289" t="str">
        <f>Intv_BA!D952</f>
        <v>Oralpharyngeal airway (ZM)</v>
      </c>
      <c r="F677" s="342" t="s">
        <v>47</v>
      </c>
    </row>
    <row r="678" spans="4:6" s="47" customFormat="1" x14ac:dyDescent="0.2">
      <c r="D678" s="289" t="str">
        <f>Intv_BA!D953</f>
        <v>Oxygen Mask (ZM)</v>
      </c>
      <c r="F678" s="342" t="s">
        <v>47</v>
      </c>
    </row>
    <row r="679" spans="4:6" s="47" customFormat="1" x14ac:dyDescent="0.2">
      <c r="D679" s="289" t="str">
        <f>Intv_BA!D954</f>
        <v>Pancuronuien (ZM)</v>
      </c>
      <c r="F679" s="342" t="s">
        <v>47</v>
      </c>
    </row>
    <row r="680" spans="4:6" s="47" customFormat="1" x14ac:dyDescent="0.2">
      <c r="D680" s="289" t="str">
        <f>Intv_BA!D955</f>
        <v>Paracetamol (1g) (UG)</v>
      </c>
      <c r="F680" s="342" t="s">
        <v>47</v>
      </c>
    </row>
    <row r="681" spans="4:6" s="47" customFormat="1" x14ac:dyDescent="0.2">
      <c r="D681" s="289" t="str">
        <f>Intv_BA!D956</f>
        <v>Paracetamol (500mg) (ZM)</v>
      </c>
      <c r="F681" s="342" t="s">
        <v>47</v>
      </c>
    </row>
    <row r="682" spans="4:6" s="47" customFormat="1" x14ac:dyDescent="0.2">
      <c r="D682" s="289" t="str">
        <f>Intv_BA!D957</f>
        <v>Paracetamol (500mg) (TZ)</v>
      </c>
      <c r="F682" s="342" t="s">
        <v>47</v>
      </c>
    </row>
    <row r="683" spans="4:6" s="47" customFormat="1" x14ac:dyDescent="0.2">
      <c r="D683" s="289" t="str">
        <f>Intv_BA!D958</f>
        <v>Paracetamol (500mg) (UG)</v>
      </c>
      <c r="F683" s="342" t="s">
        <v>47</v>
      </c>
    </row>
    <row r="684" spans="4:6" s="47" customFormat="1" x14ac:dyDescent="0.2">
      <c r="D684" s="289" t="str">
        <f>Intv_BA!D959</f>
        <v>Pathology form (TZ)</v>
      </c>
      <c r="F684" s="342" t="s">
        <v>47</v>
      </c>
    </row>
    <row r="685" spans="4:6" s="47" customFormat="1" x14ac:dyDescent="0.2">
      <c r="D685" s="289" t="str">
        <f>Intv_BA!D960</f>
        <v>Patient card (TZ)</v>
      </c>
      <c r="F685" s="342" t="s">
        <v>47</v>
      </c>
    </row>
    <row r="686" spans="4:6" s="47" customFormat="1" x14ac:dyDescent="0.2">
      <c r="D686" s="289" t="str">
        <f>Intv_BA!D961</f>
        <v>Pencil (TZ)</v>
      </c>
      <c r="F686" s="342" t="s">
        <v>47</v>
      </c>
    </row>
    <row r="687" spans="4:6" s="322" customFormat="1" x14ac:dyDescent="0.2">
      <c r="D687" s="374" t="str">
        <f>Intv_BA!D962</f>
        <v>Perthodine (TZ)</v>
      </c>
      <c r="F687" s="342" t="s">
        <v>47</v>
      </c>
    </row>
    <row r="688" spans="4:6" s="322" customFormat="1" x14ac:dyDescent="0.2">
      <c r="D688" s="374" t="str">
        <f>Intv_BA!D963</f>
        <v>Pipette Tips (TZ)</v>
      </c>
      <c r="F688" s="342" t="s">
        <v>47</v>
      </c>
    </row>
    <row r="689" spans="4:6" s="322" customFormat="1" x14ac:dyDescent="0.2">
      <c r="D689" s="374" t="str">
        <f>Intv_BA!D964</f>
        <v>Pipette, Fixed, 50 microlitre (TZ)</v>
      </c>
      <c r="F689" s="342" t="s">
        <v>47</v>
      </c>
    </row>
    <row r="690" spans="4:6" s="322" customFormat="1" x14ac:dyDescent="0.2">
      <c r="D690" s="374" t="str">
        <f>Intv_BA!D965</f>
        <v>Pipette, Repeater (TZ)</v>
      </c>
      <c r="F690" s="342" t="s">
        <v>47</v>
      </c>
    </row>
    <row r="691" spans="4:6" s="322" customFormat="1" x14ac:dyDescent="0.2">
      <c r="D691" s="374" t="str">
        <f>Intv_BA!D966</f>
        <v>Pregnancy test– urine test strip (ZM)</v>
      </c>
      <c r="F691" s="342" t="s">
        <v>47</v>
      </c>
    </row>
    <row r="692" spans="4:6" s="322" customFormat="1" x14ac:dyDescent="0.2">
      <c r="D692" s="374" t="str">
        <f>Intv_BA!D967</f>
        <v>Pregnancy tests – urine test strips (TZ)</v>
      </c>
      <c r="F692" s="342" t="s">
        <v>47</v>
      </c>
    </row>
    <row r="693" spans="4:6" s="322" customFormat="1" x14ac:dyDescent="0.2">
      <c r="D693" s="374" t="str">
        <f>Intv_BA!D968</f>
        <v>Profol, 2%, 20 mg/l, 50ml (ZM)</v>
      </c>
      <c r="F693" s="342" t="s">
        <v>47</v>
      </c>
    </row>
    <row r="694" spans="4:6" s="322" customFormat="1" x14ac:dyDescent="0.2">
      <c r="D694" s="374" t="str">
        <f>Intv_BA!D969</f>
        <v>Repeater Tips (TZ)</v>
      </c>
      <c r="F694" s="342" t="s">
        <v>47</v>
      </c>
    </row>
    <row r="695" spans="4:6" s="322" customFormat="1" x14ac:dyDescent="0.2">
      <c r="D695" s="374" t="str">
        <f>Intv_BA!D970</f>
        <v>Return electrode (UG)</v>
      </c>
      <c r="F695" s="342" t="s">
        <v>47</v>
      </c>
    </row>
    <row r="696" spans="4:6" s="322" customFormat="1" x14ac:dyDescent="0.2">
      <c r="D696" s="374" t="str">
        <f>Intv_BA!D971</f>
        <v>Saline solution, normal (ZM)</v>
      </c>
      <c r="F696" s="342" t="s">
        <v>47</v>
      </c>
    </row>
    <row r="697" spans="4:6" s="322" customFormat="1" x14ac:dyDescent="0.2">
      <c r="D697" s="374" t="str">
        <f>Intv_BA!D972</f>
        <v>Saline solution, normal (TZ)</v>
      </c>
      <c r="F697" s="342" t="s">
        <v>47</v>
      </c>
    </row>
    <row r="698" spans="4:6" s="322" customFormat="1" x14ac:dyDescent="0.2">
      <c r="D698" s="374" t="str">
        <f>Intv_BA!D973</f>
        <v>Sanitary pad (ZM)</v>
      </c>
      <c r="F698" s="342" t="s">
        <v>47</v>
      </c>
    </row>
    <row r="699" spans="4:6" s="322" customFormat="1" x14ac:dyDescent="0.2">
      <c r="D699" s="374" t="str">
        <f>Intv_BA!D974</f>
        <v>Sanitary pad (UG)</v>
      </c>
      <c r="F699" s="342" t="s">
        <v>47</v>
      </c>
    </row>
    <row r="700" spans="4:6" s="322" customFormat="1" x14ac:dyDescent="0.2">
      <c r="D700" s="374" t="str">
        <f>Intv_BA!D975</f>
        <v>Scouring Powder (Ajax)</v>
      </c>
      <c r="F700" s="342" t="s">
        <v>47</v>
      </c>
    </row>
    <row r="701" spans="4:6" s="322" customFormat="1" x14ac:dyDescent="0.2">
      <c r="D701" s="374" t="str">
        <f>Intv_BA!D976</f>
        <v>Soap (or hand sanitizer) (ZM)</v>
      </c>
      <c r="F701" s="342" t="s">
        <v>47</v>
      </c>
    </row>
    <row r="702" spans="4:6" s="322" customFormat="1" x14ac:dyDescent="0.2">
      <c r="D702" s="374" t="str">
        <f>Intv_BA!D977</f>
        <v>Soap (or hand sanitizer) (TZ)</v>
      </c>
      <c r="F702" s="342" t="s">
        <v>47</v>
      </c>
    </row>
    <row r="703" spans="4:6" s="322" customFormat="1" x14ac:dyDescent="0.2">
      <c r="D703" s="374" t="str">
        <f>Intv_BA!D978</f>
        <v>Specimen bottle / recyled syringe bottles (UG)</v>
      </c>
      <c r="F703" s="342" t="s">
        <v>47</v>
      </c>
    </row>
    <row r="704" spans="4:6" s="322" customFormat="1" x14ac:dyDescent="0.2">
      <c r="D704" s="374" t="str">
        <f>Intv_BA!D979</f>
        <v>Specimen cup with lid and label - 100 cc (TZ)</v>
      </c>
      <c r="F704" s="342" t="s">
        <v>47</v>
      </c>
    </row>
    <row r="705" spans="4:6" s="322" customFormat="1" x14ac:dyDescent="0.2">
      <c r="D705" s="374" t="str">
        <f>Intv_BA!D980</f>
        <v>Surgical Apron (ZM)</v>
      </c>
      <c r="F705" s="342" t="s">
        <v>47</v>
      </c>
    </row>
    <row r="706" spans="4:6" s="322" customFormat="1" x14ac:dyDescent="0.2">
      <c r="D706" s="374" t="str">
        <f>Intv_BA!D981</f>
        <v>Suxamethonium (ZM)</v>
      </c>
      <c r="F706" s="342" t="s">
        <v>47</v>
      </c>
    </row>
    <row r="707" spans="4:6" s="322" customFormat="1" x14ac:dyDescent="0.2">
      <c r="D707" s="374" t="str">
        <f>Intv_BA!D982</f>
        <v>Syringe - 2cc (ZM)</v>
      </c>
      <c r="F707" s="342" t="s">
        <v>47</v>
      </c>
    </row>
    <row r="708" spans="4:6" s="322" customFormat="1" x14ac:dyDescent="0.2">
      <c r="D708" s="374" t="str">
        <f>Intv_BA!D983</f>
        <v>Syringe - 2ml (UG)</v>
      </c>
      <c r="F708" s="342" t="s">
        <v>47</v>
      </c>
    </row>
    <row r="709" spans="4:6" s="322" customFormat="1" x14ac:dyDescent="0.2">
      <c r="D709" s="374" t="str">
        <f>Intv_BA!D984</f>
        <v>Syringe, 10 cc with needle (ZM)</v>
      </c>
      <c r="F709" s="342" t="s">
        <v>47</v>
      </c>
    </row>
    <row r="710" spans="4:6" s="322" customFormat="1" x14ac:dyDescent="0.2">
      <c r="D710" s="374" t="str">
        <f>Intv_BA!D985</f>
        <v>Syringe, 5 cc with needle (ZM)</v>
      </c>
      <c r="F710" s="342" t="s">
        <v>47</v>
      </c>
    </row>
    <row r="711" spans="4:6" s="322" customFormat="1" x14ac:dyDescent="0.2">
      <c r="D711" s="374" t="str">
        <f>Intv_BA!D986</f>
        <v>Syringes, 10 cc with needle (TZ)</v>
      </c>
      <c r="F711" s="342" t="s">
        <v>47</v>
      </c>
    </row>
    <row r="712" spans="4:6" s="322" customFormat="1" x14ac:dyDescent="0.2">
      <c r="D712" s="374" t="str">
        <f>Intv_BA!D987</f>
        <v>Syringes, 5 cc with needle (TZ)</v>
      </c>
      <c r="F712" s="342" t="s">
        <v>47</v>
      </c>
    </row>
    <row r="713" spans="4:6" s="322" customFormat="1" x14ac:dyDescent="0.2">
      <c r="D713" s="374" t="str">
        <f>Intv_BA!D988</f>
        <v>Syringes, Dental, 25 gauge (ZM)</v>
      </c>
      <c r="F713" s="342" t="s">
        <v>47</v>
      </c>
    </row>
    <row r="714" spans="4:6" s="322" customFormat="1" x14ac:dyDescent="0.2">
      <c r="D714" s="374" t="str">
        <f>Intv_BA!D989</f>
        <v>Thiopentone,500mg vial (ZM)</v>
      </c>
      <c r="F714" s="342" t="s">
        <v>47</v>
      </c>
    </row>
    <row r="715" spans="4:6" s="322" customFormat="1" x14ac:dyDescent="0.2">
      <c r="D715" s="374" t="str">
        <f>Intv_BA!D990</f>
        <v>Toilet Tissues (roll) – 500 sheets (ZM)</v>
      </c>
      <c r="F715" s="342" t="s">
        <v>47</v>
      </c>
    </row>
    <row r="716" spans="4:6" s="322" customFormat="1" x14ac:dyDescent="0.2">
      <c r="D716" s="374" t="str">
        <f>Intv_BA!D991</f>
        <v>Tramadol (50mg)  (ZM)</v>
      </c>
      <c r="F716" s="342" t="s">
        <v>47</v>
      </c>
    </row>
    <row r="717" spans="4:6" s="322" customFormat="1" x14ac:dyDescent="0.2">
      <c r="D717" s="374" t="str">
        <f>Intv_BA!D992</f>
        <v>Tramadol (50mg) (TZ)</v>
      </c>
      <c r="F717" s="342" t="s">
        <v>47</v>
      </c>
    </row>
    <row r="718" spans="4:6" s="322" customFormat="1" x14ac:dyDescent="0.2">
      <c r="D718" s="374" t="str">
        <f>Intv_BA!D993</f>
        <v>Tubes - Endotrach (ZM)</v>
      </c>
      <c r="F718" s="342" t="s">
        <v>47</v>
      </c>
    </row>
    <row r="719" spans="4:6" s="322" customFormat="1" x14ac:dyDescent="0.2">
      <c r="D719" s="374" t="str">
        <f>Intv_BA!D994</f>
        <v>Urine Bag (ZM)</v>
      </c>
      <c r="F719" s="342" t="s">
        <v>47</v>
      </c>
    </row>
    <row r="720" spans="4:6" s="322" customFormat="1" x14ac:dyDescent="0.2">
      <c r="D720" s="374" t="str">
        <f>Intv_BA!D995</f>
        <v>Urine Bag (TZ)</v>
      </c>
      <c r="F720" s="342" t="s">
        <v>47</v>
      </c>
    </row>
    <row r="721" spans="3:6" s="322" customFormat="1" x14ac:dyDescent="0.2">
      <c r="D721" s="374" t="str">
        <f>Intv_BA!D996</f>
        <v>Washing powder (ZM)</v>
      </c>
      <c r="F721" s="342" t="s">
        <v>47</v>
      </c>
    </row>
    <row r="722" spans="3:6" s="322" customFormat="1" x14ac:dyDescent="0.2">
      <c r="D722" s="374" t="str">
        <f>Intv_BA!D997</f>
        <v>Wire electrode (UG)</v>
      </c>
      <c r="F722" s="342" t="s">
        <v>47</v>
      </c>
    </row>
    <row r="723" spans="3:6" s="322" customFormat="1" x14ac:dyDescent="0.2">
      <c r="D723" s="374" t="str">
        <f>Intv_BA!D998</f>
        <v>Wood stick (ZM)</v>
      </c>
      <c r="F723" s="342" t="s">
        <v>47</v>
      </c>
    </row>
    <row r="724" spans="3:6" s="322" customFormat="1" x14ac:dyDescent="0.2">
      <c r="D724" s="374" t="str">
        <f>Intv_BA!D999</f>
        <v>Wood stick (TZ)</v>
      </c>
      <c r="F724" s="342" t="s">
        <v>47</v>
      </c>
    </row>
    <row r="725" spans="3:6" s="322" customFormat="1" x14ac:dyDescent="0.2">
      <c r="D725" s="374" t="str">
        <f>Intv_BA!D1000</f>
        <v>Supplies Category 158</v>
      </c>
      <c r="F725" s="342" t="s">
        <v>47</v>
      </c>
    </row>
    <row r="726" spans="3:6" s="322" customFormat="1" x14ac:dyDescent="0.2">
      <c r="D726" s="374" t="str">
        <f>Intv_BA!D1001</f>
        <v>Supplies Category 159</v>
      </c>
      <c r="F726" s="342" t="s">
        <v>47</v>
      </c>
    </row>
    <row r="727" spans="3:6" s="322" customFormat="1" x14ac:dyDescent="0.2">
      <c r="D727" s="374" t="str">
        <f>Intv_BA!D1002</f>
        <v>Supplies Category 160</v>
      </c>
      <c r="F727" s="342" t="s">
        <v>47</v>
      </c>
    </row>
    <row r="728" spans="3:6" s="322" customFormat="1" x14ac:dyDescent="0.2">
      <c r="D728" s="374" t="str">
        <f>Intv_BA!D1003</f>
        <v>Supplies Category 161</v>
      </c>
      <c r="F728" s="342" t="s">
        <v>47</v>
      </c>
    </row>
    <row r="729" spans="3:6" s="322" customFormat="1" x14ac:dyDescent="0.2">
      <c r="D729" s="374" t="str">
        <f>Intv_BA!D1004</f>
        <v>Supplies Category 162</v>
      </c>
      <c r="F729" s="342" t="s">
        <v>47</v>
      </c>
    </row>
    <row r="730" spans="3:6" s="322" customFormat="1" x14ac:dyDescent="0.2">
      <c r="D730" s="374" t="str">
        <f>Intv_BA!D1005</f>
        <v>Supplies Category 163</v>
      </c>
      <c r="F730" s="342" t="s">
        <v>47</v>
      </c>
    </row>
    <row r="731" spans="3:6" s="322" customFormat="1" x14ac:dyDescent="0.2">
      <c r="D731" s="374" t="str">
        <f>Intv_BA!D1006</f>
        <v>Other Supply (Specify)</v>
      </c>
      <c r="F731" s="342" t="s">
        <v>47</v>
      </c>
    </row>
    <row r="732" spans="3:6" s="322" customFormat="1" x14ac:dyDescent="0.2">
      <c r="D732" s="374" t="str">
        <f>Intv_BA!D1007</f>
        <v>Other Supply (Specify)</v>
      </c>
      <c r="F732" s="342" t="s">
        <v>47</v>
      </c>
    </row>
    <row r="733" spans="3:6" s="322" customFormat="1" x14ac:dyDescent="0.2">
      <c r="D733" s="374" t="str">
        <f>Intv_BA!D1008</f>
        <v>Other Supply (Specify)</v>
      </c>
      <c r="F733" s="342" t="s">
        <v>47</v>
      </c>
    </row>
    <row r="734" spans="3:6" s="322" customFormat="1" x14ac:dyDescent="0.2">
      <c r="D734" s="374" t="str">
        <f>Intv_BA!D1009</f>
        <v>Other Supply (Specify)</v>
      </c>
      <c r="F734" s="342" t="s">
        <v>47</v>
      </c>
    </row>
    <row r="736" spans="3:6" ht="15.75" x14ac:dyDescent="0.2">
      <c r="C736" s="19" t="s">
        <v>313</v>
      </c>
      <c r="F736" s="19" t="s">
        <v>32</v>
      </c>
    </row>
    <row r="738" spans="4:6" x14ac:dyDescent="0.2">
      <c r="D738" s="20" t="s">
        <v>313</v>
      </c>
      <c r="F738" s="504" t="s">
        <v>361</v>
      </c>
    </row>
    <row r="739" spans="4:6" x14ac:dyDescent="0.2">
      <c r="D739" s="10" t="str">
        <f>Intv_BA!D1012</f>
        <v>_Not Applicable</v>
      </c>
      <c r="F739" s="375" t="s">
        <v>47</v>
      </c>
    </row>
    <row r="740" spans="4:6" x14ac:dyDescent="0.2">
      <c r="D740" s="10" t="str">
        <f>Intv_BA!D1013</f>
        <v>Aluminum pail with lid (TZ)</v>
      </c>
      <c r="F740" s="375" t="s">
        <v>47</v>
      </c>
    </row>
    <row r="741" spans="4:6" x14ac:dyDescent="0.2">
      <c r="D741" s="10" t="str">
        <f>Intv_BA!D1014</f>
        <v>Autoclaving Machine (ZM)</v>
      </c>
      <c r="F741" s="375" t="s">
        <v>47</v>
      </c>
    </row>
    <row r="742" spans="4:6" s="322" customFormat="1" x14ac:dyDescent="0.2">
      <c r="D742" s="374" t="str">
        <f>Intv_BA!D1015</f>
        <v>Ball electrode  5mm/Ellman (ZM)</v>
      </c>
      <c r="F742" s="342" t="s">
        <v>47</v>
      </c>
    </row>
    <row r="743" spans="4:6" x14ac:dyDescent="0.2">
      <c r="D743" s="10" t="str">
        <f>Intv_BA!D1016</f>
        <v>Basin (for examination couch) (ZM)</v>
      </c>
      <c r="F743" s="375" t="s">
        <v>47</v>
      </c>
    </row>
    <row r="744" spans="4:6" x14ac:dyDescent="0.2">
      <c r="D744" s="10" t="str">
        <f>Intv_BA!D1017</f>
        <v>Battery Charger (ZM)</v>
      </c>
      <c r="F744" s="375" t="s">
        <v>47</v>
      </c>
    </row>
    <row r="745" spans="4:6" x14ac:dyDescent="0.2">
      <c r="D745" s="10" t="str">
        <f>Intv_BA!D1018</f>
        <v>Bucket (UG)</v>
      </c>
      <c r="F745" s="375" t="s">
        <v>47</v>
      </c>
    </row>
    <row r="746" spans="4:6" x14ac:dyDescent="0.2">
      <c r="D746" s="10" t="str">
        <f>Intv_BA!D1019</f>
        <v>Bucket 20Lt plastic with lid (ZM)</v>
      </c>
      <c r="F746" s="375" t="s">
        <v>47</v>
      </c>
    </row>
    <row r="747" spans="4:6" x14ac:dyDescent="0.2">
      <c r="D747" s="10" t="str">
        <f>Intv_BA!D1020</f>
        <v>Camera Rechargeable batteries ( set of 6) (ZM)</v>
      </c>
      <c r="F747" s="375" t="s">
        <v>47</v>
      </c>
    </row>
    <row r="748" spans="4:6" x14ac:dyDescent="0.2">
      <c r="D748" s="10" t="str">
        <f>Intv_BA!D1021</f>
        <v>Card Reader (ZM)</v>
      </c>
      <c r="F748" s="375" t="s">
        <v>47</v>
      </c>
    </row>
    <row r="749" spans="4:6" x14ac:dyDescent="0.2">
      <c r="D749" s="10" t="str">
        <f>Intv_BA!D1022</f>
        <v>CareHPV Machine (kit set) (ZM)</v>
      </c>
      <c r="F749" s="375" t="s">
        <v>47</v>
      </c>
    </row>
    <row r="750" spans="4:6" x14ac:dyDescent="0.2">
      <c r="D750" s="10" t="str">
        <f>Intv_BA!D1023</f>
        <v>CareHPV Machine (kit)  (TZ)</v>
      </c>
      <c r="F750" s="375" t="s">
        <v>47</v>
      </c>
    </row>
    <row r="751" spans="4:6" x14ac:dyDescent="0.2">
      <c r="D751" s="10" t="str">
        <f>Intv_BA!D1024</f>
        <v>Cauterizer (ZM)</v>
      </c>
      <c r="F751" s="375" t="s">
        <v>47</v>
      </c>
    </row>
    <row r="752" spans="4:6" x14ac:dyDescent="0.2">
      <c r="D752" s="10" t="str">
        <f>Intv_BA!D1025</f>
        <v>Cauterizer  (TZ)</v>
      </c>
      <c r="F752" s="375" t="s">
        <v>47</v>
      </c>
    </row>
    <row r="753" spans="4:6" s="322" customFormat="1" x14ac:dyDescent="0.2">
      <c r="D753" s="374" t="str">
        <f>Intv_BA!D1026</f>
        <v>Cervical Cold Coagulator with Instrument Cable and Therapy Probe (ZM)</v>
      </c>
      <c r="F753" s="342" t="s">
        <v>47</v>
      </c>
    </row>
    <row r="754" spans="4:6" x14ac:dyDescent="0.2">
      <c r="D754" s="10" t="str">
        <f>Intv_BA!D1027</f>
        <v>Chair (ZM)</v>
      </c>
      <c r="F754" s="375" t="s">
        <v>47</v>
      </c>
    </row>
    <row r="755" spans="4:6" x14ac:dyDescent="0.2">
      <c r="D755" s="10" t="str">
        <f>Intv_BA!D1028</f>
        <v>Cheetal forceps (UG)</v>
      </c>
      <c r="F755" s="375" t="s">
        <v>47</v>
      </c>
    </row>
    <row r="756" spans="4:6" x14ac:dyDescent="0.2">
      <c r="D756" s="10" t="str">
        <f>Intv_BA!D1029</f>
        <v>Colposcope (set) (ZM)</v>
      </c>
      <c r="F756" s="375" t="s">
        <v>47</v>
      </c>
    </row>
    <row r="757" spans="4:6" x14ac:dyDescent="0.2">
      <c r="D757" s="10" t="str">
        <f>Intv_BA!D1030</f>
        <v>Colposcope (UG)</v>
      </c>
      <c r="F757" s="375" t="s">
        <v>47</v>
      </c>
    </row>
    <row r="758" spans="4:6" s="47" customFormat="1" x14ac:dyDescent="0.2">
      <c r="D758" s="289" t="str">
        <f>Intv_BA!D1031</f>
        <v>Colposcopy equipment (TZ)</v>
      </c>
      <c r="F758" s="342" t="s">
        <v>47</v>
      </c>
    </row>
    <row r="759" spans="4:6" s="47" customFormat="1" x14ac:dyDescent="0.2">
      <c r="D759" s="289" t="str">
        <f>Intv_BA!D1032</f>
        <v>Cryotherapy unit (UG)</v>
      </c>
      <c r="F759" s="342" t="s">
        <v>47</v>
      </c>
    </row>
    <row r="760" spans="4:6" s="47" customFormat="1" x14ac:dyDescent="0.2">
      <c r="D760" s="289" t="str">
        <f>Intv_BA!D1033</f>
        <v>Cryotherapy Unit with cryotips (set) (ZM)</v>
      </c>
      <c r="F760" s="342" t="s">
        <v>47</v>
      </c>
    </row>
    <row r="761" spans="4:6" s="47" customFormat="1" x14ac:dyDescent="0.2">
      <c r="D761" s="289" t="str">
        <f>Intv_BA!D1034</f>
        <v>Cryotherapy Unit with cryotips (TZ)</v>
      </c>
      <c r="F761" s="342" t="s">
        <v>47</v>
      </c>
    </row>
    <row r="762" spans="4:6" s="47" customFormat="1" x14ac:dyDescent="0.2">
      <c r="D762" s="289" t="str">
        <f>Intv_BA!D1035</f>
        <v>Digital Camera (ZM)</v>
      </c>
      <c r="F762" s="342" t="s">
        <v>47</v>
      </c>
    </row>
    <row r="763" spans="4:6" s="47" customFormat="1" x14ac:dyDescent="0.2">
      <c r="D763" s="289" t="str">
        <f>Intv_BA!D1036</f>
        <v>Dissecting forceps – 12.5 cm  (TZ)</v>
      </c>
      <c r="F763" s="342" t="s">
        <v>47</v>
      </c>
    </row>
    <row r="764" spans="4:6" s="47" customFormat="1" x14ac:dyDescent="0.2">
      <c r="D764" s="289" t="str">
        <f>Intv_BA!D1037</f>
        <v>Doctor's Stool (ZM)</v>
      </c>
      <c r="F764" s="342" t="s">
        <v>47</v>
      </c>
    </row>
    <row r="765" spans="4:6" s="47" customFormat="1" x14ac:dyDescent="0.2">
      <c r="D765" s="289" t="str">
        <f>Intv_BA!D1038</f>
        <v>Endocervical speculum  (UG)</v>
      </c>
      <c r="F765" s="342" t="s">
        <v>47</v>
      </c>
    </row>
    <row r="766" spans="4:6" s="47" customFormat="1" x14ac:dyDescent="0.2">
      <c r="D766" s="289" t="str">
        <f>Intv_BA!D1039</f>
        <v>Examination bed (UG)</v>
      </c>
      <c r="F766" s="342" t="s">
        <v>47</v>
      </c>
    </row>
    <row r="767" spans="4:6" s="47" customFormat="1" x14ac:dyDescent="0.2">
      <c r="D767" s="289" t="str">
        <f>Intv_BA!D1040</f>
        <v>Examination couch (with Stirrups) (ZM)</v>
      </c>
      <c r="F767" s="342" t="s">
        <v>47</v>
      </c>
    </row>
    <row r="768" spans="4:6" s="47" customFormat="1" x14ac:dyDescent="0.2">
      <c r="D768" s="289" t="str">
        <f>Intv_BA!D1041</f>
        <v>Examination light (Halogen, no bulb) (ZM)</v>
      </c>
      <c r="F768" s="342" t="s">
        <v>47</v>
      </c>
    </row>
    <row r="769" spans="4:6" s="322" customFormat="1" x14ac:dyDescent="0.2">
      <c r="D769" s="374" t="str">
        <f>Intv_BA!D1042</f>
        <v>Examination light source  (TZ)</v>
      </c>
      <c r="F769" s="342" t="s">
        <v>47</v>
      </c>
    </row>
    <row r="770" spans="4:6" s="322" customFormat="1" x14ac:dyDescent="0.2">
      <c r="D770" s="374" t="str">
        <f>Intv_BA!D1043</f>
        <v>Examination light source (Halogen) with bulb (set) (ZM)</v>
      </c>
      <c r="F770" s="342" t="s">
        <v>47</v>
      </c>
    </row>
    <row r="771" spans="4:6" s="322" customFormat="1" x14ac:dyDescent="0.2">
      <c r="D771" s="374" t="str">
        <f>Intv_BA!D1044</f>
        <v>Examination table (UG)</v>
      </c>
      <c r="F771" s="342" t="s">
        <v>47</v>
      </c>
    </row>
    <row r="772" spans="4:6" s="322" customFormat="1" x14ac:dyDescent="0.2">
      <c r="D772" s="374" t="str">
        <f>Intv_BA!D1045</f>
        <v>Filing Cabinet (ZM)</v>
      </c>
      <c r="F772" s="342" t="s">
        <v>47</v>
      </c>
    </row>
    <row r="773" spans="4:6" s="322" customFormat="1" x14ac:dyDescent="0.2">
      <c r="D773" s="374" t="str">
        <f>Intv_BA!D1046</f>
        <v>Forceps (UG)</v>
      </c>
      <c r="F773" s="342" t="s">
        <v>47</v>
      </c>
    </row>
    <row r="774" spans="4:6" s="322" customFormat="1" x14ac:dyDescent="0.2">
      <c r="D774" s="374" t="str">
        <f>Intv_BA!D1047</f>
        <v>Forceps Babcocks  (ZM)</v>
      </c>
      <c r="F774" s="342" t="s">
        <v>47</v>
      </c>
    </row>
    <row r="775" spans="4:6" s="322" customFormat="1" x14ac:dyDescent="0.2">
      <c r="D775" s="374" t="str">
        <f>Intv_BA!D1048</f>
        <v>Forceps tissue - babcocks  (TZ)</v>
      </c>
      <c r="F775" s="342" t="s">
        <v>47</v>
      </c>
    </row>
    <row r="776" spans="4:6" s="322" customFormat="1" x14ac:dyDescent="0.2">
      <c r="D776" s="374" t="str">
        <f>Intv_BA!D1049</f>
        <v>Forceps tissue - long  (TZ)</v>
      </c>
      <c r="F776" s="342" t="s">
        <v>47</v>
      </c>
    </row>
    <row r="777" spans="4:6" s="322" customFormat="1" x14ac:dyDescent="0.2">
      <c r="D777" s="374" t="str">
        <f>Intv_BA!D1050</f>
        <v>Forceps tissue- litlewoods 19 cm  (TZ)</v>
      </c>
      <c r="F777" s="342" t="s">
        <v>47</v>
      </c>
    </row>
    <row r="778" spans="4:6" s="322" customFormat="1" x14ac:dyDescent="0.2">
      <c r="D778" s="374" t="str">
        <f>Intv_BA!D1051</f>
        <v>Forceps, Cheetal (ZM)</v>
      </c>
      <c r="F778" s="342" t="s">
        <v>47</v>
      </c>
    </row>
    <row r="779" spans="4:6" s="322" customFormat="1" x14ac:dyDescent="0.2">
      <c r="D779" s="374" t="str">
        <f>Intv_BA!D1052</f>
        <v>Forceps, Dissecting - 12.5 cm (ZM)</v>
      </c>
      <c r="F779" s="342" t="s">
        <v>47</v>
      </c>
    </row>
    <row r="780" spans="4:6" s="322" customFormat="1" x14ac:dyDescent="0.2">
      <c r="D780" s="374" t="str">
        <f>Intv_BA!D1053</f>
        <v>Forceps, Littlewoods 19 cm (ZM)</v>
      </c>
      <c r="F780" s="342" t="s">
        <v>47</v>
      </c>
    </row>
    <row r="781" spans="4:6" s="322" customFormat="1" x14ac:dyDescent="0.2">
      <c r="D781" s="374" t="str">
        <f>Intv_BA!D1054</f>
        <v>Forceps, Long  (ZM)</v>
      </c>
      <c r="F781" s="342" t="s">
        <v>47</v>
      </c>
    </row>
    <row r="782" spans="4:6" s="322" customFormat="1" x14ac:dyDescent="0.2">
      <c r="D782" s="374" t="str">
        <f>Intv_BA!D1055</f>
        <v>Forceps, ovum (ZM)</v>
      </c>
      <c r="F782" s="342" t="s">
        <v>47</v>
      </c>
    </row>
    <row r="783" spans="4:6" s="322" customFormat="1" x14ac:dyDescent="0.2">
      <c r="D783" s="374" t="str">
        <f>Intv_BA!D1056</f>
        <v>Forceps, ovum  (TZ)</v>
      </c>
      <c r="F783" s="342" t="s">
        <v>47</v>
      </c>
    </row>
    <row r="784" spans="4:6" s="322" customFormat="1" x14ac:dyDescent="0.2">
      <c r="D784" s="374" t="str">
        <f>Intv_BA!D1057</f>
        <v>Forceps, Punch biopsy (ZM)</v>
      </c>
      <c r="F784" s="342" t="s">
        <v>47</v>
      </c>
    </row>
    <row r="785" spans="4:6" s="322" customFormat="1" x14ac:dyDescent="0.2">
      <c r="D785" s="374" t="str">
        <f>Intv_BA!D1058</f>
        <v>Forceps, punch biopsy (TZ)</v>
      </c>
      <c r="F785" s="342" t="s">
        <v>47</v>
      </c>
    </row>
    <row r="786" spans="4:6" s="322" customFormat="1" x14ac:dyDescent="0.2">
      <c r="D786" s="374" t="str">
        <f>Intv_BA!D1059</f>
        <v>Forceps, Sponge holder (ZM)</v>
      </c>
      <c r="F786" s="342" t="s">
        <v>47</v>
      </c>
    </row>
    <row r="787" spans="4:6" s="322" customFormat="1" x14ac:dyDescent="0.2">
      <c r="D787" s="374" t="str">
        <f>Intv_BA!D1060</f>
        <v>Forceps, sponge holder  (TZ)</v>
      </c>
      <c r="F787" s="342" t="s">
        <v>47</v>
      </c>
    </row>
    <row r="788" spans="4:6" s="322" customFormat="1" x14ac:dyDescent="0.2">
      <c r="D788" s="374" t="str">
        <f>Intv_BA!D1061</f>
        <v>Gallipot (ZM)</v>
      </c>
      <c r="F788" s="342" t="s">
        <v>47</v>
      </c>
    </row>
    <row r="789" spans="4:6" s="322" customFormat="1" x14ac:dyDescent="0.2">
      <c r="D789" s="374" t="str">
        <f>Intv_BA!D1062</f>
        <v>Gallipot (UG)</v>
      </c>
      <c r="F789" s="342" t="s">
        <v>47</v>
      </c>
    </row>
    <row r="790" spans="4:6" s="322" customFormat="1" x14ac:dyDescent="0.2">
      <c r="D790" s="374" t="str">
        <f>Intv_BA!D1063</f>
        <v>Gas cylinder adaptor (ZM)</v>
      </c>
      <c r="F790" s="342" t="s">
        <v>47</v>
      </c>
    </row>
    <row r="791" spans="4:6" s="322" customFormat="1" x14ac:dyDescent="0.2">
      <c r="D791" s="374" t="str">
        <f>Intv_BA!D1064</f>
        <v>Gas cylinder adaptor  (TZ)</v>
      </c>
      <c r="F791" s="342" t="s">
        <v>47</v>
      </c>
    </row>
    <row r="792" spans="4:6" s="322" customFormat="1" x14ac:dyDescent="0.2">
      <c r="D792" s="374" t="str">
        <f>Intv_BA!D1065</f>
        <v>Gynecological examination bed  (TZ)</v>
      </c>
      <c r="F792" s="342" t="s">
        <v>47</v>
      </c>
    </row>
    <row r="793" spans="4:6" s="322" customFormat="1" x14ac:dyDescent="0.2">
      <c r="D793" s="374" t="str">
        <f>Intv_BA!D1066</f>
        <v>Halogen Bulbs (ZM)</v>
      </c>
      <c r="F793" s="342" t="s">
        <v>47</v>
      </c>
    </row>
    <row r="794" spans="4:6" s="322" customFormat="1" x14ac:dyDescent="0.2">
      <c r="D794" s="374" t="str">
        <f>Intv_BA!D1067</f>
        <v>Hysterectomy Set (ZM)</v>
      </c>
      <c r="F794" s="342" t="s">
        <v>47</v>
      </c>
    </row>
    <row r="795" spans="4:6" s="322" customFormat="1" x14ac:dyDescent="0.2">
      <c r="D795" s="374" t="str">
        <f>Intv_BA!D1068</f>
        <v>Instrument tray (ZM)</v>
      </c>
      <c r="F795" s="342" t="s">
        <v>47</v>
      </c>
    </row>
    <row r="796" spans="4:6" s="322" customFormat="1" x14ac:dyDescent="0.2">
      <c r="D796" s="374" t="str">
        <f>Intv_BA!D1069</f>
        <v>Instrument tray  (TZ)</v>
      </c>
      <c r="F796" s="342" t="s">
        <v>47</v>
      </c>
    </row>
    <row r="797" spans="4:6" s="322" customFormat="1" x14ac:dyDescent="0.2">
      <c r="D797" s="374" t="str">
        <f>Intv_BA!D1070</f>
        <v>Kidney Dish (ZM)</v>
      </c>
      <c r="F797" s="342" t="s">
        <v>47</v>
      </c>
    </row>
    <row r="798" spans="4:6" s="322" customFormat="1" x14ac:dyDescent="0.2">
      <c r="D798" s="374" t="str">
        <f>Intv_BA!D1071</f>
        <v>Kidney Dish (UG)</v>
      </c>
      <c r="F798" s="342" t="s">
        <v>47</v>
      </c>
    </row>
    <row r="799" spans="4:6" s="322" customFormat="1" x14ac:dyDescent="0.2">
      <c r="D799" s="374" t="str">
        <f>Intv_BA!D1072</f>
        <v>Lamp (UG)</v>
      </c>
      <c r="F799" s="342" t="s">
        <v>47</v>
      </c>
    </row>
    <row r="800" spans="4:6" s="322" customFormat="1" x14ac:dyDescent="0.2">
      <c r="D800" s="374" t="str">
        <f>Intv_BA!D1073</f>
        <v>Laptop / Desktop Computer (ZM)</v>
      </c>
      <c r="F800" s="342" t="s">
        <v>47</v>
      </c>
    </row>
    <row r="801" spans="4:6" s="322" customFormat="1" x14ac:dyDescent="0.2">
      <c r="D801" s="374" t="str">
        <f>Intv_BA!D1074</f>
        <v>LEEP Equipment  (TZ)</v>
      </c>
      <c r="F801" s="342" t="s">
        <v>47</v>
      </c>
    </row>
    <row r="802" spans="4:6" s="322" customFormat="1" x14ac:dyDescent="0.2">
      <c r="D802" s="374" t="str">
        <f>Intv_BA!D1075</f>
        <v>LEEP machine plus smoke evacuator system plus accessories (ZM)</v>
      </c>
      <c r="F802" s="342" t="s">
        <v>47</v>
      </c>
    </row>
    <row r="803" spans="4:6" s="322" customFormat="1" x14ac:dyDescent="0.2">
      <c r="D803" s="374" t="str">
        <f>Intv_BA!D1076</f>
        <v>LEEP machine  with coated speculums (UG)</v>
      </c>
      <c r="F803" s="342" t="s">
        <v>47</v>
      </c>
    </row>
    <row r="804" spans="4:6" s="322" customFormat="1" x14ac:dyDescent="0.2">
      <c r="D804" s="374" t="str">
        <f>Intv_BA!D1077</f>
        <v>Lensmate SX 40 Filter Adapter 58mm (ZM)</v>
      </c>
      <c r="F804" s="342" t="s">
        <v>47</v>
      </c>
    </row>
    <row r="805" spans="4:6" s="322" customFormat="1" x14ac:dyDescent="0.2">
      <c r="D805" s="374" t="str">
        <f>Intv_BA!D1078</f>
        <v>Loop Electrodes - 5 mm x 5mm (Ellman) (ZM)</v>
      </c>
      <c r="F805" s="342" t="s">
        <v>47</v>
      </c>
    </row>
    <row r="806" spans="4:6" s="322" customFormat="1" x14ac:dyDescent="0.2">
      <c r="D806" s="374" t="str">
        <f>Intv_BA!D1079</f>
        <v>Loop Electrodes - 10 mm x 10mm (Ellman) (ZM)</v>
      </c>
      <c r="F806" s="342" t="s">
        <v>47</v>
      </c>
    </row>
    <row r="807" spans="4:6" s="322" customFormat="1" x14ac:dyDescent="0.2">
      <c r="D807" s="374" t="str">
        <f>Intv_BA!D1080</f>
        <v>Loop Electrodes - 20 mm x 8mm (Ellman) (ZM)</v>
      </c>
      <c r="F807" s="342" t="s">
        <v>47</v>
      </c>
    </row>
    <row r="808" spans="4:6" s="322" customFormat="1" x14ac:dyDescent="0.2">
      <c r="D808" s="374" t="str">
        <f>Intv_BA!D1081</f>
        <v>Loop Electrodes - 20 mm x 15mm (Ellman) (ZM)</v>
      </c>
      <c r="F808" s="342" t="s">
        <v>47</v>
      </c>
    </row>
    <row r="809" spans="4:6" s="322" customFormat="1" x14ac:dyDescent="0.2">
      <c r="D809" s="374" t="str">
        <f>Intv_BA!D1082</f>
        <v>Mackintosh (Plastic sheet for exam couch) (ZM)</v>
      </c>
      <c r="F809" s="342" t="s">
        <v>47</v>
      </c>
    </row>
    <row r="810" spans="4:6" s="322" customFormat="1" x14ac:dyDescent="0.2">
      <c r="D810" s="374" t="str">
        <f>Intv_BA!D1083</f>
        <v>Magnification Lens (ZM)</v>
      </c>
      <c r="F810" s="342" t="s">
        <v>47</v>
      </c>
    </row>
    <row r="811" spans="4:6" s="322" customFormat="1" x14ac:dyDescent="0.2">
      <c r="D811" s="374" t="str">
        <f>Intv_BA!D1084</f>
        <v>Medical Rubber Mackintosh Sheet (ZM)</v>
      </c>
      <c r="F811" s="342" t="s">
        <v>47</v>
      </c>
    </row>
    <row r="812" spans="4:6" s="322" customFormat="1" x14ac:dyDescent="0.2">
      <c r="D812" s="374" t="str">
        <f>Intv_BA!D1085</f>
        <v>Medical Rubber Mackintosh Sheet   (TZ)</v>
      </c>
      <c r="F812" s="342" t="s">
        <v>47</v>
      </c>
    </row>
    <row r="813" spans="4:6" s="322" customFormat="1" x14ac:dyDescent="0.2">
      <c r="D813" s="374" t="str">
        <f>Intv_BA!D1086</f>
        <v>Memory Card (ZM)</v>
      </c>
      <c r="F813" s="342" t="s">
        <v>47</v>
      </c>
    </row>
    <row r="814" spans="4:6" s="322" customFormat="1" x14ac:dyDescent="0.2">
      <c r="D814" s="374" t="str">
        <f>Intv_BA!D1087</f>
        <v>Multi-Tip Cryo-Probe System with British adapter for NO2 includes gun, regulator, hose(2/3Tips included) (set) (ZM)</v>
      </c>
      <c r="F814" s="342" t="s">
        <v>47</v>
      </c>
    </row>
    <row r="815" spans="4:6" s="322" customFormat="1" x14ac:dyDescent="0.2">
      <c r="D815" s="374" t="str">
        <f>Intv_BA!D1088</f>
        <v>Non-conducting speculum  Pederson  (ZM)</v>
      </c>
      <c r="F815" s="342" t="s">
        <v>47</v>
      </c>
    </row>
    <row r="816" spans="4:6" s="322" customFormat="1" x14ac:dyDescent="0.2">
      <c r="D816" s="374" t="str">
        <f>Intv_BA!D1089</f>
        <v>Non-conducting speculum (UG)</v>
      </c>
      <c r="F816" s="342" t="s">
        <v>47</v>
      </c>
    </row>
    <row r="817" spans="4:6" s="322" customFormat="1" x14ac:dyDescent="0.2">
      <c r="D817" s="374" t="str">
        <f>Intv_BA!D1090</f>
        <v>Nurses Table (ZM)</v>
      </c>
      <c r="F817" s="342" t="s">
        <v>47</v>
      </c>
    </row>
    <row r="818" spans="4:6" s="322" customFormat="1" x14ac:dyDescent="0.2">
      <c r="D818" s="374" t="str">
        <f>Intv_BA!D1091</f>
        <v>Pillow (ZM)</v>
      </c>
      <c r="F818" s="342" t="s">
        <v>47</v>
      </c>
    </row>
    <row r="819" spans="4:6" s="322" customFormat="1" x14ac:dyDescent="0.2">
      <c r="D819" s="374" t="str">
        <f>Intv_BA!D1092</f>
        <v>Plastic apron (ZM)</v>
      </c>
      <c r="F819" s="342" t="s">
        <v>47</v>
      </c>
    </row>
    <row r="820" spans="4:6" s="322" customFormat="1" x14ac:dyDescent="0.2">
      <c r="D820" s="374" t="str">
        <f>Intv_BA!D1093</f>
        <v>Plastic apron  (TZ)</v>
      </c>
      <c r="F820" s="342" t="s">
        <v>47</v>
      </c>
    </row>
    <row r="821" spans="4:6" s="322" customFormat="1" x14ac:dyDescent="0.2">
      <c r="D821" s="374" t="str">
        <f>Intv_BA!D1094</f>
        <v>Privacy screen (portable) (ZM)</v>
      </c>
      <c r="F821" s="342" t="s">
        <v>47</v>
      </c>
    </row>
    <row r="822" spans="4:6" s="322" customFormat="1" x14ac:dyDescent="0.2">
      <c r="D822" s="374" t="str">
        <f>Intv_BA!D1095</f>
        <v>Privacy screen (portable) (TZ)</v>
      </c>
      <c r="F822" s="342" t="s">
        <v>47</v>
      </c>
    </row>
    <row r="823" spans="4:6" s="322" customFormat="1" x14ac:dyDescent="0.2">
      <c r="D823" s="374" t="str">
        <f>Intv_BA!D1096</f>
        <v>Punch Biopsy Forceps  Titanium 10" (ZM)</v>
      </c>
      <c r="F823" s="342" t="s">
        <v>47</v>
      </c>
    </row>
    <row r="824" spans="4:6" s="322" customFormat="1" x14ac:dyDescent="0.2">
      <c r="D824" s="374" t="str">
        <f>Intv_BA!D1097</f>
        <v>Punch Biopsy Forceps (UG)</v>
      </c>
      <c r="F824" s="342" t="s">
        <v>47</v>
      </c>
    </row>
    <row r="825" spans="4:6" s="322" customFormat="1" x14ac:dyDescent="0.2">
      <c r="D825" s="374" t="str">
        <f>Intv_BA!D1098</f>
        <v>Radiotherapy Machine - intra-cavity ( internal)  (TZ)</v>
      </c>
      <c r="F825" s="342" t="s">
        <v>47</v>
      </c>
    </row>
    <row r="826" spans="4:6" s="322" customFormat="1" x14ac:dyDescent="0.2">
      <c r="D826" s="374" t="str">
        <f>Intv_BA!D1099</f>
        <v>Radiotherapy Machine - teletherapy (external) Cobalt-60  (TZ)</v>
      </c>
      <c r="F826" s="342" t="s">
        <v>47</v>
      </c>
    </row>
    <row r="827" spans="4:6" s="322" customFormat="1" x14ac:dyDescent="0.2">
      <c r="D827" s="374" t="str">
        <f>Intv_BA!D1100</f>
        <v>Radiotherapy Treatment Couch  (TZ)</v>
      </c>
      <c r="F827" s="342" t="s">
        <v>47</v>
      </c>
    </row>
    <row r="828" spans="4:6" s="322" customFormat="1" x14ac:dyDescent="0.2">
      <c r="D828" s="374" t="str">
        <f>Intv_BA!D1101</f>
        <v>Registration book, patient  (TZ)</v>
      </c>
      <c r="F828" s="342" t="s">
        <v>47</v>
      </c>
    </row>
    <row r="829" spans="4:6" s="322" customFormat="1" x14ac:dyDescent="0.2">
      <c r="D829" s="374" t="str">
        <f>Intv_BA!D1102</f>
        <v>Retractor 3.5" Coated Lateral Wall (ZM)</v>
      </c>
      <c r="F829" s="342" t="s">
        <v>47</v>
      </c>
    </row>
    <row r="830" spans="4:6" s="322" customFormat="1" x14ac:dyDescent="0.2">
      <c r="D830" s="374" t="str">
        <f>Intv_BA!D1103</f>
        <v>Smoke evacuator (UG)</v>
      </c>
      <c r="F830" s="342" t="s">
        <v>47</v>
      </c>
    </row>
    <row r="831" spans="4:6" s="322" customFormat="1" x14ac:dyDescent="0.2">
      <c r="D831" s="374" t="str">
        <f>Intv_BA!D1104</f>
        <v>Specimen Tube rack  (TZ)</v>
      </c>
      <c r="F831" s="342" t="s">
        <v>47</v>
      </c>
    </row>
    <row r="832" spans="4:6" s="322" customFormat="1" x14ac:dyDescent="0.2">
      <c r="D832" s="374" t="str">
        <f>Intv_BA!D1105</f>
        <v>Speculum  (TZ)</v>
      </c>
      <c r="F832" s="342" t="s">
        <v>47</v>
      </c>
    </row>
    <row r="833" spans="4:6" s="322" customFormat="1" x14ac:dyDescent="0.2">
      <c r="D833" s="374" t="str">
        <f>Intv_BA!D1106</f>
        <v>Speculum (reusable) (UG)</v>
      </c>
      <c r="F833" s="342" t="s">
        <v>47</v>
      </c>
    </row>
    <row r="834" spans="4:6" s="322" customFormat="1" x14ac:dyDescent="0.2">
      <c r="D834" s="374" t="str">
        <f>Intv_BA!D1107</f>
        <v>Speculum (UG)</v>
      </c>
      <c r="F834" s="342" t="s">
        <v>47</v>
      </c>
    </row>
    <row r="835" spans="4:6" s="322" customFormat="1" x14ac:dyDescent="0.2">
      <c r="D835" s="374" t="str">
        <f>Intv_BA!D1108</f>
        <v>Speculum Graves' large  (ZM)</v>
      </c>
      <c r="F835" s="342" t="s">
        <v>47</v>
      </c>
    </row>
    <row r="836" spans="4:6" s="322" customFormat="1" x14ac:dyDescent="0.2">
      <c r="D836" s="374" t="str">
        <f>Intv_BA!D1109</f>
        <v>Speculum Graves' Medium (ZM)</v>
      </c>
      <c r="F836" s="342" t="s">
        <v>47</v>
      </c>
    </row>
    <row r="837" spans="4:6" s="322" customFormat="1" x14ac:dyDescent="0.2">
      <c r="D837" s="374" t="str">
        <f>Intv_BA!D1110</f>
        <v>Speculum  Graves'  Small (ZM)</v>
      </c>
      <c r="F837" s="342" t="s">
        <v>47</v>
      </c>
    </row>
    <row r="838" spans="4:6" s="322" customFormat="1" x14ac:dyDescent="0.2">
      <c r="D838" s="374" t="str">
        <f>Intv_BA!D1111</f>
        <v>Speculum, endocervical (ZM)</v>
      </c>
      <c r="F838" s="342" t="s">
        <v>47</v>
      </c>
    </row>
    <row r="839" spans="4:6" s="322" customFormat="1" x14ac:dyDescent="0.2">
      <c r="D839" s="374" t="str">
        <f>Intv_BA!D1112</f>
        <v>Sponge holding forceps (UG)</v>
      </c>
      <c r="F839" s="342" t="s">
        <v>47</v>
      </c>
    </row>
    <row r="840" spans="4:6" s="322" customFormat="1" x14ac:dyDescent="0.2">
      <c r="D840" s="374" t="str">
        <f>Intv_BA!D1113</f>
        <v>Steel trolley (Two/three shelves) (ZM)</v>
      </c>
      <c r="F840" s="342" t="s">
        <v>47</v>
      </c>
    </row>
    <row r="841" spans="4:6" s="322" customFormat="1" x14ac:dyDescent="0.2">
      <c r="D841" s="374" t="str">
        <f>Intv_BA!D1114</f>
        <v>Step-on stool (ZM)</v>
      </c>
      <c r="F841" s="342" t="s">
        <v>47</v>
      </c>
    </row>
    <row r="842" spans="4:6" s="322" customFormat="1" x14ac:dyDescent="0.2">
      <c r="D842" s="374" t="str">
        <f>Intv_BA!D1115</f>
        <v>Sterilising Drum (ZM)</v>
      </c>
      <c r="F842" s="342" t="s">
        <v>47</v>
      </c>
    </row>
    <row r="843" spans="4:6" s="322" customFormat="1" x14ac:dyDescent="0.2">
      <c r="D843" s="374" t="str">
        <f>Intv_BA!D1116</f>
        <v>Sterilizer (UG)</v>
      </c>
      <c r="F843" s="342" t="s">
        <v>47</v>
      </c>
    </row>
    <row r="844" spans="4:6" s="322" customFormat="1" x14ac:dyDescent="0.2">
      <c r="D844" s="374" t="str">
        <f>Intv_BA!D1117</f>
        <v>Television set (ZM)</v>
      </c>
      <c r="F844" s="342" t="s">
        <v>47</v>
      </c>
    </row>
    <row r="845" spans="4:6" s="322" customFormat="1" x14ac:dyDescent="0.2">
      <c r="D845" s="374" t="str">
        <f>Intv_BA!D1118</f>
        <v>Timer / wall clock (UG)</v>
      </c>
      <c r="F845" s="342" t="s">
        <v>47</v>
      </c>
    </row>
    <row r="846" spans="4:6" s="322" customFormat="1" x14ac:dyDescent="0.2">
      <c r="D846" s="374" t="str">
        <f>Intv_BA!D1119</f>
        <v>Torch (UG)</v>
      </c>
      <c r="F846" s="342" t="s">
        <v>47</v>
      </c>
    </row>
    <row r="847" spans="4:6" s="322" customFormat="1" x14ac:dyDescent="0.2">
      <c r="D847" s="374" t="str">
        <f>Intv_BA!D1120</f>
        <v>Uterine Cervical Dilator (ZM)</v>
      </c>
      <c r="F847" s="342" t="s">
        <v>47</v>
      </c>
    </row>
    <row r="848" spans="4:6" s="322" customFormat="1" x14ac:dyDescent="0.2">
      <c r="D848" s="374" t="str">
        <f>Intv_BA!D1121</f>
        <v>Uterine Cervical Dilator  (TZ)</v>
      </c>
      <c r="F848" s="342" t="s">
        <v>47</v>
      </c>
    </row>
    <row r="849" spans="3:6" s="322" customFormat="1" x14ac:dyDescent="0.2">
      <c r="D849" s="374" t="str">
        <f>Intv_BA!D1122</f>
        <v>Uterine Probe (ZM)</v>
      </c>
      <c r="F849" s="342" t="s">
        <v>47</v>
      </c>
    </row>
    <row r="850" spans="3:6" s="322" customFormat="1" x14ac:dyDescent="0.2">
      <c r="D850" s="374" t="str">
        <f>Intv_BA!D1123</f>
        <v>Uterine Probe  (TZ)</v>
      </c>
      <c r="F850" s="342" t="s">
        <v>47</v>
      </c>
    </row>
    <row r="851" spans="3:6" s="322" customFormat="1" x14ac:dyDescent="0.2">
      <c r="D851" s="374" t="str">
        <f>Intv_BA!D1124</f>
        <v>Equipment Category 113</v>
      </c>
      <c r="F851" s="342" t="s">
        <v>47</v>
      </c>
    </row>
    <row r="852" spans="3:6" s="322" customFormat="1" x14ac:dyDescent="0.2">
      <c r="D852" s="374" t="str">
        <f>Intv_BA!D1125</f>
        <v>Equipment Category 114</v>
      </c>
      <c r="F852" s="342" t="s">
        <v>47</v>
      </c>
    </row>
    <row r="853" spans="3:6" s="322" customFormat="1" x14ac:dyDescent="0.2">
      <c r="D853" s="374" t="str">
        <f>Intv_BA!D1126</f>
        <v>Equipment Category 115</v>
      </c>
      <c r="F853" s="342" t="s">
        <v>47</v>
      </c>
    </row>
    <row r="854" spans="3:6" s="322" customFormat="1" x14ac:dyDescent="0.2">
      <c r="D854" s="374" t="str">
        <f>Intv_BA!D1127</f>
        <v>Equipment Category 116</v>
      </c>
      <c r="F854" s="342" t="s">
        <v>47</v>
      </c>
    </row>
    <row r="855" spans="3:6" s="322" customFormat="1" x14ac:dyDescent="0.2">
      <c r="D855" s="374" t="str">
        <f>Intv_BA!D1128</f>
        <v>Equipment Category 117</v>
      </c>
      <c r="F855" s="342" t="s">
        <v>47</v>
      </c>
    </row>
    <row r="856" spans="3:6" s="322" customFormat="1" x14ac:dyDescent="0.2">
      <c r="D856" s="374" t="str">
        <f>Intv_BA!D1129</f>
        <v>Equipment Category 118</v>
      </c>
      <c r="F856" s="342" t="s">
        <v>47</v>
      </c>
    </row>
    <row r="857" spans="3:6" s="322" customFormat="1" x14ac:dyDescent="0.2">
      <c r="D857" s="374" t="str">
        <f>Intv_BA!D1130</f>
        <v>Equipment Category 119</v>
      </c>
      <c r="F857" s="342" t="s">
        <v>47</v>
      </c>
    </row>
    <row r="858" spans="3:6" s="322" customFormat="1" x14ac:dyDescent="0.2">
      <c r="D858" s="374" t="str">
        <f>Intv_BA!D1131</f>
        <v>Equipment Category 120</v>
      </c>
      <c r="F858" s="342" t="s">
        <v>47</v>
      </c>
    </row>
    <row r="859" spans="3:6" s="322" customFormat="1" x14ac:dyDescent="0.2">
      <c r="D859" s="374" t="str">
        <f>Intv_BA!D1132</f>
        <v>Equipment Category 121</v>
      </c>
      <c r="F859" s="342" t="s">
        <v>47</v>
      </c>
    </row>
    <row r="860" spans="3:6" s="322" customFormat="1" x14ac:dyDescent="0.2">
      <c r="D860" s="374" t="str">
        <f>Intv_BA!D1133</f>
        <v>Equipment Category 122</v>
      </c>
      <c r="F860" s="342" t="s">
        <v>47</v>
      </c>
    </row>
    <row r="861" spans="3:6" s="322" customFormat="1" x14ac:dyDescent="0.2">
      <c r="D861" s="374" t="str">
        <f>Intv_BA!D1134</f>
        <v>Equipment Category 123</v>
      </c>
      <c r="F861" s="342" t="s">
        <v>47</v>
      </c>
    </row>
    <row r="863" spans="3:6" ht="15.75" x14ac:dyDescent="0.2">
      <c r="C863" s="19" t="s">
        <v>186</v>
      </c>
      <c r="F863" s="19" t="s">
        <v>32</v>
      </c>
    </row>
    <row r="865" spans="4:6" x14ac:dyDescent="0.2">
      <c r="D865" s="20" t="s">
        <v>186</v>
      </c>
      <c r="F865" s="492" t="s">
        <v>373</v>
      </c>
    </row>
    <row r="866" spans="4:6" s="47" customFormat="1" x14ac:dyDescent="0.2">
      <c r="D866" s="289" t="str">
        <f>Intv_BA!D1137</f>
        <v>_Not Applicable</v>
      </c>
      <c r="F866" s="342" t="s">
        <v>47</v>
      </c>
    </row>
    <row r="867" spans="4:6" s="47" customFormat="1" x14ac:dyDescent="0.2">
      <c r="D867" s="289" t="str">
        <f>Intv_BA!D1138</f>
        <v>Biopsy Pathology (ZM)</v>
      </c>
      <c r="F867" s="342" t="s">
        <v>47</v>
      </c>
    </row>
    <row r="868" spans="4:6" s="47" customFormat="1" x14ac:dyDescent="0.2">
      <c r="D868" s="289" t="str">
        <f>Intv_BA!D1139</f>
        <v>Blood chemistry (TZ)</v>
      </c>
      <c r="F868" s="342" t="s">
        <v>47</v>
      </c>
    </row>
    <row r="869" spans="4:6" s="47" customFormat="1" x14ac:dyDescent="0.2">
      <c r="D869" s="289" t="str">
        <f>Intv_BA!D1140</f>
        <v>Blood slide for malaria (TZ)</v>
      </c>
      <c r="F869" s="342" t="s">
        <v>47</v>
      </c>
    </row>
    <row r="870" spans="4:6" s="47" customFormat="1" x14ac:dyDescent="0.2">
      <c r="D870" s="289" t="str">
        <f>Intv_BA!D1141</f>
        <v>CareHPV test (TZ)</v>
      </c>
      <c r="F870" s="342" t="s">
        <v>47</v>
      </c>
    </row>
    <row r="871" spans="4:6" s="47" customFormat="1" x14ac:dyDescent="0.2">
      <c r="D871" s="289" t="str">
        <f>Intv_BA!D1142</f>
        <v>Chest X-ray (ZM)</v>
      </c>
      <c r="F871" s="342" t="s">
        <v>47</v>
      </c>
    </row>
    <row r="872" spans="4:6" s="47" customFormat="1" x14ac:dyDescent="0.2">
      <c r="D872" s="289" t="str">
        <f>Intv_BA!D1143</f>
        <v>Chest x-ray (TZ)</v>
      </c>
      <c r="F872" s="342" t="s">
        <v>47</v>
      </c>
    </row>
    <row r="873" spans="4:6" s="47" customFormat="1" x14ac:dyDescent="0.2">
      <c r="D873" s="289" t="str">
        <f>Intv_BA!D1144</f>
        <v>Full Blood Count (ZM)</v>
      </c>
      <c r="F873" s="342" t="s">
        <v>47</v>
      </c>
    </row>
    <row r="874" spans="4:6" s="47" customFormat="1" x14ac:dyDescent="0.2">
      <c r="D874" s="289" t="str">
        <f>Intv_BA!D1145</f>
        <v>Full blood picture (TZ)</v>
      </c>
      <c r="F874" s="342" t="s">
        <v>47</v>
      </c>
    </row>
    <row r="875" spans="4:6" s="322" customFormat="1" x14ac:dyDescent="0.2">
      <c r="D875" s="374" t="str">
        <f>Intv_BA!D1146</f>
        <v>Grouping, X matching (TZ)</v>
      </c>
      <c r="F875" s="342" t="s">
        <v>47</v>
      </c>
    </row>
    <row r="876" spans="4:6" s="322" customFormat="1" x14ac:dyDescent="0.2">
      <c r="D876" s="374" t="str">
        <f>Intv_BA!D1147</f>
        <v>Haemoglobin (TZ)</v>
      </c>
      <c r="F876" s="342" t="s">
        <v>47</v>
      </c>
    </row>
    <row r="877" spans="4:6" s="322" customFormat="1" x14ac:dyDescent="0.2">
      <c r="D877" s="374" t="str">
        <f>Intv_BA!D1148</f>
        <v>Histopathology (TZ)</v>
      </c>
      <c r="F877" s="342" t="s">
        <v>47</v>
      </c>
    </row>
    <row r="878" spans="4:6" s="322" customFormat="1" x14ac:dyDescent="0.2">
      <c r="D878" s="374" t="str">
        <f>Intv_BA!D1149</f>
        <v>Home Care (Day) (TZ)</v>
      </c>
      <c r="F878" s="342" t="s">
        <v>47</v>
      </c>
    </row>
    <row r="879" spans="4:6" s="322" customFormat="1" x14ac:dyDescent="0.2">
      <c r="D879" s="374" t="str">
        <f>Intv_BA!D1150</f>
        <v>Hospital Stay (Bed Day) (TZ)</v>
      </c>
      <c r="F879" s="342" t="s">
        <v>47</v>
      </c>
    </row>
    <row r="880" spans="4:6" s="322" customFormat="1" x14ac:dyDescent="0.2">
      <c r="D880" s="374" t="str">
        <f>Intv_BA!D1151</f>
        <v>Hysterectomy Pathology (ZM)</v>
      </c>
      <c r="F880" s="342" t="s">
        <v>47</v>
      </c>
    </row>
    <row r="881" spans="4:6" s="322" customFormat="1" x14ac:dyDescent="0.2">
      <c r="D881" s="374" t="str">
        <f>Intv_BA!D1152</f>
        <v>LEEP Pathology (ZM)</v>
      </c>
      <c r="F881" s="342" t="s">
        <v>47</v>
      </c>
    </row>
    <row r="882" spans="4:6" s="322" customFormat="1" x14ac:dyDescent="0.2">
      <c r="D882" s="374" t="str">
        <f>Intv_BA!D1153</f>
        <v>Liver Function (ZM)</v>
      </c>
      <c r="F882" s="342" t="s">
        <v>47</v>
      </c>
    </row>
    <row r="883" spans="4:6" s="322" customFormat="1" x14ac:dyDescent="0.2">
      <c r="D883" s="374" t="str">
        <f>Intv_BA!D1154</f>
        <v>Planning x-ray (TZ)</v>
      </c>
      <c r="F883" s="342" t="s">
        <v>47</v>
      </c>
    </row>
    <row r="884" spans="4:6" s="322" customFormat="1" x14ac:dyDescent="0.2">
      <c r="D884" s="374" t="str">
        <f>Intv_BA!D1155</f>
        <v>Renal Function (ZM)</v>
      </c>
      <c r="F884" s="342" t="s">
        <v>47</v>
      </c>
    </row>
    <row r="885" spans="4:6" s="322" customFormat="1" x14ac:dyDescent="0.2">
      <c r="D885" s="374" t="str">
        <f>Intv_BA!D1156</f>
        <v>Ultrasound (ZM)</v>
      </c>
      <c r="F885" s="342" t="s">
        <v>47</v>
      </c>
    </row>
    <row r="886" spans="4:6" s="322" customFormat="1" x14ac:dyDescent="0.2">
      <c r="D886" s="374" t="str">
        <f>Intv_BA!D1157</f>
        <v>ultrasound (abdominal &amp; pelvic) (TZ)</v>
      </c>
      <c r="F886" s="342" t="s">
        <v>47</v>
      </c>
    </row>
    <row r="887" spans="4:6" s="322" customFormat="1" x14ac:dyDescent="0.2">
      <c r="D887" s="374" t="str">
        <f>Intv_BA!D1158</f>
        <v>Urine/stool test (TZ)</v>
      </c>
      <c r="F887" s="342" t="s">
        <v>47</v>
      </c>
    </row>
    <row r="888" spans="4:6" s="322" customFormat="1" x14ac:dyDescent="0.2">
      <c r="D888" s="374" t="str">
        <f>Intv_BA!D1159</f>
        <v>Lab Tests &amp; Other Direct Costs Category 23</v>
      </c>
      <c r="F888" s="342" t="s">
        <v>47</v>
      </c>
    </row>
    <row r="889" spans="4:6" s="47" customFormat="1" x14ac:dyDescent="0.2">
      <c r="D889" s="289" t="str">
        <f>Intv_BA!D1160</f>
        <v>Lab Tests &amp; Other Direct Costs Category 24</v>
      </c>
      <c r="F889" s="342" t="s">
        <v>47</v>
      </c>
    </row>
    <row r="890" spans="4:6" s="47" customFormat="1" x14ac:dyDescent="0.2">
      <c r="D890" s="289" t="str">
        <f>Intv_BA!D1161</f>
        <v>Lab Tests &amp; Other Direct Costs Category 25</v>
      </c>
      <c r="F890" s="342" t="s">
        <v>47</v>
      </c>
    </row>
    <row r="891" spans="4:6" s="47" customFormat="1" x14ac:dyDescent="0.2">
      <c r="D891" s="289" t="str">
        <f>Intv_BA!D1162</f>
        <v>Lab Tests &amp; Other Direct Costs Category 26</v>
      </c>
      <c r="F891" s="342" t="s">
        <v>47</v>
      </c>
    </row>
    <row r="892" spans="4:6" s="47" customFormat="1" x14ac:dyDescent="0.2">
      <c r="D892" s="289" t="str">
        <f>Intv_BA!D1163</f>
        <v>Lab Tests &amp; Other Direct Costs Category 27</v>
      </c>
      <c r="F892" s="342" t="s">
        <v>47</v>
      </c>
    </row>
    <row r="893" spans="4:6" s="322" customFormat="1" x14ac:dyDescent="0.2">
      <c r="D893" s="374" t="str">
        <f>Intv_BA!D1164</f>
        <v>Lab Tests &amp; Other Direct Costs Category 28</v>
      </c>
      <c r="F893" s="342" t="s">
        <v>47</v>
      </c>
    </row>
    <row r="894" spans="4:6" s="322" customFormat="1" x14ac:dyDescent="0.2">
      <c r="D894" s="374" t="str">
        <f>Intv_BA!D1165</f>
        <v>Lab Tests &amp; Other Direct Costs Category 29</v>
      </c>
      <c r="F894" s="342" t="s">
        <v>47</v>
      </c>
    </row>
    <row r="895" spans="4:6" s="322" customFormat="1" x14ac:dyDescent="0.2">
      <c r="D895" s="374" t="str">
        <f>Intv_BA!D1166</f>
        <v>Lab Tests &amp; Other Direct Costs Category 30</v>
      </c>
      <c r="F895" s="342" t="s">
        <v>47</v>
      </c>
    </row>
    <row r="896" spans="4:6" s="322" customFormat="1" x14ac:dyDescent="0.2">
      <c r="D896" s="374" t="str">
        <f>Intv_BA!D1167</f>
        <v>Lab Tests &amp; Other Direct Costs Category 31</v>
      </c>
      <c r="F896" s="342" t="s">
        <v>47</v>
      </c>
    </row>
    <row r="897" spans="2:6" s="322" customFormat="1" x14ac:dyDescent="0.2">
      <c r="D897" s="374" t="str">
        <f>Intv_BA!D1168</f>
        <v>Lab Tests &amp; Other Direct Costs Category 32</v>
      </c>
      <c r="F897" s="342" t="s">
        <v>47</v>
      </c>
    </row>
    <row r="898" spans="2:6" s="322" customFormat="1" x14ac:dyDescent="0.2">
      <c r="D898" s="374" t="str">
        <f>Intv_BA!D1169</f>
        <v>Last ODC Row</v>
      </c>
      <c r="F898" s="342" t="s">
        <v>47</v>
      </c>
    </row>
    <row r="901" spans="2:6" ht="18.75" x14ac:dyDescent="0.2">
      <c r="B901" s="426" t="s">
        <v>180</v>
      </c>
    </row>
    <row r="903" spans="2:6" ht="15.75" x14ac:dyDescent="0.2">
      <c r="C903" s="19" t="s">
        <v>81</v>
      </c>
      <c r="F903" s="19" t="s">
        <v>32</v>
      </c>
    </row>
    <row r="905" spans="2:6" x14ac:dyDescent="0.2">
      <c r="D905" s="20" t="s">
        <v>81</v>
      </c>
      <c r="F905" s="438" t="s">
        <v>201</v>
      </c>
    </row>
    <row r="906" spans="2:6" x14ac:dyDescent="0.2">
      <c r="D906" s="21" t="str">
        <f>IF(ROWS(D$906:D906)=1,"N/A",ROWS(D$906:D906)-1)</f>
        <v>N/A</v>
      </c>
      <c r="F906" s="375" t="s">
        <v>47</v>
      </c>
    </row>
    <row r="907" spans="2:6" x14ac:dyDescent="0.2">
      <c r="D907" s="21">
        <f>IF(ROWS(D$906:D907)=1,"N/A",ROWS(D$906:D907)-1)</f>
        <v>1</v>
      </c>
      <c r="F907" s="375" t="s">
        <v>47</v>
      </c>
    </row>
    <row r="908" spans="2:6" x14ac:dyDescent="0.2">
      <c r="D908" s="21">
        <f>IF(ROWS(D$906:D908)=1,"N/A",ROWS(D$906:D908)-1)</f>
        <v>2</v>
      </c>
      <c r="F908" s="375" t="s">
        <v>47</v>
      </c>
    </row>
    <row r="909" spans="2:6" x14ac:dyDescent="0.2">
      <c r="D909" s="21">
        <f>IF(ROWS(D$906:D909)=1,"N/A",ROWS(D$906:D909)-1)</f>
        <v>3</v>
      </c>
      <c r="F909" s="375" t="s">
        <v>47</v>
      </c>
    </row>
    <row r="910" spans="2:6" x14ac:dyDescent="0.2">
      <c r="D910" s="21">
        <f>IF(ROWS(D$906:D910)=1,"N/A",ROWS(D$906:D910)-1)</f>
        <v>4</v>
      </c>
      <c r="F910" s="375" t="s">
        <v>47</v>
      </c>
    </row>
    <row r="911" spans="2:6" x14ac:dyDescent="0.2">
      <c r="D911" s="21">
        <f>IF(ROWS(D$906:D911)=1,"N/A",ROWS(D$906:D911)-1)</f>
        <v>5</v>
      </c>
      <c r="F911" s="375" t="s">
        <v>47</v>
      </c>
    </row>
    <row r="912" spans="2:6" s="322" customFormat="1" x14ac:dyDescent="0.2">
      <c r="D912" s="320">
        <f>IF(ROWS(D$906:D912)=1,"N/A",ROWS(D$906:D912)-1)</f>
        <v>6</v>
      </c>
      <c r="F912" s="342" t="s">
        <v>47</v>
      </c>
    </row>
    <row r="914" spans="3:6" ht="15.75" x14ac:dyDescent="0.2">
      <c r="C914" s="19" t="s">
        <v>133</v>
      </c>
      <c r="F914" s="19" t="s">
        <v>32</v>
      </c>
    </row>
    <row r="916" spans="3:6" x14ac:dyDescent="0.2">
      <c r="D916" s="20" t="s">
        <v>75</v>
      </c>
      <c r="F916" s="518" t="s">
        <v>202</v>
      </c>
    </row>
    <row r="917" spans="3:6" x14ac:dyDescent="0.2">
      <c r="D917" s="328" t="str">
        <f>Intv_BA!D1345</f>
        <v>Central</v>
      </c>
      <c r="F917" s="375" t="s">
        <v>47</v>
      </c>
    </row>
    <row r="918" spans="3:6" x14ac:dyDescent="0.2">
      <c r="D918" s="328" t="str">
        <f>Intv_BA!D1346</f>
        <v>Copperbelt</v>
      </c>
      <c r="F918" s="375" t="s">
        <v>47</v>
      </c>
    </row>
    <row r="919" spans="3:6" x14ac:dyDescent="0.2">
      <c r="D919" s="328" t="str">
        <f>Intv_BA!D1347</f>
        <v>Eastern</v>
      </c>
      <c r="F919" s="375" t="s">
        <v>47</v>
      </c>
    </row>
    <row r="920" spans="3:6" x14ac:dyDescent="0.2">
      <c r="D920" s="328" t="str">
        <f>Intv_BA!D1348</f>
        <v>Luapula</v>
      </c>
      <c r="F920" s="375" t="s">
        <v>47</v>
      </c>
    </row>
    <row r="921" spans="3:6" x14ac:dyDescent="0.2">
      <c r="D921" s="328" t="str">
        <f>Intv_BA!D1349</f>
        <v>Lusaka</v>
      </c>
      <c r="F921" s="375" t="s">
        <v>47</v>
      </c>
    </row>
    <row r="922" spans="3:6" s="322" customFormat="1" x14ac:dyDescent="0.2">
      <c r="D922" s="374" t="str">
        <f>Intv_BA!D1350</f>
        <v>Muchinga</v>
      </c>
      <c r="F922" s="342" t="s">
        <v>47</v>
      </c>
    </row>
    <row r="923" spans="3:6" s="322" customFormat="1" x14ac:dyDescent="0.2">
      <c r="D923" s="374" t="str">
        <f>Intv_BA!D1351</f>
        <v>Northern</v>
      </c>
      <c r="F923" s="342" t="s">
        <v>47</v>
      </c>
    </row>
    <row r="924" spans="3:6" s="322" customFormat="1" x14ac:dyDescent="0.2">
      <c r="D924" s="374" t="str">
        <f>Intv_BA!D1352</f>
        <v>North-Western</v>
      </c>
      <c r="F924" s="342" t="s">
        <v>47</v>
      </c>
    </row>
    <row r="925" spans="3:6" s="322" customFormat="1" x14ac:dyDescent="0.2">
      <c r="D925" s="374" t="str">
        <f>Intv_BA!D1353</f>
        <v>Southern</v>
      </c>
      <c r="F925" s="342" t="s">
        <v>47</v>
      </c>
    </row>
    <row r="926" spans="3:6" s="322" customFormat="1" x14ac:dyDescent="0.2">
      <c r="D926" s="374" t="str">
        <f>Intv_BA!D1354</f>
        <v>Western</v>
      </c>
      <c r="F926" s="342" t="s">
        <v>47</v>
      </c>
    </row>
    <row r="928" spans="3:6" ht="15.75" x14ac:dyDescent="0.2">
      <c r="C928" s="19" t="s">
        <v>212</v>
      </c>
      <c r="F928" s="19" t="s">
        <v>32</v>
      </c>
    </row>
    <row r="930" spans="3:6" x14ac:dyDescent="0.2">
      <c r="D930" s="20" t="s">
        <v>213</v>
      </c>
      <c r="F930" s="598" t="s">
        <v>221</v>
      </c>
    </row>
    <row r="931" spans="3:6" x14ac:dyDescent="0.2">
      <c r="D931" s="10" t="str">
        <f>Intv_Ann_TA!D785</f>
        <v>USD</v>
      </c>
      <c r="F931" s="375" t="s">
        <v>47</v>
      </c>
    </row>
    <row r="932" spans="3:6" s="322" customFormat="1" x14ac:dyDescent="0.2">
      <c r="D932" s="374" t="str">
        <f>Intv_Ann_TA!D786</f>
        <v>ZMW</v>
      </c>
      <c r="F932" s="342" t="s">
        <v>47</v>
      </c>
    </row>
    <row r="934" spans="3:6" ht="15.75" x14ac:dyDescent="0.2">
      <c r="C934" s="19" t="s">
        <v>37</v>
      </c>
      <c r="F934" s="19" t="s">
        <v>32</v>
      </c>
    </row>
    <row r="936" spans="3:6" x14ac:dyDescent="0.2">
      <c r="D936" s="20" t="s">
        <v>37</v>
      </c>
      <c r="F936" s="98" t="s">
        <v>227</v>
      </c>
    </row>
    <row r="937" spans="3:6" x14ac:dyDescent="0.2">
      <c r="D937" s="21" t="str">
        <f>Intv_BA!$I$1361&amp;CHOOSE(ROWS(D$937:D937),""," '000"," Millions"," Billions")</f>
        <v>USD</v>
      </c>
      <c r="F937" s="98" t="s">
        <v>47</v>
      </c>
    </row>
    <row r="938" spans="3:6" x14ac:dyDescent="0.2">
      <c r="D938" s="21" t="str">
        <f>Intv_BA!$I$1361&amp;CHOOSE(ROWS(D$937:D938),""," '000"," Millions"," Billions")</f>
        <v>USD '000</v>
      </c>
      <c r="F938" s="98" t="s">
        <v>47</v>
      </c>
    </row>
    <row r="939" spans="3:6" x14ac:dyDescent="0.2">
      <c r="D939" s="21" t="str">
        <f>Intv_BA!$I$1361&amp;CHOOSE(ROWS(D$937:D939),""," '000"," Millions"," Billions")</f>
        <v>USD Millions</v>
      </c>
      <c r="F939" s="98" t="s">
        <v>47</v>
      </c>
    </row>
    <row r="940" spans="3:6" x14ac:dyDescent="0.2">
      <c r="D940" s="21" t="str">
        <f>Intv_BA!$I$1361&amp;CHOOSE(ROWS(D$937:D940),""," '000"," Millions"," Billions")</f>
        <v>USD Billions</v>
      </c>
      <c r="F940" s="98" t="s">
        <v>47</v>
      </c>
    </row>
    <row r="942" spans="3:6" ht="15.75" x14ac:dyDescent="0.2">
      <c r="C942" s="19" t="s">
        <v>308</v>
      </c>
      <c r="F942" s="19" t="s">
        <v>32</v>
      </c>
    </row>
    <row r="944" spans="3:6" x14ac:dyDescent="0.2">
      <c r="D944" s="20" t="s">
        <v>308</v>
      </c>
      <c r="F944" s="492" t="s">
        <v>344</v>
      </c>
    </row>
    <row r="945" spans="4:6" x14ac:dyDescent="0.2">
      <c r="D945" s="10" t="str">
        <f>Intv_BA!D1364</f>
        <v>_Not Applicable</v>
      </c>
      <c r="F945" s="375" t="s">
        <v>47</v>
      </c>
    </row>
    <row r="946" spans="4:6" s="322" customFormat="1" x14ac:dyDescent="0.2">
      <c r="D946" s="374" t="str">
        <f>Intv_BA!D1365</f>
        <v>Biomedical scientist (ZM)</v>
      </c>
      <c r="F946" s="342" t="s">
        <v>47</v>
      </c>
    </row>
    <row r="947" spans="4:6" s="322" customFormat="1" x14ac:dyDescent="0.2">
      <c r="D947" s="374" t="str">
        <f>Intv_BA!D1366</f>
        <v>Clinical officer  (ZM)</v>
      </c>
      <c r="F947" s="342" t="s">
        <v>47</v>
      </c>
    </row>
    <row r="948" spans="4:6" x14ac:dyDescent="0.2">
      <c r="D948" s="10" t="str">
        <f>Intv_BA!D1367</f>
        <v>Consultant  (ZM)</v>
      </c>
      <c r="F948" s="375" t="s">
        <v>47</v>
      </c>
    </row>
    <row r="949" spans="4:6" s="322" customFormat="1" x14ac:dyDescent="0.2">
      <c r="D949" s="374" t="str">
        <f>Intv_BA!D1368</f>
        <v>General Medical Doctor</v>
      </c>
      <c r="F949" s="342" t="s">
        <v>47</v>
      </c>
    </row>
    <row r="950" spans="4:6" x14ac:dyDescent="0.2">
      <c r="D950" s="10" t="str">
        <f>Intv_BA!D1369</f>
        <v>Junior Resident Medical officer  (ZM)</v>
      </c>
      <c r="F950" s="375" t="s">
        <v>47</v>
      </c>
    </row>
    <row r="951" spans="4:6" s="322" customFormat="1" x14ac:dyDescent="0.2">
      <c r="D951" s="374" t="str">
        <f>Intv_BA!D1370</f>
        <v>Lab Scientist (ZM)</v>
      </c>
      <c r="F951" s="342" t="s">
        <v>47</v>
      </c>
    </row>
    <row r="952" spans="4:6" s="322" customFormat="1" x14ac:dyDescent="0.2">
      <c r="D952" s="374" t="str">
        <f>Intv_BA!D1371</f>
        <v>Lab Technician (ZM)</v>
      </c>
      <c r="F952" s="342" t="s">
        <v>47</v>
      </c>
    </row>
    <row r="953" spans="4:6" x14ac:dyDescent="0.2">
      <c r="D953" s="10" t="str">
        <f>Intv_BA!D1372</f>
        <v>Lab Technologist (ZM)</v>
      </c>
      <c r="F953" s="375" t="s">
        <v>47</v>
      </c>
    </row>
    <row r="954" spans="4:6" x14ac:dyDescent="0.2">
      <c r="D954" s="10" t="str">
        <f>Intv_BA!D1373</f>
        <v>Medical Physicist (ZM)</v>
      </c>
      <c r="F954" s="375" t="s">
        <v>47</v>
      </c>
    </row>
    <row r="955" spans="4:6" s="322" customFormat="1" x14ac:dyDescent="0.2">
      <c r="D955" s="374" t="str">
        <f>Intv_BA!D1374</f>
        <v>Nursing Officer (ZM)</v>
      </c>
      <c r="F955" s="342" t="s">
        <v>47</v>
      </c>
    </row>
    <row r="956" spans="4:6" s="322" customFormat="1" x14ac:dyDescent="0.2">
      <c r="D956" s="374" t="str">
        <f>Intv_BA!D1375</f>
        <v>Pathologist (ZM)</v>
      </c>
      <c r="F956" s="342" t="s">
        <v>47</v>
      </c>
    </row>
    <row r="957" spans="4:6" s="47" customFormat="1" x14ac:dyDescent="0.2">
      <c r="D957" s="289" t="str">
        <f>Intv_BA!D1376</f>
        <v>Pharmacy Technologist (ZM)</v>
      </c>
      <c r="F957" s="342" t="s">
        <v>47</v>
      </c>
    </row>
    <row r="958" spans="4:6" s="322" customFormat="1" x14ac:dyDescent="0.2">
      <c r="D958" s="374" t="str">
        <f>Intv_BA!D1377</f>
        <v>Principal Nursing Officer (ZM)</v>
      </c>
      <c r="F958" s="342" t="s">
        <v>47</v>
      </c>
    </row>
    <row r="959" spans="4:6" s="322" customFormat="1" x14ac:dyDescent="0.2">
      <c r="D959" s="374" t="str">
        <f>Intv_BA!D1378</f>
        <v>Principal Pharmacist (ZM)</v>
      </c>
      <c r="F959" s="342" t="s">
        <v>47</v>
      </c>
    </row>
    <row r="960" spans="4:6" x14ac:dyDescent="0.2">
      <c r="D960" s="10" t="str">
        <f>Intv_BA!D1379</f>
        <v>Principal Radiographer (ZM)</v>
      </c>
      <c r="F960" s="375" t="s">
        <v>47</v>
      </c>
    </row>
    <row r="961" spans="4:6" x14ac:dyDescent="0.2">
      <c r="D961" s="10" t="str">
        <f>Intv_BA!D1380</f>
        <v>Principal Therapist - Radiation (ZM)</v>
      </c>
      <c r="F961" s="375" t="s">
        <v>47</v>
      </c>
    </row>
    <row r="962" spans="4:6" x14ac:dyDescent="0.2">
      <c r="D962" s="10" t="str">
        <f>Intv_BA!D1381</f>
        <v>Radiation Lab Scientist (ZM)</v>
      </c>
      <c r="F962" s="375" t="s">
        <v>47</v>
      </c>
    </row>
    <row r="963" spans="4:6" x14ac:dyDescent="0.2">
      <c r="D963" s="10" t="str">
        <f>Intv_BA!D1382</f>
        <v>Radiation Protection Officer (ZM)</v>
      </c>
      <c r="F963" s="375" t="s">
        <v>47</v>
      </c>
    </row>
    <row r="964" spans="4:6" s="322" customFormat="1" x14ac:dyDescent="0.2">
      <c r="D964" s="374" t="str">
        <f>Intv_BA!D1383</f>
        <v>Radiographer (ZM)</v>
      </c>
      <c r="F964" s="342" t="s">
        <v>47</v>
      </c>
    </row>
    <row r="965" spans="4:6" s="322" customFormat="1" x14ac:dyDescent="0.2">
      <c r="D965" s="374" t="str">
        <f>Intv_BA!D1384</f>
        <v>Registered Nurse (ZM)</v>
      </c>
      <c r="F965" s="342" t="s">
        <v>47</v>
      </c>
    </row>
    <row r="966" spans="4:6" s="322" customFormat="1" x14ac:dyDescent="0.2">
      <c r="D966" s="374" t="str">
        <f>Intv_BA!D1385</f>
        <v>Senior Enrolled Nurse (ZM)</v>
      </c>
      <c r="F966" s="342" t="s">
        <v>47</v>
      </c>
    </row>
    <row r="967" spans="4:6" s="322" customFormat="1" x14ac:dyDescent="0.2">
      <c r="D967" s="374" t="str">
        <f>Intv_BA!D1386</f>
        <v>Senior Nursing Officer (ZM)</v>
      </c>
      <c r="F967" s="342" t="s">
        <v>47</v>
      </c>
    </row>
    <row r="968" spans="4:6" s="322" customFormat="1" x14ac:dyDescent="0.2">
      <c r="D968" s="374" t="str">
        <f>Intv_BA!D1387</f>
        <v>Senior Radiation protection Officer (ZM)</v>
      </c>
      <c r="F968" s="342" t="s">
        <v>47</v>
      </c>
    </row>
    <row r="969" spans="4:6" s="322" customFormat="1" x14ac:dyDescent="0.2">
      <c r="D969" s="374" t="str">
        <f>Intv_BA!D1388</f>
        <v>Senior Radiographer (ZM)</v>
      </c>
      <c r="F969" s="342" t="s">
        <v>47</v>
      </c>
    </row>
    <row r="970" spans="4:6" s="322" customFormat="1" x14ac:dyDescent="0.2">
      <c r="D970" s="374" t="str">
        <f>Intv_BA!D1389</f>
        <v>Zambia Enrolled Nurse (ZEN) (ZM)</v>
      </c>
      <c r="F970" s="342" t="s">
        <v>47</v>
      </c>
    </row>
    <row r="971" spans="4:6" s="322" customFormat="1" x14ac:dyDescent="0.2">
      <c r="D971" s="374" t="str">
        <f>Intv_BA!D1390</f>
        <v>Personnel - Hospital Cadre - Other 27</v>
      </c>
      <c r="F971" s="342" t="s">
        <v>47</v>
      </c>
    </row>
    <row r="972" spans="4:6" s="322" customFormat="1" x14ac:dyDescent="0.2">
      <c r="D972" s="374" t="str">
        <f>Intv_BA!D1391</f>
        <v>Personnel - Hospital Cadre - Other 28</v>
      </c>
      <c r="F972" s="342" t="s">
        <v>47</v>
      </c>
    </row>
    <row r="973" spans="4:6" s="322" customFormat="1" x14ac:dyDescent="0.2">
      <c r="D973" s="374" t="str">
        <f>Intv_BA!D1392</f>
        <v>Personnel - Hospital Cadre - Other 29</v>
      </c>
      <c r="F973" s="342" t="s">
        <v>47</v>
      </c>
    </row>
    <row r="974" spans="4:6" s="322" customFormat="1" x14ac:dyDescent="0.2">
      <c r="D974" s="374" t="str">
        <f>Intv_BA!D1393</f>
        <v>Personnel - Hospital Cadre - Other 30</v>
      </c>
      <c r="F974" s="342" t="s">
        <v>47</v>
      </c>
    </row>
    <row r="975" spans="4:6" s="322" customFormat="1" x14ac:dyDescent="0.2">
      <c r="D975" s="374" t="str">
        <f>Intv_BA!D1394</f>
        <v>Personnel - Hospital Cadre - Other 31</v>
      </c>
      <c r="F975" s="342" t="s">
        <v>47</v>
      </c>
    </row>
    <row r="977" spans="3:6" ht="15.75" x14ac:dyDescent="0.2">
      <c r="C977" s="19" t="s">
        <v>310</v>
      </c>
      <c r="F977" s="19" t="s">
        <v>32</v>
      </c>
    </row>
    <row r="979" spans="3:6" x14ac:dyDescent="0.2">
      <c r="D979" s="20" t="s">
        <v>310</v>
      </c>
      <c r="F979" s="492" t="s">
        <v>350</v>
      </c>
    </row>
    <row r="980" spans="3:6" x14ac:dyDescent="0.2">
      <c r="D980" s="10" t="str">
        <f>Intv_BA!D1397</f>
        <v>_Not Applicable</v>
      </c>
      <c r="F980" s="375" t="s">
        <v>47</v>
      </c>
    </row>
    <row r="981" spans="3:6" s="47" customFormat="1" x14ac:dyDescent="0.2">
      <c r="D981" s="289" t="str">
        <f>Intv_BA!D1398</f>
        <v>Biomedical scientist (ZM)</v>
      </c>
      <c r="F981" s="342" t="s">
        <v>47</v>
      </c>
    </row>
    <row r="982" spans="3:6" x14ac:dyDescent="0.2">
      <c r="D982" s="10" t="str">
        <f>Intv_BA!D1399</f>
        <v>Clinical officer  (ZM)</v>
      </c>
      <c r="F982" s="375" t="s">
        <v>47</v>
      </c>
    </row>
    <row r="983" spans="3:6" x14ac:dyDescent="0.2">
      <c r="D983" s="10" t="str">
        <f>Intv_BA!D1400</f>
        <v>Consultant  (ZM)</v>
      </c>
      <c r="F983" s="375" t="s">
        <v>47</v>
      </c>
    </row>
    <row r="984" spans="3:6" s="322" customFormat="1" x14ac:dyDescent="0.2">
      <c r="D984" s="374" t="str">
        <f>Intv_BA!D1401</f>
        <v>General Medical Doctor</v>
      </c>
      <c r="F984" s="342" t="s">
        <v>47</v>
      </c>
    </row>
    <row r="985" spans="3:6" x14ac:dyDescent="0.2">
      <c r="D985" s="10" t="str">
        <f>Intv_BA!D1402</f>
        <v>Junior Resident Medical officer  (ZM)</v>
      </c>
      <c r="F985" s="375" t="s">
        <v>47</v>
      </c>
    </row>
    <row r="986" spans="3:6" x14ac:dyDescent="0.2">
      <c r="D986" s="10" t="str">
        <f>Intv_BA!D1403</f>
        <v>Lab Scientist (ZM)</v>
      </c>
      <c r="F986" s="375" t="s">
        <v>47</v>
      </c>
    </row>
    <row r="987" spans="3:6" s="322" customFormat="1" x14ac:dyDescent="0.2">
      <c r="D987" s="374" t="str">
        <f>Intv_BA!D1404</f>
        <v>Lab Technician (ZM)</v>
      </c>
      <c r="F987" s="342" t="s">
        <v>47</v>
      </c>
    </row>
    <row r="988" spans="3:6" s="322" customFormat="1" x14ac:dyDescent="0.2">
      <c r="D988" s="374" t="str">
        <f>Intv_BA!D1405</f>
        <v>Lab Technologist (ZM)</v>
      </c>
      <c r="F988" s="342" t="s">
        <v>47</v>
      </c>
    </row>
    <row r="989" spans="3:6" s="322" customFormat="1" x14ac:dyDescent="0.2">
      <c r="D989" s="374" t="str">
        <f>Intv_BA!D1406</f>
        <v>Medical Physicist (ZM)</v>
      </c>
      <c r="F989" s="342" t="s">
        <v>47</v>
      </c>
    </row>
    <row r="990" spans="3:6" s="322" customFormat="1" x14ac:dyDescent="0.2">
      <c r="D990" s="374" t="str">
        <f>Intv_BA!D1407</f>
        <v>Nursing Officer (ZM)</v>
      </c>
      <c r="F990" s="342" t="s">
        <v>47</v>
      </c>
    </row>
    <row r="991" spans="3:6" s="322" customFormat="1" x14ac:dyDescent="0.2">
      <c r="D991" s="374" t="str">
        <f>Intv_BA!D1408</f>
        <v>Pathologist (ZM)</v>
      </c>
      <c r="F991" s="342" t="s">
        <v>47</v>
      </c>
    </row>
    <row r="992" spans="3:6" s="322" customFormat="1" x14ac:dyDescent="0.2">
      <c r="D992" s="374" t="str">
        <f>Intv_BA!D1409</f>
        <v>Pharmacy Technologist (ZM)</v>
      </c>
      <c r="F992" s="342" t="s">
        <v>47</v>
      </c>
    </row>
    <row r="993" spans="4:6" s="322" customFormat="1" x14ac:dyDescent="0.2">
      <c r="D993" s="374" t="str">
        <f>Intv_BA!D1410</f>
        <v>Principal Nursing Officer (ZM)</v>
      </c>
      <c r="F993" s="342" t="s">
        <v>47</v>
      </c>
    </row>
    <row r="994" spans="4:6" s="322" customFormat="1" x14ac:dyDescent="0.2">
      <c r="D994" s="374" t="str">
        <f>Intv_BA!D1411</f>
        <v>Principal Pharmacist (ZM)</v>
      </c>
      <c r="F994" s="342" t="s">
        <v>47</v>
      </c>
    </row>
    <row r="995" spans="4:6" s="322" customFormat="1" x14ac:dyDescent="0.2">
      <c r="D995" s="374" t="str">
        <f>Intv_BA!D1412</f>
        <v>Principal Radiographer (ZM)</v>
      </c>
      <c r="F995" s="342" t="s">
        <v>47</v>
      </c>
    </row>
    <row r="996" spans="4:6" x14ac:dyDescent="0.2">
      <c r="D996" s="10" t="str">
        <f>Intv_BA!D1413</f>
        <v>Principal Therapist - Radiation (ZM)</v>
      </c>
      <c r="F996" s="375" t="s">
        <v>47</v>
      </c>
    </row>
    <row r="997" spans="4:6" x14ac:dyDescent="0.2">
      <c r="D997" s="10" t="str">
        <f>Intv_BA!D1414</f>
        <v>Radiation Lab Scientist (ZM)</v>
      </c>
      <c r="F997" s="375" t="s">
        <v>47</v>
      </c>
    </row>
    <row r="998" spans="4:6" x14ac:dyDescent="0.2">
      <c r="D998" s="10" t="str">
        <f>Intv_BA!D1415</f>
        <v>Radiation Protection Officer (ZM)</v>
      </c>
      <c r="F998" s="375" t="s">
        <v>47</v>
      </c>
    </row>
    <row r="999" spans="4:6" s="47" customFormat="1" x14ac:dyDescent="0.2">
      <c r="D999" s="289" t="str">
        <f>Intv_BA!D1416</f>
        <v>Radiographer (ZM)</v>
      </c>
      <c r="F999" s="342" t="s">
        <v>47</v>
      </c>
    </row>
    <row r="1000" spans="4:6" s="322" customFormat="1" x14ac:dyDescent="0.2">
      <c r="D1000" s="374" t="str">
        <f>Intv_BA!D1417</f>
        <v>Registered Nurse (ZM)</v>
      </c>
      <c r="F1000" s="342" t="s">
        <v>47</v>
      </c>
    </row>
    <row r="1001" spans="4:6" s="322" customFormat="1" x14ac:dyDescent="0.2">
      <c r="D1001" s="374" t="str">
        <f>Intv_BA!D1418</f>
        <v>Senior Enrolled Nurse (ZM)</v>
      </c>
      <c r="F1001" s="342" t="s">
        <v>47</v>
      </c>
    </row>
    <row r="1002" spans="4:6" s="322" customFormat="1" x14ac:dyDescent="0.2">
      <c r="D1002" s="374" t="str">
        <f>Intv_BA!D1419</f>
        <v>Senior Nursing Officer (ZM)</v>
      </c>
      <c r="F1002" s="342" t="s">
        <v>47</v>
      </c>
    </row>
    <row r="1003" spans="4:6" s="322" customFormat="1" x14ac:dyDescent="0.2">
      <c r="D1003" s="374" t="str">
        <f>Intv_BA!D1420</f>
        <v>Senior Radiation protection Officer (ZM)</v>
      </c>
      <c r="F1003" s="342" t="s">
        <v>47</v>
      </c>
    </row>
    <row r="1004" spans="4:6" s="322" customFormat="1" x14ac:dyDescent="0.2">
      <c r="D1004" s="374" t="str">
        <f>Intv_BA!D1421</f>
        <v>Senior Radiographer (ZM)</v>
      </c>
      <c r="F1004" s="342" t="s">
        <v>47</v>
      </c>
    </row>
    <row r="1005" spans="4:6" s="322" customFormat="1" x14ac:dyDescent="0.2">
      <c r="D1005" s="374" t="str">
        <f>Intv_BA!D1422</f>
        <v>Zambia Enrolled Nurse (ZEN) (ZM)</v>
      </c>
      <c r="F1005" s="342" t="s">
        <v>47</v>
      </c>
    </row>
    <row r="1006" spans="4:6" s="322" customFormat="1" x14ac:dyDescent="0.2">
      <c r="D1006" s="374" t="str">
        <f>Intv_BA!D1423</f>
        <v>Personnel - Other Category 27</v>
      </c>
      <c r="F1006" s="342" t="s">
        <v>47</v>
      </c>
    </row>
    <row r="1007" spans="4:6" s="322" customFormat="1" x14ac:dyDescent="0.2">
      <c r="D1007" s="374" t="str">
        <f>Intv_BA!D1424</f>
        <v>Personnel - Other Category 28</v>
      </c>
      <c r="F1007" s="342" t="s">
        <v>47</v>
      </c>
    </row>
    <row r="1008" spans="4:6" s="322" customFormat="1" x14ac:dyDescent="0.2">
      <c r="D1008" s="374" t="str">
        <f>Intv_BA!D1425</f>
        <v>Personnel - Other Category 29</v>
      </c>
      <c r="F1008" s="342" t="s">
        <v>47</v>
      </c>
    </row>
    <row r="1009" spans="3:6" s="322" customFormat="1" x14ac:dyDescent="0.2">
      <c r="D1009" s="374" t="str">
        <f>Intv_BA!D1426</f>
        <v>Personnel - Other Category 30</v>
      </c>
      <c r="F1009" s="342" t="s">
        <v>47</v>
      </c>
    </row>
    <row r="1010" spans="3:6" s="322" customFormat="1" x14ac:dyDescent="0.2">
      <c r="D1010" s="374">
        <f>Intv_BA!D1427</f>
        <v>0</v>
      </c>
      <c r="F1010" s="342" t="s">
        <v>47</v>
      </c>
    </row>
    <row r="1012" spans="3:6" ht="15.75" x14ac:dyDescent="0.2">
      <c r="C1012" s="19" t="s">
        <v>316</v>
      </c>
      <c r="F1012" s="19" t="s">
        <v>32</v>
      </c>
    </row>
    <row r="1014" spans="3:6" x14ac:dyDescent="0.2">
      <c r="D1014" s="20" t="s">
        <v>316</v>
      </c>
      <c r="F1014" s="568" t="s">
        <v>356</v>
      </c>
    </row>
    <row r="1015" spans="3:6" x14ac:dyDescent="0.2">
      <c r="D1015" s="10" t="str">
        <f>Intv_BA!D1430</f>
        <v>_Not Applicable</v>
      </c>
      <c r="F1015" s="375" t="s">
        <v>47</v>
      </c>
    </row>
    <row r="1016" spans="3:6" x14ac:dyDescent="0.2">
      <c r="D1016" s="10" t="str">
        <f>Intv_BA!D1431</f>
        <v>10 ml syringes with long 27-gauge needle (UG)</v>
      </c>
      <c r="F1016" s="375" t="s">
        <v>47</v>
      </c>
    </row>
    <row r="1017" spans="3:6" x14ac:dyDescent="0.2">
      <c r="D1017" s="10" t="str">
        <f>Intv_BA!D1432</f>
        <v>100% alcohol (UG)</v>
      </c>
      <c r="F1017" s="375" t="s">
        <v>47</v>
      </c>
    </row>
    <row r="1018" spans="3:6" x14ac:dyDescent="0.2">
      <c r="D1018" s="10" t="str">
        <f>Intv_BA!D1433</f>
        <v>100% Ethanol (UG)</v>
      </c>
      <c r="F1018" s="375" t="s">
        <v>47</v>
      </c>
    </row>
    <row r="1019" spans="3:6" x14ac:dyDescent="0.2">
      <c r="D1019" s="10" t="str">
        <f>Intv_BA!D1434</f>
        <v>5% acetic acid (UG)</v>
      </c>
      <c r="F1019" s="375" t="s">
        <v>47</v>
      </c>
    </row>
    <row r="1020" spans="3:6" x14ac:dyDescent="0.2">
      <c r="D1020" s="10" t="str">
        <f>Intv_BA!D1435</f>
        <v>Acetic acid (UG)</v>
      </c>
      <c r="F1020" s="375" t="s">
        <v>47</v>
      </c>
    </row>
    <row r="1021" spans="3:6" x14ac:dyDescent="0.2">
      <c r="D1021" s="10" t="str">
        <f>Intv_BA!D1436</f>
        <v>Acetic acid, 3–5% dilution (ZM)</v>
      </c>
      <c r="F1021" s="375" t="s">
        <v>47</v>
      </c>
    </row>
    <row r="1022" spans="3:6" x14ac:dyDescent="0.2">
      <c r="D1022" s="10" t="str">
        <f>Intv_BA!D1437</f>
        <v>Acetic acid, 3–5% dilution (TZ)</v>
      </c>
      <c r="F1022" s="375" t="s">
        <v>47</v>
      </c>
    </row>
    <row r="1023" spans="3:6" x14ac:dyDescent="0.2">
      <c r="D1023" s="10" t="str">
        <f>Intv_BA!D1438</f>
        <v>Alcohol, 60-90% isopropyl or ethyl (TZ)</v>
      </c>
      <c r="F1023" s="375" t="s">
        <v>47</v>
      </c>
    </row>
    <row r="1024" spans="3:6" x14ac:dyDescent="0.2">
      <c r="D1024" s="10" t="str">
        <f>Intv_BA!D1439</f>
        <v>Alcohol, 60-90% isopropyl or ethyl 95% (ZM)</v>
      </c>
      <c r="F1024" s="375" t="s">
        <v>47</v>
      </c>
    </row>
    <row r="1025" spans="4:6" x14ac:dyDescent="0.2">
      <c r="D1025" s="10" t="str">
        <f>Intv_BA!D1440</f>
        <v>Amitriptyline hydrochloride( 25mg) (ZM)</v>
      </c>
      <c r="F1025" s="375" t="s">
        <v>47</v>
      </c>
    </row>
    <row r="1026" spans="4:6" x14ac:dyDescent="0.2">
      <c r="D1026" s="10" t="str">
        <f>Intv_BA!D1441</f>
        <v>Amitriptyline hydrochloride( 25mg) (TZ)</v>
      </c>
      <c r="F1026" s="375" t="s">
        <v>47</v>
      </c>
    </row>
    <row r="1027" spans="4:6" x14ac:dyDescent="0.2">
      <c r="D1027" s="10" t="str">
        <f>Intv_BA!D1442</f>
        <v>Anticeptic solution (UG)</v>
      </c>
      <c r="F1027" s="375" t="s">
        <v>47</v>
      </c>
    </row>
    <row r="1028" spans="4:6" s="47" customFormat="1" x14ac:dyDescent="0.2">
      <c r="D1028" s="289" t="str">
        <f>Intv_BA!D1443</f>
        <v>Arithromycin (250g) (ZM)</v>
      </c>
      <c r="F1028" s="342" t="s">
        <v>47</v>
      </c>
    </row>
    <row r="1029" spans="4:6" s="47" customFormat="1" x14ac:dyDescent="0.2">
      <c r="D1029" s="289" t="str">
        <f>Intv_BA!D1444</f>
        <v>Arithromycin (250g) (UG)</v>
      </c>
      <c r="F1029" s="342" t="s">
        <v>47</v>
      </c>
    </row>
    <row r="1030" spans="4:6" s="47" customFormat="1" x14ac:dyDescent="0.2">
      <c r="D1030" s="289" t="str">
        <f>Intv_BA!D1445</f>
        <v>Arithromycin (5g) (UG)</v>
      </c>
      <c r="F1030" s="342" t="s">
        <v>47</v>
      </c>
    </row>
    <row r="1031" spans="4:6" s="47" customFormat="1" x14ac:dyDescent="0.2">
      <c r="D1031" s="289" t="str">
        <f>Intv_BA!D1446</f>
        <v>Atropine (ZM)</v>
      </c>
      <c r="F1031" s="342" t="s">
        <v>47</v>
      </c>
    </row>
    <row r="1032" spans="4:6" s="47" customFormat="1" x14ac:dyDescent="0.2">
      <c r="D1032" s="289" t="str">
        <f>Intv_BA!D1447</f>
        <v>Ball electrode (UG)</v>
      </c>
      <c r="F1032" s="342" t="s">
        <v>47</v>
      </c>
    </row>
    <row r="1033" spans="4:6" s="47" customFormat="1" x14ac:dyDescent="0.2">
      <c r="D1033" s="289" t="str">
        <f>Intv_BA!D1448</f>
        <v>Bed linen sheet (100 uses) (ZM)</v>
      </c>
      <c r="F1033" s="342" t="s">
        <v>47</v>
      </c>
    </row>
    <row r="1034" spans="4:6" s="47" customFormat="1" x14ac:dyDescent="0.2">
      <c r="D1034" s="289" t="str">
        <f>Intv_BA!D1449</f>
        <v>Bed linen sheet (TZ)</v>
      </c>
      <c r="F1034" s="342" t="s">
        <v>47</v>
      </c>
    </row>
    <row r="1035" spans="4:6" s="47" customFormat="1" x14ac:dyDescent="0.2">
      <c r="D1035" s="289" t="str">
        <f>Intv_BA!D1450</f>
        <v>Bin Liner (ZM)</v>
      </c>
      <c r="F1035" s="342" t="s">
        <v>47</v>
      </c>
    </row>
    <row r="1036" spans="4:6" s="47" customFormat="1" x14ac:dyDescent="0.2">
      <c r="D1036" s="289" t="str">
        <f>Intv_BA!D1451</f>
        <v>Bleach (JIK)</v>
      </c>
      <c r="F1036" s="342" t="s">
        <v>47</v>
      </c>
    </row>
    <row r="1037" spans="4:6" s="47" customFormat="1" x14ac:dyDescent="0.2">
      <c r="D1037" s="289" t="str">
        <f>Intv_BA!D1452</f>
        <v>Bleach (UG)</v>
      </c>
      <c r="F1037" s="342" t="s">
        <v>47</v>
      </c>
    </row>
    <row r="1038" spans="4:6" s="47" customFormat="1" x14ac:dyDescent="0.2">
      <c r="D1038" s="289" t="str">
        <f>Intv_BA!D1453</f>
        <v>careHPV DCM tube (UG)</v>
      </c>
      <c r="F1038" s="342" t="s">
        <v>47</v>
      </c>
    </row>
    <row r="1039" spans="4:6" s="47" customFormat="1" x14ac:dyDescent="0.2">
      <c r="D1039" s="289" t="str">
        <f>Intv_BA!D1454</f>
        <v>Catheter -Urine (TZ)</v>
      </c>
      <c r="F1039" s="342" t="s">
        <v>47</v>
      </c>
    </row>
    <row r="1040" spans="4:6" s="47" customFormat="1" x14ac:dyDescent="0.2">
      <c r="D1040" s="289" t="str">
        <f>Intv_BA!D1455</f>
        <v>Cervical brush (UG)</v>
      </c>
      <c r="F1040" s="342" t="s">
        <v>47</v>
      </c>
    </row>
    <row r="1041" spans="4:6" s="47" customFormat="1" x14ac:dyDescent="0.2">
      <c r="D1041" s="289" t="str">
        <f>Intv_BA!D1456</f>
        <v>Chlorine 0.5% (Jik-diluted) (ZM)</v>
      </c>
      <c r="F1041" s="342" t="s">
        <v>47</v>
      </c>
    </row>
    <row r="1042" spans="4:6" x14ac:dyDescent="0.2">
      <c r="D1042" s="10" t="str">
        <f>Intv_BA!D1457</f>
        <v>Chlorine 0.5% (Jik-diluted)  (TZ)</v>
      </c>
      <c r="F1042" s="375" t="s">
        <v>47</v>
      </c>
    </row>
    <row r="1043" spans="4:6" x14ac:dyDescent="0.2">
      <c r="D1043" s="10" t="str">
        <f>Intv_BA!D1458</f>
        <v>Cidex (2-4% glutaraldehyde) (ZM)</v>
      </c>
      <c r="F1043" s="375" t="s">
        <v>47</v>
      </c>
    </row>
    <row r="1044" spans="4:6" x14ac:dyDescent="0.2">
      <c r="D1044" s="10" t="str">
        <f>Intv_BA!D1459</f>
        <v>Cidex (2-4% glutaraldehyde) (TZ)</v>
      </c>
      <c r="F1044" s="375" t="s">
        <v>47</v>
      </c>
    </row>
    <row r="1045" spans="4:6" x14ac:dyDescent="0.2">
      <c r="D1045" s="10" t="str">
        <f>Intv_BA!D1460</f>
        <v>Ciprofloxacin (500mg) (UG)</v>
      </c>
      <c r="F1045" s="375" t="s">
        <v>47</v>
      </c>
    </row>
    <row r="1046" spans="4:6" x14ac:dyDescent="0.2">
      <c r="D1046" s="10" t="str">
        <f>Intv_BA!D1461</f>
        <v>Ciprofloxacin (500mg) 250MG (ZM)</v>
      </c>
      <c r="F1046" s="375" t="s">
        <v>47</v>
      </c>
    </row>
    <row r="1047" spans="4:6" x14ac:dyDescent="0.2">
      <c r="D1047" s="10" t="str">
        <f>Intv_BA!D1462</f>
        <v>Cisplatin (50 mg) (ZM)</v>
      </c>
      <c r="F1047" s="375" t="s">
        <v>47</v>
      </c>
    </row>
    <row r="1048" spans="4:6" x14ac:dyDescent="0.2">
      <c r="D1048" s="10" t="str">
        <f>Intv_BA!D1463</f>
        <v>Cisplatin (50 mg) (TZ)</v>
      </c>
      <c r="F1048" s="375" t="s">
        <v>47</v>
      </c>
    </row>
    <row r="1049" spans="4:6" x14ac:dyDescent="0.2">
      <c r="D1049" s="10" t="str">
        <f>Intv_BA!D1464</f>
        <v>Citokit (UG)</v>
      </c>
      <c r="F1049" s="375" t="s">
        <v>47</v>
      </c>
    </row>
    <row r="1050" spans="4:6" x14ac:dyDescent="0.2">
      <c r="D1050" s="10" t="str">
        <f>Intv_BA!D1465</f>
        <v>Colostomy Bag (TZ)</v>
      </c>
      <c r="F1050" s="375" t="s">
        <v>47</v>
      </c>
    </row>
    <row r="1051" spans="4:6" s="322" customFormat="1" x14ac:dyDescent="0.2">
      <c r="D1051" s="374" t="str">
        <f>Intv_BA!D1466</f>
        <v>Condom  (TZ)</v>
      </c>
      <c r="F1051" s="342" t="s">
        <v>47</v>
      </c>
    </row>
    <row r="1052" spans="4:6" s="322" customFormat="1" x14ac:dyDescent="0.2">
      <c r="D1052" s="374" t="str">
        <f>Intv_BA!D1467</f>
        <v>Condom MALE (ZM)</v>
      </c>
      <c r="F1052" s="342" t="s">
        <v>47</v>
      </c>
    </row>
    <row r="1053" spans="4:6" s="322" customFormat="1" x14ac:dyDescent="0.2">
      <c r="D1053" s="374" t="str">
        <f>Intv_BA!D1468</f>
        <v>Cotton swab (ZM)</v>
      </c>
      <c r="F1053" s="342" t="s">
        <v>47</v>
      </c>
    </row>
    <row r="1054" spans="4:6" s="322" customFormat="1" x14ac:dyDescent="0.2">
      <c r="D1054" s="374" t="str">
        <f>Intv_BA!D1469</f>
        <v>Cotton swab (TZ)</v>
      </c>
      <c r="F1054" s="342" t="s">
        <v>47</v>
      </c>
    </row>
    <row r="1055" spans="4:6" s="322" customFormat="1" x14ac:dyDescent="0.2">
      <c r="D1055" s="374" t="str">
        <f>Intv_BA!D1470</f>
        <v>Cotton swabs (UG)</v>
      </c>
      <c r="F1055" s="342" t="s">
        <v>47</v>
      </c>
    </row>
    <row r="1056" spans="4:6" s="322" customFormat="1" x14ac:dyDescent="0.2">
      <c r="D1056" s="374" t="str">
        <f>Intv_BA!D1471</f>
        <v>Cotton Wool, roll, non-sterile (ZM)</v>
      </c>
      <c r="F1056" s="342" t="s">
        <v>47</v>
      </c>
    </row>
    <row r="1057" spans="4:6" s="322" customFormat="1" x14ac:dyDescent="0.2">
      <c r="D1057" s="374" t="str">
        <f>Intv_BA!D1472</f>
        <v>Cotton Wool, roll, non-sterile (TZ)</v>
      </c>
      <c r="F1057" s="342" t="s">
        <v>47</v>
      </c>
    </row>
    <row r="1058" spans="4:6" s="322" customFormat="1" x14ac:dyDescent="0.2">
      <c r="D1058" s="374" t="str">
        <f>Intv_BA!D1473</f>
        <v xml:space="preserve">Dexamethasone (ZM) </v>
      </c>
      <c r="F1058" s="342" t="s">
        <v>47</v>
      </c>
    </row>
    <row r="1059" spans="4:6" s="322" customFormat="1" x14ac:dyDescent="0.2">
      <c r="D1059" s="374" t="str">
        <f>Intv_BA!D1474</f>
        <v>Diclofenac (50mg) (ZM)</v>
      </c>
      <c r="F1059" s="342" t="s">
        <v>47</v>
      </c>
    </row>
    <row r="1060" spans="4:6" s="322" customFormat="1" x14ac:dyDescent="0.2">
      <c r="D1060" s="374" t="str">
        <f>Intv_BA!D1475</f>
        <v>Diclofenac (50mg) (TZ)</v>
      </c>
      <c r="F1060" s="342" t="s">
        <v>47</v>
      </c>
    </row>
    <row r="1061" spans="4:6" s="322" customFormat="1" x14ac:dyDescent="0.2">
      <c r="D1061" s="374" t="str">
        <f>Intv_BA!D1476</f>
        <v>Distilled water (ZM)</v>
      </c>
      <c r="F1061" s="342" t="s">
        <v>47</v>
      </c>
    </row>
    <row r="1062" spans="4:6" s="322" customFormat="1" x14ac:dyDescent="0.2">
      <c r="D1062" s="374" t="str">
        <f>Intv_BA!D1477</f>
        <v>Distilled water (UG)</v>
      </c>
      <c r="F1062" s="342" t="s">
        <v>47</v>
      </c>
    </row>
    <row r="1063" spans="4:6" s="322" customFormat="1" x14ac:dyDescent="0.2">
      <c r="D1063" s="374" t="str">
        <f>Intv_BA!D1478</f>
        <v>Dulcolax (10mg) (ZM)</v>
      </c>
      <c r="F1063" s="342" t="s">
        <v>47</v>
      </c>
    </row>
    <row r="1064" spans="4:6" s="322" customFormat="1" x14ac:dyDescent="0.2">
      <c r="D1064" s="374" t="str">
        <f>Intv_BA!D1479</f>
        <v>Dulcolax (10mg) (TZ)</v>
      </c>
      <c r="F1064" s="342" t="s">
        <v>47</v>
      </c>
    </row>
    <row r="1065" spans="4:6" s="322" customFormat="1" x14ac:dyDescent="0.2">
      <c r="D1065" s="374" t="str">
        <f>Intv_BA!D1480</f>
        <v>Emend (ZM)</v>
      </c>
      <c r="F1065" s="342" t="s">
        <v>47</v>
      </c>
    </row>
    <row r="1066" spans="4:6" s="322" customFormat="1" x14ac:dyDescent="0.2">
      <c r="D1066" s="374" t="str">
        <f>Intv_BA!D1481</f>
        <v>Formalin (UG)</v>
      </c>
      <c r="F1066" s="342" t="s">
        <v>47</v>
      </c>
    </row>
    <row r="1067" spans="4:6" s="322" customFormat="1" x14ac:dyDescent="0.2">
      <c r="D1067" s="374" t="str">
        <f>Intv_BA!D1482</f>
        <v>Formalin AR 40% (ZM)</v>
      </c>
      <c r="F1067" s="342" t="s">
        <v>47</v>
      </c>
    </row>
    <row r="1068" spans="4:6" s="322" customFormat="1" x14ac:dyDescent="0.2">
      <c r="D1068" s="374" t="str">
        <f>Intv_BA!D1483</f>
        <v>Formalin AR 40% (TZ)</v>
      </c>
      <c r="F1068" s="342" t="s">
        <v>47</v>
      </c>
    </row>
    <row r="1069" spans="4:6" s="322" customFormat="1" x14ac:dyDescent="0.2">
      <c r="D1069" s="374" t="str">
        <f>Intv_BA!D1484</f>
        <v>Frusamide (ZM)</v>
      </c>
      <c r="F1069" s="342" t="s">
        <v>47</v>
      </c>
    </row>
    <row r="1070" spans="4:6" s="322" customFormat="1" x14ac:dyDescent="0.2">
      <c r="D1070" s="374" t="str">
        <f>Intv_BA!D1485</f>
        <v>Gas - N2O (UG)</v>
      </c>
      <c r="F1070" s="342" t="s">
        <v>47</v>
      </c>
    </row>
    <row r="1071" spans="4:6" s="322" customFormat="1" x14ac:dyDescent="0.2">
      <c r="D1071" s="374" t="str">
        <f>Intv_BA!D1486</f>
        <v>Gas Cylinder (Nitrous Oxide) 72 kg. (ZM)</v>
      </c>
      <c r="F1071" s="342" t="s">
        <v>47</v>
      </c>
    </row>
    <row r="1072" spans="4:6" s="322" customFormat="1" x14ac:dyDescent="0.2">
      <c r="D1072" s="374" t="str">
        <f>Intv_BA!D1487</f>
        <v>Gas Cylinder (TZ)</v>
      </c>
      <c r="F1072" s="342" t="s">
        <v>47</v>
      </c>
    </row>
    <row r="1073" spans="4:6" s="322" customFormat="1" x14ac:dyDescent="0.2">
      <c r="D1073" s="374" t="str">
        <f>Intv_BA!D1488</f>
        <v>Gauze (UG)</v>
      </c>
      <c r="F1073" s="342" t="s">
        <v>47</v>
      </c>
    </row>
    <row r="1074" spans="4:6" s="322" customFormat="1" x14ac:dyDescent="0.2">
      <c r="D1074" s="374" t="str">
        <f>Intv_BA!D1489</f>
        <v>Gauze hospital quality 10x4 cm (TZ)</v>
      </c>
      <c r="F1074" s="342" t="s">
        <v>47</v>
      </c>
    </row>
    <row r="1075" spans="4:6" s="322" customFormat="1" x14ac:dyDescent="0.2">
      <c r="D1075" s="374" t="str">
        <f>Intv_BA!D1490</f>
        <v>Gauze, Non-Sterile (ZM)</v>
      </c>
      <c r="F1075" s="342" t="s">
        <v>47</v>
      </c>
    </row>
    <row r="1076" spans="4:6" s="322" customFormat="1" x14ac:dyDescent="0.2">
      <c r="D1076" s="374" t="str">
        <f>Intv_BA!D1491</f>
        <v>Gauze, Non-Sterile (TZ)</v>
      </c>
      <c r="F1076" s="342" t="s">
        <v>47</v>
      </c>
    </row>
    <row r="1077" spans="4:6" s="322" customFormat="1" x14ac:dyDescent="0.2">
      <c r="D1077" s="374" t="str">
        <f>Intv_BA!D1492</f>
        <v>Gauze, Sterile (ZM)</v>
      </c>
      <c r="F1077" s="342" t="s">
        <v>47</v>
      </c>
    </row>
    <row r="1078" spans="4:6" s="322" customFormat="1" x14ac:dyDescent="0.2">
      <c r="D1078" s="374" t="str">
        <f>Intv_BA!D1493</f>
        <v>Gauze, Sterile (TZ)</v>
      </c>
      <c r="F1078" s="342" t="s">
        <v>47</v>
      </c>
    </row>
    <row r="1079" spans="4:6" s="322" customFormat="1" x14ac:dyDescent="0.2">
      <c r="D1079" s="374" t="str">
        <f>Intv_BA!D1494</f>
        <v>Gloves (UG)</v>
      </c>
      <c r="F1079" s="342" t="s">
        <v>47</v>
      </c>
    </row>
    <row r="1080" spans="4:6" s="322" customFormat="1" x14ac:dyDescent="0.2">
      <c r="D1080" s="374" t="str">
        <f>Intv_BA!D1495</f>
        <v>Gloves, Non-Sterile, Examination, latex, assorted sizes, disp. (ZM)</v>
      </c>
      <c r="F1080" s="342" t="s">
        <v>47</v>
      </c>
    </row>
    <row r="1081" spans="4:6" s="322" customFormat="1" x14ac:dyDescent="0.2">
      <c r="D1081" s="374" t="str">
        <f>Intv_BA!D1496</f>
        <v>Gloves, Non-Sterile, Examination, latex, medium, disp. (TZ)</v>
      </c>
      <c r="F1081" s="342" t="s">
        <v>47</v>
      </c>
    </row>
    <row r="1082" spans="4:6" s="322" customFormat="1" x14ac:dyDescent="0.2">
      <c r="D1082" s="374" t="str">
        <f>Intv_BA!D1497</f>
        <v>Gloves, Sterile (TZ)</v>
      </c>
      <c r="F1082" s="342" t="s">
        <v>47</v>
      </c>
    </row>
    <row r="1083" spans="4:6" s="322" customFormat="1" x14ac:dyDescent="0.2">
      <c r="D1083" s="374" t="str">
        <f>Intv_BA!D1498</f>
        <v>Gloves, Sterile 7.5 (ZM)</v>
      </c>
      <c r="F1083" s="342" t="s">
        <v>47</v>
      </c>
    </row>
    <row r="1084" spans="4:6" s="322" customFormat="1" x14ac:dyDescent="0.2">
      <c r="D1084" s="374" t="str">
        <f>Intv_BA!D1499</f>
        <v>Halothane (ZM)</v>
      </c>
      <c r="F1084" s="342" t="s">
        <v>47</v>
      </c>
    </row>
    <row r="1085" spans="4:6" s="322" customFormat="1" x14ac:dyDescent="0.2">
      <c r="D1085" s="374" t="str">
        <f>Intv_BA!D1500</f>
        <v>IV canula 22G  (ZM)</v>
      </c>
      <c r="F1085" s="342" t="s">
        <v>47</v>
      </c>
    </row>
    <row r="1086" spans="4:6" s="322" customFormat="1" x14ac:dyDescent="0.2">
      <c r="D1086" s="374" t="str">
        <f>Intv_BA!D1501</f>
        <v>IV canula 22G (each) (TZ)</v>
      </c>
      <c r="F1086" s="342" t="s">
        <v>47</v>
      </c>
    </row>
    <row r="1087" spans="4:6" s="322" customFormat="1" x14ac:dyDescent="0.2">
      <c r="D1087" s="374" t="str">
        <f>Intv_BA!D1502</f>
        <v>IV giving set (each) (TZ)</v>
      </c>
      <c r="F1087" s="342" t="s">
        <v>47</v>
      </c>
    </row>
    <row r="1088" spans="4:6" s="322" customFormat="1" x14ac:dyDescent="0.2">
      <c r="D1088" s="374" t="str">
        <f>Intv_BA!D1503</f>
        <v>IV giving set (closed system) (ZM)</v>
      </c>
      <c r="F1088" s="342" t="s">
        <v>47</v>
      </c>
    </row>
    <row r="1089" spans="4:6" s="322" customFormat="1" x14ac:dyDescent="0.2">
      <c r="D1089" s="374" t="str">
        <f>Intv_BA!D1504</f>
        <v>IV line (set) (ZM)</v>
      </c>
      <c r="F1089" s="342" t="s">
        <v>47</v>
      </c>
    </row>
    <row r="1090" spans="4:6" s="322" customFormat="1" x14ac:dyDescent="0.2">
      <c r="D1090" s="374" t="str">
        <f>Intv_BA!D1505</f>
        <v>IV line (set) (TZ)</v>
      </c>
      <c r="F1090" s="342" t="s">
        <v>47</v>
      </c>
    </row>
    <row r="1091" spans="4:6" s="322" customFormat="1" x14ac:dyDescent="0.2">
      <c r="D1091" s="374" t="str">
        <f>Intv_BA!D1506</f>
        <v>Ketamine (ZM)</v>
      </c>
      <c r="F1091" s="342" t="s">
        <v>47</v>
      </c>
    </row>
    <row r="1092" spans="4:6" s="322" customFormat="1" x14ac:dyDescent="0.2">
      <c r="D1092" s="374" t="str">
        <f>Intv_BA!D1507</f>
        <v>Kitchen Towel (ZM)</v>
      </c>
      <c r="F1092" s="342" t="s">
        <v>47</v>
      </c>
    </row>
    <row r="1093" spans="4:6" s="322" customFormat="1" x14ac:dyDescent="0.2">
      <c r="D1093" s="374" t="str">
        <f>Intv_BA!D1508</f>
        <v>K-Y jelly  (TZ)</v>
      </c>
      <c r="F1093" s="342" t="s">
        <v>47</v>
      </c>
    </row>
    <row r="1094" spans="4:6" s="322" customFormat="1" x14ac:dyDescent="0.2">
      <c r="D1094" s="374" t="str">
        <f>Intv_BA!D1509</f>
        <v>K-Y jelly Tube w/ 100 applcations ea) (ZM)</v>
      </c>
      <c r="F1094" s="342" t="s">
        <v>47</v>
      </c>
    </row>
    <row r="1095" spans="4:6" s="322" customFormat="1" x14ac:dyDescent="0.2">
      <c r="D1095" s="374" t="str">
        <f>Intv_BA!D1510</f>
        <v>Label (TZ)</v>
      </c>
      <c r="F1095" s="342" t="s">
        <v>47</v>
      </c>
    </row>
    <row r="1096" spans="4:6" s="322" customFormat="1" x14ac:dyDescent="0.2">
      <c r="D1096" s="374" t="str">
        <f>Intv_BA!D1511</f>
        <v>Lidocaine 1% or 2% without epinephrine (UG)</v>
      </c>
      <c r="F1096" s="342" t="s">
        <v>47</v>
      </c>
    </row>
    <row r="1097" spans="4:6" s="322" customFormat="1" x14ac:dyDescent="0.2">
      <c r="D1097" s="374" t="str">
        <f>Intv_BA!D1512</f>
        <v>Lidocaine 2% with epinephrine 1:80000 (ZM)</v>
      </c>
      <c r="F1097" s="342" t="s">
        <v>47</v>
      </c>
    </row>
    <row r="1098" spans="4:6" s="322" customFormat="1" x14ac:dyDescent="0.2">
      <c r="D1098" s="374" t="str">
        <f>Intv_BA!D1513</f>
        <v>Lidocaine: 2% with adrenalin 1:80000 (TZ)</v>
      </c>
      <c r="F1098" s="342" t="s">
        <v>47</v>
      </c>
    </row>
    <row r="1099" spans="4:6" s="322" customFormat="1" x14ac:dyDescent="0.2">
      <c r="D1099" s="374" t="str">
        <f>Intv_BA!D1514</f>
        <v>Liquid soap (UG)</v>
      </c>
      <c r="F1099" s="342" t="s">
        <v>47</v>
      </c>
    </row>
    <row r="1100" spans="4:6" s="322" customFormat="1" x14ac:dyDescent="0.2">
      <c r="D1100" s="374" t="str">
        <f>Intv_BA!D1515</f>
        <v>Lugol's iodine (UG)</v>
      </c>
      <c r="F1100" s="342" t="s">
        <v>47</v>
      </c>
    </row>
    <row r="1101" spans="4:6" s="322" customFormat="1" x14ac:dyDescent="0.2">
      <c r="D1101" s="374" t="str">
        <f>Intv_BA!D1516</f>
        <v>Mannitol (ZM)</v>
      </c>
      <c r="F1101" s="342" t="s">
        <v>47</v>
      </c>
    </row>
    <row r="1102" spans="4:6" s="322" customFormat="1" x14ac:dyDescent="0.2">
      <c r="D1102" s="374" t="str">
        <f>Intv_BA!D1517</f>
        <v>Metronizadol (200mg) (ZM)</v>
      </c>
      <c r="F1102" s="342" t="s">
        <v>47</v>
      </c>
    </row>
    <row r="1103" spans="4:6" s="322" customFormat="1" x14ac:dyDescent="0.2">
      <c r="D1103" s="374" t="str">
        <f>Intv_BA!D1518</f>
        <v>Metronizadol (200mg) (UG)</v>
      </c>
      <c r="F1103" s="342" t="s">
        <v>47</v>
      </c>
    </row>
    <row r="1104" spans="4:6" s="322" customFormat="1" x14ac:dyDescent="0.2">
      <c r="D1104" s="374" t="str">
        <f>Intv_BA!D1519</f>
        <v>Metronizadol (400mg) (UG)</v>
      </c>
      <c r="F1104" s="342" t="s">
        <v>47</v>
      </c>
    </row>
    <row r="1105" spans="4:6" s="322" customFormat="1" x14ac:dyDescent="0.2">
      <c r="D1105" s="374" t="str">
        <f>Intv_BA!D1520</f>
        <v>Mictomycin  C (10mg) (TZ)</v>
      </c>
      <c r="F1105" s="342" t="s">
        <v>47</v>
      </c>
    </row>
    <row r="1106" spans="4:6" s="322" customFormat="1" x14ac:dyDescent="0.2">
      <c r="D1106" s="374" t="str">
        <f>Intv_BA!D1521</f>
        <v>Mitomycin  C (10mg) (ZM)</v>
      </c>
      <c r="F1106" s="342" t="s">
        <v>47</v>
      </c>
    </row>
    <row r="1107" spans="4:6" s="322" customFormat="1" x14ac:dyDescent="0.2">
      <c r="D1107" s="374" t="str">
        <f>Intv_BA!D1522</f>
        <v>Monsel's solution (UG)</v>
      </c>
      <c r="F1107" s="342" t="s">
        <v>47</v>
      </c>
    </row>
    <row r="1108" spans="4:6" s="322" customFormat="1" x14ac:dyDescent="0.2">
      <c r="D1108" s="374" t="str">
        <f>Intv_BA!D1523</f>
        <v>Monsel's solution (ZM)</v>
      </c>
      <c r="F1108" s="342" t="s">
        <v>47</v>
      </c>
    </row>
    <row r="1109" spans="4:6" s="322" customFormat="1" x14ac:dyDescent="0.2">
      <c r="D1109" s="374" t="str">
        <f>Intv_BA!D1524</f>
        <v>Morphine (10mg) (ZM)</v>
      </c>
      <c r="F1109" s="342" t="s">
        <v>47</v>
      </c>
    </row>
    <row r="1110" spans="4:6" s="322" customFormat="1" x14ac:dyDescent="0.2">
      <c r="D1110" s="374" t="str">
        <f>Intv_BA!D1525</f>
        <v>Morphine (10mg) (TZ)</v>
      </c>
      <c r="F1110" s="342" t="s">
        <v>47</v>
      </c>
    </row>
    <row r="1111" spans="4:6" s="322" customFormat="1" x14ac:dyDescent="0.2">
      <c r="D1111" s="374" t="str">
        <f>Intv_BA!D1526</f>
        <v>Mutton Cloth (ZM)</v>
      </c>
      <c r="F1111" s="342" t="s">
        <v>47</v>
      </c>
    </row>
    <row r="1112" spans="4:6" s="322" customFormat="1" x14ac:dyDescent="0.2">
      <c r="D1112" s="374" t="str">
        <f>Intv_BA!D1527</f>
        <v>Needle – 18 or 20 gauge (TZ)</v>
      </c>
      <c r="F1112" s="342" t="s">
        <v>47</v>
      </c>
    </row>
    <row r="1113" spans="4:6" s="322" customFormat="1" x14ac:dyDescent="0.2">
      <c r="D1113" s="374" t="str">
        <f>Intv_BA!D1528</f>
        <v>Needle - Spinal 22G (disposable) (ZM)</v>
      </c>
      <c r="F1113" s="342" t="s">
        <v>47</v>
      </c>
    </row>
    <row r="1114" spans="4:6" s="322" customFormat="1" x14ac:dyDescent="0.2">
      <c r="D1114" s="374" t="str">
        <f>Intv_BA!D1529</f>
        <v>Needle - Spinal 22G (disposable) (TZ)</v>
      </c>
      <c r="F1114" s="342" t="s">
        <v>47</v>
      </c>
    </row>
    <row r="1115" spans="4:6" s="322" customFormat="1" x14ac:dyDescent="0.2">
      <c r="D1115" s="374" t="str">
        <f>Intv_BA!D1530</f>
        <v>Needles - Dental 27G Long (ZM)</v>
      </c>
      <c r="F1115" s="342" t="s">
        <v>47</v>
      </c>
    </row>
    <row r="1116" spans="4:6" s="322" customFormat="1" x14ac:dyDescent="0.2">
      <c r="D1116" s="374" t="str">
        <f>Intv_BA!D1531</f>
        <v>Neostymine (ZM)</v>
      </c>
      <c r="F1116" s="342" t="s">
        <v>47</v>
      </c>
    </row>
    <row r="1117" spans="4:6" s="322" customFormat="1" x14ac:dyDescent="0.2">
      <c r="D1117" s="374" t="str">
        <f>Intv_BA!D1532</f>
        <v>Normal saline (UG)</v>
      </c>
      <c r="F1117" s="342" t="s">
        <v>47</v>
      </c>
    </row>
    <row r="1118" spans="4:6" s="322" customFormat="1" x14ac:dyDescent="0.2">
      <c r="D1118" s="374" t="str">
        <f>Intv_BA!D1533</f>
        <v>Normal saline (ZM)</v>
      </c>
      <c r="F1118" s="342" t="s">
        <v>47</v>
      </c>
    </row>
    <row r="1119" spans="4:6" s="322" customFormat="1" x14ac:dyDescent="0.2">
      <c r="D1119" s="374" t="str">
        <f>Intv_BA!D1534</f>
        <v>Nystain (200mg) (UG)</v>
      </c>
      <c r="F1119" s="342" t="s">
        <v>47</v>
      </c>
    </row>
    <row r="1120" spans="4:6" s="322" customFormat="1" x14ac:dyDescent="0.2">
      <c r="D1120" s="374" t="str">
        <f>Intv_BA!D1535</f>
        <v>Ondansetron (IV) 4mg vials</v>
      </c>
      <c r="F1120" s="342" t="s">
        <v>47</v>
      </c>
    </row>
    <row r="1121" spans="4:6" s="322" customFormat="1" x14ac:dyDescent="0.2">
      <c r="D1121" s="374" t="str">
        <f>Intv_BA!D1536</f>
        <v>Ondasetron (oral) (4mg tablets)</v>
      </c>
      <c r="F1121" s="342" t="s">
        <v>47</v>
      </c>
    </row>
    <row r="1122" spans="4:6" x14ac:dyDescent="0.2">
      <c r="D1122" s="10" t="str">
        <f>Intv_BA!D1537</f>
        <v>Opiods - Pethidine (ZM)</v>
      </c>
      <c r="F1122" s="375" t="s">
        <v>47</v>
      </c>
    </row>
    <row r="1123" spans="4:6" s="322" customFormat="1" x14ac:dyDescent="0.2">
      <c r="D1123" s="374" t="str">
        <f>Intv_BA!D1538</f>
        <v>Supplies Category 109</v>
      </c>
      <c r="F1123" s="342" t="s">
        <v>47</v>
      </c>
    </row>
    <row r="1124" spans="4:6" x14ac:dyDescent="0.2">
      <c r="D1124" s="10" t="str">
        <f>Intv_BA!D1539</f>
        <v>Oralpharyngeal airway (ZM)</v>
      </c>
      <c r="F1124" s="375" t="s">
        <v>47</v>
      </c>
    </row>
    <row r="1125" spans="4:6" x14ac:dyDescent="0.2">
      <c r="D1125" s="10" t="str">
        <f>Intv_BA!D1540</f>
        <v>Oxygen Mask (ZM)</v>
      </c>
      <c r="F1125" s="375" t="s">
        <v>47</v>
      </c>
    </row>
    <row r="1126" spans="4:6" x14ac:dyDescent="0.2">
      <c r="D1126" s="10" t="str">
        <f>Intv_BA!D1541</f>
        <v>Pancuronuien (ZM)</v>
      </c>
      <c r="F1126" s="375" t="s">
        <v>47</v>
      </c>
    </row>
    <row r="1127" spans="4:6" x14ac:dyDescent="0.2">
      <c r="D1127" s="10" t="str">
        <f>Intv_BA!D1542</f>
        <v>Paracetamol (1g) (UG)</v>
      </c>
      <c r="F1127" s="375" t="s">
        <v>47</v>
      </c>
    </row>
    <row r="1128" spans="4:6" x14ac:dyDescent="0.2">
      <c r="D1128" s="10" t="str">
        <f>Intv_BA!D1543</f>
        <v>Paracetamol (500mg) (ZM)</v>
      </c>
      <c r="F1128" s="375" t="s">
        <v>47</v>
      </c>
    </row>
    <row r="1129" spans="4:6" s="47" customFormat="1" x14ac:dyDescent="0.2">
      <c r="D1129" s="289" t="str">
        <f>Intv_BA!D1544</f>
        <v>Paracetamol (500mg) (TZ)</v>
      </c>
      <c r="F1129" s="342" t="s">
        <v>47</v>
      </c>
    </row>
    <row r="1130" spans="4:6" s="47" customFormat="1" x14ac:dyDescent="0.2">
      <c r="D1130" s="289" t="str">
        <f>Intv_BA!D1545</f>
        <v>Paracetamol (500mg) (UG)</v>
      </c>
      <c r="F1130" s="342" t="s">
        <v>47</v>
      </c>
    </row>
    <row r="1131" spans="4:6" s="47" customFormat="1" x14ac:dyDescent="0.2">
      <c r="D1131" s="289" t="str">
        <f>Intv_BA!D1546</f>
        <v>Pathology form (TZ)</v>
      </c>
      <c r="F1131" s="342" t="s">
        <v>47</v>
      </c>
    </row>
    <row r="1132" spans="4:6" s="47" customFormat="1" x14ac:dyDescent="0.2">
      <c r="D1132" s="289" t="str">
        <f>Intv_BA!D1547</f>
        <v>Patient card (TZ)</v>
      </c>
      <c r="F1132" s="342" t="s">
        <v>47</v>
      </c>
    </row>
    <row r="1133" spans="4:6" s="47" customFormat="1" x14ac:dyDescent="0.2">
      <c r="D1133" s="289" t="str">
        <f>Intv_BA!D1548</f>
        <v>Pencil (TZ)</v>
      </c>
      <c r="F1133" s="342" t="s">
        <v>47</v>
      </c>
    </row>
    <row r="1134" spans="4:6" s="322" customFormat="1" x14ac:dyDescent="0.2">
      <c r="D1134" s="374" t="str">
        <f>Intv_BA!D1549</f>
        <v>Perthodine (TZ)</v>
      </c>
      <c r="F1134" s="342" t="s">
        <v>47</v>
      </c>
    </row>
    <row r="1135" spans="4:6" s="322" customFormat="1" x14ac:dyDescent="0.2">
      <c r="D1135" s="374" t="str">
        <f>Intv_BA!D1550</f>
        <v>Pipette Tips (TZ)</v>
      </c>
      <c r="F1135" s="342" t="s">
        <v>47</v>
      </c>
    </row>
    <row r="1136" spans="4:6" s="322" customFormat="1" x14ac:dyDescent="0.2">
      <c r="D1136" s="374" t="str">
        <f>Intv_BA!D1551</f>
        <v>Pipette, Fixed, 50 microlitre (TZ)</v>
      </c>
      <c r="F1136" s="342" t="s">
        <v>47</v>
      </c>
    </row>
    <row r="1137" spans="4:6" s="322" customFormat="1" x14ac:dyDescent="0.2">
      <c r="D1137" s="374" t="str">
        <f>Intv_BA!D1552</f>
        <v>Pipette, Repeater (TZ)</v>
      </c>
      <c r="F1137" s="342" t="s">
        <v>47</v>
      </c>
    </row>
    <row r="1138" spans="4:6" s="322" customFormat="1" x14ac:dyDescent="0.2">
      <c r="D1138" s="374" t="str">
        <f>Intv_BA!D1553</f>
        <v>Pregnancy test– urine test strip (ZM)</v>
      </c>
      <c r="F1138" s="342" t="s">
        <v>47</v>
      </c>
    </row>
    <row r="1139" spans="4:6" s="322" customFormat="1" x14ac:dyDescent="0.2">
      <c r="D1139" s="374" t="str">
        <f>Intv_BA!D1554</f>
        <v>Pregnancy tests – urine test strips (TZ)</v>
      </c>
      <c r="F1139" s="342" t="s">
        <v>47</v>
      </c>
    </row>
    <row r="1140" spans="4:6" s="322" customFormat="1" x14ac:dyDescent="0.2">
      <c r="D1140" s="374" t="str">
        <f>Intv_BA!D1555</f>
        <v>Profol, 2%, 20 mg/l, 50ml (ZM)</v>
      </c>
      <c r="F1140" s="342" t="s">
        <v>47</v>
      </c>
    </row>
    <row r="1141" spans="4:6" s="322" customFormat="1" x14ac:dyDescent="0.2">
      <c r="D1141" s="374" t="str">
        <f>Intv_BA!D1556</f>
        <v>Repeater Tips (TZ)</v>
      </c>
      <c r="F1141" s="342" t="s">
        <v>47</v>
      </c>
    </row>
    <row r="1142" spans="4:6" s="322" customFormat="1" x14ac:dyDescent="0.2">
      <c r="D1142" s="374" t="str">
        <f>Intv_BA!D1557</f>
        <v>Return electrode (UG)</v>
      </c>
      <c r="F1142" s="342" t="s">
        <v>47</v>
      </c>
    </row>
    <row r="1143" spans="4:6" s="322" customFormat="1" x14ac:dyDescent="0.2">
      <c r="D1143" s="374" t="str">
        <f>Intv_BA!D1558</f>
        <v>Saline solution, normal (ZM)</v>
      </c>
      <c r="F1143" s="342" t="s">
        <v>47</v>
      </c>
    </row>
    <row r="1144" spans="4:6" s="322" customFormat="1" x14ac:dyDescent="0.2">
      <c r="D1144" s="374" t="str">
        <f>Intv_BA!D1559</f>
        <v>Saline solution, normal (TZ)</v>
      </c>
      <c r="F1144" s="342" t="s">
        <v>47</v>
      </c>
    </row>
    <row r="1145" spans="4:6" s="322" customFormat="1" x14ac:dyDescent="0.2">
      <c r="D1145" s="374" t="str">
        <f>Intv_BA!D1560</f>
        <v>Sanitary pad (ZM)</v>
      </c>
      <c r="F1145" s="342" t="s">
        <v>47</v>
      </c>
    </row>
    <row r="1146" spans="4:6" s="322" customFormat="1" x14ac:dyDescent="0.2">
      <c r="D1146" s="374" t="str">
        <f>Intv_BA!D1561</f>
        <v>Sanitary pad (UG)</v>
      </c>
      <c r="F1146" s="342" t="s">
        <v>47</v>
      </c>
    </row>
    <row r="1147" spans="4:6" s="322" customFormat="1" x14ac:dyDescent="0.2">
      <c r="D1147" s="374" t="str">
        <f>Intv_BA!D1562</f>
        <v>Scouring Powder (Ajax)</v>
      </c>
      <c r="F1147" s="342" t="s">
        <v>47</v>
      </c>
    </row>
    <row r="1148" spans="4:6" s="322" customFormat="1" x14ac:dyDescent="0.2">
      <c r="D1148" s="374" t="str">
        <f>Intv_BA!D1563</f>
        <v>Soap (or hand sanitizer) (ZM)</v>
      </c>
      <c r="F1148" s="342" t="s">
        <v>47</v>
      </c>
    </row>
    <row r="1149" spans="4:6" s="322" customFormat="1" x14ac:dyDescent="0.2">
      <c r="D1149" s="374" t="str">
        <f>Intv_BA!D1564</f>
        <v>Soap (or hand sanitizer) (TZ)</v>
      </c>
      <c r="F1149" s="342" t="s">
        <v>47</v>
      </c>
    </row>
    <row r="1150" spans="4:6" s="322" customFormat="1" x14ac:dyDescent="0.2">
      <c r="D1150" s="374" t="str">
        <f>Intv_BA!D1565</f>
        <v>Specimen bottle / recyled syringe bottles (UG)</v>
      </c>
      <c r="F1150" s="342" t="s">
        <v>47</v>
      </c>
    </row>
    <row r="1151" spans="4:6" s="322" customFormat="1" x14ac:dyDescent="0.2">
      <c r="D1151" s="374" t="str">
        <f>Intv_BA!D1566</f>
        <v>Specimen cup with lid and label - 100 cc (TZ)</v>
      </c>
      <c r="F1151" s="342" t="s">
        <v>47</v>
      </c>
    </row>
    <row r="1152" spans="4:6" s="322" customFormat="1" x14ac:dyDescent="0.2">
      <c r="D1152" s="374" t="str">
        <f>Intv_BA!D1567</f>
        <v>Surgical Apron (ZM)</v>
      </c>
      <c r="F1152" s="342" t="s">
        <v>47</v>
      </c>
    </row>
    <row r="1153" spans="4:6" s="322" customFormat="1" x14ac:dyDescent="0.2">
      <c r="D1153" s="374" t="str">
        <f>Intv_BA!D1568</f>
        <v>Suxamethonium (ZM)</v>
      </c>
      <c r="F1153" s="342" t="s">
        <v>47</v>
      </c>
    </row>
    <row r="1154" spans="4:6" s="322" customFormat="1" x14ac:dyDescent="0.2">
      <c r="D1154" s="374" t="str">
        <f>Intv_BA!D1569</f>
        <v>Syringe - 2cc (ZM)</v>
      </c>
      <c r="F1154" s="342" t="s">
        <v>47</v>
      </c>
    </row>
    <row r="1155" spans="4:6" s="322" customFormat="1" x14ac:dyDescent="0.2">
      <c r="D1155" s="374" t="str">
        <f>Intv_BA!D1570</f>
        <v>Syringe - 2ml (UG)</v>
      </c>
      <c r="F1155" s="342" t="s">
        <v>47</v>
      </c>
    </row>
    <row r="1156" spans="4:6" s="322" customFormat="1" x14ac:dyDescent="0.2">
      <c r="D1156" s="374" t="str">
        <f>Intv_BA!D1571</f>
        <v>Syringe, 10 cc with needle (ZM)</v>
      </c>
      <c r="F1156" s="342" t="s">
        <v>47</v>
      </c>
    </row>
    <row r="1157" spans="4:6" s="322" customFormat="1" x14ac:dyDescent="0.2">
      <c r="D1157" s="374" t="str">
        <f>Intv_BA!D1572</f>
        <v>Syringe, 5 cc with needle (ZM)</v>
      </c>
      <c r="F1157" s="342" t="s">
        <v>47</v>
      </c>
    </row>
    <row r="1158" spans="4:6" s="322" customFormat="1" x14ac:dyDescent="0.2">
      <c r="D1158" s="374" t="str">
        <f>Intv_BA!D1573</f>
        <v>Syringes, 10 cc with needle (TZ)</v>
      </c>
      <c r="F1158" s="342" t="s">
        <v>47</v>
      </c>
    </row>
    <row r="1159" spans="4:6" s="322" customFormat="1" x14ac:dyDescent="0.2">
      <c r="D1159" s="374" t="str">
        <f>Intv_BA!D1574</f>
        <v>Syringes, 5 cc with needle (TZ)</v>
      </c>
      <c r="F1159" s="342" t="s">
        <v>47</v>
      </c>
    </row>
    <row r="1160" spans="4:6" s="322" customFormat="1" x14ac:dyDescent="0.2">
      <c r="D1160" s="374" t="str">
        <f>Intv_BA!D1575</f>
        <v>Syringes, Dental, 25 gauge (ZM)</v>
      </c>
      <c r="F1160" s="342" t="s">
        <v>47</v>
      </c>
    </row>
    <row r="1161" spans="4:6" s="322" customFormat="1" x14ac:dyDescent="0.2">
      <c r="D1161" s="374" t="str">
        <f>Intv_BA!D1576</f>
        <v>Thiopentone,500mg vial (ZM)</v>
      </c>
      <c r="F1161" s="342" t="s">
        <v>47</v>
      </c>
    </row>
    <row r="1162" spans="4:6" s="322" customFormat="1" x14ac:dyDescent="0.2">
      <c r="D1162" s="374" t="str">
        <f>Intv_BA!D1577</f>
        <v>Toilet Tissues (roll) – 500 sheets (ZM)</v>
      </c>
      <c r="F1162" s="342" t="s">
        <v>47</v>
      </c>
    </row>
    <row r="1163" spans="4:6" s="322" customFormat="1" x14ac:dyDescent="0.2">
      <c r="D1163" s="374" t="str">
        <f>Intv_BA!D1578</f>
        <v>Tramadol (50mg)  (ZM)</v>
      </c>
      <c r="F1163" s="342" t="s">
        <v>47</v>
      </c>
    </row>
    <row r="1164" spans="4:6" s="322" customFormat="1" x14ac:dyDescent="0.2">
      <c r="D1164" s="374" t="str">
        <f>Intv_BA!D1579</f>
        <v>Tramadol (50mg) (TZ)</v>
      </c>
      <c r="F1164" s="342" t="s">
        <v>47</v>
      </c>
    </row>
    <row r="1165" spans="4:6" s="322" customFormat="1" x14ac:dyDescent="0.2">
      <c r="D1165" s="374" t="str">
        <f>Intv_BA!D1580</f>
        <v>Tubes - Endotrach (ZM)</v>
      </c>
      <c r="F1165" s="342" t="s">
        <v>47</v>
      </c>
    </row>
    <row r="1166" spans="4:6" s="322" customFormat="1" x14ac:dyDescent="0.2">
      <c r="D1166" s="374" t="str">
        <f>Intv_BA!D1581</f>
        <v>Urine Bag (ZM)</v>
      </c>
      <c r="F1166" s="342" t="s">
        <v>47</v>
      </c>
    </row>
    <row r="1167" spans="4:6" s="322" customFormat="1" x14ac:dyDescent="0.2">
      <c r="D1167" s="374" t="str">
        <f>Intv_BA!D1582</f>
        <v>Urine Bag (TZ)</v>
      </c>
      <c r="F1167" s="342" t="s">
        <v>47</v>
      </c>
    </row>
    <row r="1168" spans="4:6" s="322" customFormat="1" x14ac:dyDescent="0.2">
      <c r="D1168" s="374" t="str">
        <f>Intv_BA!D1583</f>
        <v>Washing powder (ZM)</v>
      </c>
      <c r="F1168" s="342" t="s">
        <v>47</v>
      </c>
    </row>
    <row r="1169" spans="3:6" s="322" customFormat="1" x14ac:dyDescent="0.2">
      <c r="D1169" s="374" t="str">
        <f>Intv_BA!D1584</f>
        <v>Wire electrode (UG)</v>
      </c>
      <c r="F1169" s="342" t="s">
        <v>47</v>
      </c>
    </row>
    <row r="1170" spans="3:6" s="322" customFormat="1" x14ac:dyDescent="0.2">
      <c r="D1170" s="374" t="str">
        <f>Intv_BA!D1585</f>
        <v>Wood stick (ZM)</v>
      </c>
      <c r="F1170" s="342" t="s">
        <v>47</v>
      </c>
    </row>
    <row r="1171" spans="3:6" s="322" customFormat="1" x14ac:dyDescent="0.2">
      <c r="D1171" s="374" t="str">
        <f>Intv_BA!D1586</f>
        <v>Wood stick (TZ)</v>
      </c>
      <c r="F1171" s="342" t="s">
        <v>47</v>
      </c>
    </row>
    <row r="1172" spans="3:6" s="322" customFormat="1" x14ac:dyDescent="0.2">
      <c r="D1172" s="374" t="str">
        <f>Intv_BA!D1587</f>
        <v>Supplies Category 158</v>
      </c>
      <c r="F1172" s="342" t="s">
        <v>47</v>
      </c>
    </row>
    <row r="1173" spans="3:6" s="322" customFormat="1" x14ac:dyDescent="0.2">
      <c r="D1173" s="374" t="str">
        <f>Intv_BA!D1588</f>
        <v>Supplies Category 159</v>
      </c>
      <c r="F1173" s="342" t="s">
        <v>47</v>
      </c>
    </row>
    <row r="1174" spans="3:6" s="322" customFormat="1" x14ac:dyDescent="0.2">
      <c r="D1174" s="374" t="str">
        <f>Intv_BA!D1589</f>
        <v>Supplies Category 160</v>
      </c>
      <c r="F1174" s="342" t="s">
        <v>47</v>
      </c>
    </row>
    <row r="1175" spans="3:6" s="322" customFormat="1" x14ac:dyDescent="0.2">
      <c r="D1175" s="374" t="str">
        <f>Intv_BA!D1590</f>
        <v>Supplies Category 161</v>
      </c>
      <c r="F1175" s="342" t="s">
        <v>47</v>
      </c>
    </row>
    <row r="1176" spans="3:6" s="322" customFormat="1" x14ac:dyDescent="0.2">
      <c r="D1176" s="374" t="str">
        <f>Intv_BA!D1591</f>
        <v>Supplies Category 162</v>
      </c>
      <c r="F1176" s="342" t="s">
        <v>47</v>
      </c>
    </row>
    <row r="1177" spans="3:6" s="322" customFormat="1" x14ac:dyDescent="0.2">
      <c r="D1177" s="374" t="str">
        <f>Intv_BA!D1592</f>
        <v>Supplies Category 163</v>
      </c>
      <c r="F1177" s="342" t="s">
        <v>47</v>
      </c>
    </row>
    <row r="1178" spans="3:6" s="322" customFormat="1" x14ac:dyDescent="0.2">
      <c r="D1178" s="374" t="str">
        <f>Intv_BA!D1593</f>
        <v>Other Supply (Specify)</v>
      </c>
      <c r="F1178" s="342" t="s">
        <v>47</v>
      </c>
    </row>
    <row r="1179" spans="3:6" s="322" customFormat="1" x14ac:dyDescent="0.2">
      <c r="D1179" s="374" t="str">
        <f>Intv_BA!D1594</f>
        <v>Other Supply (Specify)</v>
      </c>
      <c r="F1179" s="342" t="s">
        <v>47</v>
      </c>
    </row>
    <row r="1180" spans="3:6" s="322" customFormat="1" x14ac:dyDescent="0.2">
      <c r="D1180" s="374" t="str">
        <f>Intv_BA!D1595</f>
        <v>Other Supply (Specify)</v>
      </c>
      <c r="F1180" s="342" t="s">
        <v>47</v>
      </c>
    </row>
    <row r="1181" spans="3:6" s="322" customFormat="1" x14ac:dyDescent="0.2">
      <c r="D1181" s="374" t="str">
        <f>Intv_BA!D1596</f>
        <v>Other Supply (Specify)</v>
      </c>
      <c r="F1181" s="342" t="s">
        <v>47</v>
      </c>
    </row>
    <row r="1183" spans="3:6" ht="15.75" x14ac:dyDescent="0.2">
      <c r="C1183" s="19" t="s">
        <v>313</v>
      </c>
      <c r="F1183" s="19" t="s">
        <v>32</v>
      </c>
    </row>
    <row r="1185" spans="4:6" x14ac:dyDescent="0.2">
      <c r="D1185" s="20" t="s">
        <v>313</v>
      </c>
      <c r="F1185" s="504" t="s">
        <v>362</v>
      </c>
    </row>
    <row r="1186" spans="4:6" x14ac:dyDescent="0.2">
      <c r="D1186" s="10" t="str">
        <f>Intv_BA!D1599</f>
        <v>_Not Applicable</v>
      </c>
      <c r="F1186" s="375" t="s">
        <v>47</v>
      </c>
    </row>
    <row r="1187" spans="4:6" x14ac:dyDescent="0.2">
      <c r="D1187" s="10" t="str">
        <f>Intv_BA!D1600</f>
        <v>Aluminum pail with lid (TZ)</v>
      </c>
      <c r="F1187" s="375" t="s">
        <v>47</v>
      </c>
    </row>
    <row r="1188" spans="4:6" x14ac:dyDescent="0.2">
      <c r="D1188" s="10" t="str">
        <f>Intv_BA!D1601</f>
        <v>Autoclaving Machine (ZM)</v>
      </c>
      <c r="F1188" s="375" t="s">
        <v>47</v>
      </c>
    </row>
    <row r="1189" spans="4:6" s="322" customFormat="1" x14ac:dyDescent="0.2">
      <c r="D1189" s="374" t="str">
        <f>Intv_BA!D1602</f>
        <v>Ball electrode  5mm/Ellman (ZM)</v>
      </c>
      <c r="F1189" s="342" t="s">
        <v>47</v>
      </c>
    </row>
    <row r="1190" spans="4:6" x14ac:dyDescent="0.2">
      <c r="D1190" s="10" t="str">
        <f>Intv_BA!D1603</f>
        <v>Basin (for examination couch) (ZM)</v>
      </c>
      <c r="F1190" s="375" t="s">
        <v>47</v>
      </c>
    </row>
    <row r="1191" spans="4:6" x14ac:dyDescent="0.2">
      <c r="D1191" s="10" t="str">
        <f>Intv_BA!D1604</f>
        <v>Battery Charger (ZM)</v>
      </c>
      <c r="F1191" s="375" t="s">
        <v>47</v>
      </c>
    </row>
    <row r="1192" spans="4:6" x14ac:dyDescent="0.2">
      <c r="D1192" s="10" t="str">
        <f>Intv_BA!D1605</f>
        <v>Bucket (UG)</v>
      </c>
      <c r="F1192" s="375" t="s">
        <v>47</v>
      </c>
    </row>
    <row r="1193" spans="4:6" x14ac:dyDescent="0.2">
      <c r="D1193" s="10" t="str">
        <f>Intv_BA!D1606</f>
        <v>Bucket 20Lt plastic with lid (ZM)</v>
      </c>
      <c r="F1193" s="375" t="s">
        <v>47</v>
      </c>
    </row>
    <row r="1194" spans="4:6" x14ac:dyDescent="0.2">
      <c r="D1194" s="10" t="str">
        <f>Intv_BA!D1607</f>
        <v>Camera Rechargeable batteries ( set of 6) (ZM)</v>
      </c>
      <c r="F1194" s="375" t="s">
        <v>47</v>
      </c>
    </row>
    <row r="1195" spans="4:6" x14ac:dyDescent="0.2">
      <c r="D1195" s="10" t="str">
        <f>Intv_BA!D1608</f>
        <v>Card Reader (ZM)</v>
      </c>
      <c r="F1195" s="375" t="s">
        <v>47</v>
      </c>
    </row>
    <row r="1196" spans="4:6" x14ac:dyDescent="0.2">
      <c r="D1196" s="10" t="str">
        <f>Intv_BA!D1609</f>
        <v>CareHPV Machine (kit set) (ZM)</v>
      </c>
      <c r="F1196" s="375" t="s">
        <v>47</v>
      </c>
    </row>
    <row r="1197" spans="4:6" x14ac:dyDescent="0.2">
      <c r="D1197" s="10" t="str">
        <f>Intv_BA!D1610</f>
        <v>CareHPV Machine (kit)  (TZ)</v>
      </c>
      <c r="F1197" s="375" t="s">
        <v>47</v>
      </c>
    </row>
    <row r="1198" spans="4:6" x14ac:dyDescent="0.2">
      <c r="D1198" s="10" t="str">
        <f>Intv_BA!D1611</f>
        <v>Cauterizer (ZM)</v>
      </c>
      <c r="F1198" s="375" t="s">
        <v>47</v>
      </c>
    </row>
    <row r="1199" spans="4:6" x14ac:dyDescent="0.2">
      <c r="D1199" s="10" t="str">
        <f>Intv_BA!D1612</f>
        <v>Cauterizer  (TZ)</v>
      </c>
      <c r="F1199" s="375" t="s">
        <v>47</v>
      </c>
    </row>
    <row r="1200" spans="4:6" s="322" customFormat="1" x14ac:dyDescent="0.2">
      <c r="D1200" s="374" t="str">
        <f>Intv_BA!D1613</f>
        <v>Cervical Cold Coagulator with Instrument Cable and Therapy Probe (ZM)</v>
      </c>
      <c r="F1200" s="342" t="s">
        <v>47</v>
      </c>
    </row>
    <row r="1201" spans="4:6" x14ac:dyDescent="0.2">
      <c r="D1201" s="10" t="str">
        <f>Intv_BA!D1614</f>
        <v>Chair (ZM)</v>
      </c>
      <c r="F1201" s="375" t="s">
        <v>47</v>
      </c>
    </row>
    <row r="1202" spans="4:6" x14ac:dyDescent="0.2">
      <c r="D1202" s="10" t="str">
        <f>Intv_BA!D1615</f>
        <v>Cheetal forceps (UG)</v>
      </c>
      <c r="F1202" s="375" t="s">
        <v>47</v>
      </c>
    </row>
    <row r="1203" spans="4:6" x14ac:dyDescent="0.2">
      <c r="D1203" s="10" t="str">
        <f>Intv_BA!D1616</f>
        <v>Colposcope (set) (ZM)</v>
      </c>
      <c r="F1203" s="375" t="s">
        <v>47</v>
      </c>
    </row>
    <row r="1204" spans="4:6" x14ac:dyDescent="0.2">
      <c r="D1204" s="10" t="str">
        <f>Intv_BA!D1617</f>
        <v>Colposcope (UG)</v>
      </c>
      <c r="F1204" s="375" t="s">
        <v>47</v>
      </c>
    </row>
    <row r="1205" spans="4:6" s="47" customFormat="1" x14ac:dyDescent="0.2">
      <c r="D1205" s="289" t="str">
        <f>Intv_BA!D1618</f>
        <v>Colposcopy equipment (TZ)</v>
      </c>
      <c r="F1205" s="342" t="s">
        <v>47</v>
      </c>
    </row>
    <row r="1206" spans="4:6" s="47" customFormat="1" x14ac:dyDescent="0.2">
      <c r="D1206" s="289" t="str">
        <f>Intv_BA!D1619</f>
        <v>Cryotherapy unit (UG)</v>
      </c>
      <c r="F1206" s="342" t="s">
        <v>47</v>
      </c>
    </row>
    <row r="1207" spans="4:6" s="47" customFormat="1" x14ac:dyDescent="0.2">
      <c r="D1207" s="289" t="str">
        <f>Intv_BA!D1620</f>
        <v>Cryotherapy Unit with cryotips (set) (ZM)</v>
      </c>
      <c r="F1207" s="342" t="s">
        <v>47</v>
      </c>
    </row>
    <row r="1208" spans="4:6" s="47" customFormat="1" x14ac:dyDescent="0.2">
      <c r="D1208" s="289" t="str">
        <f>Intv_BA!D1621</f>
        <v>Cryotherapy Unit with cryotips (TZ)</v>
      </c>
      <c r="F1208" s="342" t="s">
        <v>47</v>
      </c>
    </row>
    <row r="1209" spans="4:6" s="47" customFormat="1" x14ac:dyDescent="0.2">
      <c r="D1209" s="289" t="str">
        <f>Intv_BA!D1622</f>
        <v>Digital Camera (ZM)</v>
      </c>
      <c r="F1209" s="342" t="s">
        <v>47</v>
      </c>
    </row>
    <row r="1210" spans="4:6" s="47" customFormat="1" x14ac:dyDescent="0.2">
      <c r="D1210" s="289" t="str">
        <f>Intv_BA!D1623</f>
        <v>Dissecting forceps – 12.5 cm  (TZ)</v>
      </c>
      <c r="F1210" s="342" t="s">
        <v>47</v>
      </c>
    </row>
    <row r="1211" spans="4:6" s="47" customFormat="1" x14ac:dyDescent="0.2">
      <c r="D1211" s="289" t="str">
        <f>Intv_BA!D1624</f>
        <v>Doctor's Stool (ZM)</v>
      </c>
      <c r="F1211" s="342" t="s">
        <v>47</v>
      </c>
    </row>
    <row r="1212" spans="4:6" s="47" customFormat="1" x14ac:dyDescent="0.2">
      <c r="D1212" s="289" t="str">
        <f>Intv_BA!D1625</f>
        <v>Endocervical speculum  (UG)</v>
      </c>
      <c r="F1212" s="342" t="s">
        <v>47</v>
      </c>
    </row>
    <row r="1213" spans="4:6" s="47" customFormat="1" x14ac:dyDescent="0.2">
      <c r="D1213" s="289" t="str">
        <f>Intv_BA!D1626</f>
        <v>Examination bed (UG)</v>
      </c>
      <c r="F1213" s="342" t="s">
        <v>47</v>
      </c>
    </row>
    <row r="1214" spans="4:6" s="47" customFormat="1" x14ac:dyDescent="0.2">
      <c r="D1214" s="289" t="str">
        <f>Intv_BA!D1627</f>
        <v>Examination couch (with Stirrups) (ZM)</v>
      </c>
      <c r="F1214" s="342" t="s">
        <v>47</v>
      </c>
    </row>
    <row r="1215" spans="4:6" s="47" customFormat="1" x14ac:dyDescent="0.2">
      <c r="D1215" s="289" t="str">
        <f>Intv_BA!D1628</f>
        <v>Examination light (Halogen, no bulb) (ZM)</v>
      </c>
      <c r="F1215" s="342" t="s">
        <v>47</v>
      </c>
    </row>
    <row r="1216" spans="4:6" s="322" customFormat="1" x14ac:dyDescent="0.2">
      <c r="D1216" s="374" t="str">
        <f>Intv_BA!D1629</f>
        <v>Examination light source  (TZ)</v>
      </c>
      <c r="F1216" s="342" t="s">
        <v>47</v>
      </c>
    </row>
    <row r="1217" spans="4:6" s="322" customFormat="1" x14ac:dyDescent="0.2">
      <c r="D1217" s="374" t="str">
        <f>Intv_BA!D1630</f>
        <v>Examination light source (Halogen) with bulb (set) (ZM)</v>
      </c>
      <c r="F1217" s="342" t="s">
        <v>47</v>
      </c>
    </row>
    <row r="1218" spans="4:6" s="322" customFormat="1" x14ac:dyDescent="0.2">
      <c r="D1218" s="374" t="str">
        <f>Intv_BA!D1631</f>
        <v>Examination table (UG)</v>
      </c>
      <c r="F1218" s="342" t="s">
        <v>47</v>
      </c>
    </row>
    <row r="1219" spans="4:6" s="322" customFormat="1" x14ac:dyDescent="0.2">
      <c r="D1219" s="374" t="str">
        <f>Intv_BA!D1632</f>
        <v>Filing Cabinet (ZM)</v>
      </c>
      <c r="F1219" s="342" t="s">
        <v>47</v>
      </c>
    </row>
    <row r="1220" spans="4:6" s="322" customFormat="1" x14ac:dyDescent="0.2">
      <c r="D1220" s="374" t="str">
        <f>Intv_BA!D1633</f>
        <v>Forceps (UG)</v>
      </c>
      <c r="F1220" s="342" t="s">
        <v>47</v>
      </c>
    </row>
    <row r="1221" spans="4:6" s="322" customFormat="1" x14ac:dyDescent="0.2">
      <c r="D1221" s="374" t="str">
        <f>Intv_BA!D1634</f>
        <v>Forceps Babcocks  (ZM)</v>
      </c>
      <c r="F1221" s="342" t="s">
        <v>47</v>
      </c>
    </row>
    <row r="1222" spans="4:6" s="322" customFormat="1" x14ac:dyDescent="0.2">
      <c r="D1222" s="374" t="str">
        <f>Intv_BA!D1635</f>
        <v>Forceps tissue - babcocks  (TZ)</v>
      </c>
      <c r="F1222" s="342" t="s">
        <v>47</v>
      </c>
    </row>
    <row r="1223" spans="4:6" s="322" customFormat="1" x14ac:dyDescent="0.2">
      <c r="D1223" s="374" t="str">
        <f>Intv_BA!D1636</f>
        <v>Forceps tissue - long  (TZ)</v>
      </c>
      <c r="F1223" s="342" t="s">
        <v>47</v>
      </c>
    </row>
    <row r="1224" spans="4:6" s="322" customFormat="1" x14ac:dyDescent="0.2">
      <c r="D1224" s="374" t="str">
        <f>Intv_BA!D1637</f>
        <v>Forceps tissue- litlewoods 19 cm  (TZ)</v>
      </c>
      <c r="F1224" s="342" t="s">
        <v>47</v>
      </c>
    </row>
    <row r="1225" spans="4:6" s="322" customFormat="1" x14ac:dyDescent="0.2">
      <c r="D1225" s="374" t="str">
        <f>Intv_BA!D1638</f>
        <v>Forceps, Cheetal (ZM)</v>
      </c>
      <c r="F1225" s="342" t="s">
        <v>47</v>
      </c>
    </row>
    <row r="1226" spans="4:6" s="322" customFormat="1" x14ac:dyDescent="0.2">
      <c r="D1226" s="374" t="str">
        <f>Intv_BA!D1639</f>
        <v>Forceps, Dissecting - 12.5 cm (ZM)</v>
      </c>
      <c r="F1226" s="342" t="s">
        <v>47</v>
      </c>
    </row>
    <row r="1227" spans="4:6" s="322" customFormat="1" x14ac:dyDescent="0.2">
      <c r="D1227" s="374" t="str">
        <f>Intv_BA!D1640</f>
        <v>Forceps, Littlewoods 19 cm (ZM)</v>
      </c>
      <c r="F1227" s="342" t="s">
        <v>47</v>
      </c>
    </row>
    <row r="1228" spans="4:6" s="322" customFormat="1" x14ac:dyDescent="0.2">
      <c r="D1228" s="374" t="str">
        <f>Intv_BA!D1641</f>
        <v>Forceps, Long  (ZM)</v>
      </c>
      <c r="F1228" s="342" t="s">
        <v>47</v>
      </c>
    </row>
    <row r="1229" spans="4:6" s="322" customFormat="1" x14ac:dyDescent="0.2">
      <c r="D1229" s="374" t="str">
        <f>Intv_BA!D1642</f>
        <v>Forceps, ovum (ZM)</v>
      </c>
      <c r="F1229" s="342" t="s">
        <v>47</v>
      </c>
    </row>
    <row r="1230" spans="4:6" s="322" customFormat="1" x14ac:dyDescent="0.2">
      <c r="D1230" s="374" t="str">
        <f>Intv_BA!D1643</f>
        <v>Forceps, ovum  (TZ)</v>
      </c>
      <c r="F1230" s="342" t="s">
        <v>47</v>
      </c>
    </row>
    <row r="1231" spans="4:6" s="322" customFormat="1" x14ac:dyDescent="0.2">
      <c r="D1231" s="374" t="str">
        <f>Intv_BA!D1644</f>
        <v>Forceps, Punch biopsy (ZM)</v>
      </c>
      <c r="F1231" s="342" t="s">
        <v>47</v>
      </c>
    </row>
    <row r="1232" spans="4:6" s="322" customFormat="1" x14ac:dyDescent="0.2">
      <c r="D1232" s="374" t="str">
        <f>Intv_BA!D1645</f>
        <v>Forceps, punch biopsy (TZ)</v>
      </c>
      <c r="F1232" s="342" t="s">
        <v>47</v>
      </c>
    </row>
    <row r="1233" spans="4:6" s="322" customFormat="1" x14ac:dyDescent="0.2">
      <c r="D1233" s="374" t="str">
        <f>Intv_BA!D1646</f>
        <v>Forceps, Sponge holder (ZM)</v>
      </c>
      <c r="F1233" s="342" t="s">
        <v>47</v>
      </c>
    </row>
    <row r="1234" spans="4:6" s="322" customFormat="1" x14ac:dyDescent="0.2">
      <c r="D1234" s="374" t="str">
        <f>Intv_BA!D1647</f>
        <v>Forceps, sponge holder  (TZ)</v>
      </c>
      <c r="F1234" s="342" t="s">
        <v>47</v>
      </c>
    </row>
    <row r="1235" spans="4:6" s="322" customFormat="1" x14ac:dyDescent="0.2">
      <c r="D1235" s="374" t="str">
        <f>Intv_BA!D1648</f>
        <v>Gallipot (ZM)</v>
      </c>
      <c r="F1235" s="342" t="s">
        <v>47</v>
      </c>
    </row>
    <row r="1236" spans="4:6" s="322" customFormat="1" x14ac:dyDescent="0.2">
      <c r="D1236" s="374" t="str">
        <f>Intv_BA!D1649</f>
        <v>Gallipot (UG)</v>
      </c>
      <c r="F1236" s="342" t="s">
        <v>47</v>
      </c>
    </row>
    <row r="1237" spans="4:6" s="322" customFormat="1" x14ac:dyDescent="0.2">
      <c r="D1237" s="374" t="str">
        <f>Intv_BA!D1650</f>
        <v>Gas cylinder adaptor (ZM)</v>
      </c>
      <c r="F1237" s="342" t="s">
        <v>47</v>
      </c>
    </row>
    <row r="1238" spans="4:6" s="322" customFormat="1" x14ac:dyDescent="0.2">
      <c r="D1238" s="374" t="str">
        <f>Intv_BA!D1651</f>
        <v>Gas cylinder adaptor  (TZ)</v>
      </c>
      <c r="F1238" s="342" t="s">
        <v>47</v>
      </c>
    </row>
    <row r="1239" spans="4:6" s="322" customFormat="1" x14ac:dyDescent="0.2">
      <c r="D1239" s="374" t="str">
        <f>Intv_BA!D1652</f>
        <v>Gynecological examination bed  (TZ)</v>
      </c>
      <c r="F1239" s="342" t="s">
        <v>47</v>
      </c>
    </row>
    <row r="1240" spans="4:6" s="322" customFormat="1" x14ac:dyDescent="0.2">
      <c r="D1240" s="374" t="str">
        <f>Intv_BA!D1653</f>
        <v>Halogen Bulbs (ZM)</v>
      </c>
      <c r="F1240" s="342" t="s">
        <v>47</v>
      </c>
    </row>
    <row r="1241" spans="4:6" s="322" customFormat="1" x14ac:dyDescent="0.2">
      <c r="D1241" s="374" t="str">
        <f>Intv_BA!D1654</f>
        <v>Hysterectomy Set (ZM)</v>
      </c>
      <c r="F1241" s="342" t="s">
        <v>47</v>
      </c>
    </row>
    <row r="1242" spans="4:6" s="322" customFormat="1" x14ac:dyDescent="0.2">
      <c r="D1242" s="374" t="str">
        <f>Intv_BA!D1655</f>
        <v>Instrument tray (ZM)</v>
      </c>
      <c r="F1242" s="342" t="s">
        <v>47</v>
      </c>
    </row>
    <row r="1243" spans="4:6" s="322" customFormat="1" x14ac:dyDescent="0.2">
      <c r="D1243" s="374" t="str">
        <f>Intv_BA!D1656</f>
        <v>Instrument tray  (TZ)</v>
      </c>
      <c r="F1243" s="342" t="s">
        <v>47</v>
      </c>
    </row>
    <row r="1244" spans="4:6" s="322" customFormat="1" x14ac:dyDescent="0.2">
      <c r="D1244" s="374" t="str">
        <f>Intv_BA!D1657</f>
        <v>Kidney Dish (ZM)</v>
      </c>
      <c r="F1244" s="342" t="s">
        <v>47</v>
      </c>
    </row>
    <row r="1245" spans="4:6" s="322" customFormat="1" x14ac:dyDescent="0.2">
      <c r="D1245" s="374" t="str">
        <f>Intv_BA!D1658</f>
        <v>Kidney Dish (UG)</v>
      </c>
      <c r="F1245" s="342" t="s">
        <v>47</v>
      </c>
    </row>
    <row r="1246" spans="4:6" s="322" customFormat="1" x14ac:dyDescent="0.2">
      <c r="D1246" s="374" t="str">
        <f>Intv_BA!D1659</f>
        <v>Lamp (UG)</v>
      </c>
      <c r="F1246" s="342" t="s">
        <v>47</v>
      </c>
    </row>
    <row r="1247" spans="4:6" s="322" customFormat="1" x14ac:dyDescent="0.2">
      <c r="D1247" s="374" t="str">
        <f>Intv_BA!D1660</f>
        <v>Laptop / Desktop Computer (ZM)</v>
      </c>
      <c r="F1247" s="342" t="s">
        <v>47</v>
      </c>
    </row>
    <row r="1248" spans="4:6" s="322" customFormat="1" x14ac:dyDescent="0.2">
      <c r="D1248" s="374" t="str">
        <f>Intv_BA!D1661</f>
        <v>LEEP Equipment  (TZ)</v>
      </c>
      <c r="F1248" s="342" t="s">
        <v>47</v>
      </c>
    </row>
    <row r="1249" spans="4:6" s="322" customFormat="1" x14ac:dyDescent="0.2">
      <c r="D1249" s="374" t="str">
        <f>Intv_BA!D1662</f>
        <v>LEEP machine plus smoke evacuator system plus accessories (ZM)</v>
      </c>
      <c r="F1249" s="342" t="s">
        <v>47</v>
      </c>
    </row>
    <row r="1250" spans="4:6" s="322" customFormat="1" x14ac:dyDescent="0.2">
      <c r="D1250" s="374" t="str">
        <f>Intv_BA!D1663</f>
        <v>LEEP machine  with coated speculums (UG)</v>
      </c>
      <c r="F1250" s="342" t="s">
        <v>47</v>
      </c>
    </row>
    <row r="1251" spans="4:6" s="322" customFormat="1" x14ac:dyDescent="0.2">
      <c r="D1251" s="374" t="str">
        <f>Intv_BA!D1664</f>
        <v>Lensmate SX 40 Filter Adapter 58mm (ZM)</v>
      </c>
      <c r="F1251" s="342" t="s">
        <v>47</v>
      </c>
    </row>
    <row r="1252" spans="4:6" s="322" customFormat="1" x14ac:dyDescent="0.2">
      <c r="D1252" s="374" t="str">
        <f>Intv_BA!D1665</f>
        <v>Loop Electrodes - 5 mm x 5mm (Ellman) (ZM)</v>
      </c>
      <c r="F1252" s="342" t="s">
        <v>47</v>
      </c>
    </row>
    <row r="1253" spans="4:6" s="322" customFormat="1" x14ac:dyDescent="0.2">
      <c r="D1253" s="374" t="str">
        <f>Intv_BA!D1666</f>
        <v>Loop Electrodes - 10 mm x 10mm (Ellman) (ZM)</v>
      </c>
      <c r="F1253" s="342" t="s">
        <v>47</v>
      </c>
    </row>
    <row r="1254" spans="4:6" s="322" customFormat="1" x14ac:dyDescent="0.2">
      <c r="D1254" s="374" t="str">
        <f>Intv_BA!D1667</f>
        <v>Loop Electrodes - 20 mm x 8mm (Ellman) (ZM)</v>
      </c>
      <c r="F1254" s="342" t="s">
        <v>47</v>
      </c>
    </row>
    <row r="1255" spans="4:6" s="322" customFormat="1" x14ac:dyDescent="0.2">
      <c r="D1255" s="374" t="str">
        <f>Intv_BA!D1668</f>
        <v>Loop Electrodes - 20 mm x 15mm (Ellman) (ZM)</v>
      </c>
      <c r="F1255" s="342" t="s">
        <v>47</v>
      </c>
    </row>
    <row r="1256" spans="4:6" s="322" customFormat="1" x14ac:dyDescent="0.2">
      <c r="D1256" s="374" t="str">
        <f>Intv_BA!D1669</f>
        <v>Mackintosh (Plastic sheet for exam couch) (ZM)</v>
      </c>
      <c r="F1256" s="342" t="s">
        <v>47</v>
      </c>
    </row>
    <row r="1257" spans="4:6" s="322" customFormat="1" x14ac:dyDescent="0.2">
      <c r="D1257" s="374" t="str">
        <f>Intv_BA!D1670</f>
        <v>Magnification Lens (ZM)</v>
      </c>
      <c r="F1257" s="342" t="s">
        <v>47</v>
      </c>
    </row>
    <row r="1258" spans="4:6" s="322" customFormat="1" x14ac:dyDescent="0.2">
      <c r="D1258" s="374" t="str">
        <f>Intv_BA!D1671</f>
        <v>Medical Rubber Mackintosh Sheet (ZM)</v>
      </c>
      <c r="F1258" s="342" t="s">
        <v>47</v>
      </c>
    </row>
    <row r="1259" spans="4:6" s="322" customFormat="1" x14ac:dyDescent="0.2">
      <c r="D1259" s="374" t="str">
        <f>Intv_BA!D1672</f>
        <v>Medical Rubber Mackintosh Sheet   (TZ)</v>
      </c>
      <c r="F1259" s="342" t="s">
        <v>47</v>
      </c>
    </row>
    <row r="1260" spans="4:6" s="322" customFormat="1" x14ac:dyDescent="0.2">
      <c r="D1260" s="374" t="str">
        <f>Intv_BA!D1673</f>
        <v>Memory Card (ZM)</v>
      </c>
      <c r="F1260" s="342" t="s">
        <v>47</v>
      </c>
    </row>
    <row r="1261" spans="4:6" s="322" customFormat="1" x14ac:dyDescent="0.2">
      <c r="D1261" s="374" t="str">
        <f>Intv_BA!D1674</f>
        <v>Multi-Tip Cryo-Probe System with British adapter for NO2 includes gun, regulator, hose(2/3Tips included) (set) (ZM)</v>
      </c>
      <c r="F1261" s="342" t="s">
        <v>47</v>
      </c>
    </row>
    <row r="1262" spans="4:6" s="322" customFormat="1" x14ac:dyDescent="0.2">
      <c r="D1262" s="374" t="str">
        <f>Intv_BA!D1675</f>
        <v>Non-conducting speculum  Pederson  (ZM)</v>
      </c>
      <c r="F1262" s="342" t="s">
        <v>47</v>
      </c>
    </row>
    <row r="1263" spans="4:6" s="322" customFormat="1" x14ac:dyDescent="0.2">
      <c r="D1263" s="374" t="str">
        <f>Intv_BA!D1676</f>
        <v>Non-conducting speculum (UG)</v>
      </c>
      <c r="F1263" s="342" t="s">
        <v>47</v>
      </c>
    </row>
    <row r="1264" spans="4:6" s="322" customFormat="1" x14ac:dyDescent="0.2">
      <c r="D1264" s="374" t="str">
        <f>Intv_BA!D1677</f>
        <v>Nurses Table (ZM)</v>
      </c>
      <c r="F1264" s="342" t="s">
        <v>47</v>
      </c>
    </row>
    <row r="1265" spans="4:6" s="322" customFormat="1" x14ac:dyDescent="0.2">
      <c r="D1265" s="374" t="str">
        <f>Intv_BA!D1678</f>
        <v>Pillow (ZM)</v>
      </c>
      <c r="F1265" s="342" t="s">
        <v>47</v>
      </c>
    </row>
    <row r="1266" spans="4:6" s="322" customFormat="1" x14ac:dyDescent="0.2">
      <c r="D1266" s="374" t="str">
        <f>Intv_BA!D1679</f>
        <v>Plastic apron (ZM)</v>
      </c>
      <c r="F1266" s="342" t="s">
        <v>47</v>
      </c>
    </row>
    <row r="1267" spans="4:6" s="322" customFormat="1" x14ac:dyDescent="0.2">
      <c r="D1267" s="374" t="str">
        <f>Intv_BA!D1680</f>
        <v>Plastic apron  (TZ)</v>
      </c>
      <c r="F1267" s="342" t="s">
        <v>47</v>
      </c>
    </row>
    <row r="1268" spans="4:6" s="322" customFormat="1" x14ac:dyDescent="0.2">
      <c r="D1268" s="374" t="str">
        <f>Intv_BA!D1681</f>
        <v>Privacy screen (portable) (ZM)</v>
      </c>
      <c r="F1268" s="342" t="s">
        <v>47</v>
      </c>
    </row>
    <row r="1269" spans="4:6" s="322" customFormat="1" x14ac:dyDescent="0.2">
      <c r="D1269" s="374" t="str">
        <f>Intv_BA!D1682</f>
        <v>Privacy screen (portable) (TZ)</v>
      </c>
      <c r="F1269" s="342" t="s">
        <v>47</v>
      </c>
    </row>
    <row r="1270" spans="4:6" s="322" customFormat="1" x14ac:dyDescent="0.2">
      <c r="D1270" s="374" t="str">
        <f>Intv_BA!D1683</f>
        <v>Punch Biopsy Forceps  Titanium 10" (ZM)</v>
      </c>
      <c r="F1270" s="342" t="s">
        <v>47</v>
      </c>
    </row>
    <row r="1271" spans="4:6" s="322" customFormat="1" x14ac:dyDescent="0.2">
      <c r="D1271" s="374" t="str">
        <f>Intv_BA!D1684</f>
        <v>Punch Biopsy Forceps (UG)</v>
      </c>
      <c r="F1271" s="342" t="s">
        <v>47</v>
      </c>
    </row>
    <row r="1272" spans="4:6" s="322" customFormat="1" x14ac:dyDescent="0.2">
      <c r="D1272" s="374" t="str">
        <f>Intv_BA!D1685</f>
        <v>Radiotherapy Machine - intra-cavity ( internal)  (TZ)</v>
      </c>
      <c r="F1272" s="342" t="s">
        <v>47</v>
      </c>
    </row>
    <row r="1273" spans="4:6" s="322" customFormat="1" x14ac:dyDescent="0.2">
      <c r="D1273" s="374" t="str">
        <f>Intv_BA!D1686</f>
        <v>Radiotherapy Machine - teletherapy (external) Cobalt-60  (TZ)</v>
      </c>
      <c r="F1273" s="342" t="s">
        <v>47</v>
      </c>
    </row>
    <row r="1274" spans="4:6" s="322" customFormat="1" x14ac:dyDescent="0.2">
      <c r="D1274" s="374" t="str">
        <f>Intv_BA!D1687</f>
        <v>Radiotherapy Treatment Couch  (TZ)</v>
      </c>
      <c r="F1274" s="342" t="s">
        <v>47</v>
      </c>
    </row>
    <row r="1275" spans="4:6" s="322" customFormat="1" x14ac:dyDescent="0.2">
      <c r="D1275" s="374" t="str">
        <f>Intv_BA!D1688</f>
        <v>Registration book, patient  (TZ)</v>
      </c>
      <c r="F1275" s="342" t="s">
        <v>47</v>
      </c>
    </row>
    <row r="1276" spans="4:6" s="322" customFormat="1" x14ac:dyDescent="0.2">
      <c r="D1276" s="374" t="str">
        <f>Intv_BA!D1689</f>
        <v>Retractor 3.5" Coated Lateral Wall (ZM)</v>
      </c>
      <c r="F1276" s="342" t="s">
        <v>47</v>
      </c>
    </row>
    <row r="1277" spans="4:6" s="322" customFormat="1" x14ac:dyDescent="0.2">
      <c r="D1277" s="374" t="str">
        <f>Intv_BA!D1690</f>
        <v>Smoke evacuator (UG)</v>
      </c>
      <c r="F1277" s="342" t="s">
        <v>47</v>
      </c>
    </row>
    <row r="1278" spans="4:6" s="322" customFormat="1" x14ac:dyDescent="0.2">
      <c r="D1278" s="374" t="str">
        <f>Intv_BA!D1691</f>
        <v>Specimen Tube rack  (TZ)</v>
      </c>
      <c r="F1278" s="342" t="s">
        <v>47</v>
      </c>
    </row>
    <row r="1279" spans="4:6" s="322" customFormat="1" x14ac:dyDescent="0.2">
      <c r="D1279" s="374" t="str">
        <f>Intv_BA!D1692</f>
        <v>Speculum  (TZ)</v>
      </c>
      <c r="F1279" s="342" t="s">
        <v>47</v>
      </c>
    </row>
    <row r="1280" spans="4:6" s="322" customFormat="1" x14ac:dyDescent="0.2">
      <c r="D1280" s="374" t="str">
        <f>Intv_BA!D1693</f>
        <v>Speculum (reusable) (UG)</v>
      </c>
      <c r="F1280" s="342" t="s">
        <v>47</v>
      </c>
    </row>
    <row r="1281" spans="4:6" s="322" customFormat="1" x14ac:dyDescent="0.2">
      <c r="D1281" s="374" t="str">
        <f>Intv_BA!D1694</f>
        <v>Speculum (UG)</v>
      </c>
      <c r="F1281" s="342" t="s">
        <v>47</v>
      </c>
    </row>
    <row r="1282" spans="4:6" s="322" customFormat="1" x14ac:dyDescent="0.2">
      <c r="D1282" s="374" t="str">
        <f>Intv_BA!D1695</f>
        <v>Speculum Graves' large  (ZM)</v>
      </c>
      <c r="F1282" s="342" t="s">
        <v>47</v>
      </c>
    </row>
    <row r="1283" spans="4:6" s="322" customFormat="1" x14ac:dyDescent="0.2">
      <c r="D1283" s="374" t="str">
        <f>Intv_BA!D1696</f>
        <v>Speculum Graves' Medium (ZM)</v>
      </c>
      <c r="F1283" s="342" t="s">
        <v>47</v>
      </c>
    </row>
    <row r="1284" spans="4:6" s="322" customFormat="1" x14ac:dyDescent="0.2">
      <c r="D1284" s="374" t="str">
        <f>Intv_BA!D1697</f>
        <v>Speculum  Graves'  Small (ZM)</v>
      </c>
      <c r="F1284" s="342" t="s">
        <v>47</v>
      </c>
    </row>
    <row r="1285" spans="4:6" s="322" customFormat="1" x14ac:dyDescent="0.2">
      <c r="D1285" s="374" t="str">
        <f>Intv_BA!D1698</f>
        <v>Speculum, endocervical (ZM)</v>
      </c>
      <c r="F1285" s="342" t="s">
        <v>47</v>
      </c>
    </row>
    <row r="1286" spans="4:6" s="322" customFormat="1" x14ac:dyDescent="0.2">
      <c r="D1286" s="374" t="str">
        <f>Intv_BA!D1699</f>
        <v>Sponge holding forceps (UG)</v>
      </c>
      <c r="F1286" s="342" t="s">
        <v>47</v>
      </c>
    </row>
    <row r="1287" spans="4:6" s="322" customFormat="1" x14ac:dyDescent="0.2">
      <c r="D1287" s="374" t="str">
        <f>Intv_BA!D1700</f>
        <v>Steel trolley (Two/three shelves) (ZM)</v>
      </c>
      <c r="F1287" s="342" t="s">
        <v>47</v>
      </c>
    </row>
    <row r="1288" spans="4:6" s="322" customFormat="1" x14ac:dyDescent="0.2">
      <c r="D1288" s="374" t="str">
        <f>Intv_BA!D1701</f>
        <v>Step-on stool (ZM)</v>
      </c>
      <c r="F1288" s="342" t="s">
        <v>47</v>
      </c>
    </row>
    <row r="1289" spans="4:6" s="322" customFormat="1" x14ac:dyDescent="0.2">
      <c r="D1289" s="374" t="str">
        <f>Intv_BA!D1702</f>
        <v>Sterilising Drum (ZM)</v>
      </c>
      <c r="F1289" s="342" t="s">
        <v>47</v>
      </c>
    </row>
    <row r="1290" spans="4:6" s="322" customFormat="1" x14ac:dyDescent="0.2">
      <c r="D1290" s="374" t="str">
        <f>Intv_BA!D1703</f>
        <v>Sterilizer (UG)</v>
      </c>
      <c r="F1290" s="342" t="s">
        <v>47</v>
      </c>
    </row>
    <row r="1291" spans="4:6" s="322" customFormat="1" x14ac:dyDescent="0.2">
      <c r="D1291" s="374" t="str">
        <f>Intv_BA!D1704</f>
        <v>Television set (ZM)</v>
      </c>
      <c r="F1291" s="342" t="s">
        <v>47</v>
      </c>
    </row>
    <row r="1292" spans="4:6" s="322" customFormat="1" x14ac:dyDescent="0.2">
      <c r="D1292" s="374" t="str">
        <f>Intv_BA!D1705</f>
        <v>Timer / wall clock (UG)</v>
      </c>
      <c r="F1292" s="342" t="s">
        <v>47</v>
      </c>
    </row>
    <row r="1293" spans="4:6" s="322" customFormat="1" x14ac:dyDescent="0.2">
      <c r="D1293" s="374" t="str">
        <f>Intv_BA!D1706</f>
        <v>Torch (UG)</v>
      </c>
      <c r="F1293" s="342" t="s">
        <v>47</v>
      </c>
    </row>
    <row r="1294" spans="4:6" s="322" customFormat="1" x14ac:dyDescent="0.2">
      <c r="D1294" s="374" t="str">
        <f>Intv_BA!D1707</f>
        <v>Uterine Cervical Dilator (ZM)</v>
      </c>
      <c r="F1294" s="342" t="s">
        <v>47</v>
      </c>
    </row>
    <row r="1295" spans="4:6" s="322" customFormat="1" x14ac:dyDescent="0.2">
      <c r="D1295" s="374" t="str">
        <f>Intv_BA!D1708</f>
        <v>Uterine Cervical Dilator  (TZ)</v>
      </c>
      <c r="F1295" s="342" t="s">
        <v>47</v>
      </c>
    </row>
    <row r="1296" spans="4:6" s="322" customFormat="1" x14ac:dyDescent="0.2">
      <c r="D1296" s="374" t="str">
        <f>Intv_BA!D1709</f>
        <v>Uterine Probe (ZM)</v>
      </c>
      <c r="F1296" s="342" t="s">
        <v>47</v>
      </c>
    </row>
    <row r="1297" spans="3:6" s="322" customFormat="1" x14ac:dyDescent="0.2">
      <c r="D1297" s="374" t="str">
        <f>Intv_BA!D1710</f>
        <v>Uterine Probe  (TZ)</v>
      </c>
      <c r="F1297" s="342" t="s">
        <v>47</v>
      </c>
    </row>
    <row r="1298" spans="3:6" s="322" customFormat="1" x14ac:dyDescent="0.2">
      <c r="D1298" s="374" t="str">
        <f>Intv_BA!D1711</f>
        <v>Equipment Category 113</v>
      </c>
      <c r="F1298" s="342" t="s">
        <v>47</v>
      </c>
    </row>
    <row r="1299" spans="3:6" s="322" customFormat="1" x14ac:dyDescent="0.2">
      <c r="D1299" s="374" t="str">
        <f>Intv_BA!D1712</f>
        <v>Equipment Category 114</v>
      </c>
      <c r="F1299" s="342" t="s">
        <v>47</v>
      </c>
    </row>
    <row r="1300" spans="3:6" s="322" customFormat="1" x14ac:dyDescent="0.2">
      <c r="D1300" s="374" t="str">
        <f>Intv_BA!D1713</f>
        <v>Equipment Category 115</v>
      </c>
      <c r="F1300" s="342" t="s">
        <v>47</v>
      </c>
    </row>
    <row r="1301" spans="3:6" s="322" customFormat="1" x14ac:dyDescent="0.2">
      <c r="D1301" s="374" t="str">
        <f>Intv_BA!D1714</f>
        <v>Equipment Category 116</v>
      </c>
      <c r="F1301" s="342" t="s">
        <v>47</v>
      </c>
    </row>
    <row r="1302" spans="3:6" s="322" customFormat="1" x14ac:dyDescent="0.2">
      <c r="D1302" s="374" t="str">
        <f>Intv_BA!D1715</f>
        <v>Equipment Category 117</v>
      </c>
      <c r="F1302" s="342" t="s">
        <v>47</v>
      </c>
    </row>
    <row r="1303" spans="3:6" s="322" customFormat="1" x14ac:dyDescent="0.2">
      <c r="D1303" s="374" t="str">
        <f>Intv_BA!D1716</f>
        <v>Equipment Category 118</v>
      </c>
      <c r="F1303" s="342" t="s">
        <v>47</v>
      </c>
    </row>
    <row r="1304" spans="3:6" s="322" customFormat="1" x14ac:dyDescent="0.2">
      <c r="D1304" s="374" t="str">
        <f>Intv_BA!D1717</f>
        <v>Equipment Category 119</v>
      </c>
      <c r="F1304" s="342" t="s">
        <v>47</v>
      </c>
    </row>
    <row r="1305" spans="3:6" s="322" customFormat="1" x14ac:dyDescent="0.2">
      <c r="D1305" s="374" t="str">
        <f>Intv_BA!D1718</f>
        <v>Equipment Category 120</v>
      </c>
      <c r="F1305" s="342" t="s">
        <v>47</v>
      </c>
    </row>
    <row r="1306" spans="3:6" s="322" customFormat="1" x14ac:dyDescent="0.2">
      <c r="D1306" s="374" t="str">
        <f>Intv_BA!D1719</f>
        <v>Equipment Category 121</v>
      </c>
      <c r="F1306" s="342" t="s">
        <v>47</v>
      </c>
    </row>
    <row r="1307" spans="3:6" s="322" customFormat="1" x14ac:dyDescent="0.2">
      <c r="D1307" s="374" t="str">
        <f>Intv_BA!D1720</f>
        <v>Equipment Category 122</v>
      </c>
      <c r="F1307" s="342" t="s">
        <v>47</v>
      </c>
    </row>
    <row r="1308" spans="3:6" s="322" customFormat="1" x14ac:dyDescent="0.2">
      <c r="D1308" s="374" t="str">
        <f>Intv_BA!D1721</f>
        <v>Equipment Category 123</v>
      </c>
      <c r="F1308" s="342" t="s">
        <v>47</v>
      </c>
    </row>
    <row r="1310" spans="3:6" ht="15.75" x14ac:dyDescent="0.2">
      <c r="C1310" s="19" t="s">
        <v>186</v>
      </c>
      <c r="F1310" s="19" t="s">
        <v>32</v>
      </c>
    </row>
    <row r="1312" spans="3:6" x14ac:dyDescent="0.2">
      <c r="D1312" s="20" t="s">
        <v>186</v>
      </c>
      <c r="F1312" s="492" t="s">
        <v>374</v>
      </c>
    </row>
    <row r="1313" spans="4:6" s="47" customFormat="1" x14ac:dyDescent="0.2">
      <c r="D1313" s="289" t="str">
        <f>Intv_BA!D1724</f>
        <v>_Not Applicable</v>
      </c>
      <c r="F1313" s="342" t="s">
        <v>47</v>
      </c>
    </row>
    <row r="1314" spans="4:6" s="47" customFormat="1" x14ac:dyDescent="0.2">
      <c r="D1314" s="289" t="str">
        <f>Intv_BA!D1725</f>
        <v>Biopsy Pathology (ZM)</v>
      </c>
      <c r="F1314" s="342" t="s">
        <v>47</v>
      </c>
    </row>
    <row r="1315" spans="4:6" s="47" customFormat="1" x14ac:dyDescent="0.2">
      <c r="D1315" s="289" t="str">
        <f>Intv_BA!D1726</f>
        <v>Blood chemistry (TZ)</v>
      </c>
      <c r="F1315" s="342" t="s">
        <v>47</v>
      </c>
    </row>
    <row r="1316" spans="4:6" s="47" customFormat="1" x14ac:dyDescent="0.2">
      <c r="D1316" s="289" t="str">
        <f>Intv_BA!D1727</f>
        <v>Blood slide for malaria (TZ)</v>
      </c>
      <c r="F1316" s="342" t="s">
        <v>47</v>
      </c>
    </row>
    <row r="1317" spans="4:6" s="47" customFormat="1" x14ac:dyDescent="0.2">
      <c r="D1317" s="289" t="str">
        <f>Intv_BA!D1728</f>
        <v>CareHPV test (TZ)</v>
      </c>
      <c r="F1317" s="342" t="s">
        <v>47</v>
      </c>
    </row>
    <row r="1318" spans="4:6" s="47" customFormat="1" x14ac:dyDescent="0.2">
      <c r="D1318" s="289" t="str">
        <f>Intv_BA!D1729</f>
        <v>Chest X-ray (ZM)</v>
      </c>
      <c r="F1318" s="342" t="s">
        <v>47</v>
      </c>
    </row>
    <row r="1319" spans="4:6" s="47" customFormat="1" x14ac:dyDescent="0.2">
      <c r="D1319" s="289" t="str">
        <f>Intv_BA!D1730</f>
        <v>Chest x-ray (TZ)</v>
      </c>
      <c r="F1319" s="342" t="s">
        <v>47</v>
      </c>
    </row>
    <row r="1320" spans="4:6" s="47" customFormat="1" x14ac:dyDescent="0.2">
      <c r="D1320" s="289" t="str">
        <f>Intv_BA!D1731</f>
        <v>Full Blood Count (ZM)</v>
      </c>
      <c r="F1320" s="342" t="s">
        <v>47</v>
      </c>
    </row>
    <row r="1321" spans="4:6" s="47" customFormat="1" x14ac:dyDescent="0.2">
      <c r="D1321" s="289" t="str">
        <f>Intv_BA!D1732</f>
        <v>Full blood picture (TZ)</v>
      </c>
      <c r="F1321" s="342" t="s">
        <v>47</v>
      </c>
    </row>
    <row r="1322" spans="4:6" s="322" customFormat="1" x14ac:dyDescent="0.2">
      <c r="D1322" s="374" t="str">
        <f>Intv_BA!D1733</f>
        <v>Grouping, X matching (TZ)</v>
      </c>
      <c r="F1322" s="342" t="s">
        <v>47</v>
      </c>
    </row>
    <row r="1323" spans="4:6" s="322" customFormat="1" x14ac:dyDescent="0.2">
      <c r="D1323" s="374" t="str">
        <f>Intv_BA!D1734</f>
        <v>Haemoglobin (TZ)</v>
      </c>
      <c r="F1323" s="342" t="s">
        <v>47</v>
      </c>
    </row>
    <row r="1324" spans="4:6" s="322" customFormat="1" x14ac:dyDescent="0.2">
      <c r="D1324" s="374" t="str">
        <f>Intv_BA!D1735</f>
        <v>Histopathology (TZ)</v>
      </c>
      <c r="F1324" s="342" t="s">
        <v>47</v>
      </c>
    </row>
    <row r="1325" spans="4:6" s="322" customFormat="1" x14ac:dyDescent="0.2">
      <c r="D1325" s="374" t="str">
        <f>Intv_BA!D1736</f>
        <v>Home Care (Day) (TZ)</v>
      </c>
      <c r="F1325" s="342" t="s">
        <v>47</v>
      </c>
    </row>
    <row r="1326" spans="4:6" s="322" customFormat="1" x14ac:dyDescent="0.2">
      <c r="D1326" s="374" t="str">
        <f>Intv_BA!D1737</f>
        <v>Hospital Stay (Bed Day) (TZ)</v>
      </c>
      <c r="F1326" s="342" t="s">
        <v>47</v>
      </c>
    </row>
    <row r="1327" spans="4:6" s="322" customFormat="1" x14ac:dyDescent="0.2">
      <c r="D1327" s="374" t="str">
        <f>Intv_BA!D1738</f>
        <v>Hysterectomy Pathology (ZM)</v>
      </c>
      <c r="F1327" s="342" t="s">
        <v>47</v>
      </c>
    </row>
    <row r="1328" spans="4:6" s="322" customFormat="1" x14ac:dyDescent="0.2">
      <c r="D1328" s="374" t="str">
        <f>Intv_BA!D1739</f>
        <v>LEEP Pathology (ZM)</v>
      </c>
      <c r="F1328" s="342" t="s">
        <v>47</v>
      </c>
    </row>
    <row r="1329" spans="4:6" s="322" customFormat="1" x14ac:dyDescent="0.2">
      <c r="D1329" s="374" t="str">
        <f>Intv_BA!D1740</f>
        <v>Liver Function (ZM)</v>
      </c>
      <c r="F1329" s="342" t="s">
        <v>47</v>
      </c>
    </row>
    <row r="1330" spans="4:6" s="322" customFormat="1" x14ac:dyDescent="0.2">
      <c r="D1330" s="374" t="str">
        <f>Intv_BA!D1741</f>
        <v>Planning x-ray (TZ)</v>
      </c>
      <c r="F1330" s="342" t="s">
        <v>47</v>
      </c>
    </row>
    <row r="1331" spans="4:6" s="322" customFormat="1" x14ac:dyDescent="0.2">
      <c r="D1331" s="374" t="str">
        <f>Intv_BA!D1742</f>
        <v>Renal Function (ZM)</v>
      </c>
      <c r="F1331" s="342" t="s">
        <v>47</v>
      </c>
    </row>
    <row r="1332" spans="4:6" s="322" customFormat="1" x14ac:dyDescent="0.2">
      <c r="D1332" s="374" t="str">
        <f>Intv_BA!D1743</f>
        <v>Ultrasound (ZM)</v>
      </c>
      <c r="F1332" s="342" t="s">
        <v>47</v>
      </c>
    </row>
    <row r="1333" spans="4:6" s="322" customFormat="1" x14ac:dyDescent="0.2">
      <c r="D1333" s="374" t="str">
        <f>Intv_BA!D1744</f>
        <v>ultrasound (abdominal &amp; pelvic) (TZ)</v>
      </c>
      <c r="F1333" s="342" t="s">
        <v>47</v>
      </c>
    </row>
    <row r="1334" spans="4:6" s="322" customFormat="1" x14ac:dyDescent="0.2">
      <c r="D1334" s="374" t="str">
        <f>Intv_BA!D1745</f>
        <v>Urine/stool test (TZ)</v>
      </c>
      <c r="F1334" s="342" t="s">
        <v>47</v>
      </c>
    </row>
    <row r="1335" spans="4:6" s="322" customFormat="1" x14ac:dyDescent="0.2">
      <c r="D1335" s="374" t="str">
        <f>Intv_BA!D1746</f>
        <v>Lab Tests &amp; Other Direct Costs Category 23</v>
      </c>
      <c r="F1335" s="342" t="s">
        <v>47</v>
      </c>
    </row>
    <row r="1336" spans="4:6" s="47" customFormat="1" x14ac:dyDescent="0.2">
      <c r="D1336" s="289" t="str">
        <f>Intv_BA!D1747</f>
        <v>Lab Tests &amp; Other Direct Costs Category 24</v>
      </c>
      <c r="F1336" s="342" t="s">
        <v>47</v>
      </c>
    </row>
    <row r="1337" spans="4:6" s="47" customFormat="1" x14ac:dyDescent="0.2">
      <c r="D1337" s="289" t="str">
        <f>Intv_BA!D1748</f>
        <v>Lab Tests &amp; Other Direct Costs Category 25</v>
      </c>
      <c r="F1337" s="342" t="s">
        <v>47</v>
      </c>
    </row>
    <row r="1338" spans="4:6" s="47" customFormat="1" x14ac:dyDescent="0.2">
      <c r="D1338" s="289" t="str">
        <f>Intv_BA!D1749</f>
        <v>Lab Tests &amp; Other Direct Costs Category 26</v>
      </c>
      <c r="F1338" s="342" t="s">
        <v>47</v>
      </c>
    </row>
    <row r="1339" spans="4:6" s="47" customFormat="1" x14ac:dyDescent="0.2">
      <c r="D1339" s="289" t="str">
        <f>Intv_BA!D1750</f>
        <v>Lab Tests &amp; Other Direct Costs Category 27</v>
      </c>
      <c r="F1339" s="342" t="s">
        <v>47</v>
      </c>
    </row>
    <row r="1340" spans="4:6" s="322" customFormat="1" x14ac:dyDescent="0.2">
      <c r="D1340" s="374" t="str">
        <f>Intv_BA!D1751</f>
        <v>Lab Tests &amp; Other Direct Costs Category 28</v>
      </c>
      <c r="F1340" s="342" t="s">
        <v>47</v>
      </c>
    </row>
    <row r="1341" spans="4:6" s="322" customFormat="1" x14ac:dyDescent="0.2">
      <c r="D1341" s="374" t="str">
        <f>Intv_BA!D1752</f>
        <v>Lab Tests &amp; Other Direct Costs Category 29</v>
      </c>
      <c r="F1341" s="342" t="s">
        <v>47</v>
      </c>
    </row>
    <row r="1342" spans="4:6" s="322" customFormat="1" x14ac:dyDescent="0.2">
      <c r="D1342" s="374" t="str">
        <f>Intv_BA!D1753</f>
        <v>Lab Tests &amp; Other Direct Costs Category 30</v>
      </c>
      <c r="F1342" s="342" t="s">
        <v>47</v>
      </c>
    </row>
    <row r="1343" spans="4:6" s="322" customFormat="1" x14ac:dyDescent="0.2">
      <c r="D1343" s="374" t="str">
        <f>Intv_BA!D1754</f>
        <v>Lab Tests &amp; Other Direct Costs Category 31</v>
      </c>
      <c r="F1343" s="342" t="s">
        <v>47</v>
      </c>
    </row>
    <row r="1344" spans="4:6" s="322" customFormat="1" x14ac:dyDescent="0.2">
      <c r="D1344" s="374" t="str">
        <f>Intv_BA!D1755</f>
        <v>Lab Tests &amp; Other Direct Costs Category 32</v>
      </c>
      <c r="F1344" s="342" t="s">
        <v>47</v>
      </c>
    </row>
    <row r="1345" spans="2:6" s="322" customFormat="1" x14ac:dyDescent="0.2">
      <c r="D1345" s="374" t="str">
        <f>Intv_BA!D1756</f>
        <v>Last ODC Row</v>
      </c>
      <c r="F1345" s="342" t="s">
        <v>47</v>
      </c>
    </row>
    <row r="1348" spans="2:6" ht="18.75" x14ac:dyDescent="0.2">
      <c r="B1348" s="426" t="s">
        <v>187</v>
      </c>
    </row>
    <row r="1350" spans="2:6" ht="15.75" x14ac:dyDescent="0.2">
      <c r="C1350" s="19" t="s">
        <v>81</v>
      </c>
      <c r="F1350" s="19" t="s">
        <v>32</v>
      </c>
    </row>
    <row r="1352" spans="2:6" x14ac:dyDescent="0.2">
      <c r="D1352" s="20" t="s">
        <v>81</v>
      </c>
      <c r="F1352" s="438" t="s">
        <v>203</v>
      </c>
    </row>
    <row r="1353" spans="2:6" x14ac:dyDescent="0.2">
      <c r="D1353" s="21" t="str">
        <f>IF(ROWS(D$1353:D1353)=1,"N/A",ROWS(D$1353:D1353)-1)</f>
        <v>N/A</v>
      </c>
      <c r="F1353" s="375" t="s">
        <v>47</v>
      </c>
    </row>
    <row r="1354" spans="2:6" x14ac:dyDescent="0.2">
      <c r="D1354" s="21">
        <f>IF(ROWS(D$1353:D1354)=1,"N/A",ROWS(D$1353:D1354)-1)</f>
        <v>1</v>
      </c>
      <c r="F1354" s="375" t="s">
        <v>47</v>
      </c>
    </row>
    <row r="1355" spans="2:6" x14ac:dyDescent="0.2">
      <c r="D1355" s="21">
        <f>IF(ROWS(D$1353:D1355)=1,"N/A",ROWS(D$1353:D1355)-1)</f>
        <v>2</v>
      </c>
      <c r="F1355" s="375" t="s">
        <v>47</v>
      </c>
    </row>
    <row r="1356" spans="2:6" x14ac:dyDescent="0.2">
      <c r="D1356" s="21">
        <f>IF(ROWS(D$1353:D1356)=1,"N/A",ROWS(D$1353:D1356)-1)</f>
        <v>3</v>
      </c>
      <c r="F1356" s="375" t="s">
        <v>47</v>
      </c>
    </row>
    <row r="1357" spans="2:6" x14ac:dyDescent="0.2">
      <c r="D1357" s="21">
        <f>IF(ROWS(D$1353:D1357)=1,"N/A",ROWS(D$1353:D1357)-1)</f>
        <v>4</v>
      </c>
      <c r="F1357" s="375" t="s">
        <v>47</v>
      </c>
    </row>
    <row r="1358" spans="2:6" x14ac:dyDescent="0.2">
      <c r="D1358" s="21">
        <f>IF(ROWS(D$1353:D1358)=1,"N/A",ROWS(D$1353:D1358)-1)</f>
        <v>5</v>
      </c>
      <c r="F1358" s="375" t="s">
        <v>47</v>
      </c>
    </row>
    <row r="1359" spans="2:6" s="322" customFormat="1" x14ac:dyDescent="0.2">
      <c r="D1359" s="320">
        <f>IF(ROWS(D$1353:D1359)=1,"N/A",ROWS(D$1353:D1359)-1)</f>
        <v>6</v>
      </c>
      <c r="F1359" s="342" t="s">
        <v>47</v>
      </c>
    </row>
    <row r="1361" spans="3:6" ht="15.75" x14ac:dyDescent="0.2">
      <c r="C1361" s="19" t="s">
        <v>133</v>
      </c>
      <c r="F1361" s="19" t="s">
        <v>32</v>
      </c>
    </row>
    <row r="1363" spans="3:6" x14ac:dyDescent="0.2">
      <c r="D1363" s="20" t="s">
        <v>75</v>
      </c>
      <c r="F1363" s="518" t="s">
        <v>204</v>
      </c>
    </row>
    <row r="1364" spans="3:6" x14ac:dyDescent="0.2">
      <c r="D1364" s="328" t="str">
        <f>Intv_BA!D1937</f>
        <v>Central</v>
      </c>
      <c r="F1364" s="375" t="s">
        <v>47</v>
      </c>
    </row>
    <row r="1365" spans="3:6" x14ac:dyDescent="0.2">
      <c r="D1365" s="328" t="str">
        <f>Intv_BA!D1938</f>
        <v>Copperbelt</v>
      </c>
      <c r="F1365" s="375" t="s">
        <v>47</v>
      </c>
    </row>
    <row r="1366" spans="3:6" x14ac:dyDescent="0.2">
      <c r="D1366" s="328" t="str">
        <f>Intv_BA!D1939</f>
        <v>Eastern</v>
      </c>
      <c r="F1366" s="375" t="s">
        <v>47</v>
      </c>
    </row>
    <row r="1367" spans="3:6" x14ac:dyDescent="0.2">
      <c r="D1367" s="328" t="str">
        <f>Intv_BA!D1940</f>
        <v>Luapula</v>
      </c>
      <c r="F1367" s="375" t="s">
        <v>47</v>
      </c>
    </row>
    <row r="1368" spans="3:6" x14ac:dyDescent="0.2">
      <c r="D1368" s="328" t="str">
        <f>Intv_BA!D1941</f>
        <v>Lusaka</v>
      </c>
      <c r="F1368" s="375" t="s">
        <v>47</v>
      </c>
    </row>
    <row r="1369" spans="3:6" s="322" customFormat="1" x14ac:dyDescent="0.2">
      <c r="D1369" s="374" t="str">
        <f>Intv_BA!D1942</f>
        <v>Muchinga</v>
      </c>
      <c r="F1369" s="342" t="s">
        <v>47</v>
      </c>
    </row>
    <row r="1370" spans="3:6" s="322" customFormat="1" x14ac:dyDescent="0.2">
      <c r="D1370" s="374" t="str">
        <f>Intv_BA!D1943</f>
        <v>Northern</v>
      </c>
      <c r="F1370" s="342" t="s">
        <v>47</v>
      </c>
    </row>
    <row r="1371" spans="3:6" s="322" customFormat="1" x14ac:dyDescent="0.2">
      <c r="D1371" s="374" t="str">
        <f>Intv_BA!D1944</f>
        <v>North-Western</v>
      </c>
      <c r="F1371" s="342" t="s">
        <v>47</v>
      </c>
    </row>
    <row r="1372" spans="3:6" s="322" customFormat="1" x14ac:dyDescent="0.2">
      <c r="D1372" s="374" t="str">
        <f>Intv_BA!D1945</f>
        <v>Southern</v>
      </c>
      <c r="F1372" s="342" t="s">
        <v>47</v>
      </c>
    </row>
    <row r="1373" spans="3:6" s="322" customFormat="1" x14ac:dyDescent="0.2">
      <c r="D1373" s="374" t="str">
        <f>Intv_BA!D1946</f>
        <v>Western</v>
      </c>
      <c r="F1373" s="342" t="s">
        <v>47</v>
      </c>
    </row>
    <row r="1375" spans="3:6" ht="15.75" x14ac:dyDescent="0.2">
      <c r="C1375" s="19" t="s">
        <v>212</v>
      </c>
      <c r="F1375" s="19" t="s">
        <v>32</v>
      </c>
    </row>
    <row r="1377" spans="3:6" x14ac:dyDescent="0.2">
      <c r="D1377" s="20" t="s">
        <v>213</v>
      </c>
      <c r="F1377" s="598" t="s">
        <v>222</v>
      </c>
    </row>
    <row r="1378" spans="3:6" x14ac:dyDescent="0.2">
      <c r="D1378" s="10" t="str">
        <f>Intv_Ann_TA!D980</f>
        <v>USD</v>
      </c>
      <c r="F1378" s="375" t="s">
        <v>47</v>
      </c>
    </row>
    <row r="1379" spans="3:6" s="322" customFormat="1" x14ac:dyDescent="0.2">
      <c r="D1379" s="374" t="str">
        <f>Intv_Ann_TA!D981</f>
        <v>ZMW</v>
      </c>
      <c r="F1379" s="342" t="s">
        <v>47</v>
      </c>
    </row>
    <row r="1381" spans="3:6" ht="15.75" x14ac:dyDescent="0.2">
      <c r="C1381" s="19" t="s">
        <v>37</v>
      </c>
      <c r="F1381" s="19" t="s">
        <v>32</v>
      </c>
    </row>
    <row r="1383" spans="3:6" x14ac:dyDescent="0.2">
      <c r="D1383" s="20" t="s">
        <v>37</v>
      </c>
      <c r="F1383" s="98" t="s">
        <v>228</v>
      </c>
    </row>
    <row r="1384" spans="3:6" x14ac:dyDescent="0.2">
      <c r="D1384" s="21" t="str">
        <f>Intv_BA!$I$1953&amp;CHOOSE(ROWS(D$1384:D1384),""," '000"," Millions"," Billions")</f>
        <v>USD</v>
      </c>
      <c r="F1384" s="98" t="s">
        <v>47</v>
      </c>
    </row>
    <row r="1385" spans="3:6" x14ac:dyDescent="0.2">
      <c r="D1385" s="21" t="str">
        <f>Intv_BA!$I$1953&amp;CHOOSE(ROWS(D$1384:D1385),""," '000"," Millions"," Billions")</f>
        <v>USD '000</v>
      </c>
      <c r="F1385" s="98" t="s">
        <v>47</v>
      </c>
    </row>
    <row r="1386" spans="3:6" x14ac:dyDescent="0.2">
      <c r="D1386" s="21" t="str">
        <f>Intv_BA!$I$1953&amp;CHOOSE(ROWS(D$1384:D1386),""," '000"," Millions"," Billions")</f>
        <v>USD Millions</v>
      </c>
      <c r="F1386" s="98" t="s">
        <v>47</v>
      </c>
    </row>
    <row r="1387" spans="3:6" x14ac:dyDescent="0.2">
      <c r="D1387" s="21" t="str">
        <f>Intv_BA!$I$1953&amp;CHOOSE(ROWS(D$1384:D1387),""," '000"," Millions"," Billions")</f>
        <v>USD Billions</v>
      </c>
      <c r="F1387" s="98" t="s">
        <v>47</v>
      </c>
    </row>
    <row r="1389" spans="3:6" ht="15.75" x14ac:dyDescent="0.2">
      <c r="C1389" s="19" t="s">
        <v>308</v>
      </c>
      <c r="F1389" s="19" t="s">
        <v>32</v>
      </c>
    </row>
    <row r="1391" spans="3:6" x14ac:dyDescent="0.2">
      <c r="D1391" s="20" t="s">
        <v>308</v>
      </c>
      <c r="F1391" s="492" t="s">
        <v>345</v>
      </c>
    </row>
    <row r="1392" spans="3:6" x14ac:dyDescent="0.2">
      <c r="D1392" s="10" t="str">
        <f>Intv_BA!D1956</f>
        <v>_Not Applicable</v>
      </c>
      <c r="F1392" s="375" t="s">
        <v>47</v>
      </c>
    </row>
    <row r="1393" spans="4:6" s="322" customFormat="1" x14ac:dyDescent="0.2">
      <c r="D1393" s="374" t="str">
        <f>Intv_BA!D1957</f>
        <v>Biomedical scientist (ZM)</v>
      </c>
      <c r="F1393" s="342" t="s">
        <v>47</v>
      </c>
    </row>
    <row r="1394" spans="4:6" s="322" customFormat="1" x14ac:dyDescent="0.2">
      <c r="D1394" s="374" t="str">
        <f>Intv_BA!D1958</f>
        <v>Clinical officer  (ZM)</v>
      </c>
      <c r="F1394" s="342" t="s">
        <v>47</v>
      </c>
    </row>
    <row r="1395" spans="4:6" x14ac:dyDescent="0.2">
      <c r="D1395" s="10" t="str">
        <f>Intv_BA!D1959</f>
        <v>Consultant  (ZM)</v>
      </c>
      <c r="F1395" s="375" t="s">
        <v>47</v>
      </c>
    </row>
    <row r="1396" spans="4:6" s="322" customFormat="1" x14ac:dyDescent="0.2">
      <c r="D1396" s="374" t="str">
        <f>Intv_BA!D1960</f>
        <v>General Medical Doctor</v>
      </c>
      <c r="F1396" s="342" t="s">
        <v>47</v>
      </c>
    </row>
    <row r="1397" spans="4:6" x14ac:dyDescent="0.2">
      <c r="D1397" s="10" t="str">
        <f>Intv_BA!D1961</f>
        <v>Junior Resident Medical officer  (ZM)</v>
      </c>
      <c r="F1397" s="375" t="s">
        <v>47</v>
      </c>
    </row>
    <row r="1398" spans="4:6" s="322" customFormat="1" x14ac:dyDescent="0.2">
      <c r="D1398" s="374" t="str">
        <f>Intv_BA!D1962</f>
        <v>Lab Scientist (ZM)</v>
      </c>
      <c r="F1398" s="342" t="s">
        <v>47</v>
      </c>
    </row>
    <row r="1399" spans="4:6" s="322" customFormat="1" x14ac:dyDescent="0.2">
      <c r="D1399" s="374" t="str">
        <f>Intv_BA!D1963</f>
        <v>Lab Technician (ZM)</v>
      </c>
      <c r="F1399" s="342" t="s">
        <v>47</v>
      </c>
    </row>
    <row r="1400" spans="4:6" x14ac:dyDescent="0.2">
      <c r="D1400" s="10" t="str">
        <f>Intv_BA!D1964</f>
        <v>Lab Technologist (ZM)</v>
      </c>
      <c r="F1400" s="375" t="s">
        <v>47</v>
      </c>
    </row>
    <row r="1401" spans="4:6" x14ac:dyDescent="0.2">
      <c r="D1401" s="10" t="str">
        <f>Intv_BA!D1965</f>
        <v>Medical Physicist (ZM)</v>
      </c>
      <c r="F1401" s="375" t="s">
        <v>47</v>
      </c>
    </row>
    <row r="1402" spans="4:6" s="322" customFormat="1" x14ac:dyDescent="0.2">
      <c r="D1402" s="374" t="str">
        <f>Intv_BA!D1966</f>
        <v>Nursing Officer (ZM)</v>
      </c>
      <c r="F1402" s="342" t="s">
        <v>47</v>
      </c>
    </row>
    <row r="1403" spans="4:6" s="322" customFormat="1" x14ac:dyDescent="0.2">
      <c r="D1403" s="374" t="str">
        <f>Intv_BA!D1967</f>
        <v>Pathologist (ZM)</v>
      </c>
      <c r="F1403" s="342" t="s">
        <v>47</v>
      </c>
    </row>
    <row r="1404" spans="4:6" s="47" customFormat="1" x14ac:dyDescent="0.2">
      <c r="D1404" s="289" t="str">
        <f>Intv_BA!D1968</f>
        <v>Pharmacy Technologist (ZM)</v>
      </c>
      <c r="F1404" s="342" t="s">
        <v>47</v>
      </c>
    </row>
    <row r="1405" spans="4:6" s="322" customFormat="1" x14ac:dyDescent="0.2">
      <c r="D1405" s="374" t="str">
        <f>Intv_BA!D1969</f>
        <v>Principal Nursing Officer (ZM)</v>
      </c>
      <c r="F1405" s="342" t="s">
        <v>47</v>
      </c>
    </row>
    <row r="1406" spans="4:6" s="322" customFormat="1" x14ac:dyDescent="0.2">
      <c r="D1406" s="374" t="str">
        <f>Intv_BA!D1970</f>
        <v>Principal Pharmacist (ZM)</v>
      </c>
      <c r="F1406" s="342" t="s">
        <v>47</v>
      </c>
    </row>
    <row r="1407" spans="4:6" x14ac:dyDescent="0.2">
      <c r="D1407" s="10" t="str">
        <f>Intv_BA!D1971</f>
        <v>Principal Radiographer (ZM)</v>
      </c>
      <c r="F1407" s="375" t="s">
        <v>47</v>
      </c>
    </row>
    <row r="1408" spans="4:6" x14ac:dyDescent="0.2">
      <c r="D1408" s="10" t="str">
        <f>Intv_BA!D1972</f>
        <v>Principal Therapist - Radiation (ZM)</v>
      </c>
      <c r="F1408" s="375" t="s">
        <v>47</v>
      </c>
    </row>
    <row r="1409" spans="3:6" x14ac:dyDescent="0.2">
      <c r="D1409" s="10" t="str">
        <f>Intv_BA!D1973</f>
        <v>Radiation Lab Scientist (ZM)</v>
      </c>
      <c r="F1409" s="375" t="s">
        <v>47</v>
      </c>
    </row>
    <row r="1410" spans="3:6" x14ac:dyDescent="0.2">
      <c r="D1410" s="10" t="str">
        <f>Intv_BA!D1974</f>
        <v>Radiation Protection Officer (ZM)</v>
      </c>
      <c r="F1410" s="375" t="s">
        <v>47</v>
      </c>
    </row>
    <row r="1411" spans="3:6" s="322" customFormat="1" x14ac:dyDescent="0.2">
      <c r="D1411" s="374" t="str">
        <f>Intv_BA!D1975</f>
        <v>Radiographer (ZM)</v>
      </c>
      <c r="F1411" s="342" t="s">
        <v>47</v>
      </c>
    </row>
    <row r="1412" spans="3:6" s="322" customFormat="1" x14ac:dyDescent="0.2">
      <c r="D1412" s="374" t="str">
        <f>Intv_BA!D1976</f>
        <v>Registered Nurse (ZM)</v>
      </c>
      <c r="F1412" s="342" t="s">
        <v>47</v>
      </c>
    </row>
    <row r="1413" spans="3:6" s="322" customFormat="1" x14ac:dyDescent="0.2">
      <c r="D1413" s="374" t="str">
        <f>Intv_BA!D1977</f>
        <v>Senior Enrolled Nurse (ZM)</v>
      </c>
      <c r="F1413" s="342" t="s">
        <v>47</v>
      </c>
    </row>
    <row r="1414" spans="3:6" s="322" customFormat="1" x14ac:dyDescent="0.2">
      <c r="D1414" s="374" t="str">
        <f>Intv_BA!D1978</f>
        <v>Senior Nursing Officer (ZM)</v>
      </c>
      <c r="F1414" s="342" t="s">
        <v>47</v>
      </c>
    </row>
    <row r="1415" spans="3:6" s="322" customFormat="1" x14ac:dyDescent="0.2">
      <c r="D1415" s="374" t="str">
        <f>Intv_BA!D1979</f>
        <v>Senior Radiation protection Officer (ZM)</v>
      </c>
      <c r="F1415" s="342" t="s">
        <v>47</v>
      </c>
    </row>
    <row r="1416" spans="3:6" s="322" customFormat="1" x14ac:dyDescent="0.2">
      <c r="D1416" s="374" t="str">
        <f>Intv_BA!D1980</f>
        <v>Senior Radiographer (ZM)</v>
      </c>
      <c r="F1416" s="342" t="s">
        <v>47</v>
      </c>
    </row>
    <row r="1417" spans="3:6" s="322" customFormat="1" x14ac:dyDescent="0.2">
      <c r="D1417" s="374" t="str">
        <f>Intv_BA!D1981</f>
        <v>Zambia Enrolled Nurse (ZEN) (ZM)</v>
      </c>
      <c r="F1417" s="342" t="s">
        <v>47</v>
      </c>
    </row>
    <row r="1418" spans="3:6" s="322" customFormat="1" x14ac:dyDescent="0.2">
      <c r="D1418" s="374" t="str">
        <f>Intv_BA!D1982</f>
        <v>Personnel - Hospital Cadre - Other 27</v>
      </c>
      <c r="F1418" s="342" t="s">
        <v>47</v>
      </c>
    </row>
    <row r="1419" spans="3:6" s="322" customFormat="1" x14ac:dyDescent="0.2">
      <c r="D1419" s="374" t="str">
        <f>Intv_BA!D1983</f>
        <v>Personnel - Hospital Cadre - Other 28</v>
      </c>
      <c r="F1419" s="342" t="s">
        <v>47</v>
      </c>
    </row>
    <row r="1420" spans="3:6" s="322" customFormat="1" x14ac:dyDescent="0.2">
      <c r="D1420" s="374" t="str">
        <f>Intv_BA!D1984</f>
        <v>Personnel - Hospital Cadre - Other 29</v>
      </c>
      <c r="F1420" s="342" t="s">
        <v>47</v>
      </c>
    </row>
    <row r="1421" spans="3:6" s="322" customFormat="1" x14ac:dyDescent="0.2">
      <c r="D1421" s="374" t="str">
        <f>Intv_BA!D1985</f>
        <v>Personnel - Hospital Cadre - Other 30</v>
      </c>
      <c r="F1421" s="342" t="s">
        <v>47</v>
      </c>
    </row>
    <row r="1422" spans="3:6" s="322" customFormat="1" x14ac:dyDescent="0.2">
      <c r="D1422" s="374" t="str">
        <f>Intv_BA!D1986</f>
        <v>Personnel - Hospital Cadre - Other 31</v>
      </c>
      <c r="F1422" s="342" t="s">
        <v>47</v>
      </c>
    </row>
    <row r="1424" spans="3:6" ht="15.75" x14ac:dyDescent="0.2">
      <c r="C1424" s="19" t="s">
        <v>310</v>
      </c>
      <c r="F1424" s="19" t="s">
        <v>32</v>
      </c>
    </row>
    <row r="1426" spans="4:6" x14ac:dyDescent="0.2">
      <c r="D1426" s="20" t="s">
        <v>310</v>
      </c>
      <c r="F1426" s="492" t="s">
        <v>351</v>
      </c>
    </row>
    <row r="1427" spans="4:6" x14ac:dyDescent="0.2">
      <c r="D1427" s="10" t="str">
        <f>Intv_BA!D1989</f>
        <v>_Not Applicable</v>
      </c>
      <c r="F1427" s="375" t="s">
        <v>47</v>
      </c>
    </row>
    <row r="1428" spans="4:6" s="47" customFormat="1" x14ac:dyDescent="0.2">
      <c r="D1428" s="289" t="str">
        <f>Intv_BA!D1990</f>
        <v>Biomedical scientist (ZM)</v>
      </c>
      <c r="F1428" s="342" t="s">
        <v>47</v>
      </c>
    </row>
    <row r="1429" spans="4:6" x14ac:dyDescent="0.2">
      <c r="D1429" s="10" t="str">
        <f>Intv_BA!D1991</f>
        <v>Clinical officer  (ZM)</v>
      </c>
      <c r="F1429" s="375" t="s">
        <v>47</v>
      </c>
    </row>
    <row r="1430" spans="4:6" x14ac:dyDescent="0.2">
      <c r="D1430" s="10" t="str">
        <f>Intv_BA!D1992</f>
        <v>Consultant  (ZM)</v>
      </c>
      <c r="F1430" s="375" t="s">
        <v>47</v>
      </c>
    </row>
    <row r="1431" spans="4:6" s="322" customFormat="1" x14ac:dyDescent="0.2">
      <c r="D1431" s="374" t="str">
        <f>Intv_BA!D1993</f>
        <v>General Medical Doctor</v>
      </c>
      <c r="F1431" s="342" t="s">
        <v>47</v>
      </c>
    </row>
    <row r="1432" spans="4:6" x14ac:dyDescent="0.2">
      <c r="D1432" s="10" t="str">
        <f>Intv_BA!D1994</f>
        <v>Junior Resident Medical officer  (ZM)</v>
      </c>
      <c r="F1432" s="375" t="s">
        <v>47</v>
      </c>
    </row>
    <row r="1433" spans="4:6" x14ac:dyDescent="0.2">
      <c r="D1433" s="10" t="str">
        <f>Intv_BA!D1995</f>
        <v>Lab Scientist (ZM)</v>
      </c>
      <c r="F1433" s="375" t="s">
        <v>47</v>
      </c>
    </row>
    <row r="1434" spans="4:6" s="322" customFormat="1" x14ac:dyDescent="0.2">
      <c r="D1434" s="374" t="str">
        <f>Intv_BA!D1996</f>
        <v>Lab Technician (ZM)</v>
      </c>
      <c r="F1434" s="342" t="s">
        <v>47</v>
      </c>
    </row>
    <row r="1435" spans="4:6" s="322" customFormat="1" x14ac:dyDescent="0.2">
      <c r="D1435" s="374" t="str">
        <f>Intv_BA!D1997</f>
        <v>Lab Technologist (ZM)</v>
      </c>
      <c r="F1435" s="342" t="s">
        <v>47</v>
      </c>
    </row>
    <row r="1436" spans="4:6" s="322" customFormat="1" x14ac:dyDescent="0.2">
      <c r="D1436" s="374" t="str">
        <f>Intv_BA!D1998</f>
        <v>Medical Physicist (ZM)</v>
      </c>
      <c r="F1436" s="342" t="s">
        <v>47</v>
      </c>
    </row>
    <row r="1437" spans="4:6" s="322" customFormat="1" x14ac:dyDescent="0.2">
      <c r="D1437" s="374" t="str">
        <f>Intv_BA!D1999</f>
        <v>Nursing Officer (ZM)</v>
      </c>
      <c r="F1437" s="342" t="s">
        <v>47</v>
      </c>
    </row>
    <row r="1438" spans="4:6" s="322" customFormat="1" x14ac:dyDescent="0.2">
      <c r="D1438" s="374" t="str">
        <f>Intv_BA!D2000</f>
        <v>Pathologist (ZM)</v>
      </c>
      <c r="F1438" s="342" t="s">
        <v>47</v>
      </c>
    </row>
    <row r="1439" spans="4:6" s="322" customFormat="1" x14ac:dyDescent="0.2">
      <c r="D1439" s="374" t="str">
        <f>Intv_BA!D2001</f>
        <v>Pharmacy Technologist (ZM)</v>
      </c>
      <c r="F1439" s="342" t="s">
        <v>47</v>
      </c>
    </row>
    <row r="1440" spans="4:6" s="322" customFormat="1" x14ac:dyDescent="0.2">
      <c r="D1440" s="374" t="str">
        <f>Intv_BA!D2002</f>
        <v>Principal Nursing Officer (ZM)</v>
      </c>
      <c r="F1440" s="342" t="s">
        <v>47</v>
      </c>
    </row>
    <row r="1441" spans="4:6" s="322" customFormat="1" x14ac:dyDescent="0.2">
      <c r="D1441" s="374" t="str">
        <f>Intv_BA!D2003</f>
        <v>Principal Pharmacist (ZM)</v>
      </c>
      <c r="F1441" s="342" t="s">
        <v>47</v>
      </c>
    </row>
    <row r="1442" spans="4:6" s="322" customFormat="1" x14ac:dyDescent="0.2">
      <c r="D1442" s="374" t="str">
        <f>Intv_BA!D2004</f>
        <v>Principal Radiographer (ZM)</v>
      </c>
      <c r="F1442" s="342" t="s">
        <v>47</v>
      </c>
    </row>
    <row r="1443" spans="4:6" x14ac:dyDescent="0.2">
      <c r="D1443" s="10" t="str">
        <f>Intv_BA!D2005</f>
        <v>Principal Therapist - Radiation (ZM)</v>
      </c>
      <c r="F1443" s="375" t="s">
        <v>47</v>
      </c>
    </row>
    <row r="1444" spans="4:6" x14ac:dyDescent="0.2">
      <c r="D1444" s="10" t="str">
        <f>Intv_BA!D2006</f>
        <v>Radiation Lab Scientist (ZM)</v>
      </c>
      <c r="F1444" s="375" t="s">
        <v>47</v>
      </c>
    </row>
    <row r="1445" spans="4:6" x14ac:dyDescent="0.2">
      <c r="D1445" s="10" t="str">
        <f>Intv_BA!D2007</f>
        <v>Radiation Protection Officer (ZM)</v>
      </c>
      <c r="F1445" s="375" t="s">
        <v>47</v>
      </c>
    </row>
    <row r="1446" spans="4:6" s="47" customFormat="1" x14ac:dyDescent="0.2">
      <c r="D1446" s="289" t="str">
        <f>Intv_BA!D2008</f>
        <v>Radiographer (ZM)</v>
      </c>
      <c r="F1446" s="342" t="s">
        <v>47</v>
      </c>
    </row>
    <row r="1447" spans="4:6" s="322" customFormat="1" x14ac:dyDescent="0.2">
      <c r="D1447" s="374" t="str">
        <f>Intv_BA!D2009</f>
        <v>Registered Nurse (ZM)</v>
      </c>
      <c r="F1447" s="342" t="s">
        <v>47</v>
      </c>
    </row>
    <row r="1448" spans="4:6" s="322" customFormat="1" x14ac:dyDescent="0.2">
      <c r="D1448" s="374" t="str">
        <f>Intv_BA!D2010</f>
        <v>Senior Enrolled Nurse (ZM)</v>
      </c>
      <c r="F1448" s="342" t="s">
        <v>47</v>
      </c>
    </row>
    <row r="1449" spans="4:6" s="322" customFormat="1" x14ac:dyDescent="0.2">
      <c r="D1449" s="374" t="str">
        <f>Intv_BA!D2011</f>
        <v>Senior Nursing Officer (ZM)</v>
      </c>
      <c r="F1449" s="342" t="s">
        <v>47</v>
      </c>
    </row>
    <row r="1450" spans="4:6" s="322" customFormat="1" x14ac:dyDescent="0.2">
      <c r="D1450" s="374" t="str">
        <f>Intv_BA!D2012</f>
        <v>Senior Radiation protection Officer (ZM)</v>
      </c>
      <c r="F1450" s="342" t="s">
        <v>47</v>
      </c>
    </row>
    <row r="1451" spans="4:6" s="322" customFormat="1" x14ac:dyDescent="0.2">
      <c r="D1451" s="374" t="str">
        <f>Intv_BA!D2013</f>
        <v>Senior Radiographer (ZM)</v>
      </c>
      <c r="F1451" s="342" t="s">
        <v>47</v>
      </c>
    </row>
    <row r="1452" spans="4:6" s="322" customFormat="1" x14ac:dyDescent="0.2">
      <c r="D1452" s="374" t="str">
        <f>Intv_BA!D2014</f>
        <v>Zambia Enrolled Nurse (ZEN) (ZM)</v>
      </c>
      <c r="F1452" s="342" t="s">
        <v>47</v>
      </c>
    </row>
    <row r="1453" spans="4:6" s="322" customFormat="1" x14ac:dyDescent="0.2">
      <c r="D1453" s="374" t="str">
        <f>Intv_BA!D2015</f>
        <v>Personnel - Other Category 27</v>
      </c>
      <c r="F1453" s="342" t="s">
        <v>47</v>
      </c>
    </row>
    <row r="1454" spans="4:6" s="322" customFormat="1" x14ac:dyDescent="0.2">
      <c r="D1454" s="374" t="str">
        <f>Intv_BA!D2016</f>
        <v>Personnel - Other Category 28</v>
      </c>
      <c r="F1454" s="342" t="s">
        <v>47</v>
      </c>
    </row>
    <row r="1455" spans="4:6" s="322" customFormat="1" x14ac:dyDescent="0.2">
      <c r="D1455" s="374" t="str">
        <f>Intv_BA!D2017</f>
        <v>Personnel - Other Category 29</v>
      </c>
      <c r="F1455" s="342" t="s">
        <v>47</v>
      </c>
    </row>
    <row r="1456" spans="4:6" s="322" customFormat="1" x14ac:dyDescent="0.2">
      <c r="D1456" s="374" t="str">
        <f>Intv_BA!D2018</f>
        <v>Personnel - Other Category 30</v>
      </c>
      <c r="F1456" s="342" t="s">
        <v>47</v>
      </c>
    </row>
    <row r="1457" spans="3:6" s="322" customFormat="1" x14ac:dyDescent="0.2">
      <c r="D1457" s="374">
        <f>Intv_BA!D2019</f>
        <v>0</v>
      </c>
      <c r="F1457" s="342" t="s">
        <v>47</v>
      </c>
    </row>
    <row r="1459" spans="3:6" ht="15.75" x14ac:dyDescent="0.2">
      <c r="C1459" s="19" t="s">
        <v>316</v>
      </c>
      <c r="F1459" s="19" t="s">
        <v>32</v>
      </c>
    </row>
    <row r="1461" spans="3:6" x14ac:dyDescent="0.2">
      <c r="D1461" s="20" t="s">
        <v>316</v>
      </c>
      <c r="F1461" s="568" t="s">
        <v>357</v>
      </c>
    </row>
    <row r="1462" spans="3:6" x14ac:dyDescent="0.2">
      <c r="D1462" s="10" t="str">
        <f>Intv_BA!D2022</f>
        <v>_Not Applicable</v>
      </c>
      <c r="F1462" s="375" t="s">
        <v>47</v>
      </c>
    </row>
    <row r="1463" spans="3:6" x14ac:dyDescent="0.2">
      <c r="D1463" s="10" t="str">
        <f>Intv_BA!D2023</f>
        <v>10 ml syringes with long 27-gauge needle (UG)</v>
      </c>
      <c r="F1463" s="375" t="s">
        <v>47</v>
      </c>
    </row>
    <row r="1464" spans="3:6" x14ac:dyDescent="0.2">
      <c r="D1464" s="10" t="str">
        <f>Intv_BA!D2024</f>
        <v>100% alcohol (UG)</v>
      </c>
      <c r="F1464" s="375" t="s">
        <v>47</v>
      </c>
    </row>
    <row r="1465" spans="3:6" x14ac:dyDescent="0.2">
      <c r="D1465" s="10" t="str">
        <f>Intv_BA!D2025</f>
        <v>100% Ethanol (UG)</v>
      </c>
      <c r="F1465" s="375" t="s">
        <v>47</v>
      </c>
    </row>
    <row r="1466" spans="3:6" x14ac:dyDescent="0.2">
      <c r="D1466" s="10" t="str">
        <f>Intv_BA!D2026</f>
        <v>5% acetic acid (UG)</v>
      </c>
      <c r="F1466" s="375" t="s">
        <v>47</v>
      </c>
    </row>
    <row r="1467" spans="3:6" x14ac:dyDescent="0.2">
      <c r="D1467" s="10" t="str">
        <f>Intv_BA!D2027</f>
        <v>Acetic acid (UG)</v>
      </c>
      <c r="F1467" s="375" t="s">
        <v>47</v>
      </c>
    </row>
    <row r="1468" spans="3:6" x14ac:dyDescent="0.2">
      <c r="D1468" s="10" t="str">
        <f>Intv_BA!D2028</f>
        <v>Acetic acid, 3–5% dilution (ZM)</v>
      </c>
      <c r="F1468" s="375" t="s">
        <v>47</v>
      </c>
    </row>
    <row r="1469" spans="3:6" x14ac:dyDescent="0.2">
      <c r="D1469" s="10" t="str">
        <f>Intv_BA!D2029</f>
        <v>Acetic acid, 3–5% dilution (TZ)</v>
      </c>
      <c r="F1469" s="375" t="s">
        <v>47</v>
      </c>
    </row>
    <row r="1470" spans="3:6" x14ac:dyDescent="0.2">
      <c r="D1470" s="10" t="str">
        <f>Intv_BA!D2030</f>
        <v>Alcohol, 60-90% isopropyl or ethyl (TZ)</v>
      </c>
      <c r="F1470" s="375" t="s">
        <v>47</v>
      </c>
    </row>
    <row r="1471" spans="3:6" x14ac:dyDescent="0.2">
      <c r="D1471" s="10" t="str">
        <f>Intv_BA!D2031</f>
        <v>Alcohol, 60-90% isopropyl or ethyl 95% (ZM)</v>
      </c>
      <c r="F1471" s="375" t="s">
        <v>47</v>
      </c>
    </row>
    <row r="1472" spans="3:6" x14ac:dyDescent="0.2">
      <c r="D1472" s="10" t="str">
        <f>Intv_BA!D2032</f>
        <v>Amitriptyline hydrochloride( 25mg) (ZM)</v>
      </c>
      <c r="F1472" s="375" t="s">
        <v>47</v>
      </c>
    </row>
    <row r="1473" spans="4:6" x14ac:dyDescent="0.2">
      <c r="D1473" s="10" t="str">
        <f>Intv_BA!D2033</f>
        <v>Amitriptyline hydrochloride( 25mg) (TZ)</v>
      </c>
      <c r="F1473" s="375" t="s">
        <v>47</v>
      </c>
    </row>
    <row r="1474" spans="4:6" x14ac:dyDescent="0.2">
      <c r="D1474" s="10" t="str">
        <f>Intv_BA!D2034</f>
        <v>Anticeptic solution (UG)</v>
      </c>
      <c r="F1474" s="375" t="s">
        <v>47</v>
      </c>
    </row>
    <row r="1475" spans="4:6" s="47" customFormat="1" x14ac:dyDescent="0.2">
      <c r="D1475" s="289" t="str">
        <f>Intv_BA!D2035</f>
        <v>Arithromycin (250g) (ZM)</v>
      </c>
      <c r="F1475" s="342" t="s">
        <v>47</v>
      </c>
    </row>
    <row r="1476" spans="4:6" s="47" customFormat="1" x14ac:dyDescent="0.2">
      <c r="D1476" s="289" t="str">
        <f>Intv_BA!D2036</f>
        <v>Arithromycin (250g) (UG)</v>
      </c>
      <c r="F1476" s="342" t="s">
        <v>47</v>
      </c>
    </row>
    <row r="1477" spans="4:6" s="47" customFormat="1" x14ac:dyDescent="0.2">
      <c r="D1477" s="289" t="str">
        <f>Intv_BA!D2037</f>
        <v>Arithromycin (5g) (UG)</v>
      </c>
      <c r="F1477" s="342" t="s">
        <v>47</v>
      </c>
    </row>
    <row r="1478" spans="4:6" s="47" customFormat="1" x14ac:dyDescent="0.2">
      <c r="D1478" s="289" t="str">
        <f>Intv_BA!D2038</f>
        <v>Atropine (ZM)</v>
      </c>
      <c r="F1478" s="342" t="s">
        <v>47</v>
      </c>
    </row>
    <row r="1479" spans="4:6" s="47" customFormat="1" x14ac:dyDescent="0.2">
      <c r="D1479" s="289" t="str">
        <f>Intv_BA!D2039</f>
        <v>Ball electrode (UG)</v>
      </c>
      <c r="F1479" s="342" t="s">
        <v>47</v>
      </c>
    </row>
    <row r="1480" spans="4:6" s="47" customFormat="1" x14ac:dyDescent="0.2">
      <c r="D1480" s="289" t="str">
        <f>Intv_BA!D2040</f>
        <v>Bed linen sheet (100 uses) (ZM)</v>
      </c>
      <c r="F1480" s="342" t="s">
        <v>47</v>
      </c>
    </row>
    <row r="1481" spans="4:6" s="47" customFormat="1" x14ac:dyDescent="0.2">
      <c r="D1481" s="289" t="str">
        <f>Intv_BA!D2041</f>
        <v>Bed linen sheet (TZ)</v>
      </c>
      <c r="F1481" s="342" t="s">
        <v>47</v>
      </c>
    </row>
    <row r="1482" spans="4:6" s="47" customFormat="1" x14ac:dyDescent="0.2">
      <c r="D1482" s="289" t="str">
        <f>Intv_BA!D2042</f>
        <v>Bin Liner (ZM)</v>
      </c>
      <c r="F1482" s="342" t="s">
        <v>47</v>
      </c>
    </row>
    <row r="1483" spans="4:6" s="47" customFormat="1" x14ac:dyDescent="0.2">
      <c r="D1483" s="289" t="str">
        <f>Intv_BA!D2043</f>
        <v>Bleach (JIK)</v>
      </c>
      <c r="F1483" s="342" t="s">
        <v>47</v>
      </c>
    </row>
    <row r="1484" spans="4:6" s="47" customFormat="1" x14ac:dyDescent="0.2">
      <c r="D1484" s="289" t="str">
        <f>Intv_BA!D2044</f>
        <v>Bleach (UG)</v>
      </c>
      <c r="F1484" s="342" t="s">
        <v>47</v>
      </c>
    </row>
    <row r="1485" spans="4:6" s="47" customFormat="1" x14ac:dyDescent="0.2">
      <c r="D1485" s="289" t="str">
        <f>Intv_BA!D2045</f>
        <v>careHPV DCM tube (UG)</v>
      </c>
      <c r="F1485" s="342" t="s">
        <v>47</v>
      </c>
    </row>
    <row r="1486" spans="4:6" s="47" customFormat="1" x14ac:dyDescent="0.2">
      <c r="D1486" s="289" t="str">
        <f>Intv_BA!D2046</f>
        <v>Catheter -Urine (TZ)</v>
      </c>
      <c r="F1486" s="342" t="s">
        <v>47</v>
      </c>
    </row>
    <row r="1487" spans="4:6" s="47" customFormat="1" x14ac:dyDescent="0.2">
      <c r="D1487" s="289" t="str">
        <f>Intv_BA!D2047</f>
        <v>Cervical brush (UG)</v>
      </c>
      <c r="F1487" s="342" t="s">
        <v>47</v>
      </c>
    </row>
    <row r="1488" spans="4:6" s="47" customFormat="1" x14ac:dyDescent="0.2">
      <c r="D1488" s="289" t="str">
        <f>Intv_BA!D2048</f>
        <v>Chlorine 0.5% (Jik-diluted) (ZM)</v>
      </c>
      <c r="F1488" s="342" t="s">
        <v>47</v>
      </c>
    </row>
    <row r="1489" spans="4:6" x14ac:dyDescent="0.2">
      <c r="D1489" s="10" t="str">
        <f>Intv_BA!D2049</f>
        <v>Chlorine 0.5% (Jik-diluted)  (TZ)</v>
      </c>
      <c r="F1489" s="375" t="s">
        <v>47</v>
      </c>
    </row>
    <row r="1490" spans="4:6" x14ac:dyDescent="0.2">
      <c r="D1490" s="10" t="str">
        <f>Intv_BA!D2050</f>
        <v>Cidex (2-4% glutaraldehyde) (ZM)</v>
      </c>
      <c r="F1490" s="375" t="s">
        <v>47</v>
      </c>
    </row>
    <row r="1491" spans="4:6" x14ac:dyDescent="0.2">
      <c r="D1491" s="10" t="str">
        <f>Intv_BA!D2051</f>
        <v>Cidex (2-4% glutaraldehyde) (TZ)</v>
      </c>
      <c r="F1491" s="375" t="s">
        <v>47</v>
      </c>
    </row>
    <row r="1492" spans="4:6" x14ac:dyDescent="0.2">
      <c r="D1492" s="10" t="str">
        <f>Intv_BA!D2052</f>
        <v>Ciprofloxacin (500mg) (UG)</v>
      </c>
      <c r="F1492" s="375" t="s">
        <v>47</v>
      </c>
    </row>
    <row r="1493" spans="4:6" x14ac:dyDescent="0.2">
      <c r="D1493" s="10" t="str">
        <f>Intv_BA!D2053</f>
        <v>Ciprofloxacin (500mg) 250MG (ZM)</v>
      </c>
      <c r="F1493" s="375" t="s">
        <v>47</v>
      </c>
    </row>
    <row r="1494" spans="4:6" x14ac:dyDescent="0.2">
      <c r="D1494" s="10" t="str">
        <f>Intv_BA!D2054</f>
        <v>Cisplatin (50 mg) (ZM)</v>
      </c>
      <c r="F1494" s="375" t="s">
        <v>47</v>
      </c>
    </row>
    <row r="1495" spans="4:6" x14ac:dyDescent="0.2">
      <c r="D1495" s="10" t="str">
        <f>Intv_BA!D2055</f>
        <v>Cisplatin (50 mg) (TZ)</v>
      </c>
      <c r="F1495" s="375" t="s">
        <v>47</v>
      </c>
    </row>
    <row r="1496" spans="4:6" x14ac:dyDescent="0.2">
      <c r="D1496" s="10" t="str">
        <f>Intv_BA!D2056</f>
        <v>Citokit (UG)</v>
      </c>
      <c r="F1496" s="375" t="s">
        <v>47</v>
      </c>
    </row>
    <row r="1497" spans="4:6" x14ac:dyDescent="0.2">
      <c r="D1497" s="10" t="str">
        <f>Intv_BA!D2057</f>
        <v>Colostomy Bag (TZ)</v>
      </c>
      <c r="F1497" s="375" t="s">
        <v>47</v>
      </c>
    </row>
    <row r="1498" spans="4:6" s="322" customFormat="1" x14ac:dyDescent="0.2">
      <c r="D1498" s="374" t="str">
        <f>Intv_BA!D2058</f>
        <v>Condom  (TZ)</v>
      </c>
      <c r="F1498" s="342" t="s">
        <v>47</v>
      </c>
    </row>
    <row r="1499" spans="4:6" s="322" customFormat="1" x14ac:dyDescent="0.2">
      <c r="D1499" s="374" t="str">
        <f>Intv_BA!D2059</f>
        <v>Condom MALE (ZM)</v>
      </c>
      <c r="F1499" s="342" t="s">
        <v>47</v>
      </c>
    </row>
    <row r="1500" spans="4:6" s="322" customFormat="1" x14ac:dyDescent="0.2">
      <c r="D1500" s="374" t="str">
        <f>Intv_BA!D2060</f>
        <v>Cotton swab (ZM)</v>
      </c>
      <c r="F1500" s="342" t="s">
        <v>47</v>
      </c>
    </row>
    <row r="1501" spans="4:6" s="322" customFormat="1" x14ac:dyDescent="0.2">
      <c r="D1501" s="374" t="str">
        <f>Intv_BA!D2061</f>
        <v>Cotton swab (TZ)</v>
      </c>
      <c r="F1501" s="342" t="s">
        <v>47</v>
      </c>
    </row>
    <row r="1502" spans="4:6" s="322" customFormat="1" x14ac:dyDescent="0.2">
      <c r="D1502" s="374" t="str">
        <f>Intv_BA!D2062</f>
        <v>Cotton swabs (UG)</v>
      </c>
      <c r="F1502" s="342" t="s">
        <v>47</v>
      </c>
    </row>
    <row r="1503" spans="4:6" s="322" customFormat="1" x14ac:dyDescent="0.2">
      <c r="D1503" s="374" t="str">
        <f>Intv_BA!D2063</f>
        <v>Cotton Wool, roll, non-sterile (ZM)</v>
      </c>
      <c r="F1503" s="342" t="s">
        <v>47</v>
      </c>
    </row>
    <row r="1504" spans="4:6" s="322" customFormat="1" x14ac:dyDescent="0.2">
      <c r="D1504" s="374" t="str">
        <f>Intv_BA!D2064</f>
        <v>Cotton Wool, roll, non-sterile (TZ)</v>
      </c>
      <c r="F1504" s="342" t="s">
        <v>47</v>
      </c>
    </row>
    <row r="1505" spans="4:6" s="322" customFormat="1" x14ac:dyDescent="0.2">
      <c r="D1505" s="374" t="str">
        <f>Intv_BA!D2065</f>
        <v xml:space="preserve">Dexamethasone (ZM) </v>
      </c>
      <c r="F1505" s="342" t="s">
        <v>47</v>
      </c>
    </row>
    <row r="1506" spans="4:6" s="322" customFormat="1" x14ac:dyDescent="0.2">
      <c r="D1506" s="374" t="str">
        <f>Intv_BA!D2066</f>
        <v>Diclofenac (50mg) (ZM)</v>
      </c>
      <c r="F1506" s="342" t="s">
        <v>47</v>
      </c>
    </row>
    <row r="1507" spans="4:6" s="322" customFormat="1" x14ac:dyDescent="0.2">
      <c r="D1507" s="374" t="str">
        <f>Intv_BA!D2067</f>
        <v>Diclofenac (50mg) (TZ)</v>
      </c>
      <c r="F1507" s="342" t="s">
        <v>47</v>
      </c>
    </row>
    <row r="1508" spans="4:6" s="322" customFormat="1" x14ac:dyDescent="0.2">
      <c r="D1508" s="374" t="str">
        <f>Intv_BA!D2068</f>
        <v>Distilled water (ZM)</v>
      </c>
      <c r="F1508" s="342" t="s">
        <v>47</v>
      </c>
    </row>
    <row r="1509" spans="4:6" s="322" customFormat="1" x14ac:dyDescent="0.2">
      <c r="D1509" s="374" t="str">
        <f>Intv_BA!D2069</f>
        <v>Distilled water (UG)</v>
      </c>
      <c r="F1509" s="342" t="s">
        <v>47</v>
      </c>
    </row>
    <row r="1510" spans="4:6" s="322" customFormat="1" x14ac:dyDescent="0.2">
      <c r="D1510" s="374" t="str">
        <f>Intv_BA!D2070</f>
        <v>Dulcolax (10mg) (ZM)</v>
      </c>
      <c r="F1510" s="342" t="s">
        <v>47</v>
      </c>
    </row>
    <row r="1511" spans="4:6" s="322" customFormat="1" x14ac:dyDescent="0.2">
      <c r="D1511" s="374" t="str">
        <f>Intv_BA!D2071</f>
        <v>Dulcolax (10mg) (TZ)</v>
      </c>
      <c r="F1511" s="342" t="s">
        <v>47</v>
      </c>
    </row>
    <row r="1512" spans="4:6" s="322" customFormat="1" x14ac:dyDescent="0.2">
      <c r="D1512" s="374" t="str">
        <f>Intv_BA!D2072</f>
        <v>Emend (ZM)</v>
      </c>
      <c r="F1512" s="342" t="s">
        <v>47</v>
      </c>
    </row>
    <row r="1513" spans="4:6" s="322" customFormat="1" x14ac:dyDescent="0.2">
      <c r="D1513" s="374" t="str">
        <f>Intv_BA!D2073</f>
        <v>Formalin (UG)</v>
      </c>
      <c r="F1513" s="342" t="s">
        <v>47</v>
      </c>
    </row>
    <row r="1514" spans="4:6" s="322" customFormat="1" x14ac:dyDescent="0.2">
      <c r="D1514" s="374" t="str">
        <f>Intv_BA!D2074</f>
        <v>Formalin AR 40% (ZM)</v>
      </c>
      <c r="F1514" s="342" t="s">
        <v>47</v>
      </c>
    </row>
    <row r="1515" spans="4:6" s="322" customFormat="1" x14ac:dyDescent="0.2">
      <c r="D1515" s="374" t="str">
        <f>Intv_BA!D2075</f>
        <v>Formalin AR 40% (TZ)</v>
      </c>
      <c r="F1515" s="342" t="s">
        <v>47</v>
      </c>
    </row>
    <row r="1516" spans="4:6" s="322" customFormat="1" x14ac:dyDescent="0.2">
      <c r="D1516" s="374" t="str">
        <f>Intv_BA!D2076</f>
        <v>Frusamide (ZM)</v>
      </c>
      <c r="F1516" s="342" t="s">
        <v>47</v>
      </c>
    </row>
    <row r="1517" spans="4:6" s="322" customFormat="1" x14ac:dyDescent="0.2">
      <c r="D1517" s="374" t="str">
        <f>Intv_BA!D2077</f>
        <v>Gas - N2O (UG)</v>
      </c>
      <c r="F1517" s="342" t="s">
        <v>47</v>
      </c>
    </row>
    <row r="1518" spans="4:6" s="322" customFormat="1" x14ac:dyDescent="0.2">
      <c r="D1518" s="374" t="str">
        <f>Intv_BA!D2078</f>
        <v>Gas Cylinder (Nitrous Oxide) 72 kg. (ZM)</v>
      </c>
      <c r="F1518" s="342" t="s">
        <v>47</v>
      </c>
    </row>
    <row r="1519" spans="4:6" s="322" customFormat="1" x14ac:dyDescent="0.2">
      <c r="D1519" s="374" t="str">
        <f>Intv_BA!D2079</f>
        <v>Gas Cylinder (TZ)</v>
      </c>
      <c r="F1519" s="342" t="s">
        <v>47</v>
      </c>
    </row>
    <row r="1520" spans="4:6" s="322" customFormat="1" x14ac:dyDescent="0.2">
      <c r="D1520" s="374" t="str">
        <f>Intv_BA!D2080</f>
        <v>Gauze (UG)</v>
      </c>
      <c r="F1520" s="342" t="s">
        <v>47</v>
      </c>
    </row>
    <row r="1521" spans="4:6" s="322" customFormat="1" x14ac:dyDescent="0.2">
      <c r="D1521" s="374" t="str">
        <f>Intv_BA!D2081</f>
        <v>Gauze hospital quality 10x4 cm (TZ)</v>
      </c>
      <c r="F1521" s="342" t="s">
        <v>47</v>
      </c>
    </row>
    <row r="1522" spans="4:6" s="322" customFormat="1" x14ac:dyDescent="0.2">
      <c r="D1522" s="374" t="str">
        <f>Intv_BA!D2082</f>
        <v>Gauze, Non-Sterile (ZM)</v>
      </c>
      <c r="F1522" s="342" t="s">
        <v>47</v>
      </c>
    </row>
    <row r="1523" spans="4:6" s="322" customFormat="1" x14ac:dyDescent="0.2">
      <c r="D1523" s="374" t="str">
        <f>Intv_BA!D2083</f>
        <v>Gauze, Non-Sterile (TZ)</v>
      </c>
      <c r="F1523" s="342" t="s">
        <v>47</v>
      </c>
    </row>
    <row r="1524" spans="4:6" s="322" customFormat="1" x14ac:dyDescent="0.2">
      <c r="D1524" s="374" t="str">
        <f>Intv_BA!D2084</f>
        <v>Gauze, Sterile (ZM)</v>
      </c>
      <c r="F1524" s="342" t="s">
        <v>47</v>
      </c>
    </row>
    <row r="1525" spans="4:6" s="322" customFormat="1" x14ac:dyDescent="0.2">
      <c r="D1525" s="374" t="str">
        <f>Intv_BA!D2085</f>
        <v>Gauze, Sterile (TZ)</v>
      </c>
      <c r="F1525" s="342" t="s">
        <v>47</v>
      </c>
    </row>
    <row r="1526" spans="4:6" s="322" customFormat="1" x14ac:dyDescent="0.2">
      <c r="D1526" s="374" t="str">
        <f>Intv_BA!D2086</f>
        <v>Gloves (UG)</v>
      </c>
      <c r="F1526" s="342" t="s">
        <v>47</v>
      </c>
    </row>
    <row r="1527" spans="4:6" s="322" customFormat="1" x14ac:dyDescent="0.2">
      <c r="D1527" s="374" t="str">
        <f>Intv_BA!D2087</f>
        <v>Gloves, Non-Sterile, Examination, latex, assorted sizes, disp. (ZM)</v>
      </c>
      <c r="F1527" s="342" t="s">
        <v>47</v>
      </c>
    </row>
    <row r="1528" spans="4:6" s="322" customFormat="1" x14ac:dyDescent="0.2">
      <c r="D1528" s="374" t="str">
        <f>Intv_BA!D2088</f>
        <v>Gloves, Non-Sterile, Examination, latex, medium, disp. (TZ)</v>
      </c>
      <c r="F1528" s="342" t="s">
        <v>47</v>
      </c>
    </row>
    <row r="1529" spans="4:6" s="322" customFormat="1" x14ac:dyDescent="0.2">
      <c r="D1529" s="374" t="str">
        <f>Intv_BA!D2089</f>
        <v>Gloves, Sterile (TZ)</v>
      </c>
      <c r="F1529" s="342" t="s">
        <v>47</v>
      </c>
    </row>
    <row r="1530" spans="4:6" s="322" customFormat="1" x14ac:dyDescent="0.2">
      <c r="D1530" s="374" t="str">
        <f>Intv_BA!D2090</f>
        <v>Gloves, Sterile 7.5 (ZM)</v>
      </c>
      <c r="F1530" s="342" t="s">
        <v>47</v>
      </c>
    </row>
    <row r="1531" spans="4:6" s="322" customFormat="1" x14ac:dyDescent="0.2">
      <c r="D1531" s="374" t="str">
        <f>Intv_BA!D2091</f>
        <v>Halothane (ZM)</v>
      </c>
      <c r="F1531" s="342" t="s">
        <v>47</v>
      </c>
    </row>
    <row r="1532" spans="4:6" s="322" customFormat="1" x14ac:dyDescent="0.2">
      <c r="D1532" s="374" t="str">
        <f>Intv_BA!D2092</f>
        <v>IV canula 22G  (ZM)</v>
      </c>
      <c r="F1532" s="342" t="s">
        <v>47</v>
      </c>
    </row>
    <row r="1533" spans="4:6" s="322" customFormat="1" x14ac:dyDescent="0.2">
      <c r="D1533" s="374" t="str">
        <f>Intv_BA!D2093</f>
        <v>IV canula 22G (each) (TZ)</v>
      </c>
      <c r="F1533" s="342" t="s">
        <v>47</v>
      </c>
    </row>
    <row r="1534" spans="4:6" s="322" customFormat="1" x14ac:dyDescent="0.2">
      <c r="D1534" s="374" t="str">
        <f>Intv_BA!D2094</f>
        <v>IV giving set (each) (TZ)</v>
      </c>
      <c r="F1534" s="342" t="s">
        <v>47</v>
      </c>
    </row>
    <row r="1535" spans="4:6" s="322" customFormat="1" x14ac:dyDescent="0.2">
      <c r="D1535" s="374" t="str">
        <f>Intv_BA!D2095</f>
        <v>IV giving set (closed system) (ZM)</v>
      </c>
      <c r="F1535" s="342" t="s">
        <v>47</v>
      </c>
    </row>
    <row r="1536" spans="4:6" s="322" customFormat="1" x14ac:dyDescent="0.2">
      <c r="D1536" s="374" t="str">
        <f>Intv_BA!D2096</f>
        <v>IV line (set) (ZM)</v>
      </c>
      <c r="F1536" s="342" t="s">
        <v>47</v>
      </c>
    </row>
    <row r="1537" spans="4:6" s="322" customFormat="1" x14ac:dyDescent="0.2">
      <c r="D1537" s="374" t="str">
        <f>Intv_BA!D2097</f>
        <v>IV line (set) (TZ)</v>
      </c>
      <c r="F1537" s="342" t="s">
        <v>47</v>
      </c>
    </row>
    <row r="1538" spans="4:6" s="322" customFormat="1" x14ac:dyDescent="0.2">
      <c r="D1538" s="374" t="str">
        <f>Intv_BA!D2098</f>
        <v>Ketamine (ZM)</v>
      </c>
      <c r="F1538" s="342" t="s">
        <v>47</v>
      </c>
    </row>
    <row r="1539" spans="4:6" s="322" customFormat="1" x14ac:dyDescent="0.2">
      <c r="D1539" s="374" t="str">
        <f>Intv_BA!D2099</f>
        <v>Kitchen Towel (ZM)</v>
      </c>
      <c r="F1539" s="342" t="s">
        <v>47</v>
      </c>
    </row>
    <row r="1540" spans="4:6" s="322" customFormat="1" x14ac:dyDescent="0.2">
      <c r="D1540" s="374" t="str">
        <f>Intv_BA!D2100</f>
        <v>K-Y jelly  (TZ)</v>
      </c>
      <c r="F1540" s="342" t="s">
        <v>47</v>
      </c>
    </row>
    <row r="1541" spans="4:6" s="322" customFormat="1" x14ac:dyDescent="0.2">
      <c r="D1541" s="374" t="str">
        <f>Intv_BA!D2101</f>
        <v>K-Y jelly Tube w/ 100 applcations ea) (ZM)</v>
      </c>
      <c r="F1541" s="342" t="s">
        <v>47</v>
      </c>
    </row>
    <row r="1542" spans="4:6" s="322" customFormat="1" x14ac:dyDescent="0.2">
      <c r="D1542" s="374" t="str">
        <f>Intv_BA!D2102</f>
        <v>Label (TZ)</v>
      </c>
      <c r="F1542" s="342" t="s">
        <v>47</v>
      </c>
    </row>
    <row r="1543" spans="4:6" s="322" customFormat="1" x14ac:dyDescent="0.2">
      <c r="D1543" s="374" t="str">
        <f>Intv_BA!D2103</f>
        <v>Lidocaine 1% or 2% without epinephrine (UG)</v>
      </c>
      <c r="F1543" s="342" t="s">
        <v>47</v>
      </c>
    </row>
    <row r="1544" spans="4:6" s="322" customFormat="1" x14ac:dyDescent="0.2">
      <c r="D1544" s="374" t="str">
        <f>Intv_BA!D2104</f>
        <v>Lidocaine 2% with epinephrine 1:80000 (ZM)</v>
      </c>
      <c r="F1544" s="342" t="s">
        <v>47</v>
      </c>
    </row>
    <row r="1545" spans="4:6" s="322" customFormat="1" x14ac:dyDescent="0.2">
      <c r="D1545" s="374" t="str">
        <f>Intv_BA!D2105</f>
        <v>Lidocaine: 2% with adrenalin 1:80000 (TZ)</v>
      </c>
      <c r="F1545" s="342" t="s">
        <v>47</v>
      </c>
    </row>
    <row r="1546" spans="4:6" s="322" customFormat="1" x14ac:dyDescent="0.2">
      <c r="D1546" s="374" t="str">
        <f>Intv_BA!D2106</f>
        <v>Liquid soap (UG)</v>
      </c>
      <c r="F1546" s="342" t="s">
        <v>47</v>
      </c>
    </row>
    <row r="1547" spans="4:6" s="322" customFormat="1" x14ac:dyDescent="0.2">
      <c r="D1547" s="374" t="str">
        <f>Intv_BA!D2107</f>
        <v>Lugol's iodine (UG)</v>
      </c>
      <c r="F1547" s="342" t="s">
        <v>47</v>
      </c>
    </row>
    <row r="1548" spans="4:6" s="322" customFormat="1" x14ac:dyDescent="0.2">
      <c r="D1548" s="374" t="str">
        <f>Intv_BA!D2108</f>
        <v>Mannitol (ZM)</v>
      </c>
      <c r="F1548" s="342" t="s">
        <v>47</v>
      </c>
    </row>
    <row r="1549" spans="4:6" s="322" customFormat="1" x14ac:dyDescent="0.2">
      <c r="D1549" s="374" t="str">
        <f>Intv_BA!D2109</f>
        <v>Metronizadol (200mg) (ZM)</v>
      </c>
      <c r="F1549" s="342" t="s">
        <v>47</v>
      </c>
    </row>
    <row r="1550" spans="4:6" s="322" customFormat="1" x14ac:dyDescent="0.2">
      <c r="D1550" s="374" t="str">
        <f>Intv_BA!D2110</f>
        <v>Metronizadol (200mg) (UG)</v>
      </c>
      <c r="F1550" s="342" t="s">
        <v>47</v>
      </c>
    </row>
    <row r="1551" spans="4:6" s="322" customFormat="1" x14ac:dyDescent="0.2">
      <c r="D1551" s="374" t="str">
        <f>Intv_BA!D2111</f>
        <v>Metronizadol (400mg) (UG)</v>
      </c>
      <c r="F1551" s="342" t="s">
        <v>47</v>
      </c>
    </row>
    <row r="1552" spans="4:6" s="322" customFormat="1" x14ac:dyDescent="0.2">
      <c r="D1552" s="374" t="str">
        <f>Intv_BA!D2112</f>
        <v>Mictomycin  C (10mg) (TZ)</v>
      </c>
      <c r="F1552" s="342" t="s">
        <v>47</v>
      </c>
    </row>
    <row r="1553" spans="4:6" s="322" customFormat="1" x14ac:dyDescent="0.2">
      <c r="D1553" s="374" t="str">
        <f>Intv_BA!D2113</f>
        <v>Mitomycin  C (10mg) (ZM)</v>
      </c>
      <c r="F1553" s="342" t="s">
        <v>47</v>
      </c>
    </row>
    <row r="1554" spans="4:6" s="322" customFormat="1" x14ac:dyDescent="0.2">
      <c r="D1554" s="374" t="str">
        <f>Intv_BA!D2114</f>
        <v>Monsel's solution (UG)</v>
      </c>
      <c r="F1554" s="342" t="s">
        <v>47</v>
      </c>
    </row>
    <row r="1555" spans="4:6" s="322" customFormat="1" x14ac:dyDescent="0.2">
      <c r="D1555" s="374" t="str">
        <f>Intv_BA!D2115</f>
        <v>Monsel's solution (ZM)</v>
      </c>
      <c r="F1555" s="342" t="s">
        <v>47</v>
      </c>
    </row>
    <row r="1556" spans="4:6" s="322" customFormat="1" x14ac:dyDescent="0.2">
      <c r="D1556" s="374" t="str">
        <f>Intv_BA!D2116</f>
        <v>Morphine (10mg) (ZM)</v>
      </c>
      <c r="F1556" s="342" t="s">
        <v>47</v>
      </c>
    </row>
    <row r="1557" spans="4:6" s="322" customFormat="1" x14ac:dyDescent="0.2">
      <c r="D1557" s="374" t="str">
        <f>Intv_BA!D2117</f>
        <v>Morphine (10mg) (TZ)</v>
      </c>
      <c r="F1557" s="342" t="s">
        <v>47</v>
      </c>
    </row>
    <row r="1558" spans="4:6" s="322" customFormat="1" x14ac:dyDescent="0.2">
      <c r="D1558" s="374" t="str">
        <f>Intv_BA!D2118</f>
        <v>Mutton Cloth (ZM)</v>
      </c>
      <c r="F1558" s="342" t="s">
        <v>47</v>
      </c>
    </row>
    <row r="1559" spans="4:6" s="322" customFormat="1" x14ac:dyDescent="0.2">
      <c r="D1559" s="374" t="str">
        <f>Intv_BA!D2119</f>
        <v>Needle – 18 or 20 gauge (TZ)</v>
      </c>
      <c r="F1559" s="342" t="s">
        <v>47</v>
      </c>
    </row>
    <row r="1560" spans="4:6" s="322" customFormat="1" x14ac:dyDescent="0.2">
      <c r="D1560" s="374" t="str">
        <f>Intv_BA!D2120</f>
        <v>Needle - Spinal 22G (disposable) (ZM)</v>
      </c>
      <c r="F1560" s="342" t="s">
        <v>47</v>
      </c>
    </row>
    <row r="1561" spans="4:6" s="322" customFormat="1" x14ac:dyDescent="0.2">
      <c r="D1561" s="374" t="str">
        <f>Intv_BA!D2121</f>
        <v>Needle - Spinal 22G (disposable) (TZ)</v>
      </c>
      <c r="F1561" s="342" t="s">
        <v>47</v>
      </c>
    </row>
    <row r="1562" spans="4:6" s="322" customFormat="1" x14ac:dyDescent="0.2">
      <c r="D1562" s="374" t="str">
        <f>Intv_BA!D2122</f>
        <v>Needles - Dental 27G Long (ZM)</v>
      </c>
      <c r="F1562" s="342" t="s">
        <v>47</v>
      </c>
    </row>
    <row r="1563" spans="4:6" s="322" customFormat="1" x14ac:dyDescent="0.2">
      <c r="D1563" s="374" t="str">
        <f>Intv_BA!D2123</f>
        <v>Neostymine (ZM)</v>
      </c>
      <c r="F1563" s="342" t="s">
        <v>47</v>
      </c>
    </row>
    <row r="1564" spans="4:6" s="322" customFormat="1" x14ac:dyDescent="0.2">
      <c r="D1564" s="374" t="str">
        <f>Intv_BA!D2124</f>
        <v>Normal saline (UG)</v>
      </c>
      <c r="F1564" s="342" t="s">
        <v>47</v>
      </c>
    </row>
    <row r="1565" spans="4:6" s="322" customFormat="1" x14ac:dyDescent="0.2">
      <c r="D1565" s="374" t="str">
        <f>Intv_BA!D2125</f>
        <v>Normal saline (ZM)</v>
      </c>
      <c r="F1565" s="342" t="s">
        <v>47</v>
      </c>
    </row>
    <row r="1566" spans="4:6" s="322" customFormat="1" x14ac:dyDescent="0.2">
      <c r="D1566" s="374" t="str">
        <f>Intv_BA!D2126</f>
        <v>Nystain (200mg) (UG)</v>
      </c>
      <c r="F1566" s="342" t="s">
        <v>47</v>
      </c>
    </row>
    <row r="1567" spans="4:6" s="322" customFormat="1" x14ac:dyDescent="0.2">
      <c r="D1567" s="374" t="str">
        <f>Intv_BA!D2127</f>
        <v>Ondansetron (IV) 4mg vials</v>
      </c>
      <c r="F1567" s="342" t="s">
        <v>47</v>
      </c>
    </row>
    <row r="1568" spans="4:6" s="322" customFormat="1" x14ac:dyDescent="0.2">
      <c r="D1568" s="374" t="str">
        <f>Intv_BA!D2128</f>
        <v>Ondasetron (oral) (4mg tablets)</v>
      </c>
      <c r="F1568" s="342" t="s">
        <v>47</v>
      </c>
    </row>
    <row r="1569" spans="4:6" x14ac:dyDescent="0.2">
      <c r="D1569" s="10" t="str">
        <f>Intv_BA!D2129</f>
        <v>Opiods - Pethidine (ZM)</v>
      </c>
      <c r="F1569" s="375" t="s">
        <v>47</v>
      </c>
    </row>
    <row r="1570" spans="4:6" s="322" customFormat="1" x14ac:dyDescent="0.2">
      <c r="D1570" s="374" t="str">
        <f>Intv_BA!D2130</f>
        <v>Supplies Category 109</v>
      </c>
      <c r="F1570" s="342" t="s">
        <v>47</v>
      </c>
    </row>
    <row r="1571" spans="4:6" x14ac:dyDescent="0.2">
      <c r="D1571" s="10" t="str">
        <f>Intv_BA!D2131</f>
        <v>Oralpharyngeal airway (ZM)</v>
      </c>
      <c r="F1571" s="375" t="s">
        <v>47</v>
      </c>
    </row>
    <row r="1572" spans="4:6" x14ac:dyDescent="0.2">
      <c r="D1572" s="10" t="str">
        <f>Intv_BA!D2132</f>
        <v>Oxygen Mask (ZM)</v>
      </c>
      <c r="F1572" s="375" t="s">
        <v>47</v>
      </c>
    </row>
    <row r="1573" spans="4:6" x14ac:dyDescent="0.2">
      <c r="D1573" s="10" t="str">
        <f>Intv_BA!D2133</f>
        <v>Pancuronuien (ZM)</v>
      </c>
      <c r="F1573" s="375" t="s">
        <v>47</v>
      </c>
    </row>
    <row r="1574" spans="4:6" x14ac:dyDescent="0.2">
      <c r="D1574" s="10" t="str">
        <f>Intv_BA!D2134</f>
        <v>Paracetamol (1g) (UG)</v>
      </c>
      <c r="F1574" s="375" t="s">
        <v>47</v>
      </c>
    </row>
    <row r="1575" spans="4:6" x14ac:dyDescent="0.2">
      <c r="D1575" s="10" t="str">
        <f>Intv_BA!D2135</f>
        <v>Paracetamol (500mg) (ZM)</v>
      </c>
      <c r="F1575" s="375" t="s">
        <v>47</v>
      </c>
    </row>
    <row r="1576" spans="4:6" s="47" customFormat="1" x14ac:dyDescent="0.2">
      <c r="D1576" s="289" t="str">
        <f>Intv_BA!D2136</f>
        <v>Paracetamol (500mg) (TZ)</v>
      </c>
      <c r="F1576" s="342" t="s">
        <v>47</v>
      </c>
    </row>
    <row r="1577" spans="4:6" s="47" customFormat="1" x14ac:dyDescent="0.2">
      <c r="D1577" s="289" t="str">
        <f>Intv_BA!D2137</f>
        <v>Paracetamol (500mg) (UG)</v>
      </c>
      <c r="F1577" s="342" t="s">
        <v>47</v>
      </c>
    </row>
    <row r="1578" spans="4:6" s="47" customFormat="1" x14ac:dyDescent="0.2">
      <c r="D1578" s="289" t="str">
        <f>Intv_BA!D2138</f>
        <v>Pathology form (TZ)</v>
      </c>
      <c r="F1578" s="342" t="s">
        <v>47</v>
      </c>
    </row>
    <row r="1579" spans="4:6" s="47" customFormat="1" x14ac:dyDescent="0.2">
      <c r="D1579" s="289" t="str">
        <f>Intv_BA!D2139</f>
        <v>Patient card (TZ)</v>
      </c>
      <c r="F1579" s="342" t="s">
        <v>47</v>
      </c>
    </row>
    <row r="1580" spans="4:6" s="47" customFormat="1" x14ac:dyDescent="0.2">
      <c r="D1580" s="289" t="str">
        <f>Intv_BA!D2140</f>
        <v>Pencil (TZ)</v>
      </c>
      <c r="F1580" s="342" t="s">
        <v>47</v>
      </c>
    </row>
    <row r="1581" spans="4:6" s="322" customFormat="1" x14ac:dyDescent="0.2">
      <c r="D1581" s="374" t="str">
        <f>Intv_BA!D2141</f>
        <v>Perthodine (TZ)</v>
      </c>
      <c r="F1581" s="342" t="s">
        <v>47</v>
      </c>
    </row>
    <row r="1582" spans="4:6" s="322" customFormat="1" x14ac:dyDescent="0.2">
      <c r="D1582" s="374" t="str">
        <f>Intv_BA!D2142</f>
        <v>Pipette Tips (TZ)</v>
      </c>
      <c r="F1582" s="342" t="s">
        <v>47</v>
      </c>
    </row>
    <row r="1583" spans="4:6" s="322" customFormat="1" x14ac:dyDescent="0.2">
      <c r="D1583" s="374" t="str">
        <f>Intv_BA!D2143</f>
        <v>Pipette, Fixed, 50 microlitre (TZ)</v>
      </c>
      <c r="F1583" s="342" t="s">
        <v>47</v>
      </c>
    </row>
    <row r="1584" spans="4:6" s="322" customFormat="1" x14ac:dyDescent="0.2">
      <c r="D1584" s="374" t="str">
        <f>Intv_BA!D2144</f>
        <v>Pipette, Repeater (TZ)</v>
      </c>
      <c r="F1584" s="342" t="s">
        <v>47</v>
      </c>
    </row>
    <row r="1585" spans="4:6" s="322" customFormat="1" x14ac:dyDescent="0.2">
      <c r="D1585" s="374" t="str">
        <f>Intv_BA!D2145</f>
        <v>Pregnancy test– urine test strip (ZM)</v>
      </c>
      <c r="F1585" s="342" t="s">
        <v>47</v>
      </c>
    </row>
    <row r="1586" spans="4:6" s="322" customFormat="1" x14ac:dyDescent="0.2">
      <c r="D1586" s="374" t="str">
        <f>Intv_BA!D2146</f>
        <v>Pregnancy tests – urine test strips (TZ)</v>
      </c>
      <c r="F1586" s="342" t="s">
        <v>47</v>
      </c>
    </row>
    <row r="1587" spans="4:6" s="322" customFormat="1" x14ac:dyDescent="0.2">
      <c r="D1587" s="374" t="str">
        <f>Intv_BA!D2147</f>
        <v>Profol, 2%, 20 mg/l, 50ml (ZM)</v>
      </c>
      <c r="F1587" s="342" t="s">
        <v>47</v>
      </c>
    </row>
    <row r="1588" spans="4:6" s="322" customFormat="1" x14ac:dyDescent="0.2">
      <c r="D1588" s="374" t="str">
        <f>Intv_BA!D2148</f>
        <v>Repeater Tips (TZ)</v>
      </c>
      <c r="F1588" s="342" t="s">
        <v>47</v>
      </c>
    </row>
    <row r="1589" spans="4:6" s="322" customFormat="1" x14ac:dyDescent="0.2">
      <c r="D1589" s="374" t="str">
        <f>Intv_BA!D2149</f>
        <v>Return electrode (UG)</v>
      </c>
      <c r="F1589" s="342" t="s">
        <v>47</v>
      </c>
    </row>
    <row r="1590" spans="4:6" s="322" customFormat="1" x14ac:dyDescent="0.2">
      <c r="D1590" s="374" t="str">
        <f>Intv_BA!D2150</f>
        <v>Saline solution, normal (ZM)</v>
      </c>
      <c r="F1590" s="342" t="s">
        <v>47</v>
      </c>
    </row>
    <row r="1591" spans="4:6" s="322" customFormat="1" x14ac:dyDescent="0.2">
      <c r="D1591" s="374" t="str">
        <f>Intv_BA!D2151</f>
        <v>Saline solution, normal (TZ)</v>
      </c>
      <c r="F1591" s="342" t="s">
        <v>47</v>
      </c>
    </row>
    <row r="1592" spans="4:6" s="322" customFormat="1" x14ac:dyDescent="0.2">
      <c r="D1592" s="374" t="str">
        <f>Intv_BA!D2152</f>
        <v>Sanitary pad (ZM)</v>
      </c>
      <c r="F1592" s="342" t="s">
        <v>47</v>
      </c>
    </row>
    <row r="1593" spans="4:6" s="322" customFormat="1" x14ac:dyDescent="0.2">
      <c r="D1593" s="374" t="str">
        <f>Intv_BA!D2153</f>
        <v>Sanitary pad (UG)</v>
      </c>
      <c r="F1593" s="342" t="s">
        <v>47</v>
      </c>
    </row>
    <row r="1594" spans="4:6" s="322" customFormat="1" x14ac:dyDescent="0.2">
      <c r="D1594" s="374" t="str">
        <f>Intv_BA!D2154</f>
        <v>Scouring Powder (Ajax)</v>
      </c>
      <c r="F1594" s="342" t="s">
        <v>47</v>
      </c>
    </row>
    <row r="1595" spans="4:6" s="322" customFormat="1" x14ac:dyDescent="0.2">
      <c r="D1595" s="374" t="str">
        <f>Intv_BA!D2155</f>
        <v>Soap (or hand sanitizer) (ZM)</v>
      </c>
      <c r="F1595" s="342" t="s">
        <v>47</v>
      </c>
    </row>
    <row r="1596" spans="4:6" s="322" customFormat="1" x14ac:dyDescent="0.2">
      <c r="D1596" s="374" t="str">
        <f>Intv_BA!D2156</f>
        <v>Soap (or hand sanitizer) (TZ)</v>
      </c>
      <c r="F1596" s="342" t="s">
        <v>47</v>
      </c>
    </row>
    <row r="1597" spans="4:6" s="322" customFormat="1" x14ac:dyDescent="0.2">
      <c r="D1597" s="374" t="str">
        <f>Intv_BA!D2157</f>
        <v>Specimen bottle / recyled syringe bottles (UG)</v>
      </c>
      <c r="F1597" s="342" t="s">
        <v>47</v>
      </c>
    </row>
    <row r="1598" spans="4:6" s="322" customFormat="1" x14ac:dyDescent="0.2">
      <c r="D1598" s="374" t="str">
        <f>Intv_BA!D2158</f>
        <v>Specimen cup with lid and label - 100 cc (TZ)</v>
      </c>
      <c r="F1598" s="342" t="s">
        <v>47</v>
      </c>
    </row>
    <row r="1599" spans="4:6" s="322" customFormat="1" x14ac:dyDescent="0.2">
      <c r="D1599" s="374" t="str">
        <f>Intv_BA!D2159</f>
        <v>Surgical Apron (ZM)</v>
      </c>
      <c r="F1599" s="342" t="s">
        <v>47</v>
      </c>
    </row>
    <row r="1600" spans="4:6" s="322" customFormat="1" x14ac:dyDescent="0.2">
      <c r="D1600" s="374" t="str">
        <f>Intv_BA!D2160</f>
        <v>Suxamethonium (ZM)</v>
      </c>
      <c r="F1600" s="342" t="s">
        <v>47</v>
      </c>
    </row>
    <row r="1601" spans="4:6" s="322" customFormat="1" x14ac:dyDescent="0.2">
      <c r="D1601" s="374" t="str">
        <f>Intv_BA!D2161</f>
        <v>Syringe - 2cc (ZM)</v>
      </c>
      <c r="F1601" s="342" t="s">
        <v>47</v>
      </c>
    </row>
    <row r="1602" spans="4:6" s="322" customFormat="1" x14ac:dyDescent="0.2">
      <c r="D1602" s="374" t="str">
        <f>Intv_BA!D2162</f>
        <v>Syringe - 2ml (UG)</v>
      </c>
      <c r="F1602" s="342" t="s">
        <v>47</v>
      </c>
    </row>
    <row r="1603" spans="4:6" s="322" customFormat="1" x14ac:dyDescent="0.2">
      <c r="D1603" s="374" t="str">
        <f>Intv_BA!D2163</f>
        <v>Syringe, 10 cc with needle (ZM)</v>
      </c>
      <c r="F1603" s="342" t="s">
        <v>47</v>
      </c>
    </row>
    <row r="1604" spans="4:6" s="322" customFormat="1" x14ac:dyDescent="0.2">
      <c r="D1604" s="374" t="str">
        <f>Intv_BA!D2164</f>
        <v>Syringe, 5 cc with needle (ZM)</v>
      </c>
      <c r="F1604" s="342" t="s">
        <v>47</v>
      </c>
    </row>
    <row r="1605" spans="4:6" s="322" customFormat="1" x14ac:dyDescent="0.2">
      <c r="D1605" s="374" t="str">
        <f>Intv_BA!D2165</f>
        <v>Syringes, 10 cc with needle (TZ)</v>
      </c>
      <c r="F1605" s="342" t="s">
        <v>47</v>
      </c>
    </row>
    <row r="1606" spans="4:6" s="322" customFormat="1" x14ac:dyDescent="0.2">
      <c r="D1606" s="374" t="str">
        <f>Intv_BA!D2166</f>
        <v>Syringes, 5 cc with needle (TZ)</v>
      </c>
      <c r="F1606" s="342" t="s">
        <v>47</v>
      </c>
    </row>
    <row r="1607" spans="4:6" s="322" customFormat="1" x14ac:dyDescent="0.2">
      <c r="D1607" s="374" t="str">
        <f>Intv_BA!D2167</f>
        <v>Syringes, Dental, 25 gauge (ZM)</v>
      </c>
      <c r="F1607" s="342" t="s">
        <v>47</v>
      </c>
    </row>
    <row r="1608" spans="4:6" s="322" customFormat="1" x14ac:dyDescent="0.2">
      <c r="D1608" s="374" t="str">
        <f>Intv_BA!D2168</f>
        <v>Thiopentone,500mg vial (ZM)</v>
      </c>
      <c r="F1608" s="342" t="s">
        <v>47</v>
      </c>
    </row>
    <row r="1609" spans="4:6" s="322" customFormat="1" x14ac:dyDescent="0.2">
      <c r="D1609" s="374" t="str">
        <f>Intv_BA!D2169</f>
        <v>Toilet Tissues (roll) – 500 sheets (ZM)</v>
      </c>
      <c r="F1609" s="342" t="s">
        <v>47</v>
      </c>
    </row>
    <row r="1610" spans="4:6" s="322" customFormat="1" x14ac:dyDescent="0.2">
      <c r="D1610" s="374" t="str">
        <f>Intv_BA!D2170</f>
        <v>Tramadol (50mg)  (ZM)</v>
      </c>
      <c r="F1610" s="342" t="s">
        <v>47</v>
      </c>
    </row>
    <row r="1611" spans="4:6" s="322" customFormat="1" x14ac:dyDescent="0.2">
      <c r="D1611" s="374" t="str">
        <f>Intv_BA!D2171</f>
        <v>Tramadol (50mg) (TZ)</v>
      </c>
      <c r="F1611" s="342" t="s">
        <v>47</v>
      </c>
    </row>
    <row r="1612" spans="4:6" s="322" customFormat="1" x14ac:dyDescent="0.2">
      <c r="D1612" s="374" t="str">
        <f>Intv_BA!D2172</f>
        <v>Tubes - Endotrach (ZM)</v>
      </c>
      <c r="F1612" s="342" t="s">
        <v>47</v>
      </c>
    </row>
    <row r="1613" spans="4:6" s="322" customFormat="1" x14ac:dyDescent="0.2">
      <c r="D1613" s="374" t="str">
        <f>Intv_BA!D2173</f>
        <v>Urine Bag (ZM)</v>
      </c>
      <c r="F1613" s="342" t="s">
        <v>47</v>
      </c>
    </row>
    <row r="1614" spans="4:6" s="322" customFormat="1" x14ac:dyDescent="0.2">
      <c r="D1614" s="374" t="str">
        <f>Intv_BA!D2174</f>
        <v>Urine Bag (TZ)</v>
      </c>
      <c r="F1614" s="342" t="s">
        <v>47</v>
      </c>
    </row>
    <row r="1615" spans="4:6" s="322" customFormat="1" x14ac:dyDescent="0.2">
      <c r="D1615" s="374" t="str">
        <f>Intv_BA!D2175</f>
        <v>Washing powder (ZM)</v>
      </c>
      <c r="F1615" s="342" t="s">
        <v>47</v>
      </c>
    </row>
    <row r="1616" spans="4:6" s="322" customFormat="1" x14ac:dyDescent="0.2">
      <c r="D1616" s="374" t="str">
        <f>Intv_BA!D2176</f>
        <v>Wire electrode (UG)</v>
      </c>
      <c r="F1616" s="342" t="s">
        <v>47</v>
      </c>
    </row>
    <row r="1617" spans="3:6" s="322" customFormat="1" x14ac:dyDescent="0.2">
      <c r="D1617" s="374" t="str">
        <f>Intv_BA!D2177</f>
        <v>Wood stick (ZM)</v>
      </c>
      <c r="F1617" s="342" t="s">
        <v>47</v>
      </c>
    </row>
    <row r="1618" spans="3:6" s="322" customFormat="1" x14ac:dyDescent="0.2">
      <c r="D1618" s="374" t="str">
        <f>Intv_BA!D2178</f>
        <v>Wood stick (TZ)</v>
      </c>
      <c r="F1618" s="342" t="s">
        <v>47</v>
      </c>
    </row>
    <row r="1619" spans="3:6" s="322" customFormat="1" x14ac:dyDescent="0.2">
      <c r="D1619" s="374" t="str">
        <f>Intv_BA!D2179</f>
        <v>Supplies Category 158</v>
      </c>
      <c r="F1619" s="342" t="s">
        <v>47</v>
      </c>
    </row>
    <row r="1620" spans="3:6" s="322" customFormat="1" x14ac:dyDescent="0.2">
      <c r="D1620" s="374" t="str">
        <f>Intv_BA!D2180</f>
        <v>Supplies Category 159</v>
      </c>
      <c r="F1620" s="342" t="s">
        <v>47</v>
      </c>
    </row>
    <row r="1621" spans="3:6" s="322" customFormat="1" x14ac:dyDescent="0.2">
      <c r="D1621" s="374" t="str">
        <f>Intv_BA!D2181</f>
        <v>Supplies Category 160</v>
      </c>
      <c r="F1621" s="342" t="s">
        <v>47</v>
      </c>
    </row>
    <row r="1622" spans="3:6" s="322" customFormat="1" x14ac:dyDescent="0.2">
      <c r="D1622" s="374" t="str">
        <f>Intv_BA!D2182</f>
        <v>Supplies Category 161</v>
      </c>
      <c r="F1622" s="342" t="s">
        <v>47</v>
      </c>
    </row>
    <row r="1623" spans="3:6" s="322" customFormat="1" x14ac:dyDescent="0.2">
      <c r="D1623" s="374" t="str">
        <f>Intv_BA!D2183</f>
        <v>Supplies Category 162</v>
      </c>
      <c r="F1623" s="342" t="s">
        <v>47</v>
      </c>
    </row>
    <row r="1624" spans="3:6" s="322" customFormat="1" x14ac:dyDescent="0.2">
      <c r="D1624" s="374" t="str">
        <f>Intv_BA!D2184</f>
        <v>Supplies Category 163</v>
      </c>
      <c r="F1624" s="342" t="s">
        <v>47</v>
      </c>
    </row>
    <row r="1625" spans="3:6" s="322" customFormat="1" x14ac:dyDescent="0.2">
      <c r="D1625" s="374" t="str">
        <f>Intv_BA!D2185</f>
        <v>Other Supply (Specify)</v>
      </c>
      <c r="F1625" s="342" t="s">
        <v>47</v>
      </c>
    </row>
    <row r="1626" spans="3:6" s="322" customFormat="1" x14ac:dyDescent="0.2">
      <c r="D1626" s="374" t="str">
        <f>Intv_BA!D2186</f>
        <v>Other Supply (Specify)</v>
      </c>
      <c r="F1626" s="342" t="s">
        <v>47</v>
      </c>
    </row>
    <row r="1627" spans="3:6" s="322" customFormat="1" x14ac:dyDescent="0.2">
      <c r="D1627" s="374" t="str">
        <f>Intv_BA!D2187</f>
        <v>Other Supply (Specify)</v>
      </c>
      <c r="F1627" s="342" t="s">
        <v>47</v>
      </c>
    </row>
    <row r="1628" spans="3:6" s="322" customFormat="1" x14ac:dyDescent="0.2">
      <c r="D1628" s="374" t="str">
        <f>Intv_BA!D2188</f>
        <v>Other Supply (Specify)</v>
      </c>
      <c r="F1628" s="342" t="s">
        <v>47</v>
      </c>
    </row>
    <row r="1630" spans="3:6" ht="15.75" x14ac:dyDescent="0.2">
      <c r="C1630" s="19" t="s">
        <v>313</v>
      </c>
      <c r="F1630" s="19" t="s">
        <v>32</v>
      </c>
    </row>
    <row r="1632" spans="3:6" x14ac:dyDescent="0.2">
      <c r="D1632" s="20" t="s">
        <v>313</v>
      </c>
      <c r="F1632" s="504" t="s">
        <v>363</v>
      </c>
    </row>
    <row r="1633" spans="4:6" x14ac:dyDescent="0.2">
      <c r="D1633" s="10" t="str">
        <f>Intv_BA!D2191</f>
        <v>_Not Applicable</v>
      </c>
      <c r="F1633" s="375" t="s">
        <v>47</v>
      </c>
    </row>
    <row r="1634" spans="4:6" x14ac:dyDescent="0.2">
      <c r="D1634" s="10" t="str">
        <f>Intv_BA!D2192</f>
        <v>Aluminum pail with lid (TZ)</v>
      </c>
      <c r="F1634" s="375" t="s">
        <v>47</v>
      </c>
    </row>
    <row r="1635" spans="4:6" x14ac:dyDescent="0.2">
      <c r="D1635" s="10" t="str">
        <f>Intv_BA!D2193</f>
        <v>Autoclaving Machine (ZM)</v>
      </c>
      <c r="F1635" s="375" t="s">
        <v>47</v>
      </c>
    </row>
    <row r="1636" spans="4:6" s="322" customFormat="1" x14ac:dyDescent="0.2">
      <c r="D1636" s="374" t="str">
        <f>Intv_BA!D2194</f>
        <v>Ball electrode  5mm/Ellman (ZM)</v>
      </c>
      <c r="F1636" s="342" t="s">
        <v>47</v>
      </c>
    </row>
    <row r="1637" spans="4:6" x14ac:dyDescent="0.2">
      <c r="D1637" s="10" t="str">
        <f>Intv_BA!D2195</f>
        <v>Basin (for examination couch) (ZM)</v>
      </c>
      <c r="F1637" s="375" t="s">
        <v>47</v>
      </c>
    </row>
    <row r="1638" spans="4:6" x14ac:dyDescent="0.2">
      <c r="D1638" s="10" t="str">
        <f>Intv_BA!D2196</f>
        <v>Battery Charger (ZM)</v>
      </c>
      <c r="F1638" s="375" t="s">
        <v>47</v>
      </c>
    </row>
    <row r="1639" spans="4:6" x14ac:dyDescent="0.2">
      <c r="D1639" s="10" t="str">
        <f>Intv_BA!D2197</f>
        <v>Bucket (UG)</v>
      </c>
      <c r="F1639" s="375" t="s">
        <v>47</v>
      </c>
    </row>
    <row r="1640" spans="4:6" x14ac:dyDescent="0.2">
      <c r="D1640" s="10" t="str">
        <f>Intv_BA!D2198</f>
        <v>Bucket 20Lt plastic with lid (ZM)</v>
      </c>
      <c r="F1640" s="375" t="s">
        <v>47</v>
      </c>
    </row>
    <row r="1641" spans="4:6" x14ac:dyDescent="0.2">
      <c r="D1641" s="10" t="str">
        <f>Intv_BA!D2199</f>
        <v>Camera Rechargeable batteries ( set of 6) (ZM)</v>
      </c>
      <c r="F1641" s="375" t="s">
        <v>47</v>
      </c>
    </row>
    <row r="1642" spans="4:6" x14ac:dyDescent="0.2">
      <c r="D1642" s="10" t="str">
        <f>Intv_BA!D2200</f>
        <v>Card Reader (ZM)</v>
      </c>
      <c r="F1642" s="375" t="s">
        <v>47</v>
      </c>
    </row>
    <row r="1643" spans="4:6" x14ac:dyDescent="0.2">
      <c r="D1643" s="10" t="str">
        <f>Intv_BA!D2201</f>
        <v>CareHPV Machine (kit set) (ZM)</v>
      </c>
      <c r="F1643" s="375" t="s">
        <v>47</v>
      </c>
    </row>
    <row r="1644" spans="4:6" x14ac:dyDescent="0.2">
      <c r="D1644" s="10" t="str">
        <f>Intv_BA!D2202</f>
        <v>CareHPV Machine (kit)  (TZ)</v>
      </c>
      <c r="F1644" s="375" t="s">
        <v>47</v>
      </c>
    </row>
    <row r="1645" spans="4:6" x14ac:dyDescent="0.2">
      <c r="D1645" s="10" t="str">
        <f>Intv_BA!D2203</f>
        <v>Cauterizer (ZM)</v>
      </c>
      <c r="F1645" s="375" t="s">
        <v>47</v>
      </c>
    </row>
    <row r="1646" spans="4:6" x14ac:dyDescent="0.2">
      <c r="D1646" s="10" t="str">
        <f>Intv_BA!D2204</f>
        <v>Cauterizer  (TZ)</v>
      </c>
      <c r="F1646" s="375" t="s">
        <v>47</v>
      </c>
    </row>
    <row r="1647" spans="4:6" s="322" customFormat="1" x14ac:dyDescent="0.2">
      <c r="D1647" s="374" t="str">
        <f>Intv_BA!D2205</f>
        <v>Cervical Cold Coagulator with Instrument Cable and Therapy Probe (ZM)</v>
      </c>
      <c r="F1647" s="342" t="s">
        <v>47</v>
      </c>
    </row>
    <row r="1648" spans="4:6" x14ac:dyDescent="0.2">
      <c r="D1648" s="10" t="str">
        <f>Intv_BA!D2206</f>
        <v>Chair (ZM)</v>
      </c>
      <c r="F1648" s="375" t="s">
        <v>47</v>
      </c>
    </row>
    <row r="1649" spans="4:6" x14ac:dyDescent="0.2">
      <c r="D1649" s="10" t="str">
        <f>Intv_BA!D2207</f>
        <v>Cheetal forceps (UG)</v>
      </c>
      <c r="F1649" s="375" t="s">
        <v>47</v>
      </c>
    </row>
    <row r="1650" spans="4:6" x14ac:dyDescent="0.2">
      <c r="D1650" s="10" t="str">
        <f>Intv_BA!D2208</f>
        <v>Colposcope (set) (ZM)</v>
      </c>
      <c r="F1650" s="375" t="s">
        <v>47</v>
      </c>
    </row>
    <row r="1651" spans="4:6" x14ac:dyDescent="0.2">
      <c r="D1651" s="10" t="str">
        <f>Intv_BA!D2209</f>
        <v>Colposcope (UG)</v>
      </c>
      <c r="F1651" s="375" t="s">
        <v>47</v>
      </c>
    </row>
    <row r="1652" spans="4:6" s="47" customFormat="1" x14ac:dyDescent="0.2">
      <c r="D1652" s="289" t="str">
        <f>Intv_BA!D2210</f>
        <v>Colposcopy equipment (TZ)</v>
      </c>
      <c r="F1652" s="342" t="s">
        <v>47</v>
      </c>
    </row>
    <row r="1653" spans="4:6" s="47" customFormat="1" x14ac:dyDescent="0.2">
      <c r="D1653" s="289" t="str">
        <f>Intv_BA!D2211</f>
        <v>Cryotherapy unit (UG)</v>
      </c>
      <c r="F1653" s="342" t="s">
        <v>47</v>
      </c>
    </row>
    <row r="1654" spans="4:6" s="47" customFormat="1" x14ac:dyDescent="0.2">
      <c r="D1654" s="289" t="str">
        <f>Intv_BA!D2212</f>
        <v>Cryotherapy Unit with cryotips (set) (ZM)</v>
      </c>
      <c r="F1654" s="342" t="s">
        <v>47</v>
      </c>
    </row>
    <row r="1655" spans="4:6" s="47" customFormat="1" x14ac:dyDescent="0.2">
      <c r="D1655" s="289" t="str">
        <f>Intv_BA!D2213</f>
        <v>Cryotherapy Unit with cryotips (TZ)</v>
      </c>
      <c r="F1655" s="342" t="s">
        <v>47</v>
      </c>
    </row>
    <row r="1656" spans="4:6" s="47" customFormat="1" x14ac:dyDescent="0.2">
      <c r="D1656" s="289" t="str">
        <f>Intv_BA!D2214</f>
        <v>Digital Camera (ZM)</v>
      </c>
      <c r="F1656" s="342" t="s">
        <v>47</v>
      </c>
    </row>
    <row r="1657" spans="4:6" s="47" customFormat="1" x14ac:dyDescent="0.2">
      <c r="D1657" s="289" t="str">
        <f>Intv_BA!D2215</f>
        <v>Dissecting forceps – 12.5 cm  (TZ)</v>
      </c>
      <c r="F1657" s="342" t="s">
        <v>47</v>
      </c>
    </row>
    <row r="1658" spans="4:6" s="47" customFormat="1" x14ac:dyDescent="0.2">
      <c r="D1658" s="289" t="str">
        <f>Intv_BA!D2216</f>
        <v>Doctor's Stool (ZM)</v>
      </c>
      <c r="F1658" s="342" t="s">
        <v>47</v>
      </c>
    </row>
    <row r="1659" spans="4:6" s="47" customFormat="1" x14ac:dyDescent="0.2">
      <c r="D1659" s="289" t="str">
        <f>Intv_BA!D2217</f>
        <v>Endocervical speculum  (UG)</v>
      </c>
      <c r="F1659" s="342" t="s">
        <v>47</v>
      </c>
    </row>
    <row r="1660" spans="4:6" s="47" customFormat="1" x14ac:dyDescent="0.2">
      <c r="D1660" s="289" t="str">
        <f>Intv_BA!D2218</f>
        <v>Examination bed (UG)</v>
      </c>
      <c r="F1660" s="342" t="s">
        <v>47</v>
      </c>
    </row>
    <row r="1661" spans="4:6" s="47" customFormat="1" x14ac:dyDescent="0.2">
      <c r="D1661" s="289" t="str">
        <f>Intv_BA!D2219</f>
        <v>Examination couch (with Stirrups) (ZM)</v>
      </c>
      <c r="F1661" s="342" t="s">
        <v>47</v>
      </c>
    </row>
    <row r="1662" spans="4:6" s="47" customFormat="1" x14ac:dyDescent="0.2">
      <c r="D1662" s="289" t="str">
        <f>Intv_BA!D2220</f>
        <v>Examination light (Halogen, no bulb) (ZM)</v>
      </c>
      <c r="F1662" s="342" t="s">
        <v>47</v>
      </c>
    </row>
    <row r="1663" spans="4:6" s="322" customFormat="1" x14ac:dyDescent="0.2">
      <c r="D1663" s="374" t="str">
        <f>Intv_BA!D2221</f>
        <v>Examination light source  (TZ)</v>
      </c>
      <c r="F1663" s="342" t="s">
        <v>47</v>
      </c>
    </row>
    <row r="1664" spans="4:6" s="322" customFormat="1" x14ac:dyDescent="0.2">
      <c r="D1664" s="374" t="str">
        <f>Intv_BA!D2222</f>
        <v>Examination light source (Halogen) with bulb (set) (ZM)</v>
      </c>
      <c r="F1664" s="342" t="s">
        <v>47</v>
      </c>
    </row>
    <row r="1665" spans="4:6" s="322" customFormat="1" x14ac:dyDescent="0.2">
      <c r="D1665" s="374" t="str">
        <f>Intv_BA!D2223</f>
        <v>Examination table (UG)</v>
      </c>
      <c r="F1665" s="342" t="s">
        <v>47</v>
      </c>
    </row>
    <row r="1666" spans="4:6" s="322" customFormat="1" x14ac:dyDescent="0.2">
      <c r="D1666" s="374" t="str">
        <f>Intv_BA!D2224</f>
        <v>Filing Cabinet (ZM)</v>
      </c>
      <c r="F1666" s="342" t="s">
        <v>47</v>
      </c>
    </row>
    <row r="1667" spans="4:6" s="322" customFormat="1" x14ac:dyDescent="0.2">
      <c r="D1667" s="374" t="str">
        <f>Intv_BA!D2225</f>
        <v>Forceps (UG)</v>
      </c>
      <c r="F1667" s="342" t="s">
        <v>47</v>
      </c>
    </row>
    <row r="1668" spans="4:6" s="322" customFormat="1" x14ac:dyDescent="0.2">
      <c r="D1668" s="374" t="str">
        <f>Intv_BA!D2226</f>
        <v>Forceps Babcocks  (ZM)</v>
      </c>
      <c r="F1668" s="342" t="s">
        <v>47</v>
      </c>
    </row>
    <row r="1669" spans="4:6" s="322" customFormat="1" x14ac:dyDescent="0.2">
      <c r="D1669" s="374" t="str">
        <f>Intv_BA!D2227</f>
        <v>Forceps tissue - babcocks  (TZ)</v>
      </c>
      <c r="F1669" s="342" t="s">
        <v>47</v>
      </c>
    </row>
    <row r="1670" spans="4:6" s="322" customFormat="1" x14ac:dyDescent="0.2">
      <c r="D1670" s="374" t="str">
        <f>Intv_BA!D2228</f>
        <v>Forceps tissue - long  (TZ)</v>
      </c>
      <c r="F1670" s="342" t="s">
        <v>47</v>
      </c>
    </row>
    <row r="1671" spans="4:6" s="322" customFormat="1" x14ac:dyDescent="0.2">
      <c r="D1671" s="374" t="str">
        <f>Intv_BA!D2229</f>
        <v>Forceps tissue- litlewoods 19 cm  (TZ)</v>
      </c>
      <c r="F1671" s="342" t="s">
        <v>47</v>
      </c>
    </row>
    <row r="1672" spans="4:6" s="322" customFormat="1" x14ac:dyDescent="0.2">
      <c r="D1672" s="374" t="str">
        <f>Intv_BA!D2230</f>
        <v>Forceps, Cheetal (ZM)</v>
      </c>
      <c r="F1672" s="342" t="s">
        <v>47</v>
      </c>
    </row>
    <row r="1673" spans="4:6" s="322" customFormat="1" x14ac:dyDescent="0.2">
      <c r="D1673" s="374" t="str">
        <f>Intv_BA!D2231</f>
        <v>Forceps, Dissecting - 12.5 cm (ZM)</v>
      </c>
      <c r="F1673" s="342" t="s">
        <v>47</v>
      </c>
    </row>
    <row r="1674" spans="4:6" s="322" customFormat="1" x14ac:dyDescent="0.2">
      <c r="D1674" s="374" t="str">
        <f>Intv_BA!D2232</f>
        <v>Forceps, Littlewoods 19 cm (ZM)</v>
      </c>
      <c r="F1674" s="342" t="s">
        <v>47</v>
      </c>
    </row>
    <row r="1675" spans="4:6" s="322" customFormat="1" x14ac:dyDescent="0.2">
      <c r="D1675" s="374" t="str">
        <f>Intv_BA!D2233</f>
        <v>Forceps, Long  (ZM)</v>
      </c>
      <c r="F1675" s="342" t="s">
        <v>47</v>
      </c>
    </row>
    <row r="1676" spans="4:6" s="322" customFormat="1" x14ac:dyDescent="0.2">
      <c r="D1676" s="374" t="str">
        <f>Intv_BA!D2234</f>
        <v>Forceps, ovum (ZM)</v>
      </c>
      <c r="F1676" s="342" t="s">
        <v>47</v>
      </c>
    </row>
    <row r="1677" spans="4:6" s="322" customFormat="1" x14ac:dyDescent="0.2">
      <c r="D1677" s="374" t="str">
        <f>Intv_BA!D2235</f>
        <v>Forceps, ovum  (TZ)</v>
      </c>
      <c r="F1677" s="342" t="s">
        <v>47</v>
      </c>
    </row>
    <row r="1678" spans="4:6" s="322" customFormat="1" x14ac:dyDescent="0.2">
      <c r="D1678" s="374" t="str">
        <f>Intv_BA!D2236</f>
        <v>Forceps, Punch biopsy (ZM)</v>
      </c>
      <c r="F1678" s="342" t="s">
        <v>47</v>
      </c>
    </row>
    <row r="1679" spans="4:6" s="322" customFormat="1" x14ac:dyDescent="0.2">
      <c r="D1679" s="374" t="str">
        <f>Intv_BA!D2237</f>
        <v>Forceps, punch biopsy (TZ)</v>
      </c>
      <c r="F1679" s="342" t="s">
        <v>47</v>
      </c>
    </row>
    <row r="1680" spans="4:6" s="322" customFormat="1" x14ac:dyDescent="0.2">
      <c r="D1680" s="374" t="str">
        <f>Intv_BA!D2238</f>
        <v>Forceps, Sponge holder (ZM)</v>
      </c>
      <c r="F1680" s="342" t="s">
        <v>47</v>
      </c>
    </row>
    <row r="1681" spans="4:6" s="322" customFormat="1" x14ac:dyDescent="0.2">
      <c r="D1681" s="374" t="str">
        <f>Intv_BA!D2239</f>
        <v>Forceps, sponge holder  (TZ)</v>
      </c>
      <c r="F1681" s="342" t="s">
        <v>47</v>
      </c>
    </row>
    <row r="1682" spans="4:6" s="322" customFormat="1" x14ac:dyDescent="0.2">
      <c r="D1682" s="374" t="str">
        <f>Intv_BA!D2240</f>
        <v>Gallipot (ZM)</v>
      </c>
      <c r="F1682" s="342" t="s">
        <v>47</v>
      </c>
    </row>
    <row r="1683" spans="4:6" s="322" customFormat="1" x14ac:dyDescent="0.2">
      <c r="D1683" s="374" t="str">
        <f>Intv_BA!D2241</f>
        <v>Gallipot (UG)</v>
      </c>
      <c r="F1683" s="342" t="s">
        <v>47</v>
      </c>
    </row>
    <row r="1684" spans="4:6" s="322" customFormat="1" x14ac:dyDescent="0.2">
      <c r="D1684" s="374" t="str">
        <f>Intv_BA!D2242</f>
        <v>Gas cylinder adaptor (ZM)</v>
      </c>
      <c r="F1684" s="342" t="s">
        <v>47</v>
      </c>
    </row>
    <row r="1685" spans="4:6" s="322" customFormat="1" x14ac:dyDescent="0.2">
      <c r="D1685" s="374" t="str">
        <f>Intv_BA!D2243</f>
        <v>Gas cylinder adaptor  (TZ)</v>
      </c>
      <c r="F1685" s="342" t="s">
        <v>47</v>
      </c>
    </row>
    <row r="1686" spans="4:6" s="322" customFormat="1" x14ac:dyDescent="0.2">
      <c r="D1686" s="374" t="str">
        <f>Intv_BA!D2244</f>
        <v>Gynecological examination bed  (TZ)</v>
      </c>
      <c r="F1686" s="342" t="s">
        <v>47</v>
      </c>
    </row>
    <row r="1687" spans="4:6" s="322" customFormat="1" x14ac:dyDescent="0.2">
      <c r="D1687" s="374" t="str">
        <f>Intv_BA!D2245</f>
        <v>Halogen Bulbs (ZM)</v>
      </c>
      <c r="F1687" s="342" t="s">
        <v>47</v>
      </c>
    </row>
    <row r="1688" spans="4:6" s="322" customFormat="1" x14ac:dyDescent="0.2">
      <c r="D1688" s="374" t="str">
        <f>Intv_BA!D2246</f>
        <v>Hysterectomy Set (ZM)</v>
      </c>
      <c r="F1688" s="342" t="s">
        <v>47</v>
      </c>
    </row>
    <row r="1689" spans="4:6" s="322" customFormat="1" x14ac:dyDescent="0.2">
      <c r="D1689" s="374" t="str">
        <f>Intv_BA!D2247</f>
        <v>Instrument tray (ZM)</v>
      </c>
      <c r="F1689" s="342" t="s">
        <v>47</v>
      </c>
    </row>
    <row r="1690" spans="4:6" s="322" customFormat="1" x14ac:dyDescent="0.2">
      <c r="D1690" s="374" t="str">
        <f>Intv_BA!D2248</f>
        <v>Instrument tray  (TZ)</v>
      </c>
      <c r="F1690" s="342" t="s">
        <v>47</v>
      </c>
    </row>
    <row r="1691" spans="4:6" s="322" customFormat="1" x14ac:dyDescent="0.2">
      <c r="D1691" s="374" t="str">
        <f>Intv_BA!D2249</f>
        <v>Kidney Dish (ZM)</v>
      </c>
      <c r="F1691" s="342" t="s">
        <v>47</v>
      </c>
    </row>
    <row r="1692" spans="4:6" s="322" customFormat="1" x14ac:dyDescent="0.2">
      <c r="D1692" s="374" t="str">
        <f>Intv_BA!D2250</f>
        <v>Kidney Dish (UG)</v>
      </c>
      <c r="F1692" s="342" t="s">
        <v>47</v>
      </c>
    </row>
    <row r="1693" spans="4:6" s="322" customFormat="1" x14ac:dyDescent="0.2">
      <c r="D1693" s="374" t="str">
        <f>Intv_BA!D2251</f>
        <v>Lamp (UG)</v>
      </c>
      <c r="F1693" s="342" t="s">
        <v>47</v>
      </c>
    </row>
    <row r="1694" spans="4:6" s="322" customFormat="1" x14ac:dyDescent="0.2">
      <c r="D1694" s="374" t="str">
        <f>Intv_BA!D2252</f>
        <v>Laptop / Desktop Computer (ZM)</v>
      </c>
      <c r="F1694" s="342" t="s">
        <v>47</v>
      </c>
    </row>
    <row r="1695" spans="4:6" s="322" customFormat="1" x14ac:dyDescent="0.2">
      <c r="D1695" s="374" t="str">
        <f>Intv_BA!D2253</f>
        <v>LEEP Equipment  (TZ)</v>
      </c>
      <c r="F1695" s="342" t="s">
        <v>47</v>
      </c>
    </row>
    <row r="1696" spans="4:6" s="322" customFormat="1" x14ac:dyDescent="0.2">
      <c r="D1696" s="374" t="str">
        <f>Intv_BA!D2254</f>
        <v>LEEP machine plus smoke evacuator system plus accessories (ZM)</v>
      </c>
      <c r="F1696" s="342" t="s">
        <v>47</v>
      </c>
    </row>
    <row r="1697" spans="4:6" s="322" customFormat="1" x14ac:dyDescent="0.2">
      <c r="D1697" s="374" t="str">
        <f>Intv_BA!D2255</f>
        <v>LEEP machine  with coated speculums (UG)</v>
      </c>
      <c r="F1697" s="342" t="s">
        <v>47</v>
      </c>
    </row>
    <row r="1698" spans="4:6" s="322" customFormat="1" x14ac:dyDescent="0.2">
      <c r="D1698" s="374" t="str">
        <f>Intv_BA!D2256</f>
        <v>Lensmate SX 40 Filter Adapter 58mm (ZM)</v>
      </c>
      <c r="F1698" s="342" t="s">
        <v>47</v>
      </c>
    </row>
    <row r="1699" spans="4:6" s="322" customFormat="1" x14ac:dyDescent="0.2">
      <c r="D1699" s="374" t="str">
        <f>Intv_BA!D2257</f>
        <v>Loop Electrodes - 5 mm x 5mm (Ellman) (ZM)</v>
      </c>
      <c r="F1699" s="342" t="s">
        <v>47</v>
      </c>
    </row>
    <row r="1700" spans="4:6" s="322" customFormat="1" x14ac:dyDescent="0.2">
      <c r="D1700" s="374" t="str">
        <f>Intv_BA!D2258</f>
        <v>Loop Electrodes - 10 mm x 10mm (Ellman) (ZM)</v>
      </c>
      <c r="F1700" s="342" t="s">
        <v>47</v>
      </c>
    </row>
    <row r="1701" spans="4:6" s="322" customFormat="1" x14ac:dyDescent="0.2">
      <c r="D1701" s="374" t="str">
        <f>Intv_BA!D2259</f>
        <v>Loop Electrodes - 20 mm x 8mm (Ellman) (ZM)</v>
      </c>
      <c r="F1701" s="342" t="s">
        <v>47</v>
      </c>
    </row>
    <row r="1702" spans="4:6" s="322" customFormat="1" x14ac:dyDescent="0.2">
      <c r="D1702" s="374" t="str">
        <f>Intv_BA!D2260</f>
        <v>Loop Electrodes - 20 mm x 15mm (Ellman) (ZM)</v>
      </c>
      <c r="F1702" s="342" t="s">
        <v>47</v>
      </c>
    </row>
    <row r="1703" spans="4:6" s="322" customFormat="1" x14ac:dyDescent="0.2">
      <c r="D1703" s="374" t="str">
        <f>Intv_BA!D2261</f>
        <v>Mackintosh (Plastic sheet for exam couch) (ZM)</v>
      </c>
      <c r="F1703" s="342" t="s">
        <v>47</v>
      </c>
    </row>
    <row r="1704" spans="4:6" s="322" customFormat="1" x14ac:dyDescent="0.2">
      <c r="D1704" s="374" t="str">
        <f>Intv_BA!D2262</f>
        <v>Magnification Lens (ZM)</v>
      </c>
      <c r="F1704" s="342" t="s">
        <v>47</v>
      </c>
    </row>
    <row r="1705" spans="4:6" s="322" customFormat="1" x14ac:dyDescent="0.2">
      <c r="D1705" s="374" t="str">
        <f>Intv_BA!D2263</f>
        <v>Medical Rubber Mackintosh Sheet (ZM)</v>
      </c>
      <c r="F1705" s="342" t="s">
        <v>47</v>
      </c>
    </row>
    <row r="1706" spans="4:6" s="322" customFormat="1" x14ac:dyDescent="0.2">
      <c r="D1706" s="374" t="str">
        <f>Intv_BA!D2264</f>
        <v>Medical Rubber Mackintosh Sheet   (TZ)</v>
      </c>
      <c r="F1706" s="342" t="s">
        <v>47</v>
      </c>
    </row>
    <row r="1707" spans="4:6" s="322" customFormat="1" x14ac:dyDescent="0.2">
      <c r="D1707" s="374" t="str">
        <f>Intv_BA!D2265</f>
        <v>Memory Card (ZM)</v>
      </c>
      <c r="F1707" s="342" t="s">
        <v>47</v>
      </c>
    </row>
    <row r="1708" spans="4:6" s="322" customFormat="1" x14ac:dyDescent="0.2">
      <c r="D1708" s="374" t="str">
        <f>Intv_BA!D2266</f>
        <v>Multi-Tip Cryo-Probe System with British adapter for NO2 includes gun, regulator, hose(2/3Tips included) (set) (ZM)</v>
      </c>
      <c r="F1708" s="342" t="s">
        <v>47</v>
      </c>
    </row>
    <row r="1709" spans="4:6" s="322" customFormat="1" x14ac:dyDescent="0.2">
      <c r="D1709" s="374" t="str">
        <f>Intv_BA!D2267</f>
        <v>Non-conducting speculum  Pederson  (ZM)</v>
      </c>
      <c r="F1709" s="342" t="s">
        <v>47</v>
      </c>
    </row>
    <row r="1710" spans="4:6" s="322" customFormat="1" x14ac:dyDescent="0.2">
      <c r="D1710" s="374" t="str">
        <f>Intv_BA!D2268</f>
        <v>Non-conducting speculum (UG)</v>
      </c>
      <c r="F1710" s="342" t="s">
        <v>47</v>
      </c>
    </row>
    <row r="1711" spans="4:6" s="322" customFormat="1" x14ac:dyDescent="0.2">
      <c r="D1711" s="374" t="str">
        <f>Intv_BA!D2269</f>
        <v>Nurses Table (ZM)</v>
      </c>
      <c r="F1711" s="342" t="s">
        <v>47</v>
      </c>
    </row>
    <row r="1712" spans="4:6" s="322" customFormat="1" x14ac:dyDescent="0.2">
      <c r="D1712" s="374" t="str">
        <f>Intv_BA!D2270</f>
        <v>Pillow (ZM)</v>
      </c>
      <c r="F1712" s="342" t="s">
        <v>47</v>
      </c>
    </row>
    <row r="1713" spans="4:6" s="322" customFormat="1" x14ac:dyDescent="0.2">
      <c r="D1713" s="374" t="str">
        <f>Intv_BA!D2271</f>
        <v>Plastic apron (ZM)</v>
      </c>
      <c r="F1713" s="342" t="s">
        <v>47</v>
      </c>
    </row>
    <row r="1714" spans="4:6" s="322" customFormat="1" x14ac:dyDescent="0.2">
      <c r="D1714" s="374" t="str">
        <f>Intv_BA!D2272</f>
        <v>Plastic apron  (TZ)</v>
      </c>
      <c r="F1714" s="342" t="s">
        <v>47</v>
      </c>
    </row>
    <row r="1715" spans="4:6" s="322" customFormat="1" x14ac:dyDescent="0.2">
      <c r="D1715" s="374" t="str">
        <f>Intv_BA!D2273</f>
        <v>Privacy screen (portable) (ZM)</v>
      </c>
      <c r="F1715" s="342" t="s">
        <v>47</v>
      </c>
    </row>
    <row r="1716" spans="4:6" s="322" customFormat="1" x14ac:dyDescent="0.2">
      <c r="D1716" s="374" t="str">
        <f>Intv_BA!D2274</f>
        <v>Privacy screen (portable) (TZ)</v>
      </c>
      <c r="F1716" s="342" t="s">
        <v>47</v>
      </c>
    </row>
    <row r="1717" spans="4:6" s="322" customFormat="1" x14ac:dyDescent="0.2">
      <c r="D1717" s="374" t="str">
        <f>Intv_BA!D2275</f>
        <v>Punch Biopsy Forceps  Titanium 10" (ZM)</v>
      </c>
      <c r="F1717" s="342" t="s">
        <v>47</v>
      </c>
    </row>
    <row r="1718" spans="4:6" s="322" customFormat="1" x14ac:dyDescent="0.2">
      <c r="D1718" s="374" t="str">
        <f>Intv_BA!D2276</f>
        <v>Punch Biopsy Forceps (UG)</v>
      </c>
      <c r="F1718" s="342" t="s">
        <v>47</v>
      </c>
    </row>
    <row r="1719" spans="4:6" s="322" customFormat="1" x14ac:dyDescent="0.2">
      <c r="D1719" s="374" t="str">
        <f>Intv_BA!D2277</f>
        <v>Radiotherapy Machine - intra-cavity ( internal)  (TZ)</v>
      </c>
      <c r="F1719" s="342" t="s">
        <v>47</v>
      </c>
    </row>
    <row r="1720" spans="4:6" s="322" customFormat="1" x14ac:dyDescent="0.2">
      <c r="D1720" s="374" t="str">
        <f>Intv_BA!D2278</f>
        <v>Radiotherapy Machine - teletherapy (external) Cobalt-60  (TZ)</v>
      </c>
      <c r="F1720" s="342" t="s">
        <v>47</v>
      </c>
    </row>
    <row r="1721" spans="4:6" s="322" customFormat="1" x14ac:dyDescent="0.2">
      <c r="D1721" s="374" t="str">
        <f>Intv_BA!D2279</f>
        <v>Radiotherapy Treatment Couch  (TZ)</v>
      </c>
      <c r="F1721" s="342" t="s">
        <v>47</v>
      </c>
    </row>
    <row r="1722" spans="4:6" s="322" customFormat="1" x14ac:dyDescent="0.2">
      <c r="D1722" s="374" t="str">
        <f>Intv_BA!D2280</f>
        <v>Registration book, patient  (TZ)</v>
      </c>
      <c r="F1722" s="342" t="s">
        <v>47</v>
      </c>
    </row>
    <row r="1723" spans="4:6" s="322" customFormat="1" x14ac:dyDescent="0.2">
      <c r="D1723" s="374" t="str">
        <f>Intv_BA!D2281</f>
        <v>Retractor 3.5" Coated Lateral Wall (ZM)</v>
      </c>
      <c r="F1723" s="342" t="s">
        <v>47</v>
      </c>
    </row>
    <row r="1724" spans="4:6" s="322" customFormat="1" x14ac:dyDescent="0.2">
      <c r="D1724" s="374" t="str">
        <f>Intv_BA!D2282</f>
        <v>Smoke evacuator (UG)</v>
      </c>
      <c r="F1724" s="342" t="s">
        <v>47</v>
      </c>
    </row>
    <row r="1725" spans="4:6" s="322" customFormat="1" x14ac:dyDescent="0.2">
      <c r="D1725" s="374" t="str">
        <f>Intv_BA!D2283</f>
        <v>Specimen Tube rack  (TZ)</v>
      </c>
      <c r="F1725" s="342" t="s">
        <v>47</v>
      </c>
    </row>
    <row r="1726" spans="4:6" s="322" customFormat="1" x14ac:dyDescent="0.2">
      <c r="D1726" s="374" t="str">
        <f>Intv_BA!D2284</f>
        <v>Speculum  (TZ)</v>
      </c>
      <c r="F1726" s="342" t="s">
        <v>47</v>
      </c>
    </row>
    <row r="1727" spans="4:6" s="322" customFormat="1" x14ac:dyDescent="0.2">
      <c r="D1727" s="374" t="str">
        <f>Intv_BA!D2285</f>
        <v>Speculum (reusable) (UG)</v>
      </c>
      <c r="F1727" s="342" t="s">
        <v>47</v>
      </c>
    </row>
    <row r="1728" spans="4:6" s="322" customFormat="1" x14ac:dyDescent="0.2">
      <c r="D1728" s="374" t="str">
        <f>Intv_BA!D2286</f>
        <v>Speculum (UG)</v>
      </c>
      <c r="F1728" s="342" t="s">
        <v>47</v>
      </c>
    </row>
    <row r="1729" spans="4:6" s="322" customFormat="1" x14ac:dyDescent="0.2">
      <c r="D1729" s="374" t="str">
        <f>Intv_BA!D2287</f>
        <v>Speculum Graves' large  (ZM)</v>
      </c>
      <c r="F1729" s="342" t="s">
        <v>47</v>
      </c>
    </row>
    <row r="1730" spans="4:6" s="322" customFormat="1" x14ac:dyDescent="0.2">
      <c r="D1730" s="374" t="str">
        <f>Intv_BA!D2288</f>
        <v>Speculum Graves' Medium (ZM)</v>
      </c>
      <c r="F1730" s="342" t="s">
        <v>47</v>
      </c>
    </row>
    <row r="1731" spans="4:6" s="322" customFormat="1" x14ac:dyDescent="0.2">
      <c r="D1731" s="374" t="str">
        <f>Intv_BA!D2289</f>
        <v>Speculum  Graves'  Small (ZM)</v>
      </c>
      <c r="F1731" s="342" t="s">
        <v>47</v>
      </c>
    </row>
    <row r="1732" spans="4:6" s="322" customFormat="1" x14ac:dyDescent="0.2">
      <c r="D1732" s="374" t="str">
        <f>Intv_BA!D2290</f>
        <v>Speculum, endocervical (ZM)</v>
      </c>
      <c r="F1732" s="342" t="s">
        <v>47</v>
      </c>
    </row>
    <row r="1733" spans="4:6" s="322" customFormat="1" x14ac:dyDescent="0.2">
      <c r="D1733" s="374" t="str">
        <f>Intv_BA!D2291</f>
        <v>Sponge holding forceps (UG)</v>
      </c>
      <c r="F1733" s="342" t="s">
        <v>47</v>
      </c>
    </row>
    <row r="1734" spans="4:6" s="322" customFormat="1" x14ac:dyDescent="0.2">
      <c r="D1734" s="374" t="str">
        <f>Intv_BA!D2292</f>
        <v>Steel trolley (Two/three shelves) (ZM)</v>
      </c>
      <c r="F1734" s="342" t="s">
        <v>47</v>
      </c>
    </row>
    <row r="1735" spans="4:6" s="322" customFormat="1" x14ac:dyDescent="0.2">
      <c r="D1735" s="374" t="str">
        <f>Intv_BA!D2293</f>
        <v>Step-on stool (ZM)</v>
      </c>
      <c r="F1735" s="342" t="s">
        <v>47</v>
      </c>
    </row>
    <row r="1736" spans="4:6" s="322" customFormat="1" x14ac:dyDescent="0.2">
      <c r="D1736" s="374" t="str">
        <f>Intv_BA!D2294</f>
        <v>Sterilising Drum (ZM)</v>
      </c>
      <c r="F1736" s="342" t="s">
        <v>47</v>
      </c>
    </row>
    <row r="1737" spans="4:6" s="322" customFormat="1" x14ac:dyDescent="0.2">
      <c r="D1737" s="374" t="str">
        <f>Intv_BA!D2295</f>
        <v>Sterilizer (UG)</v>
      </c>
      <c r="F1737" s="342" t="s">
        <v>47</v>
      </c>
    </row>
    <row r="1738" spans="4:6" s="322" customFormat="1" x14ac:dyDescent="0.2">
      <c r="D1738" s="374" t="str">
        <f>Intv_BA!D2296</f>
        <v>Television set (ZM)</v>
      </c>
      <c r="F1738" s="342" t="s">
        <v>47</v>
      </c>
    </row>
    <row r="1739" spans="4:6" s="322" customFormat="1" x14ac:dyDescent="0.2">
      <c r="D1739" s="374" t="str">
        <f>Intv_BA!D2297</f>
        <v>Timer / wall clock (UG)</v>
      </c>
      <c r="F1739" s="342" t="s">
        <v>47</v>
      </c>
    </row>
    <row r="1740" spans="4:6" s="322" customFormat="1" x14ac:dyDescent="0.2">
      <c r="D1740" s="374" t="str">
        <f>Intv_BA!D2298</f>
        <v>Torch (UG)</v>
      </c>
      <c r="F1740" s="342" t="s">
        <v>47</v>
      </c>
    </row>
    <row r="1741" spans="4:6" s="322" customFormat="1" x14ac:dyDescent="0.2">
      <c r="D1741" s="374" t="str">
        <f>Intv_BA!D2299</f>
        <v>Uterine Cervical Dilator (ZM)</v>
      </c>
      <c r="F1741" s="342" t="s">
        <v>47</v>
      </c>
    </row>
    <row r="1742" spans="4:6" s="322" customFormat="1" x14ac:dyDescent="0.2">
      <c r="D1742" s="374" t="str">
        <f>Intv_BA!D2300</f>
        <v>Uterine Cervical Dilator  (TZ)</v>
      </c>
      <c r="F1742" s="342" t="s">
        <v>47</v>
      </c>
    </row>
    <row r="1743" spans="4:6" s="322" customFormat="1" x14ac:dyDescent="0.2">
      <c r="D1743" s="374" t="str">
        <f>Intv_BA!D2301</f>
        <v>Uterine Probe (ZM)</v>
      </c>
      <c r="F1743" s="342" t="s">
        <v>47</v>
      </c>
    </row>
    <row r="1744" spans="4:6" s="322" customFormat="1" x14ac:dyDescent="0.2">
      <c r="D1744" s="374" t="str">
        <f>Intv_BA!D2302</f>
        <v>Uterine Probe  (TZ)</v>
      </c>
      <c r="F1744" s="342" t="s">
        <v>47</v>
      </c>
    </row>
    <row r="1745" spans="3:6" s="322" customFormat="1" x14ac:dyDescent="0.2">
      <c r="D1745" s="374" t="str">
        <f>Intv_BA!D2303</f>
        <v>Equipment Category 113</v>
      </c>
      <c r="F1745" s="342" t="s">
        <v>47</v>
      </c>
    </row>
    <row r="1746" spans="3:6" s="322" customFormat="1" x14ac:dyDescent="0.2">
      <c r="D1746" s="374" t="str">
        <f>Intv_BA!D2304</f>
        <v>Equipment Category 114</v>
      </c>
      <c r="F1746" s="342" t="s">
        <v>47</v>
      </c>
    </row>
    <row r="1747" spans="3:6" s="322" customFormat="1" x14ac:dyDescent="0.2">
      <c r="D1747" s="374" t="str">
        <f>Intv_BA!D2305</f>
        <v>Equipment Category 115</v>
      </c>
      <c r="F1747" s="342" t="s">
        <v>47</v>
      </c>
    </row>
    <row r="1748" spans="3:6" s="322" customFormat="1" x14ac:dyDescent="0.2">
      <c r="D1748" s="374" t="str">
        <f>Intv_BA!D2306</f>
        <v>Equipment Category 116</v>
      </c>
      <c r="F1748" s="342" t="s">
        <v>47</v>
      </c>
    </row>
    <row r="1749" spans="3:6" s="322" customFormat="1" x14ac:dyDescent="0.2">
      <c r="D1749" s="374" t="str">
        <f>Intv_BA!D2307</f>
        <v>Equipment Category 117</v>
      </c>
      <c r="F1749" s="342" t="s">
        <v>47</v>
      </c>
    </row>
    <row r="1750" spans="3:6" s="322" customFormat="1" x14ac:dyDescent="0.2">
      <c r="D1750" s="374" t="str">
        <f>Intv_BA!D2308</f>
        <v>Equipment Category 118</v>
      </c>
      <c r="F1750" s="342" t="s">
        <v>47</v>
      </c>
    </row>
    <row r="1751" spans="3:6" s="322" customFormat="1" x14ac:dyDescent="0.2">
      <c r="D1751" s="374" t="str">
        <f>Intv_BA!D2309</f>
        <v>Equipment Category 119</v>
      </c>
      <c r="F1751" s="342" t="s">
        <v>47</v>
      </c>
    </row>
    <row r="1752" spans="3:6" s="322" customFormat="1" x14ac:dyDescent="0.2">
      <c r="D1752" s="374" t="str">
        <f>Intv_BA!D2310</f>
        <v>Equipment Category 120</v>
      </c>
      <c r="F1752" s="342" t="s">
        <v>47</v>
      </c>
    </row>
    <row r="1753" spans="3:6" s="322" customFormat="1" x14ac:dyDescent="0.2">
      <c r="D1753" s="374" t="str">
        <f>Intv_BA!D2311</f>
        <v>Equipment Category 121</v>
      </c>
      <c r="F1753" s="342" t="s">
        <v>47</v>
      </c>
    </row>
    <row r="1754" spans="3:6" s="322" customFormat="1" x14ac:dyDescent="0.2">
      <c r="D1754" s="374" t="str">
        <f>Intv_BA!D2312</f>
        <v>Equipment Category 122</v>
      </c>
      <c r="F1754" s="342" t="s">
        <v>47</v>
      </c>
    </row>
    <row r="1755" spans="3:6" s="322" customFormat="1" x14ac:dyDescent="0.2">
      <c r="D1755" s="374" t="str">
        <f>Intv_BA!D2313</f>
        <v>Equipment Category 123</v>
      </c>
      <c r="F1755" s="342" t="s">
        <v>47</v>
      </c>
    </row>
    <row r="1757" spans="3:6" ht="15.75" x14ac:dyDescent="0.2">
      <c r="C1757" s="19" t="s">
        <v>186</v>
      </c>
      <c r="F1757" s="19" t="s">
        <v>32</v>
      </c>
    </row>
    <row r="1759" spans="3:6" x14ac:dyDescent="0.2">
      <c r="D1759" s="20" t="s">
        <v>186</v>
      </c>
      <c r="F1759" s="492" t="s">
        <v>375</v>
      </c>
    </row>
    <row r="1760" spans="3:6" s="47" customFormat="1" x14ac:dyDescent="0.2">
      <c r="D1760" s="289" t="str">
        <f>Intv_BA!D2316</f>
        <v>_Not Applicable</v>
      </c>
      <c r="F1760" s="342" t="s">
        <v>47</v>
      </c>
    </row>
    <row r="1761" spans="4:6" s="47" customFormat="1" x14ac:dyDescent="0.2">
      <c r="D1761" s="289" t="str">
        <f>Intv_BA!D2317</f>
        <v>Biopsy Pathology (ZM)</v>
      </c>
      <c r="F1761" s="342" t="s">
        <v>47</v>
      </c>
    </row>
    <row r="1762" spans="4:6" s="47" customFormat="1" x14ac:dyDescent="0.2">
      <c r="D1762" s="289" t="str">
        <f>Intv_BA!D2318</f>
        <v>Blood chemistry (TZ)</v>
      </c>
      <c r="F1762" s="342" t="s">
        <v>47</v>
      </c>
    </row>
    <row r="1763" spans="4:6" s="47" customFormat="1" x14ac:dyDescent="0.2">
      <c r="D1763" s="289" t="str">
        <f>Intv_BA!D2319</f>
        <v>Blood slide for malaria (TZ)</v>
      </c>
      <c r="F1763" s="342" t="s">
        <v>47</v>
      </c>
    </row>
    <row r="1764" spans="4:6" s="47" customFormat="1" x14ac:dyDescent="0.2">
      <c r="D1764" s="289" t="str">
        <f>Intv_BA!D2320</f>
        <v>CareHPV test (TZ)</v>
      </c>
      <c r="F1764" s="342" t="s">
        <v>47</v>
      </c>
    </row>
    <row r="1765" spans="4:6" s="47" customFormat="1" x14ac:dyDescent="0.2">
      <c r="D1765" s="289" t="str">
        <f>Intv_BA!D2321</f>
        <v>Chest X-ray (ZM)</v>
      </c>
      <c r="F1765" s="342" t="s">
        <v>47</v>
      </c>
    </row>
    <row r="1766" spans="4:6" s="47" customFormat="1" x14ac:dyDescent="0.2">
      <c r="D1766" s="289" t="str">
        <f>Intv_BA!D2322</f>
        <v>Chest x-ray (TZ)</v>
      </c>
      <c r="F1766" s="342" t="s">
        <v>47</v>
      </c>
    </row>
    <row r="1767" spans="4:6" s="47" customFormat="1" x14ac:dyDescent="0.2">
      <c r="D1767" s="289" t="str">
        <f>Intv_BA!D2323</f>
        <v>Full Blood Count (ZM)</v>
      </c>
      <c r="F1767" s="342" t="s">
        <v>47</v>
      </c>
    </row>
    <row r="1768" spans="4:6" s="47" customFormat="1" x14ac:dyDescent="0.2">
      <c r="D1768" s="289" t="str">
        <f>Intv_BA!D2324</f>
        <v>Full blood picture (TZ)</v>
      </c>
      <c r="F1768" s="342" t="s">
        <v>47</v>
      </c>
    </row>
    <row r="1769" spans="4:6" s="322" customFormat="1" x14ac:dyDescent="0.2">
      <c r="D1769" s="374" t="str">
        <f>Intv_BA!D2325</f>
        <v>Grouping, X matching (TZ)</v>
      </c>
      <c r="F1769" s="342" t="s">
        <v>47</v>
      </c>
    </row>
    <row r="1770" spans="4:6" s="322" customFormat="1" x14ac:dyDescent="0.2">
      <c r="D1770" s="374" t="str">
        <f>Intv_BA!D2326</f>
        <v>Haemoglobin (TZ)</v>
      </c>
      <c r="F1770" s="342" t="s">
        <v>47</v>
      </c>
    </row>
    <row r="1771" spans="4:6" s="322" customFormat="1" x14ac:dyDescent="0.2">
      <c r="D1771" s="374" t="str">
        <f>Intv_BA!D2327</f>
        <v>Histopathology (TZ)</v>
      </c>
      <c r="F1771" s="342" t="s">
        <v>47</v>
      </c>
    </row>
    <row r="1772" spans="4:6" s="322" customFormat="1" x14ac:dyDescent="0.2">
      <c r="D1772" s="374" t="str">
        <f>Intv_BA!D2328</f>
        <v>Home Care (Day) (TZ)</v>
      </c>
      <c r="F1772" s="342" t="s">
        <v>47</v>
      </c>
    </row>
    <row r="1773" spans="4:6" s="322" customFormat="1" x14ac:dyDescent="0.2">
      <c r="D1773" s="374" t="str">
        <f>Intv_BA!D2329</f>
        <v>Hospital Stay (Bed Day) (TZ)</v>
      </c>
      <c r="F1773" s="342" t="s">
        <v>47</v>
      </c>
    </row>
    <row r="1774" spans="4:6" s="322" customFormat="1" x14ac:dyDescent="0.2">
      <c r="D1774" s="374" t="str">
        <f>Intv_BA!D2330</f>
        <v>Hysterectomy Pathology (ZM)</v>
      </c>
      <c r="F1774" s="342" t="s">
        <v>47</v>
      </c>
    </row>
    <row r="1775" spans="4:6" s="322" customFormat="1" x14ac:dyDescent="0.2">
      <c r="D1775" s="374" t="str">
        <f>Intv_BA!D2331</f>
        <v>LEEP Pathology (ZM)</v>
      </c>
      <c r="F1775" s="342" t="s">
        <v>47</v>
      </c>
    </row>
    <row r="1776" spans="4:6" s="322" customFormat="1" x14ac:dyDescent="0.2">
      <c r="D1776" s="374" t="str">
        <f>Intv_BA!D2332</f>
        <v>Liver Function (ZM)</v>
      </c>
      <c r="F1776" s="342" t="s">
        <v>47</v>
      </c>
    </row>
    <row r="1777" spans="4:6" s="322" customFormat="1" x14ac:dyDescent="0.2">
      <c r="D1777" s="374" t="str">
        <f>Intv_BA!D2333</f>
        <v>Planning x-ray (TZ)</v>
      </c>
      <c r="F1777" s="342" t="s">
        <v>47</v>
      </c>
    </row>
    <row r="1778" spans="4:6" s="322" customFormat="1" x14ac:dyDescent="0.2">
      <c r="D1778" s="374" t="str">
        <f>Intv_BA!D2334</f>
        <v>Renal Function (ZM)</v>
      </c>
      <c r="F1778" s="342" t="s">
        <v>47</v>
      </c>
    </row>
    <row r="1779" spans="4:6" s="322" customFormat="1" x14ac:dyDescent="0.2">
      <c r="D1779" s="374" t="str">
        <f>Intv_BA!D2335</f>
        <v>Ultrasound (ZM)</v>
      </c>
      <c r="F1779" s="342" t="s">
        <v>47</v>
      </c>
    </row>
    <row r="1780" spans="4:6" s="322" customFormat="1" x14ac:dyDescent="0.2">
      <c r="D1780" s="374" t="str">
        <f>Intv_BA!D2336</f>
        <v>ultrasound (abdominal &amp; pelvic) (TZ)</v>
      </c>
      <c r="F1780" s="342" t="s">
        <v>47</v>
      </c>
    </row>
    <row r="1781" spans="4:6" s="322" customFormat="1" x14ac:dyDescent="0.2">
      <c r="D1781" s="374" t="str">
        <f>Intv_BA!D2337</f>
        <v>Urine/stool test (TZ)</v>
      </c>
      <c r="F1781" s="342" t="s">
        <v>47</v>
      </c>
    </row>
    <row r="1782" spans="4:6" s="322" customFormat="1" x14ac:dyDescent="0.2">
      <c r="D1782" s="374" t="str">
        <f>Intv_BA!D2338</f>
        <v>Lab Tests &amp; Other Direct Costs Category 23</v>
      </c>
      <c r="F1782" s="342" t="s">
        <v>47</v>
      </c>
    </row>
    <row r="1783" spans="4:6" s="47" customFormat="1" x14ac:dyDescent="0.2">
      <c r="D1783" s="289" t="str">
        <f>Intv_BA!D2339</f>
        <v>Lab Tests &amp; Other Direct Costs Category 24</v>
      </c>
      <c r="F1783" s="342" t="s">
        <v>47</v>
      </c>
    </row>
    <row r="1784" spans="4:6" s="47" customFormat="1" x14ac:dyDescent="0.2">
      <c r="D1784" s="289" t="str">
        <f>Intv_BA!D2340</f>
        <v>Lab Tests &amp; Other Direct Costs Category 25</v>
      </c>
      <c r="F1784" s="342" t="s">
        <v>47</v>
      </c>
    </row>
    <row r="1785" spans="4:6" s="47" customFormat="1" x14ac:dyDescent="0.2">
      <c r="D1785" s="289" t="str">
        <f>Intv_BA!D2341</f>
        <v>Lab Tests &amp; Other Direct Costs Category 26</v>
      </c>
      <c r="F1785" s="342" t="s">
        <v>47</v>
      </c>
    </row>
    <row r="1786" spans="4:6" s="47" customFormat="1" x14ac:dyDescent="0.2">
      <c r="D1786" s="289" t="str">
        <f>Intv_BA!D2342</f>
        <v>Lab Tests &amp; Other Direct Costs Category 27</v>
      </c>
      <c r="F1786" s="342" t="s">
        <v>47</v>
      </c>
    </row>
    <row r="1787" spans="4:6" s="322" customFormat="1" x14ac:dyDescent="0.2">
      <c r="D1787" s="374" t="str">
        <f>Intv_BA!D2343</f>
        <v>Lab Tests &amp; Other Direct Costs Category 28</v>
      </c>
      <c r="F1787" s="342" t="s">
        <v>47</v>
      </c>
    </row>
    <row r="1788" spans="4:6" s="322" customFormat="1" x14ac:dyDescent="0.2">
      <c r="D1788" s="374" t="str">
        <f>Intv_BA!D2344</f>
        <v>Lab Tests &amp; Other Direct Costs Category 29</v>
      </c>
      <c r="F1788" s="342" t="s">
        <v>47</v>
      </c>
    </row>
    <row r="1789" spans="4:6" s="322" customFormat="1" x14ac:dyDescent="0.2">
      <c r="D1789" s="374" t="str">
        <f>Intv_BA!D2345</f>
        <v>Lab Tests &amp; Other Direct Costs Category 30</v>
      </c>
      <c r="F1789" s="342" t="s">
        <v>47</v>
      </c>
    </row>
    <row r="1790" spans="4:6" s="322" customFormat="1" x14ac:dyDescent="0.2">
      <c r="D1790" s="374" t="str">
        <f>Intv_BA!D2346</f>
        <v>Lab Tests &amp; Other Direct Costs Category 31</v>
      </c>
      <c r="F1790" s="342" t="s">
        <v>47</v>
      </c>
    </row>
    <row r="1791" spans="4:6" s="322" customFormat="1" x14ac:dyDescent="0.2">
      <c r="D1791" s="374" t="str">
        <f>Intv_BA!D2347</f>
        <v>Lab Tests &amp; Other Direct Costs Category 32</v>
      </c>
      <c r="F1791" s="342" t="s">
        <v>47</v>
      </c>
    </row>
    <row r="1792" spans="4:6" s="322" customFormat="1" x14ac:dyDescent="0.2">
      <c r="D1792" s="374" t="str">
        <f>Intv_BA!D2348</f>
        <v>Last ODC Row</v>
      </c>
      <c r="F1792" s="342" t="s">
        <v>47</v>
      </c>
    </row>
    <row r="1795" spans="2:6" ht="18.75" x14ac:dyDescent="0.2">
      <c r="B1795" s="426" t="s">
        <v>189</v>
      </c>
    </row>
    <row r="1797" spans="2:6" ht="15.75" x14ac:dyDescent="0.2">
      <c r="C1797" s="19" t="s">
        <v>81</v>
      </c>
      <c r="F1797" s="19" t="s">
        <v>32</v>
      </c>
    </row>
    <row r="1799" spans="2:6" x14ac:dyDescent="0.2">
      <c r="D1799" s="20" t="s">
        <v>81</v>
      </c>
      <c r="F1799" s="438" t="s">
        <v>205</v>
      </c>
    </row>
    <row r="1800" spans="2:6" x14ac:dyDescent="0.2">
      <c r="D1800" s="21" t="str">
        <f>IF(ROWS(D$1800:D1800)=1,"N/A",ROWS(D$1800:D1800)-1)</f>
        <v>N/A</v>
      </c>
      <c r="F1800" s="375" t="s">
        <v>47</v>
      </c>
    </row>
    <row r="1801" spans="2:6" x14ac:dyDescent="0.2">
      <c r="D1801" s="21">
        <f>IF(ROWS(D$1800:D1801)=1,"N/A",ROWS(D$1800:D1801)-1)</f>
        <v>1</v>
      </c>
      <c r="F1801" s="375" t="s">
        <v>47</v>
      </c>
    </row>
    <row r="1802" spans="2:6" x14ac:dyDescent="0.2">
      <c r="D1802" s="21">
        <f>IF(ROWS(D$1800:D1802)=1,"N/A",ROWS(D$1800:D1802)-1)</f>
        <v>2</v>
      </c>
      <c r="F1802" s="375" t="s">
        <v>47</v>
      </c>
    </row>
    <row r="1803" spans="2:6" x14ac:dyDescent="0.2">
      <c r="D1803" s="21">
        <f>IF(ROWS(D$1800:D1803)=1,"N/A",ROWS(D$1800:D1803)-1)</f>
        <v>3</v>
      </c>
      <c r="F1803" s="375" t="s">
        <v>47</v>
      </c>
    </row>
    <row r="1804" spans="2:6" x14ac:dyDescent="0.2">
      <c r="D1804" s="21">
        <f>IF(ROWS(D$1800:D1804)=1,"N/A",ROWS(D$1800:D1804)-1)</f>
        <v>4</v>
      </c>
      <c r="F1804" s="375" t="s">
        <v>47</v>
      </c>
    </row>
    <row r="1805" spans="2:6" x14ac:dyDescent="0.2">
      <c r="D1805" s="21">
        <f>IF(ROWS(D$1800:D1805)=1,"N/A",ROWS(D$1800:D1805)-1)</f>
        <v>5</v>
      </c>
      <c r="F1805" s="375" t="s">
        <v>47</v>
      </c>
    </row>
    <row r="1806" spans="2:6" s="322" customFormat="1" x14ac:dyDescent="0.2">
      <c r="D1806" s="320">
        <f>IF(ROWS(D$1800:D1806)=1,"N/A",ROWS(D$1800:D1806)-1)</f>
        <v>6</v>
      </c>
      <c r="F1806" s="342" t="s">
        <v>47</v>
      </c>
    </row>
    <row r="1808" spans="2:6" ht="15.75" x14ac:dyDescent="0.2">
      <c r="C1808" s="19" t="s">
        <v>133</v>
      </c>
      <c r="F1808" s="19" t="s">
        <v>32</v>
      </c>
    </row>
    <row r="1810" spans="3:6" x14ac:dyDescent="0.2">
      <c r="D1810" s="20" t="s">
        <v>75</v>
      </c>
      <c r="F1810" s="518" t="s">
        <v>206</v>
      </c>
    </row>
    <row r="1811" spans="3:6" x14ac:dyDescent="0.2">
      <c r="D1811" s="328" t="str">
        <f>Intv_BA!D2529</f>
        <v>Central</v>
      </c>
      <c r="F1811" s="375" t="s">
        <v>47</v>
      </c>
    </row>
    <row r="1812" spans="3:6" x14ac:dyDescent="0.2">
      <c r="D1812" s="328" t="str">
        <f>Intv_BA!D2530</f>
        <v>Copperbelt</v>
      </c>
      <c r="F1812" s="375" t="s">
        <v>47</v>
      </c>
    </row>
    <row r="1813" spans="3:6" x14ac:dyDescent="0.2">
      <c r="D1813" s="328" t="str">
        <f>Intv_BA!D2531</f>
        <v>Eastern</v>
      </c>
      <c r="F1813" s="375" t="s">
        <v>47</v>
      </c>
    </row>
    <row r="1814" spans="3:6" x14ac:dyDescent="0.2">
      <c r="D1814" s="328" t="str">
        <f>Intv_BA!D2532</f>
        <v>Luapula</v>
      </c>
      <c r="F1814" s="375" t="s">
        <v>47</v>
      </c>
    </row>
    <row r="1815" spans="3:6" x14ac:dyDescent="0.2">
      <c r="D1815" s="328" t="str">
        <f>Intv_BA!D2533</f>
        <v>Lusaka</v>
      </c>
      <c r="F1815" s="375" t="s">
        <v>47</v>
      </c>
    </row>
    <row r="1816" spans="3:6" s="322" customFormat="1" x14ac:dyDescent="0.2">
      <c r="D1816" s="374" t="str">
        <f>Intv_BA!D2534</f>
        <v>Muchinga</v>
      </c>
      <c r="F1816" s="342" t="s">
        <v>47</v>
      </c>
    </row>
    <row r="1817" spans="3:6" s="322" customFormat="1" x14ac:dyDescent="0.2">
      <c r="D1817" s="374" t="str">
        <f>Intv_BA!D2535</f>
        <v>Northern</v>
      </c>
      <c r="F1817" s="342" t="s">
        <v>47</v>
      </c>
    </row>
    <row r="1818" spans="3:6" s="322" customFormat="1" x14ac:dyDescent="0.2">
      <c r="D1818" s="374" t="str">
        <f>Intv_BA!D2536</f>
        <v>North-Western</v>
      </c>
      <c r="F1818" s="342" t="s">
        <v>47</v>
      </c>
    </row>
    <row r="1819" spans="3:6" s="322" customFormat="1" x14ac:dyDescent="0.2">
      <c r="D1819" s="374" t="str">
        <f>Intv_BA!D2537</f>
        <v>Southern</v>
      </c>
      <c r="F1819" s="342" t="s">
        <v>47</v>
      </c>
    </row>
    <row r="1820" spans="3:6" s="322" customFormat="1" x14ac:dyDescent="0.2">
      <c r="D1820" s="374" t="str">
        <f>Intv_BA!D2538</f>
        <v>Western</v>
      </c>
      <c r="F1820" s="342" t="s">
        <v>47</v>
      </c>
    </row>
    <row r="1822" spans="3:6" ht="15.75" x14ac:dyDescent="0.2">
      <c r="C1822" s="19" t="s">
        <v>212</v>
      </c>
      <c r="F1822" s="19" t="s">
        <v>32</v>
      </c>
    </row>
    <row r="1824" spans="3:6" x14ac:dyDescent="0.2">
      <c r="D1824" s="20" t="s">
        <v>213</v>
      </c>
      <c r="F1824" s="598" t="s">
        <v>223</v>
      </c>
    </row>
    <row r="1825" spans="3:6" x14ac:dyDescent="0.2">
      <c r="D1825" s="10" t="str">
        <f>Intv_Ann_TA!D590</f>
        <v>USD</v>
      </c>
      <c r="F1825" s="375" t="s">
        <v>47</v>
      </c>
    </row>
    <row r="1826" spans="3:6" s="322" customFormat="1" x14ac:dyDescent="0.2">
      <c r="D1826" s="374" t="str">
        <f>Intv_Ann_TA!D591</f>
        <v>ZMW</v>
      </c>
      <c r="F1826" s="342" t="s">
        <v>47</v>
      </c>
    </row>
    <row r="1828" spans="3:6" ht="15.75" x14ac:dyDescent="0.2">
      <c r="C1828" s="19" t="s">
        <v>37</v>
      </c>
      <c r="F1828" s="19" t="s">
        <v>32</v>
      </c>
    </row>
    <row r="1830" spans="3:6" x14ac:dyDescent="0.2">
      <c r="D1830" s="20" t="s">
        <v>37</v>
      </c>
      <c r="F1830" s="98" t="s">
        <v>229</v>
      </c>
    </row>
    <row r="1831" spans="3:6" x14ac:dyDescent="0.2">
      <c r="D1831" s="21" t="str">
        <f>Intv_BA!$I$2545&amp;CHOOSE(ROWS(D$1831:D1831),""," '000"," Millions"," Billions")</f>
        <v>USD</v>
      </c>
      <c r="F1831" s="98" t="s">
        <v>47</v>
      </c>
    </row>
    <row r="1832" spans="3:6" x14ac:dyDescent="0.2">
      <c r="D1832" s="21" t="str">
        <f>Intv_BA!$I$2545&amp;CHOOSE(ROWS(D$1831:D1832),""," '000"," Millions"," Billions")</f>
        <v>USD '000</v>
      </c>
      <c r="F1832" s="98" t="s">
        <v>47</v>
      </c>
    </row>
    <row r="1833" spans="3:6" x14ac:dyDescent="0.2">
      <c r="D1833" s="21" t="str">
        <f>Intv_BA!$I$2545&amp;CHOOSE(ROWS(D$1831:D1833),""," '000"," Millions"," Billions")</f>
        <v>USD Millions</v>
      </c>
      <c r="F1833" s="98" t="s">
        <v>47</v>
      </c>
    </row>
    <row r="1834" spans="3:6" x14ac:dyDescent="0.2">
      <c r="D1834" s="21" t="str">
        <f>Intv_BA!$I$2545&amp;CHOOSE(ROWS(D$1831:D1834),""," '000"," Millions"," Billions")</f>
        <v>USD Billions</v>
      </c>
      <c r="F1834" s="98" t="s">
        <v>47</v>
      </c>
    </row>
    <row r="1836" spans="3:6" ht="15.75" x14ac:dyDescent="0.2">
      <c r="C1836" s="19" t="s">
        <v>308</v>
      </c>
      <c r="F1836" s="19" t="s">
        <v>32</v>
      </c>
    </row>
    <row r="1838" spans="3:6" x14ac:dyDescent="0.2">
      <c r="D1838" s="20" t="s">
        <v>308</v>
      </c>
      <c r="F1838" s="492" t="s">
        <v>346</v>
      </c>
    </row>
    <row r="1839" spans="3:6" x14ac:dyDescent="0.2">
      <c r="D1839" s="10" t="str">
        <f>Intv_BA!D2548</f>
        <v>_Not Applicable</v>
      </c>
      <c r="F1839" s="375" t="s">
        <v>47</v>
      </c>
    </row>
    <row r="1840" spans="3:6" s="322" customFormat="1" x14ac:dyDescent="0.2">
      <c r="D1840" s="374" t="str">
        <f>Intv_BA!D2549</f>
        <v>Biomedical scientist (ZM)</v>
      </c>
      <c r="F1840" s="342" t="s">
        <v>47</v>
      </c>
    </row>
    <row r="1841" spans="4:6" s="322" customFormat="1" x14ac:dyDescent="0.2">
      <c r="D1841" s="374" t="str">
        <f>Intv_BA!D2550</f>
        <v>Clinical officer  (ZM)</v>
      </c>
      <c r="F1841" s="342" t="s">
        <v>47</v>
      </c>
    </row>
    <row r="1842" spans="4:6" x14ac:dyDescent="0.2">
      <c r="D1842" s="10" t="str">
        <f>Intv_BA!D2551</f>
        <v>Consultant  (ZM)</v>
      </c>
      <c r="F1842" s="375" t="s">
        <v>47</v>
      </c>
    </row>
    <row r="1843" spans="4:6" s="322" customFormat="1" x14ac:dyDescent="0.2">
      <c r="D1843" s="374" t="str">
        <f>Intv_BA!D2552</f>
        <v>General Medical Doctor</v>
      </c>
      <c r="F1843" s="342" t="s">
        <v>47</v>
      </c>
    </row>
    <row r="1844" spans="4:6" x14ac:dyDescent="0.2">
      <c r="D1844" s="10" t="str">
        <f>Intv_BA!D2553</f>
        <v>Junior Resident Medical officer  (ZM)</v>
      </c>
      <c r="F1844" s="375" t="s">
        <v>47</v>
      </c>
    </row>
    <row r="1845" spans="4:6" s="322" customFormat="1" x14ac:dyDescent="0.2">
      <c r="D1845" s="374" t="str">
        <f>Intv_BA!D2554</f>
        <v>Lab Scientist (ZM)</v>
      </c>
      <c r="F1845" s="342" t="s">
        <v>47</v>
      </c>
    </row>
    <row r="1846" spans="4:6" s="322" customFormat="1" x14ac:dyDescent="0.2">
      <c r="D1846" s="374" t="str">
        <f>Intv_BA!D2555</f>
        <v>Lab Technician (ZM)</v>
      </c>
      <c r="F1846" s="342" t="s">
        <v>47</v>
      </c>
    </row>
    <row r="1847" spans="4:6" x14ac:dyDescent="0.2">
      <c r="D1847" s="10" t="str">
        <f>Intv_BA!D2556</f>
        <v>Lab Technologist (ZM)</v>
      </c>
      <c r="F1847" s="375" t="s">
        <v>47</v>
      </c>
    </row>
    <row r="1848" spans="4:6" x14ac:dyDescent="0.2">
      <c r="D1848" s="10" t="str">
        <f>Intv_BA!D2557</f>
        <v>Medical Physicist (ZM)</v>
      </c>
      <c r="F1848" s="375" t="s">
        <v>47</v>
      </c>
    </row>
    <row r="1849" spans="4:6" s="322" customFormat="1" x14ac:dyDescent="0.2">
      <c r="D1849" s="374" t="str">
        <f>Intv_BA!D2558</f>
        <v>Nursing Officer (ZM)</v>
      </c>
      <c r="F1849" s="342" t="s">
        <v>47</v>
      </c>
    </row>
    <row r="1850" spans="4:6" s="322" customFormat="1" x14ac:dyDescent="0.2">
      <c r="D1850" s="374" t="str">
        <f>Intv_BA!D2559</f>
        <v>Pathologist (ZM)</v>
      </c>
      <c r="F1850" s="342" t="s">
        <v>47</v>
      </c>
    </row>
    <row r="1851" spans="4:6" s="47" customFormat="1" x14ac:dyDescent="0.2">
      <c r="D1851" s="289" t="str">
        <f>Intv_BA!D2560</f>
        <v>Pharmacy Technologist (ZM)</v>
      </c>
      <c r="F1851" s="342" t="s">
        <v>47</v>
      </c>
    </row>
    <row r="1852" spans="4:6" s="322" customFormat="1" x14ac:dyDescent="0.2">
      <c r="D1852" s="374" t="str">
        <f>Intv_BA!D2561</f>
        <v>Principal Nursing Officer (ZM)</v>
      </c>
      <c r="F1852" s="342" t="s">
        <v>47</v>
      </c>
    </row>
    <row r="1853" spans="4:6" s="322" customFormat="1" x14ac:dyDescent="0.2">
      <c r="D1853" s="374" t="str">
        <f>Intv_BA!D2562</f>
        <v>Principal Pharmacist (ZM)</v>
      </c>
      <c r="F1853" s="342" t="s">
        <v>47</v>
      </c>
    </row>
    <row r="1854" spans="4:6" x14ac:dyDescent="0.2">
      <c r="D1854" s="10" t="str">
        <f>Intv_BA!D2563</f>
        <v>Principal Radiographer (ZM)</v>
      </c>
      <c r="F1854" s="375" t="s">
        <v>47</v>
      </c>
    </row>
    <row r="1855" spans="4:6" x14ac:dyDescent="0.2">
      <c r="D1855" s="10" t="str">
        <f>Intv_BA!D2564</f>
        <v>Principal Therapist - Radiation (ZM)</v>
      </c>
      <c r="F1855" s="375" t="s">
        <v>47</v>
      </c>
    </row>
    <row r="1856" spans="4:6" x14ac:dyDescent="0.2">
      <c r="D1856" s="10" t="str">
        <f>Intv_BA!D2565</f>
        <v>Radiation Lab Scientist (ZM)</v>
      </c>
      <c r="F1856" s="375" t="s">
        <v>47</v>
      </c>
    </row>
    <row r="1857" spans="3:6" x14ac:dyDescent="0.2">
      <c r="D1857" s="10" t="str">
        <f>Intv_BA!D2566</f>
        <v>Radiation Protection Officer (ZM)</v>
      </c>
      <c r="F1857" s="375" t="s">
        <v>47</v>
      </c>
    </row>
    <row r="1858" spans="3:6" s="322" customFormat="1" x14ac:dyDescent="0.2">
      <c r="D1858" s="374" t="str">
        <f>Intv_BA!D2567</f>
        <v>Radiographer (ZM)</v>
      </c>
      <c r="F1858" s="342" t="s">
        <v>47</v>
      </c>
    </row>
    <row r="1859" spans="3:6" s="322" customFormat="1" x14ac:dyDescent="0.2">
      <c r="D1859" s="374" t="str">
        <f>Intv_BA!D2568</f>
        <v>Registered Nurse (ZM)</v>
      </c>
      <c r="F1859" s="342" t="s">
        <v>47</v>
      </c>
    </row>
    <row r="1860" spans="3:6" s="322" customFormat="1" x14ac:dyDescent="0.2">
      <c r="D1860" s="374" t="str">
        <f>Intv_BA!D2569</f>
        <v>Senior Enrolled Nurse (ZM)</v>
      </c>
      <c r="F1860" s="342" t="s">
        <v>47</v>
      </c>
    </row>
    <row r="1861" spans="3:6" s="322" customFormat="1" x14ac:dyDescent="0.2">
      <c r="D1861" s="374" t="str">
        <f>Intv_BA!D2570</f>
        <v>Senior Nursing Officer (ZM)</v>
      </c>
      <c r="F1861" s="342" t="s">
        <v>47</v>
      </c>
    </row>
    <row r="1862" spans="3:6" s="322" customFormat="1" x14ac:dyDescent="0.2">
      <c r="D1862" s="374" t="str">
        <f>Intv_BA!D2571</f>
        <v>Senior Radiation protection Officer (ZM)</v>
      </c>
      <c r="F1862" s="342" t="s">
        <v>47</v>
      </c>
    </row>
    <row r="1863" spans="3:6" s="322" customFormat="1" x14ac:dyDescent="0.2">
      <c r="D1863" s="374" t="str">
        <f>Intv_BA!D2572</f>
        <v>Senior Radiographer (ZM)</v>
      </c>
      <c r="F1863" s="342" t="s">
        <v>47</v>
      </c>
    </row>
    <row r="1864" spans="3:6" s="322" customFormat="1" x14ac:dyDescent="0.2">
      <c r="D1864" s="374" t="str">
        <f>Intv_BA!D2573</f>
        <v>Zambia Enrolled Nurse (ZEN) (ZM)</v>
      </c>
      <c r="F1864" s="342" t="s">
        <v>47</v>
      </c>
    </row>
    <row r="1865" spans="3:6" s="322" customFormat="1" x14ac:dyDescent="0.2">
      <c r="D1865" s="374" t="str">
        <f>Intv_BA!D2574</f>
        <v>Personnel - Hospital Cadre - Other 27</v>
      </c>
      <c r="F1865" s="342" t="s">
        <v>47</v>
      </c>
    </row>
    <row r="1866" spans="3:6" s="322" customFormat="1" x14ac:dyDescent="0.2">
      <c r="D1866" s="374" t="str">
        <f>Intv_BA!D2575</f>
        <v>Personnel - Hospital Cadre - Other 28</v>
      </c>
      <c r="F1866" s="342" t="s">
        <v>47</v>
      </c>
    </row>
    <row r="1867" spans="3:6" s="322" customFormat="1" x14ac:dyDescent="0.2">
      <c r="D1867" s="374" t="str">
        <f>Intv_BA!D2576</f>
        <v>Personnel - Hospital Cadre - Other 29</v>
      </c>
      <c r="F1867" s="342" t="s">
        <v>47</v>
      </c>
    </row>
    <row r="1868" spans="3:6" s="322" customFormat="1" x14ac:dyDescent="0.2">
      <c r="D1868" s="374" t="str">
        <f>Intv_BA!D2577</f>
        <v>Personnel - Hospital Cadre - Other 30</v>
      </c>
      <c r="F1868" s="342" t="s">
        <v>47</v>
      </c>
    </row>
    <row r="1869" spans="3:6" s="322" customFormat="1" x14ac:dyDescent="0.2">
      <c r="D1869" s="374" t="str">
        <f>Intv_BA!D2578</f>
        <v>Personnel - Hospital Cadre - Other 31</v>
      </c>
      <c r="F1869" s="342" t="s">
        <v>47</v>
      </c>
    </row>
    <row r="1871" spans="3:6" ht="15.75" x14ac:dyDescent="0.2">
      <c r="C1871" s="19" t="s">
        <v>310</v>
      </c>
      <c r="F1871" s="19" t="s">
        <v>32</v>
      </c>
    </row>
    <row r="1873" spans="4:6" x14ac:dyDescent="0.2">
      <c r="D1873" s="20" t="s">
        <v>310</v>
      </c>
      <c r="F1873" s="492" t="s">
        <v>352</v>
      </c>
    </row>
    <row r="1874" spans="4:6" x14ac:dyDescent="0.2">
      <c r="D1874" s="10" t="str">
        <f>Intv_BA!D2581</f>
        <v>_Not Applicable</v>
      </c>
      <c r="F1874" s="375" t="s">
        <v>47</v>
      </c>
    </row>
    <row r="1875" spans="4:6" s="47" customFormat="1" x14ac:dyDescent="0.2">
      <c r="D1875" s="289" t="str">
        <f>Intv_BA!D2582</f>
        <v>Biomedical scientist (ZM)</v>
      </c>
      <c r="F1875" s="342" t="s">
        <v>47</v>
      </c>
    </row>
    <row r="1876" spans="4:6" x14ac:dyDescent="0.2">
      <c r="D1876" s="10" t="str">
        <f>Intv_BA!D2583</f>
        <v>Clinical officer  (ZM)</v>
      </c>
      <c r="F1876" s="375" t="s">
        <v>47</v>
      </c>
    </row>
    <row r="1877" spans="4:6" x14ac:dyDescent="0.2">
      <c r="D1877" s="10" t="str">
        <f>Intv_BA!D2584</f>
        <v>Consultant  (ZM)</v>
      </c>
      <c r="F1877" s="375" t="s">
        <v>47</v>
      </c>
    </row>
    <row r="1878" spans="4:6" s="322" customFormat="1" x14ac:dyDescent="0.2">
      <c r="D1878" s="374" t="str">
        <f>Intv_BA!D2585</f>
        <v>General Medical Doctor</v>
      </c>
      <c r="F1878" s="342" t="s">
        <v>47</v>
      </c>
    </row>
    <row r="1879" spans="4:6" x14ac:dyDescent="0.2">
      <c r="D1879" s="10" t="str">
        <f>Intv_BA!D2586</f>
        <v>Junior Resident Medical officer  (ZM)</v>
      </c>
      <c r="F1879" s="375" t="s">
        <v>47</v>
      </c>
    </row>
    <row r="1880" spans="4:6" x14ac:dyDescent="0.2">
      <c r="D1880" s="10" t="str">
        <f>Intv_BA!D2587</f>
        <v>Lab Scientist (ZM)</v>
      </c>
      <c r="F1880" s="375" t="s">
        <v>47</v>
      </c>
    </row>
    <row r="1881" spans="4:6" s="322" customFormat="1" x14ac:dyDescent="0.2">
      <c r="D1881" s="374" t="str">
        <f>Intv_BA!D2588</f>
        <v>Lab Technician (ZM)</v>
      </c>
      <c r="F1881" s="342" t="s">
        <v>47</v>
      </c>
    </row>
    <row r="1882" spans="4:6" s="322" customFormat="1" x14ac:dyDescent="0.2">
      <c r="D1882" s="374" t="str">
        <f>Intv_BA!D2589</f>
        <v>Lab Technologist (ZM)</v>
      </c>
      <c r="F1882" s="342" t="s">
        <v>47</v>
      </c>
    </row>
    <row r="1883" spans="4:6" s="322" customFormat="1" x14ac:dyDescent="0.2">
      <c r="D1883" s="374" t="str">
        <f>Intv_BA!D2590</f>
        <v>Medical Physicist (ZM)</v>
      </c>
      <c r="F1883" s="342" t="s">
        <v>47</v>
      </c>
    </row>
    <row r="1884" spans="4:6" s="322" customFormat="1" x14ac:dyDescent="0.2">
      <c r="D1884" s="374" t="str">
        <f>Intv_BA!D2591</f>
        <v>Nursing Officer (ZM)</v>
      </c>
      <c r="F1884" s="342" t="s">
        <v>47</v>
      </c>
    </row>
    <row r="1885" spans="4:6" s="322" customFormat="1" x14ac:dyDescent="0.2">
      <c r="D1885" s="374" t="str">
        <f>Intv_BA!D2592</f>
        <v>Pathologist (ZM)</v>
      </c>
      <c r="F1885" s="342" t="s">
        <v>47</v>
      </c>
    </row>
    <row r="1886" spans="4:6" s="322" customFormat="1" x14ac:dyDescent="0.2">
      <c r="D1886" s="374" t="str">
        <f>Intv_BA!D2593</f>
        <v>Pharmacy Technologist (ZM)</v>
      </c>
      <c r="F1886" s="342" t="s">
        <v>47</v>
      </c>
    </row>
    <row r="1887" spans="4:6" s="322" customFormat="1" x14ac:dyDescent="0.2">
      <c r="D1887" s="374" t="str">
        <f>Intv_BA!D2594</f>
        <v>Principal Nursing Officer (ZM)</v>
      </c>
      <c r="F1887" s="342" t="s">
        <v>47</v>
      </c>
    </row>
    <row r="1888" spans="4:6" s="322" customFormat="1" x14ac:dyDescent="0.2">
      <c r="D1888" s="374" t="str">
        <f>Intv_BA!D2595</f>
        <v>Principal Pharmacist (ZM)</v>
      </c>
      <c r="F1888" s="342" t="s">
        <v>47</v>
      </c>
    </row>
    <row r="1889" spans="4:6" s="322" customFormat="1" x14ac:dyDescent="0.2">
      <c r="D1889" s="374" t="str">
        <f>Intv_BA!D2596</f>
        <v>Principal Radiographer (ZM)</v>
      </c>
      <c r="F1889" s="342" t="s">
        <v>47</v>
      </c>
    </row>
    <row r="1890" spans="4:6" x14ac:dyDescent="0.2">
      <c r="D1890" s="10" t="str">
        <f>Intv_BA!D2597</f>
        <v>Principal Therapist - Radiation (ZM)</v>
      </c>
      <c r="F1890" s="375" t="s">
        <v>47</v>
      </c>
    </row>
    <row r="1891" spans="4:6" x14ac:dyDescent="0.2">
      <c r="D1891" s="10" t="str">
        <f>Intv_BA!D2598</f>
        <v>Radiation Lab Scientist (ZM)</v>
      </c>
      <c r="F1891" s="375" t="s">
        <v>47</v>
      </c>
    </row>
    <row r="1892" spans="4:6" x14ac:dyDescent="0.2">
      <c r="D1892" s="10" t="str">
        <f>Intv_BA!D2599</f>
        <v>Radiation Protection Officer (ZM)</v>
      </c>
      <c r="F1892" s="375" t="s">
        <v>47</v>
      </c>
    </row>
    <row r="1893" spans="4:6" s="47" customFormat="1" x14ac:dyDescent="0.2">
      <c r="D1893" s="289" t="str">
        <f>Intv_BA!D2600</f>
        <v>Radiographer (ZM)</v>
      </c>
      <c r="F1893" s="342" t="s">
        <v>47</v>
      </c>
    </row>
    <row r="1894" spans="4:6" s="322" customFormat="1" x14ac:dyDescent="0.2">
      <c r="D1894" s="374" t="str">
        <f>Intv_BA!D2601</f>
        <v>Registered Nurse (ZM)</v>
      </c>
      <c r="F1894" s="342" t="s">
        <v>47</v>
      </c>
    </row>
    <row r="1895" spans="4:6" s="322" customFormat="1" x14ac:dyDescent="0.2">
      <c r="D1895" s="374" t="str">
        <f>Intv_BA!D2602</f>
        <v>Senior Enrolled Nurse (ZM)</v>
      </c>
      <c r="F1895" s="342" t="s">
        <v>47</v>
      </c>
    </row>
    <row r="1896" spans="4:6" s="322" customFormat="1" x14ac:dyDescent="0.2">
      <c r="D1896" s="374" t="str">
        <f>Intv_BA!D2603</f>
        <v>Senior Nursing Officer (ZM)</v>
      </c>
      <c r="F1896" s="342" t="s">
        <v>47</v>
      </c>
    </row>
    <row r="1897" spans="4:6" s="322" customFormat="1" x14ac:dyDescent="0.2">
      <c r="D1897" s="374" t="str">
        <f>Intv_BA!D2604</f>
        <v>Senior Radiation protection Officer (ZM)</v>
      </c>
      <c r="F1897" s="342" t="s">
        <v>47</v>
      </c>
    </row>
    <row r="1898" spans="4:6" s="322" customFormat="1" x14ac:dyDescent="0.2">
      <c r="D1898" s="374" t="str">
        <f>Intv_BA!D2605</f>
        <v>Senior Radiographer (ZM)</v>
      </c>
      <c r="F1898" s="342" t="s">
        <v>47</v>
      </c>
    </row>
    <row r="1899" spans="4:6" s="322" customFormat="1" x14ac:dyDescent="0.2">
      <c r="D1899" s="374" t="str">
        <f>Intv_BA!D2606</f>
        <v>Zambia Enrolled Nurse (ZEN) (ZM)</v>
      </c>
      <c r="F1899" s="342" t="s">
        <v>47</v>
      </c>
    </row>
    <row r="1900" spans="4:6" s="322" customFormat="1" x14ac:dyDescent="0.2">
      <c r="D1900" s="374" t="str">
        <f>Intv_BA!D2607</f>
        <v>Personnel - Other Category 27</v>
      </c>
      <c r="F1900" s="342" t="s">
        <v>47</v>
      </c>
    </row>
    <row r="1901" spans="4:6" s="322" customFormat="1" x14ac:dyDescent="0.2">
      <c r="D1901" s="374" t="str">
        <f>Intv_BA!D2608</f>
        <v>Personnel - Other Category 28</v>
      </c>
      <c r="F1901" s="342" t="s">
        <v>47</v>
      </c>
    </row>
    <row r="1902" spans="4:6" s="322" customFormat="1" x14ac:dyDescent="0.2">
      <c r="D1902" s="374" t="str">
        <f>Intv_BA!D2609</f>
        <v>Personnel - Other Category 29</v>
      </c>
      <c r="F1902" s="342" t="s">
        <v>47</v>
      </c>
    </row>
    <row r="1903" spans="4:6" s="322" customFormat="1" x14ac:dyDescent="0.2">
      <c r="D1903" s="374" t="str">
        <f>Intv_BA!D2610</f>
        <v>Personnel - Other Category 30</v>
      </c>
      <c r="F1903" s="342" t="s">
        <v>47</v>
      </c>
    </row>
    <row r="1904" spans="4:6" s="322" customFormat="1" x14ac:dyDescent="0.2">
      <c r="D1904" s="374">
        <f>Intv_BA!D2611</f>
        <v>0</v>
      </c>
      <c r="F1904" s="342" t="s">
        <v>47</v>
      </c>
    </row>
    <row r="1906" spans="3:6" ht="15.75" x14ac:dyDescent="0.2">
      <c r="C1906" s="19" t="s">
        <v>316</v>
      </c>
      <c r="F1906" s="19" t="s">
        <v>32</v>
      </c>
    </row>
    <row r="1908" spans="3:6" x14ac:dyDescent="0.2">
      <c r="D1908" s="20" t="s">
        <v>316</v>
      </c>
      <c r="F1908" s="568" t="s">
        <v>358</v>
      </c>
    </row>
    <row r="1909" spans="3:6" x14ac:dyDescent="0.2">
      <c r="D1909" s="10" t="str">
        <f>Intv_BA!D2614</f>
        <v>_Not Applicable</v>
      </c>
      <c r="F1909" s="375" t="s">
        <v>47</v>
      </c>
    </row>
    <row r="1910" spans="3:6" x14ac:dyDescent="0.2">
      <c r="D1910" s="10" t="str">
        <f>Intv_BA!D2615</f>
        <v>10 ml syringes with long 27-gauge needle (UG)</v>
      </c>
      <c r="F1910" s="375" t="s">
        <v>47</v>
      </c>
    </row>
    <row r="1911" spans="3:6" x14ac:dyDescent="0.2">
      <c r="D1911" s="10" t="str">
        <f>Intv_BA!D2616</f>
        <v>100% alcohol (UG)</v>
      </c>
      <c r="F1911" s="375" t="s">
        <v>47</v>
      </c>
    </row>
    <row r="1912" spans="3:6" x14ac:dyDescent="0.2">
      <c r="D1912" s="10" t="str">
        <f>Intv_BA!D2617</f>
        <v>100% Ethanol (UG)</v>
      </c>
      <c r="F1912" s="375" t="s">
        <v>47</v>
      </c>
    </row>
    <row r="1913" spans="3:6" x14ac:dyDescent="0.2">
      <c r="D1913" s="10" t="str">
        <f>Intv_BA!D2618</f>
        <v>5% acetic acid (UG)</v>
      </c>
      <c r="F1913" s="375" t="s">
        <v>47</v>
      </c>
    </row>
    <row r="1914" spans="3:6" x14ac:dyDescent="0.2">
      <c r="D1914" s="10" t="str">
        <f>Intv_BA!D2619</f>
        <v>Acetic acid (UG)</v>
      </c>
      <c r="F1914" s="375" t="s">
        <v>47</v>
      </c>
    </row>
    <row r="1915" spans="3:6" x14ac:dyDescent="0.2">
      <c r="D1915" s="10" t="str">
        <f>Intv_BA!D2620</f>
        <v>Acetic acid, 3–5% dilution (ZM)</v>
      </c>
      <c r="F1915" s="375" t="s">
        <v>47</v>
      </c>
    </row>
    <row r="1916" spans="3:6" x14ac:dyDescent="0.2">
      <c r="D1916" s="10" t="str">
        <f>Intv_BA!D2621</f>
        <v>Acetic acid, 3–5% dilution (TZ)</v>
      </c>
      <c r="F1916" s="375" t="s">
        <v>47</v>
      </c>
    </row>
    <row r="1917" spans="3:6" x14ac:dyDescent="0.2">
      <c r="D1917" s="10" t="str">
        <f>Intv_BA!D2622</f>
        <v>Alcohol, 60-90% isopropyl or ethyl (TZ)</v>
      </c>
      <c r="F1917" s="375" t="s">
        <v>47</v>
      </c>
    </row>
    <row r="1918" spans="3:6" x14ac:dyDescent="0.2">
      <c r="D1918" s="10" t="str">
        <f>Intv_BA!D2623</f>
        <v>Alcohol, 60-90% isopropyl or ethyl 95% (ZM)</v>
      </c>
      <c r="F1918" s="375" t="s">
        <v>47</v>
      </c>
    </row>
    <row r="1919" spans="3:6" x14ac:dyDescent="0.2">
      <c r="D1919" s="10" t="str">
        <f>Intv_BA!D2624</f>
        <v>Amitriptyline hydrochloride( 25mg) (ZM)</v>
      </c>
      <c r="F1919" s="375" t="s">
        <v>47</v>
      </c>
    </row>
    <row r="1920" spans="3:6" x14ac:dyDescent="0.2">
      <c r="D1920" s="10" t="str">
        <f>Intv_BA!D2625</f>
        <v>Amitriptyline hydrochloride( 25mg) (TZ)</v>
      </c>
      <c r="F1920" s="375" t="s">
        <v>47</v>
      </c>
    </row>
    <row r="1921" spans="4:6" x14ac:dyDescent="0.2">
      <c r="D1921" s="10" t="str">
        <f>Intv_BA!D2626</f>
        <v>Anticeptic solution (UG)</v>
      </c>
      <c r="F1921" s="375" t="s">
        <v>47</v>
      </c>
    </row>
    <row r="1922" spans="4:6" s="47" customFormat="1" x14ac:dyDescent="0.2">
      <c r="D1922" s="289" t="str">
        <f>Intv_BA!D2627</f>
        <v>Arithromycin (250g) (ZM)</v>
      </c>
      <c r="F1922" s="342" t="s">
        <v>47</v>
      </c>
    </row>
    <row r="1923" spans="4:6" s="47" customFormat="1" x14ac:dyDescent="0.2">
      <c r="D1923" s="289" t="str">
        <f>Intv_BA!D2628</f>
        <v>Arithromycin (250g) (UG)</v>
      </c>
      <c r="F1923" s="342" t="s">
        <v>47</v>
      </c>
    </row>
    <row r="1924" spans="4:6" s="47" customFormat="1" x14ac:dyDescent="0.2">
      <c r="D1924" s="289" t="str">
        <f>Intv_BA!D2629</f>
        <v>Arithromycin (5g) (UG)</v>
      </c>
      <c r="F1924" s="342" t="s">
        <v>47</v>
      </c>
    </row>
    <row r="1925" spans="4:6" s="47" customFormat="1" x14ac:dyDescent="0.2">
      <c r="D1925" s="289" t="str">
        <f>Intv_BA!D2630</f>
        <v>Atropine (ZM)</v>
      </c>
      <c r="F1925" s="342" t="s">
        <v>47</v>
      </c>
    </row>
    <row r="1926" spans="4:6" s="47" customFormat="1" x14ac:dyDescent="0.2">
      <c r="D1926" s="289" t="str">
        <f>Intv_BA!D2631</f>
        <v>Ball electrode (UG)</v>
      </c>
      <c r="F1926" s="342" t="s">
        <v>47</v>
      </c>
    </row>
    <row r="1927" spans="4:6" s="47" customFormat="1" x14ac:dyDescent="0.2">
      <c r="D1927" s="289" t="str">
        <f>Intv_BA!D2632</f>
        <v>Bed linen sheet (100 uses) (ZM)</v>
      </c>
      <c r="F1927" s="342" t="s">
        <v>47</v>
      </c>
    </row>
    <row r="1928" spans="4:6" s="47" customFormat="1" x14ac:dyDescent="0.2">
      <c r="D1928" s="289" t="str">
        <f>Intv_BA!D2633</f>
        <v>Bed linen sheet (TZ)</v>
      </c>
      <c r="F1928" s="342" t="s">
        <v>47</v>
      </c>
    </row>
    <row r="1929" spans="4:6" s="47" customFormat="1" x14ac:dyDescent="0.2">
      <c r="D1929" s="289" t="str">
        <f>Intv_BA!D2634</f>
        <v>Bin Liner (ZM)</v>
      </c>
      <c r="F1929" s="342" t="s">
        <v>47</v>
      </c>
    </row>
    <row r="1930" spans="4:6" s="47" customFormat="1" x14ac:dyDescent="0.2">
      <c r="D1930" s="289" t="str">
        <f>Intv_BA!D2635</f>
        <v>Bleach (JIK)</v>
      </c>
      <c r="F1930" s="342" t="s">
        <v>47</v>
      </c>
    </row>
    <row r="1931" spans="4:6" s="47" customFormat="1" x14ac:dyDescent="0.2">
      <c r="D1931" s="289" t="str">
        <f>Intv_BA!D2636</f>
        <v>Bleach (UG)</v>
      </c>
      <c r="F1931" s="342" t="s">
        <v>47</v>
      </c>
    </row>
    <row r="1932" spans="4:6" s="47" customFormat="1" x14ac:dyDescent="0.2">
      <c r="D1932" s="289" t="str">
        <f>Intv_BA!D2637</f>
        <v>careHPV DCM tube (UG)</v>
      </c>
      <c r="F1932" s="342" t="s">
        <v>47</v>
      </c>
    </row>
    <row r="1933" spans="4:6" s="47" customFormat="1" x14ac:dyDescent="0.2">
      <c r="D1933" s="289" t="str">
        <f>Intv_BA!D2638</f>
        <v>Catheter -Urine (TZ)</v>
      </c>
      <c r="F1933" s="342" t="s">
        <v>47</v>
      </c>
    </row>
    <row r="1934" spans="4:6" s="47" customFormat="1" x14ac:dyDescent="0.2">
      <c r="D1934" s="289" t="str">
        <f>Intv_BA!D2639</f>
        <v>Cervical brush (UG)</v>
      </c>
      <c r="F1934" s="342" t="s">
        <v>47</v>
      </c>
    </row>
    <row r="1935" spans="4:6" s="47" customFormat="1" x14ac:dyDescent="0.2">
      <c r="D1935" s="289" t="str">
        <f>Intv_BA!D2640</f>
        <v>Chlorine 0.5% (Jik-diluted) (ZM)</v>
      </c>
      <c r="F1935" s="342" t="s">
        <v>47</v>
      </c>
    </row>
    <row r="1936" spans="4:6" x14ac:dyDescent="0.2">
      <c r="D1936" s="10" t="str">
        <f>Intv_BA!D2641</f>
        <v>Chlorine 0.5% (Jik-diluted)  (TZ)</v>
      </c>
      <c r="F1936" s="375" t="s">
        <v>47</v>
      </c>
    </row>
    <row r="1937" spans="4:6" x14ac:dyDescent="0.2">
      <c r="D1937" s="10" t="str">
        <f>Intv_BA!D2642</f>
        <v>Cidex (2-4% glutaraldehyde) (ZM)</v>
      </c>
      <c r="F1937" s="375" t="s">
        <v>47</v>
      </c>
    </row>
    <row r="1938" spans="4:6" x14ac:dyDescent="0.2">
      <c r="D1938" s="10" t="str">
        <f>Intv_BA!D2643</f>
        <v>Cidex (2-4% glutaraldehyde) (TZ)</v>
      </c>
      <c r="F1938" s="375" t="s">
        <v>47</v>
      </c>
    </row>
    <row r="1939" spans="4:6" x14ac:dyDescent="0.2">
      <c r="D1939" s="10" t="str">
        <f>Intv_BA!D2644</f>
        <v>Ciprofloxacin (500mg) (UG)</v>
      </c>
      <c r="F1939" s="375" t="s">
        <v>47</v>
      </c>
    </row>
    <row r="1940" spans="4:6" x14ac:dyDescent="0.2">
      <c r="D1940" s="10" t="str">
        <f>Intv_BA!D2645</f>
        <v>Ciprofloxacin (500mg) 250MG (ZM)</v>
      </c>
      <c r="F1940" s="375" t="s">
        <v>47</v>
      </c>
    </row>
    <row r="1941" spans="4:6" x14ac:dyDescent="0.2">
      <c r="D1941" s="10" t="str">
        <f>Intv_BA!D2646</f>
        <v>Cisplatin (50 mg) (ZM)</v>
      </c>
      <c r="F1941" s="375" t="s">
        <v>47</v>
      </c>
    </row>
    <row r="1942" spans="4:6" x14ac:dyDescent="0.2">
      <c r="D1942" s="10" t="str">
        <f>Intv_BA!D2647</f>
        <v>Cisplatin (50 mg) (TZ)</v>
      </c>
      <c r="F1942" s="375" t="s">
        <v>47</v>
      </c>
    </row>
    <row r="1943" spans="4:6" x14ac:dyDescent="0.2">
      <c r="D1943" s="10" t="str">
        <f>Intv_BA!D2648</f>
        <v>Citokit (UG)</v>
      </c>
      <c r="F1943" s="375" t="s">
        <v>47</v>
      </c>
    </row>
    <row r="1944" spans="4:6" x14ac:dyDescent="0.2">
      <c r="D1944" s="10" t="str">
        <f>Intv_BA!D2649</f>
        <v>Colostomy Bag (TZ)</v>
      </c>
      <c r="F1944" s="375" t="s">
        <v>47</v>
      </c>
    </row>
    <row r="1945" spans="4:6" s="322" customFormat="1" x14ac:dyDescent="0.2">
      <c r="D1945" s="374" t="str">
        <f>Intv_BA!D2650</f>
        <v>Condom  (TZ)</v>
      </c>
      <c r="F1945" s="342" t="s">
        <v>47</v>
      </c>
    </row>
    <row r="1946" spans="4:6" s="322" customFormat="1" x14ac:dyDescent="0.2">
      <c r="D1946" s="374" t="str">
        <f>Intv_BA!D2651</f>
        <v>Condom MALE (ZM)</v>
      </c>
      <c r="F1946" s="342" t="s">
        <v>47</v>
      </c>
    </row>
    <row r="1947" spans="4:6" s="322" customFormat="1" x14ac:dyDescent="0.2">
      <c r="D1947" s="374" t="str">
        <f>Intv_BA!D2652</f>
        <v>Cotton swab (ZM)</v>
      </c>
      <c r="F1947" s="342" t="s">
        <v>47</v>
      </c>
    </row>
    <row r="1948" spans="4:6" s="322" customFormat="1" x14ac:dyDescent="0.2">
      <c r="D1948" s="374" t="str">
        <f>Intv_BA!D2653</f>
        <v>Cotton swab (TZ)</v>
      </c>
      <c r="F1948" s="342" t="s">
        <v>47</v>
      </c>
    </row>
    <row r="1949" spans="4:6" s="322" customFormat="1" x14ac:dyDescent="0.2">
      <c r="D1949" s="374" t="str">
        <f>Intv_BA!D2654</f>
        <v>Cotton swabs (UG)</v>
      </c>
      <c r="F1949" s="342" t="s">
        <v>47</v>
      </c>
    </row>
    <row r="1950" spans="4:6" s="322" customFormat="1" x14ac:dyDescent="0.2">
      <c r="D1950" s="374" t="str">
        <f>Intv_BA!D2655</f>
        <v>Cotton Wool, roll, non-sterile (ZM)</v>
      </c>
      <c r="F1950" s="342" t="s">
        <v>47</v>
      </c>
    </row>
    <row r="1951" spans="4:6" s="322" customFormat="1" x14ac:dyDescent="0.2">
      <c r="D1951" s="374" t="str">
        <f>Intv_BA!D2656</f>
        <v>Cotton Wool, roll, non-sterile (TZ)</v>
      </c>
      <c r="F1951" s="342" t="s">
        <v>47</v>
      </c>
    </row>
    <row r="1952" spans="4:6" s="322" customFormat="1" x14ac:dyDescent="0.2">
      <c r="D1952" s="374" t="str">
        <f>Intv_BA!D2657</f>
        <v xml:space="preserve">Dexamethasone (ZM) </v>
      </c>
      <c r="F1952" s="342" t="s">
        <v>47</v>
      </c>
    </row>
    <row r="1953" spans="4:6" s="322" customFormat="1" x14ac:dyDescent="0.2">
      <c r="D1953" s="374" t="str">
        <f>Intv_BA!D2658</f>
        <v>Diclofenac (50mg) (ZM)</v>
      </c>
      <c r="F1953" s="342" t="s">
        <v>47</v>
      </c>
    </row>
    <row r="1954" spans="4:6" s="322" customFormat="1" x14ac:dyDescent="0.2">
      <c r="D1954" s="374" t="str">
        <f>Intv_BA!D2659</f>
        <v>Diclofenac (50mg) (TZ)</v>
      </c>
      <c r="F1954" s="342" t="s">
        <v>47</v>
      </c>
    </row>
    <row r="1955" spans="4:6" s="322" customFormat="1" x14ac:dyDescent="0.2">
      <c r="D1955" s="374" t="str">
        <f>Intv_BA!D2660</f>
        <v>Distilled water (ZM)</v>
      </c>
      <c r="F1955" s="342" t="s">
        <v>47</v>
      </c>
    </row>
    <row r="1956" spans="4:6" s="322" customFormat="1" x14ac:dyDescent="0.2">
      <c r="D1956" s="374" t="str">
        <f>Intv_BA!D2661</f>
        <v>Distilled water (UG)</v>
      </c>
      <c r="F1956" s="342" t="s">
        <v>47</v>
      </c>
    </row>
    <row r="1957" spans="4:6" s="322" customFormat="1" x14ac:dyDescent="0.2">
      <c r="D1957" s="374" t="str">
        <f>Intv_BA!D2662</f>
        <v>Dulcolax (10mg) (ZM)</v>
      </c>
      <c r="F1957" s="342" t="s">
        <v>47</v>
      </c>
    </row>
    <row r="1958" spans="4:6" s="322" customFormat="1" x14ac:dyDescent="0.2">
      <c r="D1958" s="374" t="str">
        <f>Intv_BA!D2663</f>
        <v>Dulcolax (10mg) (TZ)</v>
      </c>
      <c r="F1958" s="342" t="s">
        <v>47</v>
      </c>
    </row>
    <row r="1959" spans="4:6" s="322" customFormat="1" x14ac:dyDescent="0.2">
      <c r="D1959" s="374" t="str">
        <f>Intv_BA!D2664</f>
        <v>Emend (ZM)</v>
      </c>
      <c r="F1959" s="342" t="s">
        <v>47</v>
      </c>
    </row>
    <row r="1960" spans="4:6" s="322" customFormat="1" x14ac:dyDescent="0.2">
      <c r="D1960" s="374" t="str">
        <f>Intv_BA!D2665</f>
        <v>Formalin (UG)</v>
      </c>
      <c r="F1960" s="342" t="s">
        <v>47</v>
      </c>
    </row>
    <row r="1961" spans="4:6" s="322" customFormat="1" x14ac:dyDescent="0.2">
      <c r="D1961" s="374" t="str">
        <f>Intv_BA!D2666</f>
        <v>Formalin AR 40% (ZM)</v>
      </c>
      <c r="F1961" s="342" t="s">
        <v>47</v>
      </c>
    </row>
    <row r="1962" spans="4:6" s="322" customFormat="1" x14ac:dyDescent="0.2">
      <c r="D1962" s="374" t="str">
        <f>Intv_BA!D2667</f>
        <v>Formalin AR 40% (TZ)</v>
      </c>
      <c r="F1962" s="342" t="s">
        <v>47</v>
      </c>
    </row>
    <row r="1963" spans="4:6" s="322" customFormat="1" x14ac:dyDescent="0.2">
      <c r="D1963" s="374" t="str">
        <f>Intv_BA!D2668</f>
        <v>Frusamide (ZM)</v>
      </c>
      <c r="F1963" s="342" t="s">
        <v>47</v>
      </c>
    </row>
    <row r="1964" spans="4:6" s="322" customFormat="1" x14ac:dyDescent="0.2">
      <c r="D1964" s="374" t="str">
        <f>Intv_BA!D2669</f>
        <v>Gas - N2O (UG)</v>
      </c>
      <c r="F1964" s="342" t="s">
        <v>47</v>
      </c>
    </row>
    <row r="1965" spans="4:6" s="322" customFormat="1" x14ac:dyDescent="0.2">
      <c r="D1965" s="374" t="str">
        <f>Intv_BA!D2670</f>
        <v>Gas Cylinder (Nitrous Oxide) 72 kg. (ZM)</v>
      </c>
      <c r="F1965" s="342" t="s">
        <v>47</v>
      </c>
    </row>
    <row r="1966" spans="4:6" s="322" customFormat="1" x14ac:dyDescent="0.2">
      <c r="D1966" s="374" t="str">
        <f>Intv_BA!D2671</f>
        <v>Gas Cylinder (TZ)</v>
      </c>
      <c r="F1966" s="342" t="s">
        <v>47</v>
      </c>
    </row>
    <row r="1967" spans="4:6" s="322" customFormat="1" x14ac:dyDescent="0.2">
      <c r="D1967" s="374" t="str">
        <f>Intv_BA!D2672</f>
        <v>Gauze (UG)</v>
      </c>
      <c r="F1967" s="342" t="s">
        <v>47</v>
      </c>
    </row>
    <row r="1968" spans="4:6" s="322" customFormat="1" x14ac:dyDescent="0.2">
      <c r="D1968" s="374" t="str">
        <f>Intv_BA!D2673</f>
        <v>Gauze hospital quality 10x4 cm (TZ)</v>
      </c>
      <c r="F1968" s="342" t="s">
        <v>47</v>
      </c>
    </row>
    <row r="1969" spans="4:6" s="322" customFormat="1" x14ac:dyDescent="0.2">
      <c r="D1969" s="374" t="str">
        <f>Intv_BA!D2674</f>
        <v>Gauze, Non-Sterile (ZM)</v>
      </c>
      <c r="F1969" s="342" t="s">
        <v>47</v>
      </c>
    </row>
    <row r="1970" spans="4:6" s="322" customFormat="1" x14ac:dyDescent="0.2">
      <c r="D1970" s="374" t="str">
        <f>Intv_BA!D2675</f>
        <v>Gauze, Non-Sterile (TZ)</v>
      </c>
      <c r="F1970" s="342" t="s">
        <v>47</v>
      </c>
    </row>
    <row r="1971" spans="4:6" s="322" customFormat="1" x14ac:dyDescent="0.2">
      <c r="D1971" s="374" t="str">
        <f>Intv_BA!D2676</f>
        <v>Gauze, Sterile (ZM)</v>
      </c>
      <c r="F1971" s="342" t="s">
        <v>47</v>
      </c>
    </row>
    <row r="1972" spans="4:6" s="322" customFormat="1" x14ac:dyDescent="0.2">
      <c r="D1972" s="374" t="str">
        <f>Intv_BA!D2677</f>
        <v>Gauze, Sterile (TZ)</v>
      </c>
      <c r="F1972" s="342" t="s">
        <v>47</v>
      </c>
    </row>
    <row r="1973" spans="4:6" s="322" customFormat="1" x14ac:dyDescent="0.2">
      <c r="D1973" s="374" t="str">
        <f>Intv_BA!D2678</f>
        <v>Gloves (UG)</v>
      </c>
      <c r="F1973" s="342" t="s">
        <v>47</v>
      </c>
    </row>
    <row r="1974" spans="4:6" s="322" customFormat="1" x14ac:dyDescent="0.2">
      <c r="D1974" s="374" t="str">
        <f>Intv_BA!D2679</f>
        <v>Gloves, Non-Sterile, Examination, latex, assorted sizes, disp. (ZM)</v>
      </c>
      <c r="F1974" s="342" t="s">
        <v>47</v>
      </c>
    </row>
    <row r="1975" spans="4:6" s="322" customFormat="1" x14ac:dyDescent="0.2">
      <c r="D1975" s="374" t="str">
        <f>Intv_BA!D2680</f>
        <v>Gloves, Non-Sterile, Examination, latex, medium, disp. (TZ)</v>
      </c>
      <c r="F1975" s="342" t="s">
        <v>47</v>
      </c>
    </row>
    <row r="1976" spans="4:6" s="322" customFormat="1" x14ac:dyDescent="0.2">
      <c r="D1976" s="374" t="str">
        <f>Intv_BA!D2681</f>
        <v>Gloves, Sterile (TZ)</v>
      </c>
      <c r="F1976" s="342" t="s">
        <v>47</v>
      </c>
    </row>
    <row r="1977" spans="4:6" s="322" customFormat="1" x14ac:dyDescent="0.2">
      <c r="D1977" s="374" t="str">
        <f>Intv_BA!D2682</f>
        <v>Gloves, Sterile 7.5 (ZM)</v>
      </c>
      <c r="F1977" s="342" t="s">
        <v>47</v>
      </c>
    </row>
    <row r="1978" spans="4:6" s="322" customFormat="1" x14ac:dyDescent="0.2">
      <c r="D1978" s="374" t="str">
        <f>Intv_BA!D2683</f>
        <v>Halothane (ZM)</v>
      </c>
      <c r="F1978" s="342" t="s">
        <v>47</v>
      </c>
    </row>
    <row r="1979" spans="4:6" s="322" customFormat="1" x14ac:dyDescent="0.2">
      <c r="D1979" s="374" t="str">
        <f>Intv_BA!D2684</f>
        <v>IV canula 22G  (ZM)</v>
      </c>
      <c r="F1979" s="342" t="s">
        <v>47</v>
      </c>
    </row>
    <row r="1980" spans="4:6" s="322" customFormat="1" x14ac:dyDescent="0.2">
      <c r="D1980" s="374" t="str">
        <f>Intv_BA!D2685</f>
        <v>IV canula 22G (each) (TZ)</v>
      </c>
      <c r="F1980" s="342" t="s">
        <v>47</v>
      </c>
    </row>
    <row r="1981" spans="4:6" s="322" customFormat="1" x14ac:dyDescent="0.2">
      <c r="D1981" s="374" t="str">
        <f>Intv_BA!D2686</f>
        <v>IV giving set (each) (TZ)</v>
      </c>
      <c r="F1981" s="342" t="s">
        <v>47</v>
      </c>
    </row>
    <row r="1982" spans="4:6" s="322" customFormat="1" x14ac:dyDescent="0.2">
      <c r="D1982" s="374" t="str">
        <f>Intv_BA!D2687</f>
        <v>IV giving set (closed system) (ZM)</v>
      </c>
      <c r="F1982" s="342" t="s">
        <v>47</v>
      </c>
    </row>
    <row r="1983" spans="4:6" s="322" customFormat="1" x14ac:dyDescent="0.2">
      <c r="D1983" s="374" t="str">
        <f>Intv_BA!D2688</f>
        <v>IV line (set) (ZM)</v>
      </c>
      <c r="F1983" s="342" t="s">
        <v>47</v>
      </c>
    </row>
    <row r="1984" spans="4:6" s="322" customFormat="1" x14ac:dyDescent="0.2">
      <c r="D1984" s="374" t="str">
        <f>Intv_BA!D2689</f>
        <v>IV line (set) (TZ)</v>
      </c>
      <c r="F1984" s="342" t="s">
        <v>47</v>
      </c>
    </row>
    <row r="1985" spans="4:6" s="322" customFormat="1" x14ac:dyDescent="0.2">
      <c r="D1985" s="374" t="str">
        <f>Intv_BA!D2690</f>
        <v>Ketamine (ZM)</v>
      </c>
      <c r="F1985" s="342" t="s">
        <v>47</v>
      </c>
    </row>
    <row r="1986" spans="4:6" s="322" customFormat="1" x14ac:dyDescent="0.2">
      <c r="D1986" s="374" t="str">
        <f>Intv_BA!D2691</f>
        <v>Kitchen Towel (ZM)</v>
      </c>
      <c r="F1986" s="342" t="s">
        <v>47</v>
      </c>
    </row>
    <row r="1987" spans="4:6" s="322" customFormat="1" x14ac:dyDescent="0.2">
      <c r="D1987" s="374" t="str">
        <f>Intv_BA!D2692</f>
        <v>K-Y jelly  (TZ)</v>
      </c>
      <c r="F1987" s="342" t="s">
        <v>47</v>
      </c>
    </row>
    <row r="1988" spans="4:6" s="322" customFormat="1" x14ac:dyDescent="0.2">
      <c r="D1988" s="374" t="str">
        <f>Intv_BA!D2693</f>
        <v>K-Y jelly Tube w/ 100 applcations ea) (ZM)</v>
      </c>
      <c r="F1988" s="342" t="s">
        <v>47</v>
      </c>
    </row>
    <row r="1989" spans="4:6" s="322" customFormat="1" x14ac:dyDescent="0.2">
      <c r="D1989" s="374" t="str">
        <f>Intv_BA!D2694</f>
        <v>Label (TZ)</v>
      </c>
      <c r="F1989" s="342" t="s">
        <v>47</v>
      </c>
    </row>
    <row r="1990" spans="4:6" s="322" customFormat="1" x14ac:dyDescent="0.2">
      <c r="D1990" s="374" t="str">
        <f>Intv_BA!D2695</f>
        <v>Lidocaine 1% or 2% without epinephrine (UG)</v>
      </c>
      <c r="F1990" s="342" t="s">
        <v>47</v>
      </c>
    </row>
    <row r="1991" spans="4:6" s="322" customFormat="1" x14ac:dyDescent="0.2">
      <c r="D1991" s="374" t="str">
        <f>Intv_BA!D2696</f>
        <v>Lidocaine 2% with epinephrine 1:80000 (ZM)</v>
      </c>
      <c r="F1991" s="342" t="s">
        <v>47</v>
      </c>
    </row>
    <row r="1992" spans="4:6" s="322" customFormat="1" x14ac:dyDescent="0.2">
      <c r="D1992" s="374" t="str">
        <f>Intv_BA!D2697</f>
        <v>Lidocaine: 2% with adrenalin 1:80000 (TZ)</v>
      </c>
      <c r="F1992" s="342" t="s">
        <v>47</v>
      </c>
    </row>
    <row r="1993" spans="4:6" s="322" customFormat="1" x14ac:dyDescent="0.2">
      <c r="D1993" s="374" t="str">
        <f>Intv_BA!D2698</f>
        <v>Liquid soap (UG)</v>
      </c>
      <c r="F1993" s="342" t="s">
        <v>47</v>
      </c>
    </row>
    <row r="1994" spans="4:6" s="322" customFormat="1" x14ac:dyDescent="0.2">
      <c r="D1994" s="374" t="str">
        <f>Intv_BA!D2699</f>
        <v>Lugol's iodine (UG)</v>
      </c>
      <c r="F1994" s="342" t="s">
        <v>47</v>
      </c>
    </row>
    <row r="1995" spans="4:6" s="322" customFormat="1" x14ac:dyDescent="0.2">
      <c r="D1995" s="374" t="str">
        <f>Intv_BA!D2700</f>
        <v>Mannitol (ZM)</v>
      </c>
      <c r="F1995" s="342" t="s">
        <v>47</v>
      </c>
    </row>
    <row r="1996" spans="4:6" s="322" customFormat="1" x14ac:dyDescent="0.2">
      <c r="D1996" s="374" t="str">
        <f>Intv_BA!D2701</f>
        <v>Metronizadol (200mg) (ZM)</v>
      </c>
      <c r="F1996" s="342" t="s">
        <v>47</v>
      </c>
    </row>
    <row r="1997" spans="4:6" s="322" customFormat="1" x14ac:dyDescent="0.2">
      <c r="D1997" s="374" t="str">
        <f>Intv_BA!D2702</f>
        <v>Metronizadol (200mg) (UG)</v>
      </c>
      <c r="F1997" s="342" t="s">
        <v>47</v>
      </c>
    </row>
    <row r="1998" spans="4:6" s="322" customFormat="1" x14ac:dyDescent="0.2">
      <c r="D1998" s="374" t="str">
        <f>Intv_BA!D2703</f>
        <v>Metronizadol (400mg) (UG)</v>
      </c>
      <c r="F1998" s="342" t="s">
        <v>47</v>
      </c>
    </row>
    <row r="1999" spans="4:6" s="322" customFormat="1" x14ac:dyDescent="0.2">
      <c r="D1999" s="374" t="str">
        <f>Intv_BA!D2704</f>
        <v>Mictomycin  C (10mg) (TZ)</v>
      </c>
      <c r="F1999" s="342" t="s">
        <v>47</v>
      </c>
    </row>
    <row r="2000" spans="4:6" s="322" customFormat="1" x14ac:dyDescent="0.2">
      <c r="D2000" s="374" t="str">
        <f>Intv_BA!D2705</f>
        <v>Mitomycin  C (10mg) (ZM)</v>
      </c>
      <c r="F2000" s="342" t="s">
        <v>47</v>
      </c>
    </row>
    <row r="2001" spans="4:6" s="322" customFormat="1" x14ac:dyDescent="0.2">
      <c r="D2001" s="374" t="str">
        <f>Intv_BA!D2706</f>
        <v>Monsel's solution (UG)</v>
      </c>
      <c r="F2001" s="342" t="s">
        <v>47</v>
      </c>
    </row>
    <row r="2002" spans="4:6" s="322" customFormat="1" x14ac:dyDescent="0.2">
      <c r="D2002" s="374" t="str">
        <f>Intv_BA!D2707</f>
        <v>Monsel's solution (ZM)</v>
      </c>
      <c r="F2002" s="342" t="s">
        <v>47</v>
      </c>
    </row>
    <row r="2003" spans="4:6" s="322" customFormat="1" x14ac:dyDescent="0.2">
      <c r="D2003" s="374" t="str">
        <f>Intv_BA!D2708</f>
        <v>Morphine (10mg) (ZM)</v>
      </c>
      <c r="F2003" s="342" t="s">
        <v>47</v>
      </c>
    </row>
    <row r="2004" spans="4:6" s="322" customFormat="1" x14ac:dyDescent="0.2">
      <c r="D2004" s="374" t="str">
        <f>Intv_BA!D2709</f>
        <v>Morphine (10mg) (TZ)</v>
      </c>
      <c r="F2004" s="342" t="s">
        <v>47</v>
      </c>
    </row>
    <row r="2005" spans="4:6" s="322" customFormat="1" x14ac:dyDescent="0.2">
      <c r="D2005" s="374" t="str">
        <f>Intv_BA!D2710</f>
        <v>Mutton Cloth (ZM)</v>
      </c>
      <c r="F2005" s="342" t="s">
        <v>47</v>
      </c>
    </row>
    <row r="2006" spans="4:6" s="322" customFormat="1" x14ac:dyDescent="0.2">
      <c r="D2006" s="374" t="str">
        <f>Intv_BA!D2711</f>
        <v>Needle – 18 or 20 gauge (TZ)</v>
      </c>
      <c r="F2006" s="342" t="s">
        <v>47</v>
      </c>
    </row>
    <row r="2007" spans="4:6" s="322" customFormat="1" x14ac:dyDescent="0.2">
      <c r="D2007" s="374" t="str">
        <f>Intv_BA!D2712</f>
        <v>Needle - Spinal 22G (disposable) (ZM)</v>
      </c>
      <c r="F2007" s="342" t="s">
        <v>47</v>
      </c>
    </row>
    <row r="2008" spans="4:6" s="322" customFormat="1" x14ac:dyDescent="0.2">
      <c r="D2008" s="374" t="str">
        <f>Intv_BA!D2713</f>
        <v>Needle - Spinal 22G (disposable) (TZ)</v>
      </c>
      <c r="F2008" s="342" t="s">
        <v>47</v>
      </c>
    </row>
    <row r="2009" spans="4:6" s="322" customFormat="1" x14ac:dyDescent="0.2">
      <c r="D2009" s="374" t="str">
        <f>Intv_BA!D2714</f>
        <v>Needles - Dental 27G Long (ZM)</v>
      </c>
      <c r="F2009" s="342" t="s">
        <v>47</v>
      </c>
    </row>
    <row r="2010" spans="4:6" s="322" customFormat="1" x14ac:dyDescent="0.2">
      <c r="D2010" s="374" t="str">
        <f>Intv_BA!D2715</f>
        <v>Neostymine (ZM)</v>
      </c>
      <c r="F2010" s="342" t="s">
        <v>47</v>
      </c>
    </row>
    <row r="2011" spans="4:6" s="322" customFormat="1" x14ac:dyDescent="0.2">
      <c r="D2011" s="374" t="str">
        <f>Intv_BA!D2716</f>
        <v>Normal saline (UG)</v>
      </c>
      <c r="F2011" s="342" t="s">
        <v>47</v>
      </c>
    </row>
    <row r="2012" spans="4:6" s="322" customFormat="1" x14ac:dyDescent="0.2">
      <c r="D2012" s="374" t="str">
        <f>Intv_BA!D2717</f>
        <v>Normal saline (ZM)</v>
      </c>
      <c r="F2012" s="342" t="s">
        <v>47</v>
      </c>
    </row>
    <row r="2013" spans="4:6" s="322" customFormat="1" x14ac:dyDescent="0.2">
      <c r="D2013" s="374" t="str">
        <f>Intv_BA!D2718</f>
        <v>Nystain (200mg) (UG)</v>
      </c>
      <c r="F2013" s="342" t="s">
        <v>47</v>
      </c>
    </row>
    <row r="2014" spans="4:6" s="322" customFormat="1" x14ac:dyDescent="0.2">
      <c r="D2014" s="374" t="str">
        <f>Intv_BA!D2719</f>
        <v>Ondansetron (IV) 4mg vials</v>
      </c>
      <c r="F2014" s="342" t="s">
        <v>47</v>
      </c>
    </row>
    <row r="2015" spans="4:6" s="322" customFormat="1" x14ac:dyDescent="0.2">
      <c r="D2015" s="374" t="str">
        <f>Intv_BA!D2720</f>
        <v>Ondasetron (oral) (4mg tablets)</v>
      </c>
      <c r="F2015" s="342" t="s">
        <v>47</v>
      </c>
    </row>
    <row r="2016" spans="4:6" x14ac:dyDescent="0.2">
      <c r="D2016" s="10" t="str">
        <f>Intv_BA!D2721</f>
        <v>Opiods - Pethidine (ZM)</v>
      </c>
      <c r="F2016" s="375" t="s">
        <v>47</v>
      </c>
    </row>
    <row r="2017" spans="4:6" s="322" customFormat="1" x14ac:dyDescent="0.2">
      <c r="D2017" s="374" t="str">
        <f>Intv_BA!D2722</f>
        <v>Supplies Category 109</v>
      </c>
      <c r="F2017" s="342" t="s">
        <v>47</v>
      </c>
    </row>
    <row r="2018" spans="4:6" x14ac:dyDescent="0.2">
      <c r="D2018" s="10" t="str">
        <f>Intv_BA!D2723</f>
        <v>Oralpharyngeal airway (ZM)</v>
      </c>
      <c r="F2018" s="375" t="s">
        <v>47</v>
      </c>
    </row>
    <row r="2019" spans="4:6" x14ac:dyDescent="0.2">
      <c r="D2019" s="10" t="str">
        <f>Intv_BA!D2724</f>
        <v>Oxygen Mask (ZM)</v>
      </c>
      <c r="F2019" s="375" t="s">
        <v>47</v>
      </c>
    </row>
    <row r="2020" spans="4:6" x14ac:dyDescent="0.2">
      <c r="D2020" s="10" t="str">
        <f>Intv_BA!D2725</f>
        <v>Pancuronuien (ZM)</v>
      </c>
      <c r="F2020" s="375" t="s">
        <v>47</v>
      </c>
    </row>
    <row r="2021" spans="4:6" x14ac:dyDescent="0.2">
      <c r="D2021" s="10" t="str">
        <f>Intv_BA!D2726</f>
        <v>Paracetamol (1g) (UG)</v>
      </c>
      <c r="F2021" s="375" t="s">
        <v>47</v>
      </c>
    </row>
    <row r="2022" spans="4:6" x14ac:dyDescent="0.2">
      <c r="D2022" s="10" t="str">
        <f>Intv_BA!D2727</f>
        <v>Paracetamol (500mg) (ZM)</v>
      </c>
      <c r="F2022" s="375" t="s">
        <v>47</v>
      </c>
    </row>
    <row r="2023" spans="4:6" s="47" customFormat="1" x14ac:dyDescent="0.2">
      <c r="D2023" s="289" t="str">
        <f>Intv_BA!D2728</f>
        <v>Paracetamol (500mg) (TZ)</v>
      </c>
      <c r="F2023" s="342" t="s">
        <v>47</v>
      </c>
    </row>
    <row r="2024" spans="4:6" s="47" customFormat="1" x14ac:dyDescent="0.2">
      <c r="D2024" s="289" t="str">
        <f>Intv_BA!D2729</f>
        <v>Paracetamol (500mg) (UG)</v>
      </c>
      <c r="F2024" s="342" t="s">
        <v>47</v>
      </c>
    </row>
    <row r="2025" spans="4:6" s="47" customFormat="1" x14ac:dyDescent="0.2">
      <c r="D2025" s="289" t="str">
        <f>Intv_BA!D2730</f>
        <v>Pathology form (TZ)</v>
      </c>
      <c r="F2025" s="342" t="s">
        <v>47</v>
      </c>
    </row>
    <row r="2026" spans="4:6" s="47" customFormat="1" x14ac:dyDescent="0.2">
      <c r="D2026" s="289" t="str">
        <f>Intv_BA!D2731</f>
        <v>Patient card (TZ)</v>
      </c>
      <c r="F2026" s="342" t="s">
        <v>47</v>
      </c>
    </row>
    <row r="2027" spans="4:6" s="47" customFormat="1" x14ac:dyDescent="0.2">
      <c r="D2027" s="289" t="str">
        <f>Intv_BA!D2732</f>
        <v>Pencil (TZ)</v>
      </c>
      <c r="F2027" s="342" t="s">
        <v>47</v>
      </c>
    </row>
    <row r="2028" spans="4:6" s="322" customFormat="1" x14ac:dyDescent="0.2">
      <c r="D2028" s="374" t="str">
        <f>Intv_BA!D2733</f>
        <v>Perthodine (TZ)</v>
      </c>
      <c r="F2028" s="342" t="s">
        <v>47</v>
      </c>
    </row>
    <row r="2029" spans="4:6" s="322" customFormat="1" x14ac:dyDescent="0.2">
      <c r="D2029" s="374" t="str">
        <f>Intv_BA!D2734</f>
        <v>Pipette Tips (TZ)</v>
      </c>
      <c r="F2029" s="342" t="s">
        <v>47</v>
      </c>
    </row>
    <row r="2030" spans="4:6" s="322" customFormat="1" x14ac:dyDescent="0.2">
      <c r="D2030" s="374" t="str">
        <f>Intv_BA!D2735</f>
        <v>Pipette, Fixed, 50 microlitre (TZ)</v>
      </c>
      <c r="F2030" s="342" t="s">
        <v>47</v>
      </c>
    </row>
    <row r="2031" spans="4:6" s="322" customFormat="1" x14ac:dyDescent="0.2">
      <c r="D2031" s="374" t="str">
        <f>Intv_BA!D2736</f>
        <v>Pipette, Repeater (TZ)</v>
      </c>
      <c r="F2031" s="342" t="s">
        <v>47</v>
      </c>
    </row>
    <row r="2032" spans="4:6" s="322" customFormat="1" x14ac:dyDescent="0.2">
      <c r="D2032" s="374" t="str">
        <f>Intv_BA!D2737</f>
        <v>Pregnancy test– urine test strip (ZM)</v>
      </c>
      <c r="F2032" s="342" t="s">
        <v>47</v>
      </c>
    </row>
    <row r="2033" spans="4:6" s="322" customFormat="1" x14ac:dyDescent="0.2">
      <c r="D2033" s="374" t="str">
        <f>Intv_BA!D2738</f>
        <v>Pregnancy tests – urine test strips (TZ)</v>
      </c>
      <c r="F2033" s="342" t="s">
        <v>47</v>
      </c>
    </row>
    <row r="2034" spans="4:6" s="322" customFormat="1" x14ac:dyDescent="0.2">
      <c r="D2034" s="374" t="str">
        <f>Intv_BA!D2739</f>
        <v>Profol, 2%, 20 mg/l, 50ml (ZM)</v>
      </c>
      <c r="F2034" s="342" t="s">
        <v>47</v>
      </c>
    </row>
    <row r="2035" spans="4:6" s="322" customFormat="1" x14ac:dyDescent="0.2">
      <c r="D2035" s="374" t="str">
        <f>Intv_BA!D2740</f>
        <v>Repeater Tips (TZ)</v>
      </c>
      <c r="F2035" s="342" t="s">
        <v>47</v>
      </c>
    </row>
    <row r="2036" spans="4:6" s="322" customFormat="1" x14ac:dyDescent="0.2">
      <c r="D2036" s="374" t="str">
        <f>Intv_BA!D2741</f>
        <v>Return electrode (UG)</v>
      </c>
      <c r="F2036" s="342" t="s">
        <v>47</v>
      </c>
    </row>
    <row r="2037" spans="4:6" s="322" customFormat="1" x14ac:dyDescent="0.2">
      <c r="D2037" s="374" t="str">
        <f>Intv_BA!D2742</f>
        <v>Saline solution, normal (ZM)</v>
      </c>
      <c r="F2037" s="342" t="s">
        <v>47</v>
      </c>
    </row>
    <row r="2038" spans="4:6" s="322" customFormat="1" x14ac:dyDescent="0.2">
      <c r="D2038" s="374" t="str">
        <f>Intv_BA!D2743</f>
        <v>Saline solution, normal (TZ)</v>
      </c>
      <c r="F2038" s="342" t="s">
        <v>47</v>
      </c>
    </row>
    <row r="2039" spans="4:6" s="322" customFormat="1" x14ac:dyDescent="0.2">
      <c r="D2039" s="374" t="str">
        <f>Intv_BA!D2744</f>
        <v>Sanitary pad (ZM)</v>
      </c>
      <c r="F2039" s="342" t="s">
        <v>47</v>
      </c>
    </row>
    <row r="2040" spans="4:6" s="322" customFormat="1" x14ac:dyDescent="0.2">
      <c r="D2040" s="374" t="str">
        <f>Intv_BA!D2745</f>
        <v>Sanitary pad (UG)</v>
      </c>
      <c r="F2040" s="342" t="s">
        <v>47</v>
      </c>
    </row>
    <row r="2041" spans="4:6" s="322" customFormat="1" x14ac:dyDescent="0.2">
      <c r="D2041" s="374" t="str">
        <f>Intv_BA!D2746</f>
        <v>Scouring Powder (Ajax)</v>
      </c>
      <c r="F2041" s="342" t="s">
        <v>47</v>
      </c>
    </row>
    <row r="2042" spans="4:6" s="322" customFormat="1" x14ac:dyDescent="0.2">
      <c r="D2042" s="374" t="str">
        <f>Intv_BA!D2747</f>
        <v>Soap (or hand sanitizer) (ZM)</v>
      </c>
      <c r="F2042" s="342" t="s">
        <v>47</v>
      </c>
    </row>
    <row r="2043" spans="4:6" s="322" customFormat="1" x14ac:dyDescent="0.2">
      <c r="D2043" s="374" t="str">
        <f>Intv_BA!D2748</f>
        <v>Soap (or hand sanitizer) (TZ)</v>
      </c>
      <c r="F2043" s="342" t="s">
        <v>47</v>
      </c>
    </row>
    <row r="2044" spans="4:6" s="322" customFormat="1" x14ac:dyDescent="0.2">
      <c r="D2044" s="374" t="str">
        <f>Intv_BA!D2749</f>
        <v>Specimen bottle / recyled syringe bottles (UG)</v>
      </c>
      <c r="F2044" s="342" t="s">
        <v>47</v>
      </c>
    </row>
    <row r="2045" spans="4:6" s="322" customFormat="1" x14ac:dyDescent="0.2">
      <c r="D2045" s="374" t="str">
        <f>Intv_BA!D2750</f>
        <v>Specimen cup with lid and label - 100 cc (TZ)</v>
      </c>
      <c r="F2045" s="342" t="s">
        <v>47</v>
      </c>
    </row>
    <row r="2046" spans="4:6" s="322" customFormat="1" x14ac:dyDescent="0.2">
      <c r="D2046" s="374" t="str">
        <f>Intv_BA!D2751</f>
        <v>Surgical Apron (ZM)</v>
      </c>
      <c r="F2046" s="342" t="s">
        <v>47</v>
      </c>
    </row>
    <row r="2047" spans="4:6" s="322" customFormat="1" x14ac:dyDescent="0.2">
      <c r="D2047" s="374" t="str">
        <f>Intv_BA!D2752</f>
        <v>Suxamethonium (ZM)</v>
      </c>
      <c r="F2047" s="342" t="s">
        <v>47</v>
      </c>
    </row>
    <row r="2048" spans="4:6" s="322" customFormat="1" x14ac:dyDescent="0.2">
      <c r="D2048" s="374" t="str">
        <f>Intv_BA!D2753</f>
        <v>Syringe - 2cc (ZM)</v>
      </c>
      <c r="F2048" s="342" t="s">
        <v>47</v>
      </c>
    </row>
    <row r="2049" spans="4:6" s="322" customFormat="1" x14ac:dyDescent="0.2">
      <c r="D2049" s="374" t="str">
        <f>Intv_BA!D2754</f>
        <v>Syringe - 2ml (UG)</v>
      </c>
      <c r="F2049" s="342" t="s">
        <v>47</v>
      </c>
    </row>
    <row r="2050" spans="4:6" s="322" customFormat="1" x14ac:dyDescent="0.2">
      <c r="D2050" s="374" t="str">
        <f>Intv_BA!D2755</f>
        <v>Syringe, 10 cc with needle (ZM)</v>
      </c>
      <c r="F2050" s="342" t="s">
        <v>47</v>
      </c>
    </row>
    <row r="2051" spans="4:6" s="322" customFormat="1" x14ac:dyDescent="0.2">
      <c r="D2051" s="374" t="str">
        <f>Intv_BA!D2756</f>
        <v>Syringe, 5 cc with needle (ZM)</v>
      </c>
      <c r="F2051" s="342" t="s">
        <v>47</v>
      </c>
    </row>
    <row r="2052" spans="4:6" s="322" customFormat="1" x14ac:dyDescent="0.2">
      <c r="D2052" s="374" t="str">
        <f>Intv_BA!D2757</f>
        <v>Syringes, 10 cc with needle (TZ)</v>
      </c>
      <c r="F2052" s="342" t="s">
        <v>47</v>
      </c>
    </row>
    <row r="2053" spans="4:6" s="322" customFormat="1" x14ac:dyDescent="0.2">
      <c r="D2053" s="374" t="str">
        <f>Intv_BA!D2758</f>
        <v>Syringes, 5 cc with needle (TZ)</v>
      </c>
      <c r="F2053" s="342" t="s">
        <v>47</v>
      </c>
    </row>
    <row r="2054" spans="4:6" s="322" customFormat="1" x14ac:dyDescent="0.2">
      <c r="D2054" s="374" t="str">
        <f>Intv_BA!D2759</f>
        <v>Syringes, Dental, 25 gauge (ZM)</v>
      </c>
      <c r="F2054" s="342" t="s">
        <v>47</v>
      </c>
    </row>
    <row r="2055" spans="4:6" s="322" customFormat="1" x14ac:dyDescent="0.2">
      <c r="D2055" s="374" t="str">
        <f>Intv_BA!D2760</f>
        <v>Thiopentone,500mg vial (ZM)</v>
      </c>
      <c r="F2055" s="342" t="s">
        <v>47</v>
      </c>
    </row>
    <row r="2056" spans="4:6" s="322" customFormat="1" x14ac:dyDescent="0.2">
      <c r="D2056" s="374" t="str">
        <f>Intv_BA!D2761</f>
        <v>Toilet Tissues (roll) – 500 sheets (ZM)</v>
      </c>
      <c r="F2056" s="342" t="s">
        <v>47</v>
      </c>
    </row>
    <row r="2057" spans="4:6" s="322" customFormat="1" x14ac:dyDescent="0.2">
      <c r="D2057" s="374" t="str">
        <f>Intv_BA!D2762</f>
        <v>Tramadol (50mg)  (ZM)</v>
      </c>
      <c r="F2057" s="342" t="s">
        <v>47</v>
      </c>
    </row>
    <row r="2058" spans="4:6" s="322" customFormat="1" x14ac:dyDescent="0.2">
      <c r="D2058" s="374" t="str">
        <f>Intv_BA!D2763</f>
        <v>Tramadol (50mg) (TZ)</v>
      </c>
      <c r="F2058" s="342" t="s">
        <v>47</v>
      </c>
    </row>
    <row r="2059" spans="4:6" s="322" customFormat="1" x14ac:dyDescent="0.2">
      <c r="D2059" s="374" t="str">
        <f>Intv_BA!D2764</f>
        <v>Tubes - Endotrach (ZM)</v>
      </c>
      <c r="F2059" s="342" t="s">
        <v>47</v>
      </c>
    </row>
    <row r="2060" spans="4:6" s="322" customFormat="1" x14ac:dyDescent="0.2">
      <c r="D2060" s="374" t="str">
        <f>Intv_BA!D2765</f>
        <v>Urine Bag (ZM)</v>
      </c>
      <c r="F2060" s="342" t="s">
        <v>47</v>
      </c>
    </row>
    <row r="2061" spans="4:6" s="322" customFormat="1" x14ac:dyDescent="0.2">
      <c r="D2061" s="374" t="str">
        <f>Intv_BA!D2766</f>
        <v>Urine Bag (TZ)</v>
      </c>
      <c r="F2061" s="342" t="s">
        <v>47</v>
      </c>
    </row>
    <row r="2062" spans="4:6" s="322" customFormat="1" x14ac:dyDescent="0.2">
      <c r="D2062" s="374" t="str">
        <f>Intv_BA!D2767</f>
        <v>Washing powder (ZM)</v>
      </c>
      <c r="F2062" s="342" t="s">
        <v>47</v>
      </c>
    </row>
    <row r="2063" spans="4:6" s="322" customFormat="1" x14ac:dyDescent="0.2">
      <c r="D2063" s="374" t="str">
        <f>Intv_BA!D2768</f>
        <v>Wire electrode (UG)</v>
      </c>
      <c r="F2063" s="342" t="s">
        <v>47</v>
      </c>
    </row>
    <row r="2064" spans="4:6" s="322" customFormat="1" x14ac:dyDescent="0.2">
      <c r="D2064" s="374" t="str">
        <f>Intv_BA!D2769</f>
        <v>Wood stick (ZM)</v>
      </c>
      <c r="F2064" s="342" t="s">
        <v>47</v>
      </c>
    </row>
    <row r="2065" spans="3:6" s="322" customFormat="1" x14ac:dyDescent="0.2">
      <c r="D2065" s="374" t="str">
        <f>Intv_BA!D2770</f>
        <v>Wood stick (TZ)</v>
      </c>
      <c r="F2065" s="342" t="s">
        <v>47</v>
      </c>
    </row>
    <row r="2066" spans="3:6" s="322" customFormat="1" x14ac:dyDescent="0.2">
      <c r="D2066" s="374" t="str">
        <f>Intv_BA!D2771</f>
        <v>Supplies Category 158</v>
      </c>
      <c r="F2066" s="342" t="s">
        <v>47</v>
      </c>
    </row>
    <row r="2067" spans="3:6" s="322" customFormat="1" x14ac:dyDescent="0.2">
      <c r="D2067" s="374" t="str">
        <f>Intv_BA!D2772</f>
        <v>Supplies Category 159</v>
      </c>
      <c r="F2067" s="342" t="s">
        <v>47</v>
      </c>
    </row>
    <row r="2068" spans="3:6" s="322" customFormat="1" x14ac:dyDescent="0.2">
      <c r="D2068" s="374" t="str">
        <f>Intv_BA!D2773</f>
        <v>Supplies Category 160</v>
      </c>
      <c r="F2068" s="342" t="s">
        <v>47</v>
      </c>
    </row>
    <row r="2069" spans="3:6" s="322" customFormat="1" x14ac:dyDescent="0.2">
      <c r="D2069" s="374" t="str">
        <f>Intv_BA!D2774</f>
        <v>Supplies Category 161</v>
      </c>
      <c r="F2069" s="342" t="s">
        <v>47</v>
      </c>
    </row>
    <row r="2070" spans="3:6" s="322" customFormat="1" x14ac:dyDescent="0.2">
      <c r="D2070" s="374" t="str">
        <f>Intv_BA!D2775</f>
        <v>Supplies Category 162</v>
      </c>
      <c r="F2070" s="342" t="s">
        <v>47</v>
      </c>
    </row>
    <row r="2071" spans="3:6" s="322" customFormat="1" x14ac:dyDescent="0.2">
      <c r="D2071" s="374" t="str">
        <f>Intv_BA!D2776</f>
        <v>Supplies Category 163</v>
      </c>
      <c r="F2071" s="342" t="s">
        <v>47</v>
      </c>
    </row>
    <row r="2072" spans="3:6" s="322" customFormat="1" x14ac:dyDescent="0.2">
      <c r="D2072" s="374" t="str">
        <f>Intv_BA!D2777</f>
        <v>Other Supply (Specify)</v>
      </c>
      <c r="F2072" s="342" t="s">
        <v>47</v>
      </c>
    </row>
    <row r="2073" spans="3:6" s="322" customFormat="1" x14ac:dyDescent="0.2">
      <c r="D2073" s="374" t="str">
        <f>Intv_BA!D2778</f>
        <v>Other Supply (Specify)</v>
      </c>
      <c r="F2073" s="342" t="s">
        <v>47</v>
      </c>
    </row>
    <row r="2074" spans="3:6" s="322" customFormat="1" x14ac:dyDescent="0.2">
      <c r="D2074" s="374" t="str">
        <f>Intv_BA!D2779</f>
        <v>Other Supply (Specify)</v>
      </c>
      <c r="F2074" s="342" t="s">
        <v>47</v>
      </c>
    </row>
    <row r="2075" spans="3:6" s="322" customFormat="1" x14ac:dyDescent="0.2">
      <c r="D2075" s="374" t="str">
        <f>Intv_BA!D2780</f>
        <v>Other Supply (Specify)</v>
      </c>
      <c r="F2075" s="342" t="s">
        <v>47</v>
      </c>
    </row>
    <row r="2077" spans="3:6" ht="15.75" x14ac:dyDescent="0.2">
      <c r="C2077" s="19" t="s">
        <v>313</v>
      </c>
      <c r="F2077" s="19" t="s">
        <v>32</v>
      </c>
    </row>
    <row r="2079" spans="3:6" x14ac:dyDescent="0.2">
      <c r="D2079" s="20" t="s">
        <v>313</v>
      </c>
      <c r="F2079" s="504" t="s">
        <v>364</v>
      </c>
    </row>
    <row r="2080" spans="3:6" x14ac:dyDescent="0.2">
      <c r="D2080" s="10" t="str">
        <f>Intv_BA!D2783</f>
        <v>_Not Applicable</v>
      </c>
      <c r="F2080" s="375" t="s">
        <v>47</v>
      </c>
    </row>
    <row r="2081" spans="4:6" x14ac:dyDescent="0.2">
      <c r="D2081" s="10" t="str">
        <f>Intv_BA!D2784</f>
        <v>Aluminum pail with lid (TZ)</v>
      </c>
      <c r="F2081" s="375" t="s">
        <v>47</v>
      </c>
    </row>
    <row r="2082" spans="4:6" x14ac:dyDescent="0.2">
      <c r="D2082" s="10" t="str">
        <f>Intv_BA!D2785</f>
        <v>Autoclaving Machine (ZM)</v>
      </c>
      <c r="F2082" s="375" t="s">
        <v>47</v>
      </c>
    </row>
    <row r="2083" spans="4:6" s="322" customFormat="1" x14ac:dyDescent="0.2">
      <c r="D2083" s="374" t="str">
        <f>Intv_BA!D2786</f>
        <v>Ball electrode  5mm/Ellman (ZM)</v>
      </c>
      <c r="F2083" s="342" t="s">
        <v>47</v>
      </c>
    </row>
    <row r="2084" spans="4:6" x14ac:dyDescent="0.2">
      <c r="D2084" s="10" t="str">
        <f>Intv_BA!D2787</f>
        <v>Basin (for examination couch) (ZM)</v>
      </c>
      <c r="F2084" s="375" t="s">
        <v>47</v>
      </c>
    </row>
    <row r="2085" spans="4:6" x14ac:dyDescent="0.2">
      <c r="D2085" s="10" t="str">
        <f>Intv_BA!D2788</f>
        <v>Battery Charger (ZM)</v>
      </c>
      <c r="F2085" s="375" t="s">
        <v>47</v>
      </c>
    </row>
    <row r="2086" spans="4:6" x14ac:dyDescent="0.2">
      <c r="D2086" s="10" t="str">
        <f>Intv_BA!D2789</f>
        <v>Bucket (UG)</v>
      </c>
      <c r="F2086" s="375" t="s">
        <v>47</v>
      </c>
    </row>
    <row r="2087" spans="4:6" x14ac:dyDescent="0.2">
      <c r="D2087" s="10" t="str">
        <f>Intv_BA!D2790</f>
        <v>Bucket 20Lt plastic with lid (ZM)</v>
      </c>
      <c r="F2087" s="375" t="s">
        <v>47</v>
      </c>
    </row>
    <row r="2088" spans="4:6" x14ac:dyDescent="0.2">
      <c r="D2088" s="10" t="str">
        <f>Intv_BA!D2791</f>
        <v>Camera Rechargeable batteries ( set of 6) (ZM)</v>
      </c>
      <c r="F2088" s="375" t="s">
        <v>47</v>
      </c>
    </row>
    <row r="2089" spans="4:6" x14ac:dyDescent="0.2">
      <c r="D2089" s="10" t="str">
        <f>Intv_BA!D2792</f>
        <v>Card Reader (ZM)</v>
      </c>
      <c r="F2089" s="375" t="s">
        <v>47</v>
      </c>
    </row>
    <row r="2090" spans="4:6" x14ac:dyDescent="0.2">
      <c r="D2090" s="10" t="str">
        <f>Intv_BA!D2793</f>
        <v>CareHPV Machine (kit set) (ZM)</v>
      </c>
      <c r="F2090" s="375" t="s">
        <v>47</v>
      </c>
    </row>
    <row r="2091" spans="4:6" x14ac:dyDescent="0.2">
      <c r="D2091" s="10" t="str">
        <f>Intv_BA!D2794</f>
        <v>CareHPV Machine (kit)  (TZ)</v>
      </c>
      <c r="F2091" s="375" t="s">
        <v>47</v>
      </c>
    </row>
    <row r="2092" spans="4:6" x14ac:dyDescent="0.2">
      <c r="D2092" s="10" t="str">
        <f>Intv_BA!D2795</f>
        <v>Cauterizer (ZM)</v>
      </c>
      <c r="F2092" s="375" t="s">
        <v>47</v>
      </c>
    </row>
    <row r="2093" spans="4:6" x14ac:dyDescent="0.2">
      <c r="D2093" s="10" t="str">
        <f>Intv_BA!D2796</f>
        <v>Cauterizer  (TZ)</v>
      </c>
      <c r="F2093" s="375" t="s">
        <v>47</v>
      </c>
    </row>
    <row r="2094" spans="4:6" s="322" customFormat="1" x14ac:dyDescent="0.2">
      <c r="D2094" s="374" t="str">
        <f>Intv_BA!D2797</f>
        <v>Cervical Cold Coagulator with Instrument Cable and Therapy Probe (ZM)</v>
      </c>
      <c r="F2094" s="342" t="s">
        <v>47</v>
      </c>
    </row>
    <row r="2095" spans="4:6" x14ac:dyDescent="0.2">
      <c r="D2095" s="10" t="str">
        <f>Intv_BA!D2798</f>
        <v>Chair (ZM)</v>
      </c>
      <c r="F2095" s="375" t="s">
        <v>47</v>
      </c>
    </row>
    <row r="2096" spans="4:6" x14ac:dyDescent="0.2">
      <c r="D2096" s="10" t="str">
        <f>Intv_BA!D2799</f>
        <v>Cheetal forceps (UG)</v>
      </c>
      <c r="F2096" s="375" t="s">
        <v>47</v>
      </c>
    </row>
    <row r="2097" spans="4:6" x14ac:dyDescent="0.2">
      <c r="D2097" s="10" t="str">
        <f>Intv_BA!D2800</f>
        <v>Colposcope (set) (ZM)</v>
      </c>
      <c r="F2097" s="375" t="s">
        <v>47</v>
      </c>
    </row>
    <row r="2098" spans="4:6" x14ac:dyDescent="0.2">
      <c r="D2098" s="10" t="str">
        <f>Intv_BA!D2801</f>
        <v>Colposcope (UG)</v>
      </c>
      <c r="F2098" s="375" t="s">
        <v>47</v>
      </c>
    </row>
    <row r="2099" spans="4:6" s="47" customFormat="1" x14ac:dyDescent="0.2">
      <c r="D2099" s="289" t="str">
        <f>Intv_BA!D2802</f>
        <v>Colposcopy equipment (TZ)</v>
      </c>
      <c r="F2099" s="342" t="s">
        <v>47</v>
      </c>
    </row>
    <row r="2100" spans="4:6" s="47" customFormat="1" x14ac:dyDescent="0.2">
      <c r="D2100" s="289" t="str">
        <f>Intv_BA!D2803</f>
        <v>Cryotherapy unit (UG)</v>
      </c>
      <c r="F2100" s="342" t="s">
        <v>47</v>
      </c>
    </row>
    <row r="2101" spans="4:6" s="47" customFormat="1" x14ac:dyDescent="0.2">
      <c r="D2101" s="289" t="str">
        <f>Intv_BA!D2804</f>
        <v>Cryotherapy Unit with cryotips (set) (ZM)</v>
      </c>
      <c r="F2101" s="342" t="s">
        <v>47</v>
      </c>
    </row>
    <row r="2102" spans="4:6" s="47" customFormat="1" x14ac:dyDescent="0.2">
      <c r="D2102" s="289" t="str">
        <f>Intv_BA!D2805</f>
        <v>Cryotherapy Unit with cryotips (TZ)</v>
      </c>
      <c r="F2102" s="342" t="s">
        <v>47</v>
      </c>
    </row>
    <row r="2103" spans="4:6" s="47" customFormat="1" x14ac:dyDescent="0.2">
      <c r="D2103" s="289" t="str">
        <f>Intv_BA!D2806</f>
        <v>Digital Camera (ZM)</v>
      </c>
      <c r="F2103" s="342" t="s">
        <v>47</v>
      </c>
    </row>
    <row r="2104" spans="4:6" s="47" customFormat="1" x14ac:dyDescent="0.2">
      <c r="D2104" s="289" t="str">
        <f>Intv_BA!D2807</f>
        <v>Dissecting forceps – 12.5 cm  (TZ)</v>
      </c>
      <c r="F2104" s="342" t="s">
        <v>47</v>
      </c>
    </row>
    <row r="2105" spans="4:6" s="47" customFormat="1" x14ac:dyDescent="0.2">
      <c r="D2105" s="289" t="str">
        <f>Intv_BA!D2808</f>
        <v>Doctor's Stool (ZM)</v>
      </c>
      <c r="F2105" s="342" t="s">
        <v>47</v>
      </c>
    </row>
    <row r="2106" spans="4:6" s="47" customFormat="1" x14ac:dyDescent="0.2">
      <c r="D2106" s="289" t="str">
        <f>Intv_BA!D2809</f>
        <v>Endocervical speculum  (UG)</v>
      </c>
      <c r="F2106" s="342" t="s">
        <v>47</v>
      </c>
    </row>
    <row r="2107" spans="4:6" s="47" customFormat="1" x14ac:dyDescent="0.2">
      <c r="D2107" s="289" t="str">
        <f>Intv_BA!D2810</f>
        <v>Examination bed (UG)</v>
      </c>
      <c r="F2107" s="342" t="s">
        <v>47</v>
      </c>
    </row>
    <row r="2108" spans="4:6" s="47" customFormat="1" x14ac:dyDescent="0.2">
      <c r="D2108" s="289" t="str">
        <f>Intv_BA!D2811</f>
        <v>Examination couch (with Stirrups) (ZM)</v>
      </c>
      <c r="F2108" s="342" t="s">
        <v>47</v>
      </c>
    </row>
    <row r="2109" spans="4:6" s="47" customFormat="1" x14ac:dyDescent="0.2">
      <c r="D2109" s="289" t="str">
        <f>Intv_BA!D2812</f>
        <v>Examination light (Halogen, no bulb) (ZM)</v>
      </c>
      <c r="F2109" s="342" t="s">
        <v>47</v>
      </c>
    </row>
    <row r="2110" spans="4:6" s="322" customFormat="1" x14ac:dyDescent="0.2">
      <c r="D2110" s="374" t="str">
        <f>Intv_BA!D2813</f>
        <v>Examination light source  (TZ)</v>
      </c>
      <c r="F2110" s="342" t="s">
        <v>47</v>
      </c>
    </row>
    <row r="2111" spans="4:6" s="322" customFormat="1" x14ac:dyDescent="0.2">
      <c r="D2111" s="374" t="str">
        <f>Intv_BA!D2814</f>
        <v>Examination light source (Halogen) with bulb (set) (ZM)</v>
      </c>
      <c r="F2111" s="342" t="s">
        <v>47</v>
      </c>
    </row>
    <row r="2112" spans="4:6" s="322" customFormat="1" x14ac:dyDescent="0.2">
      <c r="D2112" s="374" t="str">
        <f>Intv_BA!D2815</f>
        <v>Examination table (UG)</v>
      </c>
      <c r="F2112" s="342" t="s">
        <v>47</v>
      </c>
    </row>
    <row r="2113" spans="4:6" s="322" customFormat="1" x14ac:dyDescent="0.2">
      <c r="D2113" s="374" t="str">
        <f>Intv_BA!D2816</f>
        <v>Filing Cabinet (ZM)</v>
      </c>
      <c r="F2113" s="342" t="s">
        <v>47</v>
      </c>
    </row>
    <row r="2114" spans="4:6" s="322" customFormat="1" x14ac:dyDescent="0.2">
      <c r="D2114" s="374" t="str">
        <f>Intv_BA!D2817</f>
        <v>Forceps (UG)</v>
      </c>
      <c r="F2114" s="342" t="s">
        <v>47</v>
      </c>
    </row>
    <row r="2115" spans="4:6" s="322" customFormat="1" x14ac:dyDescent="0.2">
      <c r="D2115" s="374" t="str">
        <f>Intv_BA!D2818</f>
        <v>Forceps Babcocks  (ZM)</v>
      </c>
      <c r="F2115" s="342" t="s">
        <v>47</v>
      </c>
    </row>
    <row r="2116" spans="4:6" s="322" customFormat="1" x14ac:dyDescent="0.2">
      <c r="D2116" s="374" t="str">
        <f>Intv_BA!D2819</f>
        <v>Forceps tissue - babcocks  (TZ)</v>
      </c>
      <c r="F2116" s="342" t="s">
        <v>47</v>
      </c>
    </row>
    <row r="2117" spans="4:6" s="322" customFormat="1" x14ac:dyDescent="0.2">
      <c r="D2117" s="374" t="str">
        <f>Intv_BA!D2820</f>
        <v>Forceps tissue - long  (TZ)</v>
      </c>
      <c r="F2117" s="342" t="s">
        <v>47</v>
      </c>
    </row>
    <row r="2118" spans="4:6" s="322" customFormat="1" x14ac:dyDescent="0.2">
      <c r="D2118" s="374" t="str">
        <f>Intv_BA!D2821</f>
        <v>Forceps tissue- litlewoods 19 cm  (TZ)</v>
      </c>
      <c r="F2118" s="342" t="s">
        <v>47</v>
      </c>
    </row>
    <row r="2119" spans="4:6" s="322" customFormat="1" x14ac:dyDescent="0.2">
      <c r="D2119" s="374" t="str">
        <f>Intv_BA!D2822</f>
        <v>Forceps, Cheetal (ZM)</v>
      </c>
      <c r="F2119" s="342" t="s">
        <v>47</v>
      </c>
    </row>
    <row r="2120" spans="4:6" s="322" customFormat="1" x14ac:dyDescent="0.2">
      <c r="D2120" s="374" t="str">
        <f>Intv_BA!D2823</f>
        <v>Forceps, Dissecting - 12.5 cm (ZM)</v>
      </c>
      <c r="F2120" s="342" t="s">
        <v>47</v>
      </c>
    </row>
    <row r="2121" spans="4:6" s="322" customFormat="1" x14ac:dyDescent="0.2">
      <c r="D2121" s="374" t="str">
        <f>Intv_BA!D2824</f>
        <v>Forceps, Littlewoods 19 cm (ZM)</v>
      </c>
      <c r="F2121" s="342" t="s">
        <v>47</v>
      </c>
    </row>
    <row r="2122" spans="4:6" s="322" customFormat="1" x14ac:dyDescent="0.2">
      <c r="D2122" s="374" t="str">
        <f>Intv_BA!D2825</f>
        <v>Forceps, Long  (ZM)</v>
      </c>
      <c r="F2122" s="342" t="s">
        <v>47</v>
      </c>
    </row>
    <row r="2123" spans="4:6" s="322" customFormat="1" x14ac:dyDescent="0.2">
      <c r="D2123" s="374" t="str">
        <f>Intv_BA!D2826</f>
        <v>Forceps, ovum (ZM)</v>
      </c>
      <c r="F2123" s="342" t="s">
        <v>47</v>
      </c>
    </row>
    <row r="2124" spans="4:6" s="322" customFormat="1" x14ac:dyDescent="0.2">
      <c r="D2124" s="374" t="str">
        <f>Intv_BA!D2827</f>
        <v>Forceps, ovum  (TZ)</v>
      </c>
      <c r="F2124" s="342" t="s">
        <v>47</v>
      </c>
    </row>
    <row r="2125" spans="4:6" s="322" customFormat="1" x14ac:dyDescent="0.2">
      <c r="D2125" s="374" t="str">
        <f>Intv_BA!D2828</f>
        <v>Forceps, Punch biopsy (ZM)</v>
      </c>
      <c r="F2125" s="342" t="s">
        <v>47</v>
      </c>
    </row>
    <row r="2126" spans="4:6" s="322" customFormat="1" x14ac:dyDescent="0.2">
      <c r="D2126" s="374" t="str">
        <f>Intv_BA!D2829</f>
        <v>Forceps, punch biopsy (TZ)</v>
      </c>
      <c r="F2126" s="342" t="s">
        <v>47</v>
      </c>
    </row>
    <row r="2127" spans="4:6" s="322" customFormat="1" x14ac:dyDescent="0.2">
      <c r="D2127" s="374" t="str">
        <f>Intv_BA!D2830</f>
        <v>Forceps, Sponge holder (ZM)</v>
      </c>
      <c r="F2127" s="342" t="s">
        <v>47</v>
      </c>
    </row>
    <row r="2128" spans="4:6" s="322" customFormat="1" x14ac:dyDescent="0.2">
      <c r="D2128" s="374" t="str">
        <f>Intv_BA!D2831</f>
        <v>Forceps, sponge holder  (TZ)</v>
      </c>
      <c r="F2128" s="342" t="s">
        <v>47</v>
      </c>
    </row>
    <row r="2129" spans="4:6" s="322" customFormat="1" x14ac:dyDescent="0.2">
      <c r="D2129" s="374" t="str">
        <f>Intv_BA!D2832</f>
        <v>Gallipot (ZM)</v>
      </c>
      <c r="F2129" s="342" t="s">
        <v>47</v>
      </c>
    </row>
    <row r="2130" spans="4:6" s="322" customFormat="1" x14ac:dyDescent="0.2">
      <c r="D2130" s="374" t="str">
        <f>Intv_BA!D2833</f>
        <v>Gallipot (UG)</v>
      </c>
      <c r="F2130" s="342" t="s">
        <v>47</v>
      </c>
    </row>
    <row r="2131" spans="4:6" s="322" customFormat="1" x14ac:dyDescent="0.2">
      <c r="D2131" s="374" t="str">
        <f>Intv_BA!D2834</f>
        <v>Gas cylinder adaptor (ZM)</v>
      </c>
      <c r="F2131" s="342" t="s">
        <v>47</v>
      </c>
    </row>
    <row r="2132" spans="4:6" s="322" customFormat="1" x14ac:dyDescent="0.2">
      <c r="D2132" s="374" t="str">
        <f>Intv_BA!D2835</f>
        <v>Gas cylinder adaptor  (TZ)</v>
      </c>
      <c r="F2132" s="342" t="s">
        <v>47</v>
      </c>
    </row>
    <row r="2133" spans="4:6" s="322" customFormat="1" x14ac:dyDescent="0.2">
      <c r="D2133" s="374" t="str">
        <f>Intv_BA!D2836</f>
        <v>Gynecological examination bed  (TZ)</v>
      </c>
      <c r="F2133" s="342" t="s">
        <v>47</v>
      </c>
    </row>
    <row r="2134" spans="4:6" s="322" customFormat="1" x14ac:dyDescent="0.2">
      <c r="D2134" s="374" t="str">
        <f>Intv_BA!D2837</f>
        <v>Halogen Bulbs (ZM)</v>
      </c>
      <c r="F2134" s="342" t="s">
        <v>47</v>
      </c>
    </row>
    <row r="2135" spans="4:6" s="322" customFormat="1" x14ac:dyDescent="0.2">
      <c r="D2135" s="374" t="str">
        <f>Intv_BA!D2838</f>
        <v>Hysterectomy Set (ZM)</v>
      </c>
      <c r="F2135" s="342" t="s">
        <v>47</v>
      </c>
    </row>
    <row r="2136" spans="4:6" s="322" customFormat="1" x14ac:dyDescent="0.2">
      <c r="D2136" s="374" t="str">
        <f>Intv_BA!D2839</f>
        <v>Instrument tray (ZM)</v>
      </c>
      <c r="F2136" s="342" t="s">
        <v>47</v>
      </c>
    </row>
    <row r="2137" spans="4:6" s="322" customFormat="1" x14ac:dyDescent="0.2">
      <c r="D2137" s="374" t="str">
        <f>Intv_BA!D2840</f>
        <v>Instrument tray  (TZ)</v>
      </c>
      <c r="F2137" s="342" t="s">
        <v>47</v>
      </c>
    </row>
    <row r="2138" spans="4:6" s="322" customFormat="1" x14ac:dyDescent="0.2">
      <c r="D2138" s="374" t="str">
        <f>Intv_BA!D2841</f>
        <v>Kidney Dish (ZM)</v>
      </c>
      <c r="F2138" s="342" t="s">
        <v>47</v>
      </c>
    </row>
    <row r="2139" spans="4:6" s="322" customFormat="1" x14ac:dyDescent="0.2">
      <c r="D2139" s="374" t="str">
        <f>Intv_BA!D2842</f>
        <v>Kidney Dish (UG)</v>
      </c>
      <c r="F2139" s="342" t="s">
        <v>47</v>
      </c>
    </row>
    <row r="2140" spans="4:6" s="322" customFormat="1" x14ac:dyDescent="0.2">
      <c r="D2140" s="374" t="str">
        <f>Intv_BA!D2843</f>
        <v>Lamp (UG)</v>
      </c>
      <c r="F2140" s="342" t="s">
        <v>47</v>
      </c>
    </row>
    <row r="2141" spans="4:6" s="322" customFormat="1" x14ac:dyDescent="0.2">
      <c r="D2141" s="374" t="str">
        <f>Intv_BA!D2844</f>
        <v>Laptop / Desktop Computer (ZM)</v>
      </c>
      <c r="F2141" s="342" t="s">
        <v>47</v>
      </c>
    </row>
    <row r="2142" spans="4:6" s="322" customFormat="1" x14ac:dyDescent="0.2">
      <c r="D2142" s="374" t="str">
        <f>Intv_BA!D2845</f>
        <v>LEEP Equipment  (TZ)</v>
      </c>
      <c r="F2142" s="342" t="s">
        <v>47</v>
      </c>
    </row>
    <row r="2143" spans="4:6" s="322" customFormat="1" x14ac:dyDescent="0.2">
      <c r="D2143" s="374" t="str">
        <f>Intv_BA!D2846</f>
        <v>LEEP machine plus smoke evacuator system plus accessories (ZM)</v>
      </c>
      <c r="F2143" s="342" t="s">
        <v>47</v>
      </c>
    </row>
    <row r="2144" spans="4:6" s="322" customFormat="1" x14ac:dyDescent="0.2">
      <c r="D2144" s="374" t="str">
        <f>Intv_BA!D2847</f>
        <v>LEEP machine  with coated speculums (UG)</v>
      </c>
      <c r="F2144" s="342" t="s">
        <v>47</v>
      </c>
    </row>
    <row r="2145" spans="4:6" s="322" customFormat="1" x14ac:dyDescent="0.2">
      <c r="D2145" s="374" t="str">
        <f>Intv_BA!D2848</f>
        <v>Lensmate SX 40 Filter Adapter 58mm (ZM)</v>
      </c>
      <c r="F2145" s="342" t="s">
        <v>47</v>
      </c>
    </row>
    <row r="2146" spans="4:6" s="322" customFormat="1" x14ac:dyDescent="0.2">
      <c r="D2146" s="374" t="str">
        <f>Intv_BA!D2849</f>
        <v>Loop Electrodes - 5 mm x 5mm (Ellman) (ZM)</v>
      </c>
      <c r="F2146" s="342" t="s">
        <v>47</v>
      </c>
    </row>
    <row r="2147" spans="4:6" s="322" customFormat="1" x14ac:dyDescent="0.2">
      <c r="D2147" s="374" t="str">
        <f>Intv_BA!D2850</f>
        <v>Loop Electrodes - 10 mm x 10mm (Ellman) (ZM)</v>
      </c>
      <c r="F2147" s="342" t="s">
        <v>47</v>
      </c>
    </row>
    <row r="2148" spans="4:6" s="322" customFormat="1" x14ac:dyDescent="0.2">
      <c r="D2148" s="374" t="str">
        <f>Intv_BA!D2851</f>
        <v>Loop Electrodes - 20 mm x 8mm (Ellman) (ZM)</v>
      </c>
      <c r="F2148" s="342" t="s">
        <v>47</v>
      </c>
    </row>
    <row r="2149" spans="4:6" s="322" customFormat="1" x14ac:dyDescent="0.2">
      <c r="D2149" s="374" t="str">
        <f>Intv_BA!D2852</f>
        <v>Loop Electrodes - 20 mm x 15mm (Ellman) (ZM)</v>
      </c>
      <c r="F2149" s="342" t="s">
        <v>47</v>
      </c>
    </row>
    <row r="2150" spans="4:6" s="322" customFormat="1" x14ac:dyDescent="0.2">
      <c r="D2150" s="374" t="str">
        <f>Intv_BA!D2853</f>
        <v>Mackintosh (Plastic sheet for exam couch) (ZM)</v>
      </c>
      <c r="F2150" s="342" t="s">
        <v>47</v>
      </c>
    </row>
    <row r="2151" spans="4:6" s="322" customFormat="1" x14ac:dyDescent="0.2">
      <c r="D2151" s="374" t="str">
        <f>Intv_BA!D2854</f>
        <v>Magnification Lens (ZM)</v>
      </c>
      <c r="F2151" s="342" t="s">
        <v>47</v>
      </c>
    </row>
    <row r="2152" spans="4:6" s="322" customFormat="1" x14ac:dyDescent="0.2">
      <c r="D2152" s="374" t="str">
        <f>Intv_BA!D2855</f>
        <v>Medical Rubber Mackintosh Sheet (ZM)</v>
      </c>
      <c r="F2152" s="342" t="s">
        <v>47</v>
      </c>
    </row>
    <row r="2153" spans="4:6" s="322" customFormat="1" x14ac:dyDescent="0.2">
      <c r="D2153" s="374" t="str">
        <f>Intv_BA!D2856</f>
        <v>Medical Rubber Mackintosh Sheet   (TZ)</v>
      </c>
      <c r="F2153" s="342" t="s">
        <v>47</v>
      </c>
    </row>
    <row r="2154" spans="4:6" s="322" customFormat="1" x14ac:dyDescent="0.2">
      <c r="D2154" s="374" t="str">
        <f>Intv_BA!D2857</f>
        <v>Memory Card (ZM)</v>
      </c>
      <c r="F2154" s="342" t="s">
        <v>47</v>
      </c>
    </row>
    <row r="2155" spans="4:6" s="322" customFormat="1" x14ac:dyDescent="0.2">
      <c r="D2155" s="374" t="str">
        <f>Intv_BA!D2858</f>
        <v>Multi-Tip Cryo-Probe System with British adapter for NO2 includes gun, regulator, hose(2/3Tips included) (set) (ZM)</v>
      </c>
      <c r="F2155" s="342" t="s">
        <v>47</v>
      </c>
    </row>
    <row r="2156" spans="4:6" s="322" customFormat="1" x14ac:dyDescent="0.2">
      <c r="D2156" s="374" t="str">
        <f>Intv_BA!D2859</f>
        <v>Non-conducting speculum  Pederson  (ZM)</v>
      </c>
      <c r="F2156" s="342" t="s">
        <v>47</v>
      </c>
    </row>
    <row r="2157" spans="4:6" s="322" customFormat="1" x14ac:dyDescent="0.2">
      <c r="D2157" s="374" t="str">
        <f>Intv_BA!D2860</f>
        <v>Non-conducting speculum (UG)</v>
      </c>
      <c r="F2157" s="342" t="s">
        <v>47</v>
      </c>
    </row>
    <row r="2158" spans="4:6" s="322" customFormat="1" x14ac:dyDescent="0.2">
      <c r="D2158" s="374" t="str">
        <f>Intv_BA!D2861</f>
        <v>Nurses Table (ZM)</v>
      </c>
      <c r="F2158" s="342" t="s">
        <v>47</v>
      </c>
    </row>
    <row r="2159" spans="4:6" s="322" customFormat="1" x14ac:dyDescent="0.2">
      <c r="D2159" s="374" t="str">
        <f>Intv_BA!D2862</f>
        <v>Pillow (ZM)</v>
      </c>
      <c r="F2159" s="342" t="s">
        <v>47</v>
      </c>
    </row>
    <row r="2160" spans="4:6" s="322" customFormat="1" x14ac:dyDescent="0.2">
      <c r="D2160" s="374" t="str">
        <f>Intv_BA!D2863</f>
        <v>Plastic apron (ZM)</v>
      </c>
      <c r="F2160" s="342" t="s">
        <v>47</v>
      </c>
    </row>
    <row r="2161" spans="4:6" s="322" customFormat="1" x14ac:dyDescent="0.2">
      <c r="D2161" s="374" t="str">
        <f>Intv_BA!D2864</f>
        <v>Plastic apron  (TZ)</v>
      </c>
      <c r="F2161" s="342" t="s">
        <v>47</v>
      </c>
    </row>
    <row r="2162" spans="4:6" s="322" customFormat="1" x14ac:dyDescent="0.2">
      <c r="D2162" s="374" t="str">
        <f>Intv_BA!D2865</f>
        <v>Privacy screen (portable) (ZM)</v>
      </c>
      <c r="F2162" s="342" t="s">
        <v>47</v>
      </c>
    </row>
    <row r="2163" spans="4:6" s="322" customFormat="1" x14ac:dyDescent="0.2">
      <c r="D2163" s="374" t="str">
        <f>Intv_BA!D2866</f>
        <v>Privacy screen (portable) (TZ)</v>
      </c>
      <c r="F2163" s="342" t="s">
        <v>47</v>
      </c>
    </row>
    <row r="2164" spans="4:6" s="322" customFormat="1" x14ac:dyDescent="0.2">
      <c r="D2164" s="374" t="str">
        <f>Intv_BA!D2867</f>
        <v>Punch Biopsy Forceps  Titanium 10" (ZM)</v>
      </c>
      <c r="F2164" s="342" t="s">
        <v>47</v>
      </c>
    </row>
    <row r="2165" spans="4:6" s="322" customFormat="1" x14ac:dyDescent="0.2">
      <c r="D2165" s="374" t="str">
        <f>Intv_BA!D2868</f>
        <v>Punch Biopsy Forceps (UG)</v>
      </c>
      <c r="F2165" s="342" t="s">
        <v>47</v>
      </c>
    </row>
    <row r="2166" spans="4:6" s="322" customFormat="1" x14ac:dyDescent="0.2">
      <c r="D2166" s="374" t="str">
        <f>Intv_BA!D2869</f>
        <v>Radiotherapy Machine - intra-cavity ( internal)  (TZ)</v>
      </c>
      <c r="F2166" s="342" t="s">
        <v>47</v>
      </c>
    </row>
    <row r="2167" spans="4:6" s="322" customFormat="1" x14ac:dyDescent="0.2">
      <c r="D2167" s="374" t="str">
        <f>Intv_BA!D2870</f>
        <v>Radiotherapy Machine - teletherapy (external) Cobalt-60  (TZ)</v>
      </c>
      <c r="F2167" s="342" t="s">
        <v>47</v>
      </c>
    </row>
    <row r="2168" spans="4:6" s="322" customFormat="1" x14ac:dyDescent="0.2">
      <c r="D2168" s="374" t="str">
        <f>Intv_BA!D2871</f>
        <v>Radiotherapy Treatment Couch  (TZ)</v>
      </c>
      <c r="F2168" s="342" t="s">
        <v>47</v>
      </c>
    </row>
    <row r="2169" spans="4:6" s="322" customFormat="1" x14ac:dyDescent="0.2">
      <c r="D2169" s="374" t="str">
        <f>Intv_BA!D2872</f>
        <v>Registration book, patient  (TZ)</v>
      </c>
      <c r="F2169" s="342" t="s">
        <v>47</v>
      </c>
    </row>
    <row r="2170" spans="4:6" s="322" customFormat="1" x14ac:dyDescent="0.2">
      <c r="D2170" s="374" t="str">
        <f>Intv_BA!D2873</f>
        <v>Retractor 3.5" Coated Lateral Wall (ZM)</v>
      </c>
      <c r="F2170" s="342" t="s">
        <v>47</v>
      </c>
    </row>
    <row r="2171" spans="4:6" s="322" customFormat="1" x14ac:dyDescent="0.2">
      <c r="D2171" s="374" t="str">
        <f>Intv_BA!D2874</f>
        <v>Smoke evacuator (UG)</v>
      </c>
      <c r="F2171" s="342" t="s">
        <v>47</v>
      </c>
    </row>
    <row r="2172" spans="4:6" s="322" customFormat="1" x14ac:dyDescent="0.2">
      <c r="D2172" s="374" t="str">
        <f>Intv_BA!D2875</f>
        <v>Specimen Tube rack  (TZ)</v>
      </c>
      <c r="F2172" s="342" t="s">
        <v>47</v>
      </c>
    </row>
    <row r="2173" spans="4:6" s="322" customFormat="1" x14ac:dyDescent="0.2">
      <c r="D2173" s="374" t="str">
        <f>Intv_BA!D2876</f>
        <v>Speculum  (TZ)</v>
      </c>
      <c r="F2173" s="342" t="s">
        <v>47</v>
      </c>
    </row>
    <row r="2174" spans="4:6" s="322" customFormat="1" x14ac:dyDescent="0.2">
      <c r="D2174" s="374" t="str">
        <f>Intv_BA!D2877</f>
        <v>Speculum (reusable) (UG)</v>
      </c>
      <c r="F2174" s="342" t="s">
        <v>47</v>
      </c>
    </row>
    <row r="2175" spans="4:6" s="322" customFormat="1" x14ac:dyDescent="0.2">
      <c r="D2175" s="374" t="str">
        <f>Intv_BA!D2878</f>
        <v>Speculum (UG)</v>
      </c>
      <c r="F2175" s="342" t="s">
        <v>47</v>
      </c>
    </row>
    <row r="2176" spans="4:6" s="322" customFormat="1" x14ac:dyDescent="0.2">
      <c r="D2176" s="374" t="str">
        <f>Intv_BA!D2879</f>
        <v>Speculum Graves' large  (ZM)</v>
      </c>
      <c r="F2176" s="342" t="s">
        <v>47</v>
      </c>
    </row>
    <row r="2177" spans="4:6" s="322" customFormat="1" x14ac:dyDescent="0.2">
      <c r="D2177" s="374" t="str">
        <f>Intv_BA!D2880</f>
        <v>Speculum Graves' Medium (ZM)</v>
      </c>
      <c r="F2177" s="342" t="s">
        <v>47</v>
      </c>
    </row>
    <row r="2178" spans="4:6" s="322" customFormat="1" x14ac:dyDescent="0.2">
      <c r="D2178" s="374" t="str">
        <f>Intv_BA!D2881</f>
        <v>Speculum  Graves'  Small (ZM)</v>
      </c>
      <c r="F2178" s="342" t="s">
        <v>47</v>
      </c>
    </row>
    <row r="2179" spans="4:6" s="322" customFormat="1" x14ac:dyDescent="0.2">
      <c r="D2179" s="374" t="str">
        <f>Intv_BA!D2882</f>
        <v>Speculum, endocervical (ZM)</v>
      </c>
      <c r="F2179" s="342" t="s">
        <v>47</v>
      </c>
    </row>
    <row r="2180" spans="4:6" s="322" customFormat="1" x14ac:dyDescent="0.2">
      <c r="D2180" s="374" t="str">
        <f>Intv_BA!D2883</f>
        <v>Sponge holding forceps (UG)</v>
      </c>
      <c r="F2180" s="342" t="s">
        <v>47</v>
      </c>
    </row>
    <row r="2181" spans="4:6" s="322" customFormat="1" x14ac:dyDescent="0.2">
      <c r="D2181" s="374" t="str">
        <f>Intv_BA!D2884</f>
        <v>Steel trolley (Two/three shelves) (ZM)</v>
      </c>
      <c r="F2181" s="342" t="s">
        <v>47</v>
      </c>
    </row>
    <row r="2182" spans="4:6" s="322" customFormat="1" x14ac:dyDescent="0.2">
      <c r="D2182" s="374" t="str">
        <f>Intv_BA!D2885</f>
        <v>Step-on stool (ZM)</v>
      </c>
      <c r="F2182" s="342" t="s">
        <v>47</v>
      </c>
    </row>
    <row r="2183" spans="4:6" s="322" customFormat="1" x14ac:dyDescent="0.2">
      <c r="D2183" s="374" t="str">
        <f>Intv_BA!D2886</f>
        <v>Sterilising Drum (ZM)</v>
      </c>
      <c r="F2183" s="342" t="s">
        <v>47</v>
      </c>
    </row>
    <row r="2184" spans="4:6" s="322" customFormat="1" x14ac:dyDescent="0.2">
      <c r="D2184" s="374" t="str">
        <f>Intv_BA!D2887</f>
        <v>Sterilizer (UG)</v>
      </c>
      <c r="F2184" s="342" t="s">
        <v>47</v>
      </c>
    </row>
    <row r="2185" spans="4:6" s="322" customFormat="1" x14ac:dyDescent="0.2">
      <c r="D2185" s="374" t="str">
        <f>Intv_BA!D2888</f>
        <v>Television set (ZM)</v>
      </c>
      <c r="F2185" s="342" t="s">
        <v>47</v>
      </c>
    </row>
    <row r="2186" spans="4:6" s="322" customFormat="1" x14ac:dyDescent="0.2">
      <c r="D2186" s="374" t="str">
        <f>Intv_BA!D2889</f>
        <v>Timer / wall clock (UG)</v>
      </c>
      <c r="F2186" s="342" t="s">
        <v>47</v>
      </c>
    </row>
    <row r="2187" spans="4:6" s="322" customFormat="1" x14ac:dyDescent="0.2">
      <c r="D2187" s="374" t="str">
        <f>Intv_BA!D2890</f>
        <v>Torch (UG)</v>
      </c>
      <c r="F2187" s="342" t="s">
        <v>47</v>
      </c>
    </row>
    <row r="2188" spans="4:6" s="322" customFormat="1" x14ac:dyDescent="0.2">
      <c r="D2188" s="374" t="str">
        <f>Intv_BA!D2891</f>
        <v>Uterine Cervical Dilator (ZM)</v>
      </c>
      <c r="F2188" s="342" t="s">
        <v>47</v>
      </c>
    </row>
    <row r="2189" spans="4:6" s="322" customFormat="1" x14ac:dyDescent="0.2">
      <c r="D2189" s="374" t="str">
        <f>Intv_BA!D2892</f>
        <v>Uterine Cervical Dilator  (TZ)</v>
      </c>
      <c r="F2189" s="342" t="s">
        <v>47</v>
      </c>
    </row>
    <row r="2190" spans="4:6" s="322" customFormat="1" x14ac:dyDescent="0.2">
      <c r="D2190" s="374" t="str">
        <f>Intv_BA!D2893</f>
        <v>Uterine Probe (ZM)</v>
      </c>
      <c r="F2190" s="342" t="s">
        <v>47</v>
      </c>
    </row>
    <row r="2191" spans="4:6" s="322" customFormat="1" x14ac:dyDescent="0.2">
      <c r="D2191" s="374" t="str">
        <f>Intv_BA!D2894</f>
        <v>Uterine Probe  (TZ)</v>
      </c>
      <c r="F2191" s="342" t="s">
        <v>47</v>
      </c>
    </row>
    <row r="2192" spans="4:6" s="322" customFormat="1" x14ac:dyDescent="0.2">
      <c r="D2192" s="374" t="str">
        <f>Intv_BA!D2895</f>
        <v>Equipment Category 113</v>
      </c>
      <c r="F2192" s="342" t="s">
        <v>47</v>
      </c>
    </row>
    <row r="2193" spans="3:6" s="322" customFormat="1" x14ac:dyDescent="0.2">
      <c r="D2193" s="374" t="str">
        <f>Intv_BA!D2896</f>
        <v>Equipment Category 114</v>
      </c>
      <c r="F2193" s="342" t="s">
        <v>47</v>
      </c>
    </row>
    <row r="2194" spans="3:6" s="322" customFormat="1" x14ac:dyDescent="0.2">
      <c r="D2194" s="374" t="str">
        <f>Intv_BA!D2897</f>
        <v>Equipment Category 115</v>
      </c>
      <c r="F2194" s="342" t="s">
        <v>47</v>
      </c>
    </row>
    <row r="2195" spans="3:6" s="322" customFormat="1" x14ac:dyDescent="0.2">
      <c r="D2195" s="374" t="str">
        <f>Intv_BA!D2898</f>
        <v>Equipment Category 116</v>
      </c>
      <c r="F2195" s="342" t="s">
        <v>47</v>
      </c>
    </row>
    <row r="2196" spans="3:6" s="322" customFormat="1" x14ac:dyDescent="0.2">
      <c r="D2196" s="374" t="str">
        <f>Intv_BA!D2899</f>
        <v>Equipment Category 117</v>
      </c>
      <c r="F2196" s="342" t="s">
        <v>47</v>
      </c>
    </row>
    <row r="2197" spans="3:6" s="322" customFormat="1" x14ac:dyDescent="0.2">
      <c r="D2197" s="374" t="str">
        <f>Intv_BA!D2900</f>
        <v>Equipment Category 118</v>
      </c>
      <c r="F2197" s="342" t="s">
        <v>47</v>
      </c>
    </row>
    <row r="2198" spans="3:6" s="322" customFormat="1" x14ac:dyDescent="0.2">
      <c r="D2198" s="374" t="str">
        <f>Intv_BA!D2901</f>
        <v>Equipment Category 119</v>
      </c>
      <c r="F2198" s="342" t="s">
        <v>47</v>
      </c>
    </row>
    <row r="2199" spans="3:6" s="322" customFormat="1" x14ac:dyDescent="0.2">
      <c r="D2199" s="374" t="str">
        <f>Intv_BA!D2902</f>
        <v>Equipment Category 120</v>
      </c>
      <c r="F2199" s="342" t="s">
        <v>47</v>
      </c>
    </row>
    <row r="2200" spans="3:6" s="322" customFormat="1" x14ac:dyDescent="0.2">
      <c r="D2200" s="374" t="str">
        <f>Intv_BA!D2903</f>
        <v>Equipment Category 121</v>
      </c>
      <c r="F2200" s="342" t="s">
        <v>47</v>
      </c>
    </row>
    <row r="2201" spans="3:6" s="322" customFormat="1" x14ac:dyDescent="0.2">
      <c r="D2201" s="374" t="str">
        <f>Intv_BA!D2904</f>
        <v>Equipment Category 122</v>
      </c>
      <c r="F2201" s="342" t="s">
        <v>47</v>
      </c>
    </row>
    <row r="2202" spans="3:6" s="322" customFormat="1" x14ac:dyDescent="0.2">
      <c r="D2202" s="374" t="str">
        <f>Intv_BA!D2905</f>
        <v>Equipment Category 123</v>
      </c>
      <c r="F2202" s="342" t="s">
        <v>47</v>
      </c>
    </row>
    <row r="2204" spans="3:6" ht="15.75" x14ac:dyDescent="0.2">
      <c r="C2204" s="19" t="s">
        <v>186</v>
      </c>
      <c r="F2204" s="19" t="s">
        <v>32</v>
      </c>
    </row>
    <row r="2206" spans="3:6" x14ac:dyDescent="0.2">
      <c r="D2206" s="20" t="s">
        <v>186</v>
      </c>
      <c r="F2206" s="492" t="s">
        <v>376</v>
      </c>
    </row>
    <row r="2207" spans="3:6" s="47" customFormat="1" x14ac:dyDescent="0.2">
      <c r="D2207" s="289" t="str">
        <f>Intv_BA!D2908</f>
        <v>_Not Applicable</v>
      </c>
      <c r="F2207" s="342" t="s">
        <v>47</v>
      </c>
    </row>
    <row r="2208" spans="3:6" s="322" customFormat="1" x14ac:dyDescent="0.2">
      <c r="D2208" s="374" t="str">
        <f>Intv_BA!D2909</f>
        <v>Biopsy Pathology (ZM)</v>
      </c>
      <c r="F2208" s="342" t="s">
        <v>47</v>
      </c>
    </row>
    <row r="2209" spans="4:6" s="322" customFormat="1" x14ac:dyDescent="0.2">
      <c r="D2209" s="374" t="str">
        <f>Intv_BA!D2910</f>
        <v>Blood chemistry (TZ)</v>
      </c>
      <c r="F2209" s="342" t="s">
        <v>47</v>
      </c>
    </row>
    <row r="2210" spans="4:6" s="322" customFormat="1" x14ac:dyDescent="0.2">
      <c r="D2210" s="374" t="str">
        <f>Intv_BA!D2911</f>
        <v>Blood slide for malaria (TZ)</v>
      </c>
      <c r="F2210" s="342" t="s">
        <v>47</v>
      </c>
    </row>
    <row r="2211" spans="4:6" s="322" customFormat="1" x14ac:dyDescent="0.2">
      <c r="D2211" s="374" t="str">
        <f>Intv_BA!D2912</f>
        <v>CareHPV test (TZ)</v>
      </c>
      <c r="F2211" s="342" t="s">
        <v>47</v>
      </c>
    </row>
    <row r="2212" spans="4:6" s="322" customFormat="1" x14ac:dyDescent="0.2">
      <c r="D2212" s="374" t="str">
        <f>Intv_BA!D2913</f>
        <v>Chest X-ray (ZM)</v>
      </c>
      <c r="F2212" s="342" t="s">
        <v>47</v>
      </c>
    </row>
    <row r="2213" spans="4:6" s="322" customFormat="1" x14ac:dyDescent="0.2">
      <c r="D2213" s="374" t="str">
        <f>Intv_BA!D2914</f>
        <v>Chest x-ray (TZ)</v>
      </c>
      <c r="F2213" s="342" t="s">
        <v>47</v>
      </c>
    </row>
    <row r="2214" spans="4:6" s="322" customFormat="1" x14ac:dyDescent="0.2">
      <c r="D2214" s="374" t="str">
        <f>Intv_BA!D2915</f>
        <v>Full Blood Count (ZM)</v>
      </c>
      <c r="F2214" s="342" t="s">
        <v>47</v>
      </c>
    </row>
    <row r="2215" spans="4:6" s="322" customFormat="1" x14ac:dyDescent="0.2">
      <c r="D2215" s="374" t="str">
        <f>Intv_BA!D2916</f>
        <v>Full blood picture (TZ)</v>
      </c>
      <c r="F2215" s="342" t="s">
        <v>47</v>
      </c>
    </row>
    <row r="2216" spans="4:6" s="322" customFormat="1" x14ac:dyDescent="0.2">
      <c r="D2216" s="374" t="str">
        <f>Intv_BA!D2917</f>
        <v>Grouping, X matching (TZ)</v>
      </c>
      <c r="F2216" s="342" t="s">
        <v>47</v>
      </c>
    </row>
    <row r="2217" spans="4:6" s="322" customFormat="1" x14ac:dyDescent="0.2">
      <c r="D2217" s="374" t="str">
        <f>Intv_BA!D2918</f>
        <v>Haemoglobin (TZ)</v>
      </c>
      <c r="F2217" s="342" t="s">
        <v>47</v>
      </c>
    </row>
    <row r="2218" spans="4:6" s="322" customFormat="1" x14ac:dyDescent="0.2">
      <c r="D2218" s="374" t="str">
        <f>Intv_BA!D2919</f>
        <v>Histopathology (TZ)</v>
      </c>
      <c r="F2218" s="342" t="s">
        <v>47</v>
      </c>
    </row>
    <row r="2219" spans="4:6" s="322" customFormat="1" x14ac:dyDescent="0.2">
      <c r="D2219" s="374" t="str">
        <f>Intv_BA!D2920</f>
        <v>Home Care (Day) (TZ)</v>
      </c>
      <c r="F2219" s="342" t="s">
        <v>47</v>
      </c>
    </row>
    <row r="2220" spans="4:6" s="322" customFormat="1" x14ac:dyDescent="0.2">
      <c r="D2220" s="374" t="str">
        <f>Intv_BA!D2921</f>
        <v>Hospital Stay (Bed Day) (TZ)</v>
      </c>
      <c r="F2220" s="342" t="s">
        <v>47</v>
      </c>
    </row>
    <row r="2221" spans="4:6" s="47" customFormat="1" x14ac:dyDescent="0.2">
      <c r="D2221" s="289" t="str">
        <f>Intv_BA!D2922</f>
        <v>Hysterectomy Pathology (ZM)</v>
      </c>
      <c r="F2221" s="342" t="s">
        <v>47</v>
      </c>
    </row>
    <row r="2222" spans="4:6" s="47" customFormat="1" x14ac:dyDescent="0.2">
      <c r="D2222" s="289" t="str">
        <f>Intv_BA!D2923</f>
        <v>LEEP Pathology (ZM)</v>
      </c>
      <c r="F2222" s="342" t="s">
        <v>47</v>
      </c>
    </row>
    <row r="2223" spans="4:6" s="322" customFormat="1" x14ac:dyDescent="0.2">
      <c r="D2223" s="374" t="str">
        <f>Intv_BA!D2924</f>
        <v>Liver Function (ZM)</v>
      </c>
      <c r="F2223" s="342" t="s">
        <v>47</v>
      </c>
    </row>
    <row r="2224" spans="4:6" s="322" customFormat="1" x14ac:dyDescent="0.2">
      <c r="D2224" s="374" t="str">
        <f>Intv_BA!D2925</f>
        <v>Planning x-ray (TZ)</v>
      </c>
      <c r="F2224" s="342" t="s">
        <v>47</v>
      </c>
    </row>
    <row r="2225" spans="4:6" s="322" customFormat="1" x14ac:dyDescent="0.2">
      <c r="D2225" s="374" t="str">
        <f>Intv_BA!D2926</f>
        <v>Renal Function (ZM)</v>
      </c>
      <c r="F2225" s="342" t="s">
        <v>47</v>
      </c>
    </row>
    <row r="2226" spans="4:6" s="322" customFormat="1" x14ac:dyDescent="0.2">
      <c r="D2226" s="374" t="str">
        <f>Intv_BA!D2927</f>
        <v>Ultrasound (ZM)</v>
      </c>
      <c r="F2226" s="342" t="s">
        <v>47</v>
      </c>
    </row>
    <row r="2227" spans="4:6" s="322" customFormat="1" x14ac:dyDescent="0.2">
      <c r="D2227" s="374" t="str">
        <f>Intv_BA!D2928</f>
        <v>ultrasound (abdominal &amp; pelvic) (TZ)</v>
      </c>
      <c r="F2227" s="342" t="s">
        <v>47</v>
      </c>
    </row>
    <row r="2228" spans="4:6" s="322" customFormat="1" x14ac:dyDescent="0.2">
      <c r="D2228" s="374" t="str">
        <f>Intv_BA!D2929</f>
        <v>Urine/stool test (TZ)</v>
      </c>
      <c r="F2228" s="342" t="s">
        <v>47</v>
      </c>
    </row>
    <row r="2229" spans="4:6" s="322" customFormat="1" x14ac:dyDescent="0.2">
      <c r="D2229" s="374" t="str">
        <f>Intv_BA!D2930</f>
        <v>Lab Tests &amp; Other Direct Costs Category 23</v>
      </c>
      <c r="F2229" s="342" t="s">
        <v>47</v>
      </c>
    </row>
    <row r="2230" spans="4:6" s="322" customFormat="1" x14ac:dyDescent="0.2">
      <c r="D2230" s="374" t="str">
        <f>Intv_BA!D2931</f>
        <v>Lab Tests &amp; Other Direct Costs Category 24</v>
      </c>
      <c r="F2230" s="342" t="s">
        <v>47</v>
      </c>
    </row>
    <row r="2231" spans="4:6" s="322" customFormat="1" x14ac:dyDescent="0.2">
      <c r="D2231" s="374" t="str">
        <f>Intv_BA!D2932</f>
        <v>Lab Tests &amp; Other Direct Costs Category 25</v>
      </c>
      <c r="F2231" s="342" t="s">
        <v>47</v>
      </c>
    </row>
    <row r="2232" spans="4:6" s="322" customFormat="1" x14ac:dyDescent="0.2">
      <c r="D2232" s="374" t="str">
        <f>Intv_BA!D2933</f>
        <v>Lab Tests &amp; Other Direct Costs Category 26</v>
      </c>
      <c r="F2232" s="342" t="s">
        <v>47</v>
      </c>
    </row>
    <row r="2233" spans="4:6" s="322" customFormat="1" x14ac:dyDescent="0.2">
      <c r="D2233" s="374" t="str">
        <f>Intv_BA!D2934</f>
        <v>Lab Tests &amp; Other Direct Costs Category 27</v>
      </c>
      <c r="F2233" s="342" t="s">
        <v>47</v>
      </c>
    </row>
    <row r="2234" spans="4:6" s="322" customFormat="1" x14ac:dyDescent="0.2">
      <c r="D2234" s="374" t="str">
        <f>Intv_BA!D2935</f>
        <v>Lab Tests &amp; Other Direct Costs Category 28</v>
      </c>
      <c r="F2234" s="342" t="s">
        <v>47</v>
      </c>
    </row>
    <row r="2235" spans="4:6" s="322" customFormat="1" x14ac:dyDescent="0.2">
      <c r="D2235" s="374" t="str">
        <f>Intv_BA!D2936</f>
        <v>Lab Tests &amp; Other Direct Costs Category 29</v>
      </c>
      <c r="F2235" s="342" t="s">
        <v>47</v>
      </c>
    </row>
    <row r="2236" spans="4:6" s="322" customFormat="1" x14ac:dyDescent="0.2">
      <c r="D2236" s="374" t="str">
        <f>Intv_BA!D2937</f>
        <v>Lab Tests &amp; Other Direct Costs Category 30</v>
      </c>
      <c r="F2236" s="342" t="s">
        <v>47</v>
      </c>
    </row>
    <row r="2237" spans="4:6" s="322" customFormat="1" x14ac:dyDescent="0.2">
      <c r="D2237" s="374" t="str">
        <f>Intv_BA!D2938</f>
        <v>Lab Tests &amp; Other Direct Costs Category 31</v>
      </c>
      <c r="F2237" s="342" t="s">
        <v>47</v>
      </c>
    </row>
    <row r="2238" spans="4:6" s="322" customFormat="1" x14ac:dyDescent="0.2">
      <c r="D2238" s="374" t="str">
        <f>Intv_BA!D2939</f>
        <v>Lab Tests &amp; Other Direct Costs Category 32</v>
      </c>
      <c r="F2238" s="342" t="s">
        <v>47</v>
      </c>
    </row>
    <row r="2239" spans="4:6" s="322" customFormat="1" x14ac:dyDescent="0.2">
      <c r="D2239" s="374" t="str">
        <f>Intv_BA!D2940</f>
        <v>Last ODC Row</v>
      </c>
      <c r="F2239" s="342" t="s">
        <v>47</v>
      </c>
    </row>
    <row r="2240" spans="4:6" s="327" customFormat="1" x14ac:dyDescent="0.2"/>
    <row r="2241" spans="2:6" s="327" customFormat="1" x14ac:dyDescent="0.2"/>
    <row r="2242" spans="2:6" s="327" customFormat="1" ht="18.75" x14ac:dyDescent="0.2">
      <c r="B2242" s="426" t="s">
        <v>1688</v>
      </c>
    </row>
    <row r="2243" spans="2:6" s="327" customFormat="1" x14ac:dyDescent="0.2"/>
    <row r="2244" spans="2:6" s="327" customFormat="1" ht="15.75" x14ac:dyDescent="0.2">
      <c r="C2244" s="330" t="s">
        <v>81</v>
      </c>
      <c r="F2244" s="330" t="s">
        <v>32</v>
      </c>
    </row>
    <row r="2245" spans="2:6" s="327" customFormat="1" x14ac:dyDescent="0.2"/>
    <row r="2246" spans="2:6" s="327" customFormat="1" x14ac:dyDescent="0.2">
      <c r="D2246" s="331" t="s">
        <v>81</v>
      </c>
      <c r="F2246" s="643" t="s">
        <v>207</v>
      </c>
    </row>
    <row r="2247" spans="2:6" s="327" customFormat="1" x14ac:dyDescent="0.2">
      <c r="D2247" s="21" t="str">
        <f>IF(ROWS(D$2247:D2247)=1,"N/A",ROWS(D$2247:D2247)-1)</f>
        <v>N/A</v>
      </c>
      <c r="F2247" s="375" t="s">
        <v>47</v>
      </c>
    </row>
    <row r="2248" spans="2:6" s="327" customFormat="1" x14ac:dyDescent="0.2">
      <c r="D2248" s="21">
        <f>IF(ROWS(D$2247:D2248)=1,"N/A",ROWS(D$2247:D2248)-1)</f>
        <v>1</v>
      </c>
      <c r="F2248" s="375" t="s">
        <v>47</v>
      </c>
    </row>
    <row r="2249" spans="2:6" s="327" customFormat="1" x14ac:dyDescent="0.2">
      <c r="D2249" s="21">
        <f>IF(ROWS(D$2247:D2249)=1,"N/A",ROWS(D$2247:D2249)-1)</f>
        <v>2</v>
      </c>
      <c r="F2249" s="375" t="s">
        <v>47</v>
      </c>
    </row>
    <row r="2250" spans="2:6" s="327" customFormat="1" x14ac:dyDescent="0.2">
      <c r="D2250" s="21">
        <f>IF(ROWS(D$2247:D2250)=1,"N/A",ROWS(D$2247:D2250)-1)</f>
        <v>3</v>
      </c>
      <c r="F2250" s="375" t="s">
        <v>47</v>
      </c>
    </row>
    <row r="2251" spans="2:6" s="327" customFormat="1" x14ac:dyDescent="0.2">
      <c r="D2251" s="21">
        <f>IF(ROWS(D$2247:D2251)=1,"N/A",ROWS(D$2247:D2251)-1)</f>
        <v>4</v>
      </c>
      <c r="F2251" s="375" t="s">
        <v>47</v>
      </c>
    </row>
    <row r="2252" spans="2:6" s="327" customFormat="1" x14ac:dyDescent="0.2">
      <c r="D2252" s="21">
        <f>IF(ROWS(D$2247:D2252)=1,"N/A",ROWS(D$2247:D2252)-1)</f>
        <v>5</v>
      </c>
      <c r="F2252" s="375" t="s">
        <v>47</v>
      </c>
    </row>
    <row r="2253" spans="2:6" s="327" customFormat="1" x14ac:dyDescent="0.2">
      <c r="D2253" s="21">
        <f>IF(ROWS(D$2247:D2253)=1,"N/A",ROWS(D$2247:D2253)-1)</f>
        <v>6</v>
      </c>
      <c r="F2253" s="375" t="s">
        <v>47</v>
      </c>
    </row>
    <row r="2254" spans="2:6" s="327" customFormat="1" x14ac:dyDescent="0.2"/>
    <row r="2255" spans="2:6" s="327" customFormat="1" ht="15.75" x14ac:dyDescent="0.2">
      <c r="C2255" s="330" t="s">
        <v>133</v>
      </c>
      <c r="F2255" s="330" t="s">
        <v>32</v>
      </c>
    </row>
    <row r="2256" spans="2:6" s="327" customFormat="1" x14ac:dyDescent="0.2"/>
    <row r="2257" spans="3:6" s="327" customFormat="1" x14ac:dyDescent="0.2">
      <c r="D2257" s="331" t="s">
        <v>75</v>
      </c>
      <c r="F2257" s="643" t="s">
        <v>208</v>
      </c>
    </row>
    <row r="2258" spans="3:6" s="327" customFormat="1" x14ac:dyDescent="0.2">
      <c r="D2258" s="328" t="str">
        <f>Intv_BA!D3114</f>
        <v>Central</v>
      </c>
      <c r="F2258" s="375" t="s">
        <v>47</v>
      </c>
    </row>
    <row r="2259" spans="3:6" s="327" customFormat="1" x14ac:dyDescent="0.2">
      <c r="D2259" s="328" t="str">
        <f>Intv_BA!D3115</f>
        <v>Copperbelt</v>
      </c>
      <c r="F2259" s="375" t="s">
        <v>47</v>
      </c>
    </row>
    <row r="2260" spans="3:6" s="327" customFormat="1" x14ac:dyDescent="0.2">
      <c r="D2260" s="328" t="str">
        <f>Intv_BA!D3116</f>
        <v>Eastern</v>
      </c>
      <c r="F2260" s="375" t="s">
        <v>47</v>
      </c>
    </row>
    <row r="2261" spans="3:6" s="327" customFormat="1" x14ac:dyDescent="0.2">
      <c r="D2261" s="328" t="str">
        <f>Intv_BA!D3117</f>
        <v>Luapula</v>
      </c>
      <c r="F2261" s="375" t="s">
        <v>47</v>
      </c>
    </row>
    <row r="2262" spans="3:6" s="327" customFormat="1" x14ac:dyDescent="0.2">
      <c r="D2262" s="328" t="str">
        <f>Intv_BA!D3118</f>
        <v>Lusaka</v>
      </c>
      <c r="F2262" s="375" t="s">
        <v>47</v>
      </c>
    </row>
    <row r="2263" spans="3:6" s="327" customFormat="1" x14ac:dyDescent="0.2">
      <c r="D2263" s="328" t="str">
        <f>Intv_BA!D3119</f>
        <v>Muchinga</v>
      </c>
      <c r="F2263" s="375" t="s">
        <v>47</v>
      </c>
    </row>
    <row r="2264" spans="3:6" s="327" customFormat="1" x14ac:dyDescent="0.2">
      <c r="D2264" s="328" t="str">
        <f>Intv_BA!D3120</f>
        <v>Northern</v>
      </c>
      <c r="F2264" s="375" t="s">
        <v>47</v>
      </c>
    </row>
    <row r="2265" spans="3:6" s="327" customFormat="1" x14ac:dyDescent="0.2">
      <c r="D2265" s="328" t="str">
        <f>Intv_BA!D3121</f>
        <v>North-Western</v>
      </c>
      <c r="F2265" s="375" t="s">
        <v>47</v>
      </c>
    </row>
    <row r="2266" spans="3:6" s="327" customFormat="1" x14ac:dyDescent="0.2">
      <c r="D2266" s="328" t="str">
        <f>Intv_BA!D3122</f>
        <v>Southern</v>
      </c>
      <c r="F2266" s="375" t="s">
        <v>47</v>
      </c>
    </row>
    <row r="2267" spans="3:6" s="327" customFormat="1" x14ac:dyDescent="0.2">
      <c r="D2267" s="328" t="str">
        <f>Intv_BA!D3123</f>
        <v>Western</v>
      </c>
      <c r="F2267" s="375" t="s">
        <v>47</v>
      </c>
    </row>
    <row r="2268" spans="3:6" s="327" customFormat="1" x14ac:dyDescent="0.2"/>
    <row r="2269" spans="3:6" s="327" customFormat="1" ht="15.75" x14ac:dyDescent="0.2">
      <c r="C2269" s="330" t="s">
        <v>212</v>
      </c>
      <c r="F2269" s="330" t="s">
        <v>32</v>
      </c>
    </row>
    <row r="2270" spans="3:6" s="327" customFormat="1" x14ac:dyDescent="0.2"/>
    <row r="2271" spans="3:6" s="327" customFormat="1" x14ac:dyDescent="0.2">
      <c r="D2271" s="331" t="s">
        <v>213</v>
      </c>
      <c r="F2271" s="643" t="s">
        <v>224</v>
      </c>
    </row>
    <row r="2272" spans="3:6" s="327" customFormat="1" x14ac:dyDescent="0.2">
      <c r="D2272" s="328" t="str">
        <f>Intv_Ann_TA!D1175</f>
        <v>USD</v>
      </c>
      <c r="F2272" s="375" t="s">
        <v>47</v>
      </c>
    </row>
    <row r="2273" spans="3:6" s="327" customFormat="1" x14ac:dyDescent="0.2">
      <c r="D2273" s="328" t="str">
        <f>Intv_Ann_TA!D1176</f>
        <v>ZMW</v>
      </c>
      <c r="F2273" s="375" t="s">
        <v>47</v>
      </c>
    </row>
    <row r="2274" spans="3:6" s="327" customFormat="1" x14ac:dyDescent="0.2"/>
    <row r="2275" spans="3:6" s="327" customFormat="1" ht="15.75" x14ac:dyDescent="0.2">
      <c r="C2275" s="330" t="s">
        <v>37</v>
      </c>
      <c r="F2275" s="330" t="s">
        <v>32</v>
      </c>
    </row>
    <row r="2276" spans="3:6" s="327" customFormat="1" x14ac:dyDescent="0.2"/>
    <row r="2277" spans="3:6" s="327" customFormat="1" x14ac:dyDescent="0.2">
      <c r="D2277" s="331" t="s">
        <v>37</v>
      </c>
      <c r="F2277" s="643" t="s">
        <v>230</v>
      </c>
    </row>
    <row r="2278" spans="3:6" s="327" customFormat="1" x14ac:dyDescent="0.2">
      <c r="D2278" s="21" t="str">
        <f>Intv_BA!$I$3130&amp;CHOOSE(ROWS(D$2278:D2278),""," '000"," Millions"," Billions")</f>
        <v>USD</v>
      </c>
      <c r="F2278" s="643" t="s">
        <v>47</v>
      </c>
    </row>
    <row r="2279" spans="3:6" s="327" customFormat="1" x14ac:dyDescent="0.2">
      <c r="D2279" s="21" t="str">
        <f>Intv_BA!$I$3130&amp;CHOOSE(ROWS(D$2278:D2279),""," '000"," Millions"," Billions")</f>
        <v>USD '000</v>
      </c>
      <c r="F2279" s="643" t="s">
        <v>47</v>
      </c>
    </row>
    <row r="2280" spans="3:6" s="327" customFormat="1" x14ac:dyDescent="0.2">
      <c r="D2280" s="21" t="str">
        <f>Intv_BA!$I$3130&amp;CHOOSE(ROWS(D$2278:D2280),""," '000"," Millions"," Billions")</f>
        <v>USD Millions</v>
      </c>
      <c r="F2280" s="643" t="s">
        <v>47</v>
      </c>
    </row>
    <row r="2281" spans="3:6" s="327" customFormat="1" x14ac:dyDescent="0.2">
      <c r="D2281" s="21" t="str">
        <f>Intv_BA!$I$3130&amp;CHOOSE(ROWS(D$2278:D2281),""," '000"," Millions"," Billions")</f>
        <v>USD Billions</v>
      </c>
      <c r="F2281" s="643" t="s">
        <v>47</v>
      </c>
    </row>
    <row r="2282" spans="3:6" s="327" customFormat="1" x14ac:dyDescent="0.2"/>
    <row r="2283" spans="3:6" s="327" customFormat="1" ht="15.75" x14ac:dyDescent="0.2">
      <c r="C2283" s="330" t="s">
        <v>308</v>
      </c>
      <c r="F2283" s="330" t="s">
        <v>32</v>
      </c>
    </row>
    <row r="2284" spans="3:6" s="327" customFormat="1" x14ac:dyDescent="0.2"/>
    <row r="2285" spans="3:6" s="327" customFormat="1" x14ac:dyDescent="0.2">
      <c r="D2285" s="331" t="s">
        <v>308</v>
      </c>
      <c r="F2285" s="643" t="s">
        <v>347</v>
      </c>
    </row>
    <row r="2286" spans="3:6" s="327" customFormat="1" x14ac:dyDescent="0.2">
      <c r="D2286" s="328" t="str">
        <f>Intv_BA!D3133</f>
        <v>_Not Applicable</v>
      </c>
      <c r="F2286" s="375" t="s">
        <v>47</v>
      </c>
    </row>
    <row r="2287" spans="3:6" s="327" customFormat="1" x14ac:dyDescent="0.2">
      <c r="D2287" s="328" t="str">
        <f>Intv_BA!D3134</f>
        <v>Biomedical scientist (ZM)</v>
      </c>
      <c r="F2287" s="375" t="s">
        <v>47</v>
      </c>
    </row>
    <row r="2288" spans="3:6" s="327" customFormat="1" x14ac:dyDescent="0.2">
      <c r="D2288" s="328" t="str">
        <f>Intv_BA!D3135</f>
        <v>Clinical officer  (ZM)</v>
      </c>
      <c r="F2288" s="375" t="s">
        <v>47</v>
      </c>
    </row>
    <row r="2289" spans="4:6" s="327" customFormat="1" x14ac:dyDescent="0.2">
      <c r="D2289" s="328" t="str">
        <f>Intv_BA!D3136</f>
        <v>Consultant  (ZM)</v>
      </c>
      <c r="F2289" s="375" t="s">
        <v>47</v>
      </c>
    </row>
    <row r="2290" spans="4:6" s="327" customFormat="1" x14ac:dyDescent="0.2">
      <c r="D2290" s="328" t="str">
        <f>Intv_BA!D3137</f>
        <v>General Medical Doctor</v>
      </c>
      <c r="F2290" s="375" t="s">
        <v>47</v>
      </c>
    </row>
    <row r="2291" spans="4:6" s="327" customFormat="1" x14ac:dyDescent="0.2">
      <c r="D2291" s="328" t="str">
        <f>Intv_BA!D3138</f>
        <v>Junior Resident Medical officer  (ZM)</v>
      </c>
      <c r="F2291" s="375" t="s">
        <v>47</v>
      </c>
    </row>
    <row r="2292" spans="4:6" s="327" customFormat="1" x14ac:dyDescent="0.2">
      <c r="D2292" s="328" t="str">
        <f>Intv_BA!D3139</f>
        <v>Lab Scientist (ZM)</v>
      </c>
      <c r="F2292" s="375" t="s">
        <v>47</v>
      </c>
    </row>
    <row r="2293" spans="4:6" s="327" customFormat="1" x14ac:dyDescent="0.2">
      <c r="D2293" s="328" t="str">
        <f>Intv_BA!D3140</f>
        <v>Lab Technician (ZM)</v>
      </c>
      <c r="F2293" s="375" t="s">
        <v>47</v>
      </c>
    </row>
    <row r="2294" spans="4:6" s="327" customFormat="1" x14ac:dyDescent="0.2">
      <c r="D2294" s="328" t="str">
        <f>Intv_BA!D3141</f>
        <v>Lab Technologist (ZM)</v>
      </c>
      <c r="F2294" s="375" t="s">
        <v>47</v>
      </c>
    </row>
    <row r="2295" spans="4:6" s="327" customFormat="1" x14ac:dyDescent="0.2">
      <c r="D2295" s="328" t="str">
        <f>Intv_BA!D3142</f>
        <v>Medical Physicist (ZM)</v>
      </c>
      <c r="F2295" s="375" t="s">
        <v>47</v>
      </c>
    </row>
    <row r="2296" spans="4:6" s="327" customFormat="1" x14ac:dyDescent="0.2">
      <c r="D2296" s="328" t="str">
        <f>Intv_BA!D3143</f>
        <v>Nursing Officer (ZM)</v>
      </c>
      <c r="F2296" s="375" t="s">
        <v>47</v>
      </c>
    </row>
    <row r="2297" spans="4:6" s="327" customFormat="1" x14ac:dyDescent="0.2">
      <c r="D2297" s="328" t="str">
        <f>Intv_BA!D3144</f>
        <v>Pathologist (ZM)</v>
      </c>
      <c r="F2297" s="375" t="s">
        <v>47</v>
      </c>
    </row>
    <row r="2298" spans="4:6" s="327" customFormat="1" x14ac:dyDescent="0.2">
      <c r="D2298" s="328" t="str">
        <f>Intv_BA!D3145</f>
        <v>Pharmacy Technologist (ZM)</v>
      </c>
      <c r="F2298" s="375" t="s">
        <v>47</v>
      </c>
    </row>
    <row r="2299" spans="4:6" s="327" customFormat="1" x14ac:dyDescent="0.2">
      <c r="D2299" s="328" t="str">
        <f>Intv_BA!D3146</f>
        <v>Principal Nursing Officer (ZM)</v>
      </c>
      <c r="F2299" s="375" t="s">
        <v>47</v>
      </c>
    </row>
    <row r="2300" spans="4:6" s="327" customFormat="1" x14ac:dyDescent="0.2">
      <c r="D2300" s="328" t="str">
        <f>Intv_BA!D3147</f>
        <v>Principal Pharmacist (ZM)</v>
      </c>
      <c r="F2300" s="375" t="s">
        <v>47</v>
      </c>
    </row>
    <row r="2301" spans="4:6" s="327" customFormat="1" x14ac:dyDescent="0.2">
      <c r="D2301" s="328" t="str">
        <f>Intv_BA!D3148</f>
        <v>Principal Radiographer (ZM)</v>
      </c>
      <c r="F2301" s="375" t="s">
        <v>47</v>
      </c>
    </row>
    <row r="2302" spans="4:6" s="327" customFormat="1" x14ac:dyDescent="0.2">
      <c r="D2302" s="328" t="str">
        <f>Intv_BA!D3149</f>
        <v>Principal Therapist - Radiation (ZM)</v>
      </c>
      <c r="F2302" s="375" t="s">
        <v>47</v>
      </c>
    </row>
    <row r="2303" spans="4:6" s="327" customFormat="1" x14ac:dyDescent="0.2">
      <c r="D2303" s="328" t="str">
        <f>Intv_BA!D3150</f>
        <v>Radiation Lab Scientist (ZM)</v>
      </c>
      <c r="F2303" s="375" t="s">
        <v>47</v>
      </c>
    </row>
    <row r="2304" spans="4:6" s="327" customFormat="1" x14ac:dyDescent="0.2">
      <c r="D2304" s="328" t="str">
        <f>Intv_BA!D3151</f>
        <v>Radiation Protection Officer (ZM)</v>
      </c>
      <c r="F2304" s="375" t="s">
        <v>47</v>
      </c>
    </row>
    <row r="2305" spans="3:6" s="327" customFormat="1" x14ac:dyDescent="0.2">
      <c r="D2305" s="328" t="str">
        <f>Intv_BA!D3152</f>
        <v>Radiographer (ZM)</v>
      </c>
      <c r="F2305" s="375" t="s">
        <v>47</v>
      </c>
    </row>
    <row r="2306" spans="3:6" s="327" customFormat="1" x14ac:dyDescent="0.2">
      <c r="D2306" s="328" t="str">
        <f>Intv_BA!D3153</f>
        <v>Registered Nurse (ZM)</v>
      </c>
      <c r="F2306" s="375" t="s">
        <v>47</v>
      </c>
    </row>
    <row r="2307" spans="3:6" s="327" customFormat="1" x14ac:dyDescent="0.2">
      <c r="D2307" s="328" t="str">
        <f>Intv_BA!D3154</f>
        <v>Senior Enrolled Nurse (ZM)</v>
      </c>
      <c r="F2307" s="375" t="s">
        <v>47</v>
      </c>
    </row>
    <row r="2308" spans="3:6" s="327" customFormat="1" x14ac:dyDescent="0.2">
      <c r="D2308" s="328" t="str">
        <f>Intv_BA!D3155</f>
        <v>Senior Nursing Officer (ZM)</v>
      </c>
      <c r="F2308" s="375" t="s">
        <v>47</v>
      </c>
    </row>
    <row r="2309" spans="3:6" s="327" customFormat="1" x14ac:dyDescent="0.2">
      <c r="D2309" s="328" t="str">
        <f>Intv_BA!D3156</f>
        <v>Senior Radiation protection Officer (ZM)</v>
      </c>
      <c r="F2309" s="375" t="s">
        <v>47</v>
      </c>
    </row>
    <row r="2310" spans="3:6" s="327" customFormat="1" x14ac:dyDescent="0.2">
      <c r="D2310" s="328" t="str">
        <f>Intv_BA!D3157</f>
        <v>Senior Radiographer (ZM)</v>
      </c>
      <c r="F2310" s="375" t="s">
        <v>47</v>
      </c>
    </row>
    <row r="2311" spans="3:6" s="327" customFormat="1" x14ac:dyDescent="0.2">
      <c r="D2311" s="328" t="str">
        <f>Intv_BA!D3158</f>
        <v>Zambia Enrolled Nurse (ZEN) (ZM)</v>
      </c>
      <c r="F2311" s="375" t="s">
        <v>47</v>
      </c>
    </row>
    <row r="2312" spans="3:6" s="327" customFormat="1" x14ac:dyDescent="0.2">
      <c r="D2312" s="328" t="str">
        <f>Intv_BA!D3159</f>
        <v>Personnel - Hospital Cadre - Other 27</v>
      </c>
      <c r="F2312" s="375" t="s">
        <v>47</v>
      </c>
    </row>
    <row r="2313" spans="3:6" s="327" customFormat="1" x14ac:dyDescent="0.2">
      <c r="D2313" s="328" t="str">
        <f>Intv_BA!D3160</f>
        <v>Personnel - Hospital Cadre - Other 28</v>
      </c>
      <c r="F2313" s="375" t="s">
        <v>47</v>
      </c>
    </row>
    <row r="2314" spans="3:6" s="327" customFormat="1" x14ac:dyDescent="0.2">
      <c r="D2314" s="328" t="str">
        <f>Intv_BA!D3161</f>
        <v>Personnel - Hospital Cadre - Other 29</v>
      </c>
      <c r="F2314" s="375" t="s">
        <v>47</v>
      </c>
    </row>
    <row r="2315" spans="3:6" s="327" customFormat="1" x14ac:dyDescent="0.2">
      <c r="D2315" s="328" t="str">
        <f>Intv_BA!D3162</f>
        <v>Personnel - Hospital Cadre - Other 30</v>
      </c>
      <c r="F2315" s="375" t="s">
        <v>47</v>
      </c>
    </row>
    <row r="2316" spans="3:6" s="327" customFormat="1" x14ac:dyDescent="0.2">
      <c r="D2316" s="328" t="str">
        <f>Intv_BA!D3163</f>
        <v>Personnel - Hospital Cadre - Other 31</v>
      </c>
      <c r="F2316" s="375" t="s">
        <v>47</v>
      </c>
    </row>
    <row r="2317" spans="3:6" s="327" customFormat="1" x14ac:dyDescent="0.2"/>
    <row r="2318" spans="3:6" s="327" customFormat="1" ht="15.75" x14ac:dyDescent="0.2">
      <c r="C2318" s="330" t="s">
        <v>310</v>
      </c>
      <c r="F2318" s="330" t="s">
        <v>32</v>
      </c>
    </row>
    <row r="2319" spans="3:6" s="327" customFormat="1" x14ac:dyDescent="0.2"/>
    <row r="2320" spans="3:6" s="327" customFormat="1" x14ac:dyDescent="0.2">
      <c r="D2320" s="331" t="s">
        <v>310</v>
      </c>
      <c r="F2320" s="643" t="s">
        <v>353</v>
      </c>
    </row>
    <row r="2321" spans="4:6" s="327" customFormat="1" x14ac:dyDescent="0.2">
      <c r="D2321" s="328" t="str">
        <f>Intv_BA!D3166</f>
        <v>_Not Applicable</v>
      </c>
      <c r="F2321" s="375" t="s">
        <v>47</v>
      </c>
    </row>
    <row r="2322" spans="4:6" s="327" customFormat="1" x14ac:dyDescent="0.2">
      <c r="D2322" s="328" t="str">
        <f>Intv_BA!D3167</f>
        <v>Biomedical scientist (ZM)</v>
      </c>
      <c r="F2322" s="375" t="s">
        <v>47</v>
      </c>
    </row>
    <row r="2323" spans="4:6" s="327" customFormat="1" x14ac:dyDescent="0.2">
      <c r="D2323" s="328" t="str">
        <f>Intv_BA!D3168</f>
        <v>Clinical officer  (ZM)</v>
      </c>
      <c r="F2323" s="375" t="s">
        <v>47</v>
      </c>
    </row>
    <row r="2324" spans="4:6" s="327" customFormat="1" x14ac:dyDescent="0.2">
      <c r="D2324" s="328" t="str">
        <f>Intv_BA!D3169</f>
        <v>Consultant  (ZM)</v>
      </c>
      <c r="F2324" s="375" t="s">
        <v>47</v>
      </c>
    </row>
    <row r="2325" spans="4:6" s="327" customFormat="1" x14ac:dyDescent="0.2">
      <c r="D2325" s="328" t="str">
        <f>Intv_BA!D3170</f>
        <v>General Medical Doctor</v>
      </c>
      <c r="F2325" s="375" t="s">
        <v>47</v>
      </c>
    </row>
    <row r="2326" spans="4:6" s="327" customFormat="1" x14ac:dyDescent="0.2">
      <c r="D2326" s="328" t="str">
        <f>Intv_BA!D3171</f>
        <v>Junior Resident Medical officer  (ZM)</v>
      </c>
      <c r="F2326" s="375" t="s">
        <v>47</v>
      </c>
    </row>
    <row r="2327" spans="4:6" s="327" customFormat="1" x14ac:dyDescent="0.2">
      <c r="D2327" s="328" t="str">
        <f>Intv_BA!D3172</f>
        <v>Lab Scientist (ZM)</v>
      </c>
      <c r="F2327" s="375" t="s">
        <v>47</v>
      </c>
    </row>
    <row r="2328" spans="4:6" s="327" customFormat="1" x14ac:dyDescent="0.2">
      <c r="D2328" s="328" t="str">
        <f>Intv_BA!D3173</f>
        <v>Lab Technician (ZM)</v>
      </c>
      <c r="F2328" s="375" t="s">
        <v>47</v>
      </c>
    </row>
    <row r="2329" spans="4:6" s="327" customFormat="1" x14ac:dyDescent="0.2">
      <c r="D2329" s="328" t="str">
        <f>Intv_BA!D3174</f>
        <v>Lab Technologist (ZM)</v>
      </c>
      <c r="F2329" s="375" t="s">
        <v>47</v>
      </c>
    </row>
    <row r="2330" spans="4:6" s="327" customFormat="1" x14ac:dyDescent="0.2">
      <c r="D2330" s="328" t="str">
        <f>Intv_BA!D3175</f>
        <v>Medical Physicist (ZM)</v>
      </c>
      <c r="F2330" s="375" t="s">
        <v>47</v>
      </c>
    </row>
    <row r="2331" spans="4:6" s="327" customFormat="1" x14ac:dyDescent="0.2">
      <c r="D2331" s="328" t="str">
        <f>Intv_BA!D3176</f>
        <v>Nursing Officer (ZM)</v>
      </c>
      <c r="F2331" s="375" t="s">
        <v>47</v>
      </c>
    </row>
    <row r="2332" spans="4:6" s="327" customFormat="1" x14ac:dyDescent="0.2">
      <c r="D2332" s="328" t="str">
        <f>Intv_BA!D3177</f>
        <v>Pathologist (ZM)</v>
      </c>
      <c r="F2332" s="375" t="s">
        <v>47</v>
      </c>
    </row>
    <row r="2333" spans="4:6" s="327" customFormat="1" x14ac:dyDescent="0.2">
      <c r="D2333" s="328" t="str">
        <f>Intv_BA!D3178</f>
        <v>Pharmacy Technologist (ZM)</v>
      </c>
      <c r="F2333" s="375" t="s">
        <v>47</v>
      </c>
    </row>
    <row r="2334" spans="4:6" s="327" customFormat="1" x14ac:dyDescent="0.2">
      <c r="D2334" s="328" t="str">
        <f>Intv_BA!D3179</f>
        <v>Principal Nursing Officer (ZM)</v>
      </c>
      <c r="F2334" s="375" t="s">
        <v>47</v>
      </c>
    </row>
    <row r="2335" spans="4:6" s="327" customFormat="1" x14ac:dyDescent="0.2">
      <c r="D2335" s="328" t="str">
        <f>Intv_BA!D3180</f>
        <v>Principal Pharmacist (ZM)</v>
      </c>
      <c r="F2335" s="375" t="s">
        <v>47</v>
      </c>
    </row>
    <row r="2336" spans="4:6" s="327" customFormat="1" x14ac:dyDescent="0.2">
      <c r="D2336" s="328" t="str">
        <f>Intv_BA!D3181</f>
        <v>Principal Radiographer (ZM)</v>
      </c>
      <c r="F2336" s="375" t="s">
        <v>47</v>
      </c>
    </row>
    <row r="2337" spans="4:6" s="327" customFormat="1" x14ac:dyDescent="0.2">
      <c r="D2337" s="328" t="str">
        <f>Intv_BA!D3182</f>
        <v>Principal Therapist - Radiation (ZM)</v>
      </c>
      <c r="F2337" s="375" t="s">
        <v>47</v>
      </c>
    </row>
    <row r="2338" spans="4:6" s="327" customFormat="1" x14ac:dyDescent="0.2">
      <c r="D2338" s="328" t="str">
        <f>Intv_BA!D3183</f>
        <v>Radiation Lab Scientist (ZM)</v>
      </c>
      <c r="F2338" s="375" t="s">
        <v>47</v>
      </c>
    </row>
    <row r="2339" spans="4:6" s="327" customFormat="1" x14ac:dyDescent="0.2">
      <c r="D2339" s="328" t="str">
        <f>Intv_BA!D3184</f>
        <v>Radiation Protection Officer (ZM)</v>
      </c>
      <c r="F2339" s="375" t="s">
        <v>47</v>
      </c>
    </row>
    <row r="2340" spans="4:6" s="327" customFormat="1" x14ac:dyDescent="0.2">
      <c r="D2340" s="328" t="str">
        <f>Intv_BA!D3185</f>
        <v>Radiographer (ZM)</v>
      </c>
      <c r="F2340" s="375" t="s">
        <v>47</v>
      </c>
    </row>
    <row r="2341" spans="4:6" s="327" customFormat="1" x14ac:dyDescent="0.2">
      <c r="D2341" s="328" t="str">
        <f>Intv_BA!D3186</f>
        <v>Registered Nurse (ZM)</v>
      </c>
      <c r="F2341" s="375" t="s">
        <v>47</v>
      </c>
    </row>
    <row r="2342" spans="4:6" s="327" customFormat="1" x14ac:dyDescent="0.2">
      <c r="D2342" s="328" t="str">
        <f>Intv_BA!D3187</f>
        <v>Senior Enrolled Nurse (ZM)</v>
      </c>
      <c r="F2342" s="375" t="s">
        <v>47</v>
      </c>
    </row>
    <row r="2343" spans="4:6" s="327" customFormat="1" x14ac:dyDescent="0.2">
      <c r="D2343" s="328" t="str">
        <f>Intv_BA!D3188</f>
        <v>Senior Nursing Officer (ZM)</v>
      </c>
      <c r="F2343" s="375" t="s">
        <v>47</v>
      </c>
    </row>
    <row r="2344" spans="4:6" s="327" customFormat="1" x14ac:dyDescent="0.2">
      <c r="D2344" s="328" t="str">
        <f>Intv_BA!D3189</f>
        <v>Senior Radiation protection Officer (ZM)</v>
      </c>
      <c r="F2344" s="375" t="s">
        <v>47</v>
      </c>
    </row>
    <row r="2345" spans="4:6" s="327" customFormat="1" x14ac:dyDescent="0.2">
      <c r="D2345" s="328" t="str">
        <f>Intv_BA!D3190</f>
        <v>Senior Radiographer (ZM)</v>
      </c>
      <c r="F2345" s="375" t="s">
        <v>47</v>
      </c>
    </row>
    <row r="2346" spans="4:6" s="327" customFormat="1" x14ac:dyDescent="0.2">
      <c r="D2346" s="328" t="str">
        <f>Intv_BA!D3191</f>
        <v>Zambia Enrolled Nurse (ZEN) (ZM)</v>
      </c>
      <c r="F2346" s="375" t="s">
        <v>47</v>
      </c>
    </row>
    <row r="2347" spans="4:6" s="327" customFormat="1" x14ac:dyDescent="0.2">
      <c r="D2347" s="328" t="str">
        <f>Intv_BA!D3192</f>
        <v>Personnel - Other Category 27</v>
      </c>
      <c r="F2347" s="375" t="s">
        <v>47</v>
      </c>
    </row>
    <row r="2348" spans="4:6" s="327" customFormat="1" x14ac:dyDescent="0.2">
      <c r="D2348" s="328" t="str">
        <f>Intv_BA!D3193</f>
        <v>Personnel - Other Category 28</v>
      </c>
      <c r="F2348" s="375" t="s">
        <v>47</v>
      </c>
    </row>
    <row r="2349" spans="4:6" s="327" customFormat="1" x14ac:dyDescent="0.2">
      <c r="D2349" s="328" t="str">
        <f>Intv_BA!D3194</f>
        <v>Personnel - Other Category 29</v>
      </c>
      <c r="F2349" s="375" t="s">
        <v>47</v>
      </c>
    </row>
    <row r="2350" spans="4:6" s="327" customFormat="1" x14ac:dyDescent="0.2">
      <c r="D2350" s="328" t="str">
        <f>Intv_BA!D3195</f>
        <v>Personnel - Other Category 30</v>
      </c>
      <c r="F2350" s="375" t="s">
        <v>47</v>
      </c>
    </row>
    <row r="2351" spans="4:6" s="327" customFormat="1" x14ac:dyDescent="0.2">
      <c r="D2351" s="328">
        <f>Intv_BA!D3196</f>
        <v>0</v>
      </c>
      <c r="F2351" s="375" t="s">
        <v>47</v>
      </c>
    </row>
    <row r="2352" spans="4:6" s="327" customFormat="1" x14ac:dyDescent="0.2"/>
    <row r="2353" spans="3:6" s="327" customFormat="1" ht="15.75" x14ac:dyDescent="0.2">
      <c r="C2353" s="330" t="s">
        <v>316</v>
      </c>
      <c r="F2353" s="330" t="s">
        <v>32</v>
      </c>
    </row>
    <row r="2354" spans="3:6" s="327" customFormat="1" x14ac:dyDescent="0.2"/>
    <row r="2355" spans="3:6" s="327" customFormat="1" x14ac:dyDescent="0.2">
      <c r="D2355" s="331" t="s">
        <v>316</v>
      </c>
      <c r="F2355" s="643" t="s">
        <v>359</v>
      </c>
    </row>
    <row r="2356" spans="3:6" s="327" customFormat="1" x14ac:dyDescent="0.2">
      <c r="D2356" s="328" t="str">
        <f>Intv_BA!D3199</f>
        <v>_Not Applicable</v>
      </c>
      <c r="F2356" s="375" t="s">
        <v>47</v>
      </c>
    </row>
    <row r="2357" spans="3:6" s="327" customFormat="1" x14ac:dyDescent="0.2">
      <c r="D2357" s="328" t="str">
        <f>Intv_BA!D3200</f>
        <v>10 ml syringes with long 27-gauge needle (UG)</v>
      </c>
      <c r="F2357" s="375" t="s">
        <v>47</v>
      </c>
    </row>
    <row r="2358" spans="3:6" s="327" customFormat="1" x14ac:dyDescent="0.2">
      <c r="D2358" s="328" t="str">
        <f>Intv_BA!D3201</f>
        <v>100% alcohol (UG)</v>
      </c>
      <c r="F2358" s="375" t="s">
        <v>47</v>
      </c>
    </row>
    <row r="2359" spans="3:6" s="327" customFormat="1" x14ac:dyDescent="0.2">
      <c r="D2359" s="328" t="str">
        <f>Intv_BA!D3202</f>
        <v>100% Ethanol (UG)</v>
      </c>
      <c r="F2359" s="375" t="s">
        <v>47</v>
      </c>
    </row>
    <row r="2360" spans="3:6" s="327" customFormat="1" x14ac:dyDescent="0.2">
      <c r="D2360" s="328" t="str">
        <f>Intv_BA!D3203</f>
        <v>5% acetic acid (UG)</v>
      </c>
      <c r="F2360" s="375" t="s">
        <v>47</v>
      </c>
    </row>
    <row r="2361" spans="3:6" s="327" customFormat="1" x14ac:dyDescent="0.2">
      <c r="D2361" s="328" t="str">
        <f>Intv_BA!D3204</f>
        <v>Acetic acid (UG)</v>
      </c>
      <c r="F2361" s="375" t="s">
        <v>47</v>
      </c>
    </row>
    <row r="2362" spans="3:6" s="327" customFormat="1" x14ac:dyDescent="0.2">
      <c r="D2362" s="328" t="str">
        <f>Intv_BA!D3205</f>
        <v>Acetic acid, 3–5% dilution (ZM)</v>
      </c>
      <c r="F2362" s="375" t="s">
        <v>47</v>
      </c>
    </row>
    <row r="2363" spans="3:6" s="327" customFormat="1" x14ac:dyDescent="0.2">
      <c r="D2363" s="328" t="str">
        <f>Intv_BA!D3206</f>
        <v>Acetic acid, 3–5% dilution (TZ)</v>
      </c>
      <c r="F2363" s="375" t="s">
        <v>47</v>
      </c>
    </row>
    <row r="2364" spans="3:6" s="327" customFormat="1" x14ac:dyDescent="0.2">
      <c r="D2364" s="328" t="str">
        <f>Intv_BA!D3207</f>
        <v>Alcohol, 60-90% isopropyl or ethyl (TZ)</v>
      </c>
      <c r="F2364" s="375" t="s">
        <v>47</v>
      </c>
    </row>
    <row r="2365" spans="3:6" s="327" customFormat="1" x14ac:dyDescent="0.2">
      <c r="D2365" s="328" t="str">
        <f>Intv_BA!D3208</f>
        <v>Alcohol, 60-90% isopropyl or ethyl 95% (ZM)</v>
      </c>
      <c r="F2365" s="375" t="s">
        <v>47</v>
      </c>
    </row>
    <row r="2366" spans="3:6" s="327" customFormat="1" x14ac:dyDescent="0.2">
      <c r="D2366" s="328" t="str">
        <f>Intv_BA!D3209</f>
        <v>Amitriptyline hydrochloride( 25mg) (ZM)</v>
      </c>
      <c r="F2366" s="375" t="s">
        <v>47</v>
      </c>
    </row>
    <row r="2367" spans="3:6" s="327" customFormat="1" x14ac:dyDescent="0.2">
      <c r="D2367" s="328" t="str">
        <f>Intv_BA!D3210</f>
        <v>Amitriptyline hydrochloride( 25mg) (TZ)</v>
      </c>
      <c r="F2367" s="375" t="s">
        <v>47</v>
      </c>
    </row>
    <row r="2368" spans="3:6" s="327" customFormat="1" x14ac:dyDescent="0.2">
      <c r="D2368" s="328" t="str">
        <f>Intv_BA!D3211</f>
        <v>Anticeptic solution (UG)</v>
      </c>
      <c r="F2368" s="375" t="s">
        <v>47</v>
      </c>
    </row>
    <row r="2369" spans="4:6" s="327" customFormat="1" x14ac:dyDescent="0.2">
      <c r="D2369" s="328" t="str">
        <f>Intv_BA!D3212</f>
        <v>Arithromycin (250g) (ZM)</v>
      </c>
      <c r="F2369" s="375" t="s">
        <v>47</v>
      </c>
    </row>
    <row r="2370" spans="4:6" s="327" customFormat="1" x14ac:dyDescent="0.2">
      <c r="D2370" s="328" t="str">
        <f>Intv_BA!D3213</f>
        <v>Arithromycin (250g) (UG)</v>
      </c>
      <c r="F2370" s="375" t="s">
        <v>47</v>
      </c>
    </row>
    <row r="2371" spans="4:6" s="327" customFormat="1" x14ac:dyDescent="0.2">
      <c r="D2371" s="328" t="str">
        <f>Intv_BA!D3214</f>
        <v>Arithromycin (5g) (UG)</v>
      </c>
      <c r="F2371" s="375" t="s">
        <v>47</v>
      </c>
    </row>
    <row r="2372" spans="4:6" s="327" customFormat="1" x14ac:dyDescent="0.2">
      <c r="D2372" s="328" t="str">
        <f>Intv_BA!D3215</f>
        <v>Atropine (ZM)</v>
      </c>
      <c r="F2372" s="375" t="s">
        <v>47</v>
      </c>
    </row>
    <row r="2373" spans="4:6" s="327" customFormat="1" x14ac:dyDescent="0.2">
      <c r="D2373" s="328" t="str">
        <f>Intv_BA!D3216</f>
        <v>Ball electrode (UG)</v>
      </c>
      <c r="F2373" s="375" t="s">
        <v>47</v>
      </c>
    </row>
    <row r="2374" spans="4:6" s="327" customFormat="1" x14ac:dyDescent="0.2">
      <c r="D2374" s="328" t="str">
        <f>Intv_BA!D3217</f>
        <v>Bed linen sheet (100 uses) (ZM)</v>
      </c>
      <c r="F2374" s="375" t="s">
        <v>47</v>
      </c>
    </row>
    <row r="2375" spans="4:6" s="327" customFormat="1" x14ac:dyDescent="0.2">
      <c r="D2375" s="328" t="str">
        <f>Intv_BA!D3218</f>
        <v>Bed linen sheet (TZ)</v>
      </c>
      <c r="F2375" s="375" t="s">
        <v>47</v>
      </c>
    </row>
    <row r="2376" spans="4:6" s="327" customFormat="1" x14ac:dyDescent="0.2">
      <c r="D2376" s="328" t="str">
        <f>Intv_BA!D3219</f>
        <v>Bin Liner (ZM)</v>
      </c>
      <c r="F2376" s="375" t="s">
        <v>47</v>
      </c>
    </row>
    <row r="2377" spans="4:6" s="327" customFormat="1" x14ac:dyDescent="0.2">
      <c r="D2377" s="328" t="str">
        <f>Intv_BA!D3220</f>
        <v>Bleach (JIK)</v>
      </c>
      <c r="F2377" s="375" t="s">
        <v>47</v>
      </c>
    </row>
    <row r="2378" spans="4:6" s="327" customFormat="1" x14ac:dyDescent="0.2">
      <c r="D2378" s="328" t="str">
        <f>Intv_BA!D3221</f>
        <v>Bleach (UG)</v>
      </c>
      <c r="F2378" s="375" t="s">
        <v>47</v>
      </c>
    </row>
    <row r="2379" spans="4:6" s="327" customFormat="1" x14ac:dyDescent="0.2">
      <c r="D2379" s="328" t="str">
        <f>Intv_BA!D3222</f>
        <v>careHPV DCM tube (UG)</v>
      </c>
      <c r="F2379" s="375" t="s">
        <v>47</v>
      </c>
    </row>
    <row r="2380" spans="4:6" s="327" customFormat="1" x14ac:dyDescent="0.2">
      <c r="D2380" s="328" t="str">
        <f>Intv_BA!D3223</f>
        <v>Catheter -Urine (TZ)</v>
      </c>
      <c r="F2380" s="375" t="s">
        <v>47</v>
      </c>
    </row>
    <row r="2381" spans="4:6" s="327" customFormat="1" x14ac:dyDescent="0.2">
      <c r="D2381" s="328" t="str">
        <f>Intv_BA!D3224</f>
        <v>Cervical brush (UG)</v>
      </c>
      <c r="F2381" s="375" t="s">
        <v>47</v>
      </c>
    </row>
    <row r="2382" spans="4:6" s="327" customFormat="1" x14ac:dyDescent="0.2">
      <c r="D2382" s="328" t="str">
        <f>Intv_BA!D3225</f>
        <v>Chlorine 0.5% (Jik-diluted) (ZM)</v>
      </c>
      <c r="F2382" s="375" t="s">
        <v>47</v>
      </c>
    </row>
    <row r="2383" spans="4:6" s="327" customFormat="1" x14ac:dyDescent="0.2">
      <c r="D2383" s="328" t="str">
        <f>Intv_BA!D3226</f>
        <v>Chlorine 0.5% (Jik-diluted)  (TZ)</v>
      </c>
      <c r="F2383" s="375" t="s">
        <v>47</v>
      </c>
    </row>
    <row r="2384" spans="4:6" s="327" customFormat="1" x14ac:dyDescent="0.2">
      <c r="D2384" s="328" t="str">
        <f>Intv_BA!D3227</f>
        <v>Cidex (2-4% glutaraldehyde) (ZM)</v>
      </c>
      <c r="F2384" s="375" t="s">
        <v>47</v>
      </c>
    </row>
    <row r="2385" spans="4:6" s="327" customFormat="1" x14ac:dyDescent="0.2">
      <c r="D2385" s="328" t="str">
        <f>Intv_BA!D3228</f>
        <v>Cidex (2-4% glutaraldehyde) (TZ)</v>
      </c>
      <c r="F2385" s="375" t="s">
        <v>47</v>
      </c>
    </row>
    <row r="2386" spans="4:6" s="327" customFormat="1" x14ac:dyDescent="0.2">
      <c r="D2386" s="328" t="str">
        <f>Intv_BA!D3229</f>
        <v>Ciprofloxacin (500mg) (UG)</v>
      </c>
      <c r="F2386" s="375" t="s">
        <v>47</v>
      </c>
    </row>
    <row r="2387" spans="4:6" s="327" customFormat="1" x14ac:dyDescent="0.2">
      <c r="D2387" s="328" t="str">
        <f>Intv_BA!D3230</f>
        <v>Ciprofloxacin (500mg) 250MG (ZM)</v>
      </c>
      <c r="F2387" s="375" t="s">
        <v>47</v>
      </c>
    </row>
    <row r="2388" spans="4:6" s="327" customFormat="1" x14ac:dyDescent="0.2">
      <c r="D2388" s="328" t="str">
        <f>Intv_BA!D3231</f>
        <v>Cisplatin (50 mg) (ZM)</v>
      </c>
      <c r="F2388" s="375" t="s">
        <v>47</v>
      </c>
    </row>
    <row r="2389" spans="4:6" s="327" customFormat="1" x14ac:dyDescent="0.2">
      <c r="D2389" s="328" t="str">
        <f>Intv_BA!D3232</f>
        <v>Cisplatin (50 mg) (TZ)</v>
      </c>
      <c r="F2389" s="375" t="s">
        <v>47</v>
      </c>
    </row>
    <row r="2390" spans="4:6" s="327" customFormat="1" x14ac:dyDescent="0.2">
      <c r="D2390" s="328" t="str">
        <f>Intv_BA!D3233</f>
        <v>Citokit (UG)</v>
      </c>
      <c r="F2390" s="375" t="s">
        <v>47</v>
      </c>
    </row>
    <row r="2391" spans="4:6" s="327" customFormat="1" x14ac:dyDescent="0.2">
      <c r="D2391" s="328" t="str">
        <f>Intv_BA!D3234</f>
        <v>Colostomy Bag (TZ)</v>
      </c>
      <c r="F2391" s="375" t="s">
        <v>47</v>
      </c>
    </row>
    <row r="2392" spans="4:6" s="327" customFormat="1" x14ac:dyDescent="0.2">
      <c r="D2392" s="328" t="str">
        <f>Intv_BA!D3235</f>
        <v>Condom  (TZ)</v>
      </c>
      <c r="F2392" s="375" t="s">
        <v>47</v>
      </c>
    </row>
    <row r="2393" spans="4:6" s="327" customFormat="1" x14ac:dyDescent="0.2">
      <c r="D2393" s="328" t="str">
        <f>Intv_BA!D3236</f>
        <v>Condom MALE (ZM)</v>
      </c>
      <c r="F2393" s="375" t="s">
        <v>47</v>
      </c>
    </row>
    <row r="2394" spans="4:6" s="327" customFormat="1" x14ac:dyDescent="0.2">
      <c r="D2394" s="328" t="str">
        <f>Intv_BA!D3237</f>
        <v>Cotton swab (ZM)</v>
      </c>
      <c r="F2394" s="375" t="s">
        <v>47</v>
      </c>
    </row>
    <row r="2395" spans="4:6" s="327" customFormat="1" x14ac:dyDescent="0.2">
      <c r="D2395" s="328" t="str">
        <f>Intv_BA!D3238</f>
        <v>Cotton swab (TZ)</v>
      </c>
      <c r="F2395" s="375" t="s">
        <v>47</v>
      </c>
    </row>
    <row r="2396" spans="4:6" s="327" customFormat="1" x14ac:dyDescent="0.2">
      <c r="D2396" s="328" t="str">
        <f>Intv_BA!D3239</f>
        <v>Cotton swabs (UG)</v>
      </c>
      <c r="F2396" s="375" t="s">
        <v>47</v>
      </c>
    </row>
    <row r="2397" spans="4:6" s="327" customFormat="1" x14ac:dyDescent="0.2">
      <c r="D2397" s="328" t="str">
        <f>Intv_BA!D3240</f>
        <v>Cotton Wool, roll, non-sterile (ZM)</v>
      </c>
      <c r="F2397" s="375" t="s">
        <v>47</v>
      </c>
    </row>
    <row r="2398" spans="4:6" s="327" customFormat="1" x14ac:dyDescent="0.2">
      <c r="D2398" s="328" t="str">
        <f>Intv_BA!D3241</f>
        <v>Cotton Wool, roll, non-sterile (TZ)</v>
      </c>
      <c r="F2398" s="375" t="s">
        <v>47</v>
      </c>
    </row>
    <row r="2399" spans="4:6" s="327" customFormat="1" x14ac:dyDescent="0.2">
      <c r="D2399" s="328" t="str">
        <f>Intv_BA!D3242</f>
        <v xml:space="preserve">Dexamethasone (ZM) </v>
      </c>
      <c r="F2399" s="375" t="s">
        <v>47</v>
      </c>
    </row>
    <row r="2400" spans="4:6" s="327" customFormat="1" x14ac:dyDescent="0.2">
      <c r="D2400" s="328" t="str">
        <f>Intv_BA!D3243</f>
        <v>Diclofenac (50mg) (ZM)</v>
      </c>
      <c r="F2400" s="375" t="s">
        <v>47</v>
      </c>
    </row>
    <row r="2401" spans="4:6" s="327" customFormat="1" x14ac:dyDescent="0.2">
      <c r="D2401" s="328" t="str">
        <f>Intv_BA!D3244</f>
        <v>Diclofenac (50mg) (TZ)</v>
      </c>
      <c r="F2401" s="375" t="s">
        <v>47</v>
      </c>
    </row>
    <row r="2402" spans="4:6" s="327" customFormat="1" x14ac:dyDescent="0.2">
      <c r="D2402" s="328" t="str">
        <f>Intv_BA!D3245</f>
        <v>Distilled water (ZM)</v>
      </c>
      <c r="F2402" s="375" t="s">
        <v>47</v>
      </c>
    </row>
    <row r="2403" spans="4:6" s="327" customFormat="1" x14ac:dyDescent="0.2">
      <c r="D2403" s="328" t="str">
        <f>Intv_BA!D3246</f>
        <v>Distilled water (UG)</v>
      </c>
      <c r="F2403" s="375" t="s">
        <v>47</v>
      </c>
    </row>
    <row r="2404" spans="4:6" s="327" customFormat="1" x14ac:dyDescent="0.2">
      <c r="D2404" s="328" t="str">
        <f>Intv_BA!D3247</f>
        <v>Dulcolax (10mg) (ZM)</v>
      </c>
      <c r="F2404" s="375" t="s">
        <v>47</v>
      </c>
    </row>
    <row r="2405" spans="4:6" s="327" customFormat="1" x14ac:dyDescent="0.2">
      <c r="D2405" s="328" t="str">
        <f>Intv_BA!D3248</f>
        <v>Dulcolax (10mg) (TZ)</v>
      </c>
      <c r="F2405" s="375" t="s">
        <v>47</v>
      </c>
    </row>
    <row r="2406" spans="4:6" s="327" customFormat="1" x14ac:dyDescent="0.2">
      <c r="D2406" s="328" t="str">
        <f>Intv_BA!D3249</f>
        <v>Emend (ZM)</v>
      </c>
      <c r="F2406" s="375" t="s">
        <v>47</v>
      </c>
    </row>
    <row r="2407" spans="4:6" s="327" customFormat="1" x14ac:dyDescent="0.2">
      <c r="D2407" s="328" t="str">
        <f>Intv_BA!D3250</f>
        <v>Formalin (UG)</v>
      </c>
      <c r="F2407" s="375" t="s">
        <v>47</v>
      </c>
    </row>
    <row r="2408" spans="4:6" s="327" customFormat="1" x14ac:dyDescent="0.2">
      <c r="D2408" s="328" t="str">
        <f>Intv_BA!D3251</f>
        <v>Formalin AR 40% (ZM)</v>
      </c>
      <c r="F2408" s="375" t="s">
        <v>47</v>
      </c>
    </row>
    <row r="2409" spans="4:6" s="327" customFormat="1" x14ac:dyDescent="0.2">
      <c r="D2409" s="328" t="str">
        <f>Intv_BA!D3252</f>
        <v>Formalin AR 40% (TZ)</v>
      </c>
      <c r="F2409" s="375" t="s">
        <v>47</v>
      </c>
    </row>
    <row r="2410" spans="4:6" s="327" customFormat="1" x14ac:dyDescent="0.2">
      <c r="D2410" s="328" t="str">
        <f>Intv_BA!D3253</f>
        <v>Frusamide (ZM)</v>
      </c>
      <c r="F2410" s="375" t="s">
        <v>47</v>
      </c>
    </row>
    <row r="2411" spans="4:6" s="327" customFormat="1" x14ac:dyDescent="0.2">
      <c r="D2411" s="328" t="str">
        <f>Intv_BA!D3254</f>
        <v>Gas - N2O (UG)</v>
      </c>
      <c r="F2411" s="375" t="s">
        <v>47</v>
      </c>
    </row>
    <row r="2412" spans="4:6" s="327" customFormat="1" x14ac:dyDescent="0.2">
      <c r="D2412" s="328" t="str">
        <f>Intv_BA!D3255</f>
        <v>Gas Cylinder (Nitrous Oxide) 72 kg. (ZM)</v>
      </c>
      <c r="F2412" s="375" t="s">
        <v>47</v>
      </c>
    </row>
    <row r="2413" spans="4:6" s="327" customFormat="1" x14ac:dyDescent="0.2">
      <c r="D2413" s="328" t="str">
        <f>Intv_BA!D3256</f>
        <v>Gas Cylinder (TZ)</v>
      </c>
      <c r="F2413" s="375" t="s">
        <v>47</v>
      </c>
    </row>
    <row r="2414" spans="4:6" s="327" customFormat="1" x14ac:dyDescent="0.2">
      <c r="D2414" s="328" t="str">
        <f>Intv_BA!D3257</f>
        <v>Gauze (UG)</v>
      </c>
      <c r="F2414" s="375" t="s">
        <v>47</v>
      </c>
    </row>
    <row r="2415" spans="4:6" s="327" customFormat="1" x14ac:dyDescent="0.2">
      <c r="D2415" s="328" t="str">
        <f>Intv_BA!D3258</f>
        <v>Gauze hospital quality 10x4 cm (TZ)</v>
      </c>
      <c r="F2415" s="375" t="s">
        <v>47</v>
      </c>
    </row>
    <row r="2416" spans="4:6" s="327" customFormat="1" x14ac:dyDescent="0.2">
      <c r="D2416" s="328" t="str">
        <f>Intv_BA!D3259</f>
        <v>Gauze, Non-Sterile (ZM)</v>
      </c>
      <c r="F2416" s="375" t="s">
        <v>47</v>
      </c>
    </row>
    <row r="2417" spans="4:6" s="327" customFormat="1" x14ac:dyDescent="0.2">
      <c r="D2417" s="328" t="str">
        <f>Intv_BA!D3260</f>
        <v>Gauze, Non-Sterile (TZ)</v>
      </c>
      <c r="F2417" s="375" t="s">
        <v>47</v>
      </c>
    </row>
    <row r="2418" spans="4:6" s="327" customFormat="1" x14ac:dyDescent="0.2">
      <c r="D2418" s="328" t="str">
        <f>Intv_BA!D3261</f>
        <v>Gauze, Sterile (ZM)</v>
      </c>
      <c r="F2418" s="375" t="s">
        <v>47</v>
      </c>
    </row>
    <row r="2419" spans="4:6" s="327" customFormat="1" x14ac:dyDescent="0.2">
      <c r="D2419" s="328" t="str">
        <f>Intv_BA!D3262</f>
        <v>Gauze, Sterile (TZ)</v>
      </c>
      <c r="F2419" s="375" t="s">
        <v>47</v>
      </c>
    </row>
    <row r="2420" spans="4:6" s="327" customFormat="1" x14ac:dyDescent="0.2">
      <c r="D2420" s="328" t="str">
        <f>Intv_BA!D3263</f>
        <v>Gloves (UG)</v>
      </c>
      <c r="F2420" s="375" t="s">
        <v>47</v>
      </c>
    </row>
    <row r="2421" spans="4:6" s="327" customFormat="1" x14ac:dyDescent="0.2">
      <c r="D2421" s="328" t="str">
        <f>Intv_BA!D3264</f>
        <v>Gloves, Non-Sterile, Examination, latex, assorted sizes, disp. (ZM)</v>
      </c>
      <c r="F2421" s="375" t="s">
        <v>47</v>
      </c>
    </row>
    <row r="2422" spans="4:6" s="327" customFormat="1" x14ac:dyDescent="0.2">
      <c r="D2422" s="328" t="str">
        <f>Intv_BA!D3265</f>
        <v>Gloves, Non-Sterile, Examination, latex, medium, disp. (TZ)</v>
      </c>
      <c r="F2422" s="375" t="s">
        <v>47</v>
      </c>
    </row>
    <row r="2423" spans="4:6" s="327" customFormat="1" x14ac:dyDescent="0.2">
      <c r="D2423" s="328" t="str">
        <f>Intv_BA!D3266</f>
        <v>Gloves, Sterile (TZ)</v>
      </c>
      <c r="F2423" s="375" t="s">
        <v>47</v>
      </c>
    </row>
    <row r="2424" spans="4:6" s="327" customFormat="1" x14ac:dyDescent="0.2">
      <c r="D2424" s="328" t="str">
        <f>Intv_BA!D3267</f>
        <v>Gloves, Sterile 7.5 (ZM)</v>
      </c>
      <c r="F2424" s="375" t="s">
        <v>47</v>
      </c>
    </row>
    <row r="2425" spans="4:6" s="327" customFormat="1" x14ac:dyDescent="0.2">
      <c r="D2425" s="328" t="str">
        <f>Intv_BA!D3268</f>
        <v>Halothane (ZM)</v>
      </c>
      <c r="F2425" s="375" t="s">
        <v>47</v>
      </c>
    </row>
    <row r="2426" spans="4:6" s="327" customFormat="1" x14ac:dyDescent="0.2">
      <c r="D2426" s="328" t="str">
        <f>Intv_BA!D3269</f>
        <v>IV canula 22G  (ZM)</v>
      </c>
      <c r="F2426" s="375" t="s">
        <v>47</v>
      </c>
    </row>
    <row r="2427" spans="4:6" s="327" customFormat="1" x14ac:dyDescent="0.2">
      <c r="D2427" s="328" t="str">
        <f>Intv_BA!D3270</f>
        <v>IV canula 22G (each) (TZ)</v>
      </c>
      <c r="F2427" s="375" t="s">
        <v>47</v>
      </c>
    </row>
    <row r="2428" spans="4:6" s="327" customFormat="1" x14ac:dyDescent="0.2">
      <c r="D2428" s="328" t="str">
        <f>Intv_BA!D3271</f>
        <v>IV giving set (each) (TZ)</v>
      </c>
      <c r="F2428" s="375" t="s">
        <v>47</v>
      </c>
    </row>
    <row r="2429" spans="4:6" s="327" customFormat="1" x14ac:dyDescent="0.2">
      <c r="D2429" s="328" t="str">
        <f>Intv_BA!D3272</f>
        <v>IV giving set (closed system) (ZM)</v>
      </c>
      <c r="F2429" s="375" t="s">
        <v>47</v>
      </c>
    </row>
    <row r="2430" spans="4:6" s="327" customFormat="1" x14ac:dyDescent="0.2">
      <c r="D2430" s="328" t="str">
        <f>Intv_BA!D3273</f>
        <v>IV line (set) (ZM)</v>
      </c>
      <c r="F2430" s="375" t="s">
        <v>47</v>
      </c>
    </row>
    <row r="2431" spans="4:6" s="327" customFormat="1" x14ac:dyDescent="0.2">
      <c r="D2431" s="328" t="str">
        <f>Intv_BA!D3274</f>
        <v>IV line (set) (TZ)</v>
      </c>
      <c r="F2431" s="375" t="s">
        <v>47</v>
      </c>
    </row>
    <row r="2432" spans="4:6" s="327" customFormat="1" x14ac:dyDescent="0.2">
      <c r="D2432" s="328" t="str">
        <f>Intv_BA!D3275</f>
        <v>Ketamine (ZM)</v>
      </c>
      <c r="F2432" s="375" t="s">
        <v>47</v>
      </c>
    </row>
    <row r="2433" spans="4:6" s="327" customFormat="1" x14ac:dyDescent="0.2">
      <c r="D2433" s="328" t="str">
        <f>Intv_BA!D3276</f>
        <v>Kitchen Towel (ZM)</v>
      </c>
      <c r="F2433" s="375" t="s">
        <v>47</v>
      </c>
    </row>
    <row r="2434" spans="4:6" s="327" customFormat="1" x14ac:dyDescent="0.2">
      <c r="D2434" s="328" t="str">
        <f>Intv_BA!D3277</f>
        <v>K-Y jelly  (TZ)</v>
      </c>
      <c r="F2434" s="375" t="s">
        <v>47</v>
      </c>
    </row>
    <row r="2435" spans="4:6" s="327" customFormat="1" x14ac:dyDescent="0.2">
      <c r="D2435" s="328" t="str">
        <f>Intv_BA!D3278</f>
        <v>K-Y jelly Tube w/ 100 applcations ea) (ZM)</v>
      </c>
      <c r="F2435" s="375" t="s">
        <v>47</v>
      </c>
    </row>
    <row r="2436" spans="4:6" s="327" customFormat="1" x14ac:dyDescent="0.2">
      <c r="D2436" s="328" t="str">
        <f>Intv_BA!D3279</f>
        <v>Label (TZ)</v>
      </c>
      <c r="F2436" s="375" t="s">
        <v>47</v>
      </c>
    </row>
    <row r="2437" spans="4:6" s="327" customFormat="1" x14ac:dyDescent="0.2">
      <c r="D2437" s="328" t="str">
        <f>Intv_BA!D3280</f>
        <v>Lidocaine 1% or 2% without epinephrine (UG)</v>
      </c>
      <c r="F2437" s="375" t="s">
        <v>47</v>
      </c>
    </row>
    <row r="2438" spans="4:6" s="327" customFormat="1" x14ac:dyDescent="0.2">
      <c r="D2438" s="328" t="str">
        <f>Intv_BA!D3281</f>
        <v>Lidocaine 2% with epinephrine 1:80000 (ZM)</v>
      </c>
      <c r="F2438" s="375" t="s">
        <v>47</v>
      </c>
    </row>
    <row r="2439" spans="4:6" s="327" customFormat="1" x14ac:dyDescent="0.2">
      <c r="D2439" s="328" t="str">
        <f>Intv_BA!D3282</f>
        <v>Lidocaine: 2% with adrenalin 1:80000 (TZ)</v>
      </c>
      <c r="F2439" s="375" t="s">
        <v>47</v>
      </c>
    </row>
    <row r="2440" spans="4:6" s="327" customFormat="1" x14ac:dyDescent="0.2">
      <c r="D2440" s="328" t="str">
        <f>Intv_BA!D3283</f>
        <v>Liquid soap (UG)</v>
      </c>
      <c r="F2440" s="375" t="s">
        <v>47</v>
      </c>
    </row>
    <row r="2441" spans="4:6" s="327" customFormat="1" x14ac:dyDescent="0.2">
      <c r="D2441" s="328" t="str">
        <f>Intv_BA!D3284</f>
        <v>Lugol's iodine (UG)</v>
      </c>
      <c r="F2441" s="375" t="s">
        <v>47</v>
      </c>
    </row>
    <row r="2442" spans="4:6" s="327" customFormat="1" x14ac:dyDescent="0.2">
      <c r="D2442" s="328" t="str">
        <f>Intv_BA!D3285</f>
        <v>Mannitol (ZM)</v>
      </c>
      <c r="F2442" s="375" t="s">
        <v>47</v>
      </c>
    </row>
    <row r="2443" spans="4:6" s="327" customFormat="1" x14ac:dyDescent="0.2">
      <c r="D2443" s="328" t="str">
        <f>Intv_BA!D3286</f>
        <v>Metronizadol (200mg) (ZM)</v>
      </c>
      <c r="F2443" s="375" t="s">
        <v>47</v>
      </c>
    </row>
    <row r="2444" spans="4:6" s="327" customFormat="1" x14ac:dyDescent="0.2">
      <c r="D2444" s="328" t="str">
        <f>Intv_BA!D3287</f>
        <v>Metronizadol (200mg) (UG)</v>
      </c>
      <c r="F2444" s="375" t="s">
        <v>47</v>
      </c>
    </row>
    <row r="2445" spans="4:6" s="327" customFormat="1" x14ac:dyDescent="0.2">
      <c r="D2445" s="328" t="str">
        <f>Intv_BA!D3288</f>
        <v>Metronizadol (400mg) (UG)</v>
      </c>
      <c r="F2445" s="375" t="s">
        <v>47</v>
      </c>
    </row>
    <row r="2446" spans="4:6" s="327" customFormat="1" x14ac:dyDescent="0.2">
      <c r="D2446" s="328" t="str">
        <f>Intv_BA!D3289</f>
        <v>Mictomycin  C (10mg) (TZ)</v>
      </c>
      <c r="F2446" s="375" t="s">
        <v>47</v>
      </c>
    </row>
    <row r="2447" spans="4:6" s="327" customFormat="1" x14ac:dyDescent="0.2">
      <c r="D2447" s="328" t="str">
        <f>Intv_BA!D3290</f>
        <v>Mitomycin  C (10mg) (ZM)</v>
      </c>
      <c r="F2447" s="375" t="s">
        <v>47</v>
      </c>
    </row>
    <row r="2448" spans="4:6" s="327" customFormat="1" x14ac:dyDescent="0.2">
      <c r="D2448" s="328" t="str">
        <f>Intv_BA!D3291</f>
        <v>Monsel's solution (UG)</v>
      </c>
      <c r="F2448" s="375" t="s">
        <v>47</v>
      </c>
    </row>
    <row r="2449" spans="4:6" s="327" customFormat="1" x14ac:dyDescent="0.2">
      <c r="D2449" s="328" t="str">
        <f>Intv_BA!D3292</f>
        <v>Monsel's solution (ZM)</v>
      </c>
      <c r="F2449" s="375" t="s">
        <v>47</v>
      </c>
    </row>
    <row r="2450" spans="4:6" s="327" customFormat="1" x14ac:dyDescent="0.2">
      <c r="D2450" s="328" t="str">
        <f>Intv_BA!D3293</f>
        <v>Morphine (10mg) (ZM)</v>
      </c>
      <c r="F2450" s="375" t="s">
        <v>47</v>
      </c>
    </row>
    <row r="2451" spans="4:6" s="327" customFormat="1" x14ac:dyDescent="0.2">
      <c r="D2451" s="328" t="str">
        <f>Intv_BA!D3294</f>
        <v>Morphine (10mg) (TZ)</v>
      </c>
      <c r="F2451" s="375" t="s">
        <v>47</v>
      </c>
    </row>
    <row r="2452" spans="4:6" s="327" customFormat="1" x14ac:dyDescent="0.2">
      <c r="D2452" s="328" t="str">
        <f>Intv_BA!D3295</f>
        <v>Mutton Cloth (ZM)</v>
      </c>
      <c r="F2452" s="375" t="s">
        <v>47</v>
      </c>
    </row>
    <row r="2453" spans="4:6" s="327" customFormat="1" x14ac:dyDescent="0.2">
      <c r="D2453" s="328" t="str">
        <f>Intv_BA!D3296</f>
        <v>Needle – 18 or 20 gauge (TZ)</v>
      </c>
      <c r="F2453" s="375" t="s">
        <v>47</v>
      </c>
    </row>
    <row r="2454" spans="4:6" s="327" customFormat="1" x14ac:dyDescent="0.2">
      <c r="D2454" s="328" t="str">
        <f>Intv_BA!D3297</f>
        <v>Needle - Spinal 22G (disposable) (ZM)</v>
      </c>
      <c r="F2454" s="375" t="s">
        <v>47</v>
      </c>
    </row>
    <row r="2455" spans="4:6" s="327" customFormat="1" x14ac:dyDescent="0.2">
      <c r="D2455" s="328" t="str">
        <f>Intv_BA!D3298</f>
        <v>Needle - Spinal 22G (disposable) (TZ)</v>
      </c>
      <c r="F2455" s="375" t="s">
        <v>47</v>
      </c>
    </row>
    <row r="2456" spans="4:6" s="327" customFormat="1" x14ac:dyDescent="0.2">
      <c r="D2456" s="328" t="str">
        <f>Intv_BA!D3299</f>
        <v>Needles - Dental 27G Long (ZM)</v>
      </c>
      <c r="F2456" s="375" t="s">
        <v>47</v>
      </c>
    </row>
    <row r="2457" spans="4:6" s="327" customFormat="1" x14ac:dyDescent="0.2">
      <c r="D2457" s="328" t="str">
        <f>Intv_BA!D3300</f>
        <v>Neostymine (ZM)</v>
      </c>
      <c r="F2457" s="375" t="s">
        <v>47</v>
      </c>
    </row>
    <row r="2458" spans="4:6" s="327" customFormat="1" x14ac:dyDescent="0.2">
      <c r="D2458" s="328" t="str">
        <f>Intv_BA!D3301</f>
        <v>Normal saline (UG)</v>
      </c>
      <c r="F2458" s="375" t="s">
        <v>47</v>
      </c>
    </row>
    <row r="2459" spans="4:6" s="327" customFormat="1" x14ac:dyDescent="0.2">
      <c r="D2459" s="328" t="str">
        <f>Intv_BA!D3302</f>
        <v>Normal saline (ZM)</v>
      </c>
      <c r="F2459" s="375" t="s">
        <v>47</v>
      </c>
    </row>
    <row r="2460" spans="4:6" s="327" customFormat="1" x14ac:dyDescent="0.2">
      <c r="D2460" s="328" t="str">
        <f>Intv_BA!D3303</f>
        <v>Nystain (200mg) (UG)</v>
      </c>
      <c r="F2460" s="375" t="s">
        <v>47</v>
      </c>
    </row>
    <row r="2461" spans="4:6" s="327" customFormat="1" x14ac:dyDescent="0.2">
      <c r="D2461" s="328" t="str">
        <f>Intv_BA!D3304</f>
        <v>Ondansetron (IV) 4mg vials</v>
      </c>
      <c r="F2461" s="375" t="s">
        <v>47</v>
      </c>
    </row>
    <row r="2462" spans="4:6" s="327" customFormat="1" x14ac:dyDescent="0.2">
      <c r="D2462" s="328" t="str">
        <f>Intv_BA!D3305</f>
        <v>Ondasetron (oral) (4mg tablets)</v>
      </c>
      <c r="F2462" s="375" t="s">
        <v>47</v>
      </c>
    </row>
    <row r="2463" spans="4:6" s="327" customFormat="1" x14ac:dyDescent="0.2">
      <c r="D2463" s="328" t="str">
        <f>Intv_BA!D3306</f>
        <v>Opiods - Pethidine (ZM)</v>
      </c>
      <c r="F2463" s="375" t="s">
        <v>47</v>
      </c>
    </row>
    <row r="2464" spans="4:6" s="327" customFormat="1" x14ac:dyDescent="0.2">
      <c r="D2464" s="328" t="str">
        <f>Intv_BA!D3307</f>
        <v>Supplies Category 109</v>
      </c>
      <c r="F2464" s="375" t="s">
        <v>47</v>
      </c>
    </row>
    <row r="2465" spans="4:6" s="327" customFormat="1" x14ac:dyDescent="0.2">
      <c r="D2465" s="328" t="str">
        <f>Intv_BA!D3308</f>
        <v>Oralpharyngeal airway (ZM)</v>
      </c>
      <c r="F2465" s="375" t="s">
        <v>47</v>
      </c>
    </row>
    <row r="2466" spans="4:6" s="327" customFormat="1" x14ac:dyDescent="0.2">
      <c r="D2466" s="328" t="str">
        <f>Intv_BA!D3309</f>
        <v>Oxygen Mask (ZM)</v>
      </c>
      <c r="F2466" s="375" t="s">
        <v>47</v>
      </c>
    </row>
    <row r="2467" spans="4:6" s="327" customFormat="1" x14ac:dyDescent="0.2">
      <c r="D2467" s="328" t="str">
        <f>Intv_BA!D3310</f>
        <v>Pancuronuien (ZM)</v>
      </c>
      <c r="F2467" s="375" t="s">
        <v>47</v>
      </c>
    </row>
    <row r="2468" spans="4:6" s="327" customFormat="1" x14ac:dyDescent="0.2">
      <c r="D2468" s="328" t="str">
        <f>Intv_BA!D3311</f>
        <v>Paracetamol (1g) (UG)</v>
      </c>
      <c r="F2468" s="375" t="s">
        <v>47</v>
      </c>
    </row>
    <row r="2469" spans="4:6" s="327" customFormat="1" x14ac:dyDescent="0.2">
      <c r="D2469" s="328" t="str">
        <f>Intv_BA!D3312</f>
        <v>Paracetamol (500mg) (ZM)</v>
      </c>
      <c r="F2469" s="375" t="s">
        <v>47</v>
      </c>
    </row>
    <row r="2470" spans="4:6" s="327" customFormat="1" x14ac:dyDescent="0.2">
      <c r="D2470" s="328" t="str">
        <f>Intv_BA!D3313</f>
        <v>Paracetamol (500mg) (TZ)</v>
      </c>
      <c r="F2470" s="375" t="s">
        <v>47</v>
      </c>
    </row>
    <row r="2471" spans="4:6" s="327" customFormat="1" x14ac:dyDescent="0.2">
      <c r="D2471" s="328" t="str">
        <f>Intv_BA!D3314</f>
        <v>Paracetamol (500mg) (UG)</v>
      </c>
      <c r="F2471" s="375" t="s">
        <v>47</v>
      </c>
    </row>
    <row r="2472" spans="4:6" s="327" customFormat="1" x14ac:dyDescent="0.2">
      <c r="D2472" s="328" t="str">
        <f>Intv_BA!D3315</f>
        <v>Pathology form (TZ)</v>
      </c>
      <c r="F2472" s="375" t="s">
        <v>47</v>
      </c>
    </row>
    <row r="2473" spans="4:6" s="327" customFormat="1" x14ac:dyDescent="0.2">
      <c r="D2473" s="328" t="str">
        <f>Intv_BA!D3316</f>
        <v>Patient card (TZ)</v>
      </c>
      <c r="F2473" s="375" t="s">
        <v>47</v>
      </c>
    </row>
    <row r="2474" spans="4:6" s="327" customFormat="1" x14ac:dyDescent="0.2">
      <c r="D2474" s="328" t="str">
        <f>Intv_BA!D3317</f>
        <v>Pencil (TZ)</v>
      </c>
      <c r="F2474" s="375" t="s">
        <v>47</v>
      </c>
    </row>
    <row r="2475" spans="4:6" s="327" customFormat="1" x14ac:dyDescent="0.2">
      <c r="D2475" s="328" t="str">
        <f>Intv_BA!D3318</f>
        <v>Perthodine (TZ)</v>
      </c>
      <c r="F2475" s="375" t="s">
        <v>47</v>
      </c>
    </row>
    <row r="2476" spans="4:6" s="327" customFormat="1" x14ac:dyDescent="0.2">
      <c r="D2476" s="328" t="str">
        <f>Intv_BA!D3319</f>
        <v>Pipette Tips (TZ)</v>
      </c>
      <c r="F2476" s="375" t="s">
        <v>47</v>
      </c>
    </row>
    <row r="2477" spans="4:6" s="327" customFormat="1" x14ac:dyDescent="0.2">
      <c r="D2477" s="328" t="str">
        <f>Intv_BA!D3320</f>
        <v>Pipette, Fixed, 50 microlitre (TZ)</v>
      </c>
      <c r="F2477" s="375" t="s">
        <v>47</v>
      </c>
    </row>
    <row r="2478" spans="4:6" s="327" customFormat="1" x14ac:dyDescent="0.2">
      <c r="D2478" s="328" t="str">
        <f>Intv_BA!D3321</f>
        <v>Pipette, Repeater (TZ)</v>
      </c>
      <c r="F2478" s="375" t="s">
        <v>47</v>
      </c>
    </row>
    <row r="2479" spans="4:6" s="327" customFormat="1" x14ac:dyDescent="0.2">
      <c r="D2479" s="328" t="str">
        <f>Intv_BA!D3322</f>
        <v>Pregnancy test– urine test strip (ZM)</v>
      </c>
      <c r="F2479" s="375" t="s">
        <v>47</v>
      </c>
    </row>
    <row r="2480" spans="4:6" s="327" customFormat="1" x14ac:dyDescent="0.2">
      <c r="D2480" s="328" t="str">
        <f>Intv_BA!D3323</f>
        <v>Pregnancy tests – urine test strips (TZ)</v>
      </c>
      <c r="F2480" s="375" t="s">
        <v>47</v>
      </c>
    </row>
    <row r="2481" spans="4:6" s="327" customFormat="1" x14ac:dyDescent="0.2">
      <c r="D2481" s="328" t="str">
        <f>Intv_BA!D3324</f>
        <v>Profol, 2%, 20 mg/l, 50ml (ZM)</v>
      </c>
      <c r="F2481" s="375" t="s">
        <v>47</v>
      </c>
    </row>
    <row r="2482" spans="4:6" s="327" customFormat="1" x14ac:dyDescent="0.2">
      <c r="D2482" s="328" t="str">
        <f>Intv_BA!D3325</f>
        <v>Repeater Tips (TZ)</v>
      </c>
      <c r="F2482" s="375" t="s">
        <v>47</v>
      </c>
    </row>
    <row r="2483" spans="4:6" s="327" customFormat="1" x14ac:dyDescent="0.2">
      <c r="D2483" s="328" t="str">
        <f>Intv_BA!D3326</f>
        <v>Return electrode (UG)</v>
      </c>
      <c r="F2483" s="375" t="s">
        <v>47</v>
      </c>
    </row>
    <row r="2484" spans="4:6" s="327" customFormat="1" x14ac:dyDescent="0.2">
      <c r="D2484" s="328" t="str">
        <f>Intv_BA!D3327</f>
        <v>Saline solution, normal (ZM)</v>
      </c>
      <c r="F2484" s="375" t="s">
        <v>47</v>
      </c>
    </row>
    <row r="2485" spans="4:6" s="327" customFormat="1" x14ac:dyDescent="0.2">
      <c r="D2485" s="328" t="str">
        <f>Intv_BA!D3328</f>
        <v>Saline solution, normal (TZ)</v>
      </c>
      <c r="F2485" s="375" t="s">
        <v>47</v>
      </c>
    </row>
    <row r="2486" spans="4:6" s="327" customFormat="1" x14ac:dyDescent="0.2">
      <c r="D2486" s="328" t="str">
        <f>Intv_BA!D3329</f>
        <v>Sanitary pad (ZM)</v>
      </c>
      <c r="F2486" s="375" t="s">
        <v>47</v>
      </c>
    </row>
    <row r="2487" spans="4:6" s="327" customFormat="1" x14ac:dyDescent="0.2">
      <c r="D2487" s="328" t="str">
        <f>Intv_BA!D3330</f>
        <v>Sanitary pad (UG)</v>
      </c>
      <c r="F2487" s="375" t="s">
        <v>47</v>
      </c>
    </row>
    <row r="2488" spans="4:6" s="327" customFormat="1" x14ac:dyDescent="0.2">
      <c r="D2488" s="328" t="str">
        <f>Intv_BA!D3331</f>
        <v>Scouring Powder (Ajax)</v>
      </c>
      <c r="F2488" s="375" t="s">
        <v>47</v>
      </c>
    </row>
    <row r="2489" spans="4:6" s="327" customFormat="1" x14ac:dyDescent="0.2">
      <c r="D2489" s="328" t="str">
        <f>Intv_BA!D3332</f>
        <v>Soap (or hand sanitizer) (ZM)</v>
      </c>
      <c r="F2489" s="375" t="s">
        <v>47</v>
      </c>
    </row>
    <row r="2490" spans="4:6" s="327" customFormat="1" x14ac:dyDescent="0.2">
      <c r="D2490" s="328" t="str">
        <f>Intv_BA!D3333</f>
        <v>Soap (or hand sanitizer) (TZ)</v>
      </c>
      <c r="F2490" s="375" t="s">
        <v>47</v>
      </c>
    </row>
    <row r="2491" spans="4:6" s="327" customFormat="1" x14ac:dyDescent="0.2">
      <c r="D2491" s="328" t="str">
        <f>Intv_BA!D3334</f>
        <v>Specimen bottle / recyled syringe bottles (UG)</v>
      </c>
      <c r="F2491" s="375" t="s">
        <v>47</v>
      </c>
    </row>
    <row r="2492" spans="4:6" s="327" customFormat="1" x14ac:dyDescent="0.2">
      <c r="D2492" s="328" t="str">
        <f>Intv_BA!D3335</f>
        <v>Specimen cup with lid and label - 100 cc (TZ)</v>
      </c>
      <c r="F2492" s="375" t="s">
        <v>47</v>
      </c>
    </row>
    <row r="2493" spans="4:6" s="327" customFormat="1" x14ac:dyDescent="0.2">
      <c r="D2493" s="328" t="str">
        <f>Intv_BA!D3336</f>
        <v>Surgical Apron (ZM)</v>
      </c>
      <c r="F2493" s="375" t="s">
        <v>47</v>
      </c>
    </row>
    <row r="2494" spans="4:6" s="327" customFormat="1" x14ac:dyDescent="0.2">
      <c r="D2494" s="328" t="str">
        <f>Intv_BA!D3337</f>
        <v>Suxamethonium (ZM)</v>
      </c>
      <c r="F2494" s="375" t="s">
        <v>47</v>
      </c>
    </row>
    <row r="2495" spans="4:6" s="327" customFormat="1" x14ac:dyDescent="0.2">
      <c r="D2495" s="328" t="str">
        <f>Intv_BA!D3338</f>
        <v>Syringe - 2cc (ZM)</v>
      </c>
      <c r="F2495" s="375" t="s">
        <v>47</v>
      </c>
    </row>
    <row r="2496" spans="4:6" s="327" customFormat="1" x14ac:dyDescent="0.2">
      <c r="D2496" s="328" t="str">
        <f>Intv_BA!D3339</f>
        <v>Syringe - 2ml (UG)</v>
      </c>
      <c r="F2496" s="375" t="s">
        <v>47</v>
      </c>
    </row>
    <row r="2497" spans="4:6" s="327" customFormat="1" x14ac:dyDescent="0.2">
      <c r="D2497" s="328" t="str">
        <f>Intv_BA!D3340</f>
        <v>Syringe, 10 cc with needle (ZM)</v>
      </c>
      <c r="F2497" s="375" t="s">
        <v>47</v>
      </c>
    </row>
    <row r="2498" spans="4:6" s="327" customFormat="1" x14ac:dyDescent="0.2">
      <c r="D2498" s="328" t="str">
        <f>Intv_BA!D3341</f>
        <v>Syringe, 5 cc with needle (ZM)</v>
      </c>
      <c r="F2498" s="375" t="s">
        <v>47</v>
      </c>
    </row>
    <row r="2499" spans="4:6" s="327" customFormat="1" x14ac:dyDescent="0.2">
      <c r="D2499" s="328" t="str">
        <f>Intv_BA!D3342</f>
        <v>Syringes, 10 cc with needle (TZ)</v>
      </c>
      <c r="F2499" s="375" t="s">
        <v>47</v>
      </c>
    </row>
    <row r="2500" spans="4:6" s="327" customFormat="1" x14ac:dyDescent="0.2">
      <c r="D2500" s="328" t="str">
        <f>Intv_BA!D3343</f>
        <v>Syringes, 5 cc with needle (TZ)</v>
      </c>
      <c r="F2500" s="375" t="s">
        <v>47</v>
      </c>
    </row>
    <row r="2501" spans="4:6" s="327" customFormat="1" x14ac:dyDescent="0.2">
      <c r="D2501" s="328" t="str">
        <f>Intv_BA!D3344</f>
        <v>Syringes, Dental, 25 gauge (ZM)</v>
      </c>
      <c r="F2501" s="375" t="s">
        <v>47</v>
      </c>
    </row>
    <row r="2502" spans="4:6" s="327" customFormat="1" x14ac:dyDescent="0.2">
      <c r="D2502" s="328" t="str">
        <f>Intv_BA!D3345</f>
        <v>Thiopentone,500mg vial (ZM)</v>
      </c>
      <c r="F2502" s="375" t="s">
        <v>47</v>
      </c>
    </row>
    <row r="2503" spans="4:6" s="327" customFormat="1" x14ac:dyDescent="0.2">
      <c r="D2503" s="328" t="str">
        <f>Intv_BA!D3346</f>
        <v>Toilet Tissues (roll) – 500 sheets (ZM)</v>
      </c>
      <c r="F2503" s="375" t="s">
        <v>47</v>
      </c>
    </row>
    <row r="2504" spans="4:6" s="327" customFormat="1" x14ac:dyDescent="0.2">
      <c r="D2504" s="328" t="str">
        <f>Intv_BA!D3347</f>
        <v>Tramadol (50mg)  (ZM)</v>
      </c>
      <c r="F2504" s="375" t="s">
        <v>47</v>
      </c>
    </row>
    <row r="2505" spans="4:6" s="327" customFormat="1" x14ac:dyDescent="0.2">
      <c r="D2505" s="328" t="str">
        <f>Intv_BA!D3348</f>
        <v>Tramadol (50mg) (TZ)</v>
      </c>
      <c r="F2505" s="375" t="s">
        <v>47</v>
      </c>
    </row>
    <row r="2506" spans="4:6" s="327" customFormat="1" x14ac:dyDescent="0.2">
      <c r="D2506" s="328" t="str">
        <f>Intv_BA!D3349</f>
        <v>Tubes - Endotrach (ZM)</v>
      </c>
      <c r="F2506" s="375" t="s">
        <v>47</v>
      </c>
    </row>
    <row r="2507" spans="4:6" s="327" customFormat="1" x14ac:dyDescent="0.2">
      <c r="D2507" s="328" t="str">
        <f>Intv_BA!D3350</f>
        <v>Urine Bag (ZM)</v>
      </c>
      <c r="F2507" s="375" t="s">
        <v>47</v>
      </c>
    </row>
    <row r="2508" spans="4:6" s="327" customFormat="1" x14ac:dyDescent="0.2">
      <c r="D2508" s="328" t="str">
        <f>Intv_BA!D3351</f>
        <v>Urine Bag (TZ)</v>
      </c>
      <c r="F2508" s="375" t="s">
        <v>47</v>
      </c>
    </row>
    <row r="2509" spans="4:6" s="327" customFormat="1" x14ac:dyDescent="0.2">
      <c r="D2509" s="328" t="str">
        <f>Intv_BA!D3352</f>
        <v>Washing powder (ZM)</v>
      </c>
      <c r="F2509" s="375" t="s">
        <v>47</v>
      </c>
    </row>
    <row r="2510" spans="4:6" s="327" customFormat="1" x14ac:dyDescent="0.2">
      <c r="D2510" s="328" t="str">
        <f>Intv_BA!D3353</f>
        <v>Wire electrode (UG)</v>
      </c>
      <c r="F2510" s="375" t="s">
        <v>47</v>
      </c>
    </row>
    <row r="2511" spans="4:6" s="327" customFormat="1" x14ac:dyDescent="0.2">
      <c r="D2511" s="328" t="str">
        <f>Intv_BA!D3354</f>
        <v>Wood stick (ZM)</v>
      </c>
      <c r="F2511" s="375" t="s">
        <v>47</v>
      </c>
    </row>
    <row r="2512" spans="4:6" s="327" customFormat="1" x14ac:dyDescent="0.2">
      <c r="D2512" s="328" t="str">
        <f>Intv_BA!D3355</f>
        <v>Wood stick (TZ)</v>
      </c>
      <c r="F2512" s="375" t="s">
        <v>47</v>
      </c>
    </row>
    <row r="2513" spans="3:6" s="327" customFormat="1" x14ac:dyDescent="0.2">
      <c r="D2513" s="328" t="str">
        <f>Intv_BA!D3356</f>
        <v>Supplies Category 158</v>
      </c>
      <c r="F2513" s="375" t="s">
        <v>47</v>
      </c>
    </row>
    <row r="2514" spans="3:6" s="327" customFormat="1" x14ac:dyDescent="0.2">
      <c r="D2514" s="328" t="str">
        <f>Intv_BA!D3357</f>
        <v>Supplies Category 159</v>
      </c>
      <c r="F2514" s="375" t="s">
        <v>47</v>
      </c>
    </row>
    <row r="2515" spans="3:6" s="327" customFormat="1" x14ac:dyDescent="0.2">
      <c r="D2515" s="328" t="str">
        <f>Intv_BA!D3358</f>
        <v>Supplies Category 160</v>
      </c>
      <c r="F2515" s="375" t="s">
        <v>47</v>
      </c>
    </row>
    <row r="2516" spans="3:6" s="327" customFormat="1" x14ac:dyDescent="0.2">
      <c r="D2516" s="328" t="str">
        <f>Intv_BA!D3359</f>
        <v>Supplies Category 161</v>
      </c>
      <c r="F2516" s="375" t="s">
        <v>47</v>
      </c>
    </row>
    <row r="2517" spans="3:6" s="327" customFormat="1" x14ac:dyDescent="0.2">
      <c r="D2517" s="328" t="str">
        <f>Intv_BA!D3360</f>
        <v>Supplies Category 162</v>
      </c>
      <c r="F2517" s="375" t="s">
        <v>47</v>
      </c>
    </row>
    <row r="2518" spans="3:6" s="327" customFormat="1" x14ac:dyDescent="0.2">
      <c r="D2518" s="328" t="str">
        <f>Intv_BA!D3361</f>
        <v>Supplies Category 163</v>
      </c>
      <c r="F2518" s="375" t="s">
        <v>47</v>
      </c>
    </row>
    <row r="2519" spans="3:6" s="327" customFormat="1" x14ac:dyDescent="0.2">
      <c r="D2519" s="328" t="str">
        <f>Intv_BA!D3362</f>
        <v>Other Supply (Specify)</v>
      </c>
      <c r="F2519" s="375" t="s">
        <v>47</v>
      </c>
    </row>
    <row r="2520" spans="3:6" s="327" customFormat="1" x14ac:dyDescent="0.2">
      <c r="D2520" s="328" t="str">
        <f>Intv_BA!D3363</f>
        <v>Other Supply (Specify)</v>
      </c>
      <c r="F2520" s="375" t="s">
        <v>47</v>
      </c>
    </row>
    <row r="2521" spans="3:6" s="327" customFormat="1" x14ac:dyDescent="0.2">
      <c r="D2521" s="328" t="str">
        <f>Intv_BA!D3364</f>
        <v>Other Supply (Specify)</v>
      </c>
      <c r="F2521" s="375" t="s">
        <v>47</v>
      </c>
    </row>
    <row r="2522" spans="3:6" s="327" customFormat="1" x14ac:dyDescent="0.2">
      <c r="D2522" s="328" t="str">
        <f>Intv_BA!D3365</f>
        <v>Other Supply (Specify)</v>
      </c>
      <c r="F2522" s="375" t="s">
        <v>47</v>
      </c>
    </row>
    <row r="2523" spans="3:6" s="327" customFormat="1" x14ac:dyDescent="0.2"/>
    <row r="2524" spans="3:6" s="327" customFormat="1" ht="15.75" x14ac:dyDescent="0.2">
      <c r="C2524" s="330" t="s">
        <v>313</v>
      </c>
      <c r="F2524" s="330" t="s">
        <v>32</v>
      </c>
    </row>
    <row r="2525" spans="3:6" s="327" customFormat="1" x14ac:dyDescent="0.2"/>
    <row r="2526" spans="3:6" s="327" customFormat="1" x14ac:dyDescent="0.2">
      <c r="D2526" s="331" t="s">
        <v>313</v>
      </c>
      <c r="F2526" s="643" t="s">
        <v>365</v>
      </c>
    </row>
    <row r="2527" spans="3:6" s="327" customFormat="1" x14ac:dyDescent="0.2">
      <c r="D2527" s="328" t="str">
        <f>Intv_BA!D3368</f>
        <v>_Not Applicable</v>
      </c>
      <c r="F2527" s="375" t="s">
        <v>47</v>
      </c>
    </row>
    <row r="2528" spans="3:6" s="327" customFormat="1" x14ac:dyDescent="0.2">
      <c r="D2528" s="328" t="str">
        <f>Intv_BA!D3369</f>
        <v>Aluminum pail with lid (TZ)</v>
      </c>
      <c r="F2528" s="375" t="s">
        <v>47</v>
      </c>
    </row>
    <row r="2529" spans="4:6" s="327" customFormat="1" x14ac:dyDescent="0.2">
      <c r="D2529" s="328" t="str">
        <f>Intv_BA!D3370</f>
        <v>Autoclaving Machine (ZM)</v>
      </c>
      <c r="F2529" s="375" t="s">
        <v>47</v>
      </c>
    </row>
    <row r="2530" spans="4:6" s="327" customFormat="1" x14ac:dyDescent="0.2">
      <c r="D2530" s="328" t="str">
        <f>Intv_BA!D3371</f>
        <v>Ball electrode  5mm/Ellman (ZM)</v>
      </c>
      <c r="F2530" s="375" t="s">
        <v>47</v>
      </c>
    </row>
    <row r="2531" spans="4:6" s="327" customFormat="1" x14ac:dyDescent="0.2">
      <c r="D2531" s="328" t="str">
        <f>Intv_BA!D3372</f>
        <v>Basin (for examination couch) (ZM)</v>
      </c>
      <c r="F2531" s="375" t="s">
        <v>47</v>
      </c>
    </row>
    <row r="2532" spans="4:6" s="327" customFormat="1" x14ac:dyDescent="0.2">
      <c r="D2532" s="328" t="str">
        <f>Intv_BA!D3373</f>
        <v>Battery Charger (ZM)</v>
      </c>
      <c r="F2532" s="375" t="s">
        <v>47</v>
      </c>
    </row>
    <row r="2533" spans="4:6" s="327" customFormat="1" x14ac:dyDescent="0.2">
      <c r="D2533" s="328" t="str">
        <f>Intv_BA!D3374</f>
        <v>Bucket (UG)</v>
      </c>
      <c r="F2533" s="375" t="s">
        <v>47</v>
      </c>
    </row>
    <row r="2534" spans="4:6" s="327" customFormat="1" x14ac:dyDescent="0.2">
      <c r="D2534" s="328" t="str">
        <f>Intv_BA!D3375</f>
        <v>Bucket 20Lt plastic with lid (ZM)</v>
      </c>
      <c r="F2534" s="375" t="s">
        <v>47</v>
      </c>
    </row>
    <row r="2535" spans="4:6" s="327" customFormat="1" x14ac:dyDescent="0.2">
      <c r="D2535" s="328" t="str">
        <f>Intv_BA!D3376</f>
        <v>Camera Rechargeable batteries ( set of 6) (ZM)</v>
      </c>
      <c r="F2535" s="375" t="s">
        <v>47</v>
      </c>
    </row>
    <row r="2536" spans="4:6" s="327" customFormat="1" x14ac:dyDescent="0.2">
      <c r="D2536" s="328" t="str">
        <f>Intv_BA!D3377</f>
        <v>Card Reader (ZM)</v>
      </c>
      <c r="F2536" s="375" t="s">
        <v>47</v>
      </c>
    </row>
    <row r="2537" spans="4:6" s="327" customFormat="1" x14ac:dyDescent="0.2">
      <c r="D2537" s="328" t="str">
        <f>Intv_BA!D3378</f>
        <v>CareHPV Machine (kit set) (ZM)</v>
      </c>
      <c r="F2537" s="375" t="s">
        <v>47</v>
      </c>
    </row>
    <row r="2538" spans="4:6" s="327" customFormat="1" x14ac:dyDescent="0.2">
      <c r="D2538" s="328" t="str">
        <f>Intv_BA!D3379</f>
        <v>CareHPV Machine (kit)  (TZ)</v>
      </c>
      <c r="F2538" s="375" t="s">
        <v>47</v>
      </c>
    </row>
    <row r="2539" spans="4:6" s="327" customFormat="1" x14ac:dyDescent="0.2">
      <c r="D2539" s="328" t="str">
        <f>Intv_BA!D3380</f>
        <v>Cauterizer (ZM)</v>
      </c>
      <c r="F2539" s="375" t="s">
        <v>47</v>
      </c>
    </row>
    <row r="2540" spans="4:6" s="327" customFormat="1" x14ac:dyDescent="0.2">
      <c r="D2540" s="328" t="str">
        <f>Intv_BA!D3381</f>
        <v>Cauterizer  (TZ)</v>
      </c>
      <c r="F2540" s="375" t="s">
        <v>47</v>
      </c>
    </row>
    <row r="2541" spans="4:6" s="327" customFormat="1" x14ac:dyDescent="0.2">
      <c r="D2541" s="328" t="str">
        <f>Intv_BA!D3382</f>
        <v>Cervical Cold Coagulator with Instrument Cable and Therapy Probe (ZM)</v>
      </c>
      <c r="F2541" s="375" t="s">
        <v>47</v>
      </c>
    </row>
    <row r="2542" spans="4:6" s="327" customFormat="1" x14ac:dyDescent="0.2">
      <c r="D2542" s="328" t="str">
        <f>Intv_BA!D3383</f>
        <v>Chair (ZM)</v>
      </c>
      <c r="F2542" s="375" t="s">
        <v>47</v>
      </c>
    </row>
    <row r="2543" spans="4:6" s="327" customFormat="1" x14ac:dyDescent="0.2">
      <c r="D2543" s="328" t="str">
        <f>Intv_BA!D3384</f>
        <v>Cheetal forceps (UG)</v>
      </c>
      <c r="F2543" s="375" t="s">
        <v>47</v>
      </c>
    </row>
    <row r="2544" spans="4:6" s="327" customFormat="1" x14ac:dyDescent="0.2">
      <c r="D2544" s="328" t="str">
        <f>Intv_BA!D3385</f>
        <v>Colposcope (set) (ZM)</v>
      </c>
      <c r="F2544" s="375" t="s">
        <v>47</v>
      </c>
    </row>
    <row r="2545" spans="4:6" s="327" customFormat="1" x14ac:dyDescent="0.2">
      <c r="D2545" s="328" t="str">
        <f>Intv_BA!D3386</f>
        <v>Colposcope (UG)</v>
      </c>
      <c r="F2545" s="375" t="s">
        <v>47</v>
      </c>
    </row>
    <row r="2546" spans="4:6" s="327" customFormat="1" x14ac:dyDescent="0.2">
      <c r="D2546" s="328" t="str">
        <f>Intv_BA!D3387</f>
        <v>Colposcopy equipment (TZ)</v>
      </c>
      <c r="F2546" s="375" t="s">
        <v>47</v>
      </c>
    </row>
    <row r="2547" spans="4:6" s="327" customFormat="1" x14ac:dyDescent="0.2">
      <c r="D2547" s="328" t="str">
        <f>Intv_BA!D3388</f>
        <v>Cryotherapy unit (UG)</v>
      </c>
      <c r="F2547" s="375" t="s">
        <v>47</v>
      </c>
    </row>
    <row r="2548" spans="4:6" s="327" customFormat="1" x14ac:dyDescent="0.2">
      <c r="D2548" s="328" t="str">
        <f>Intv_BA!D3389</f>
        <v>Cryotherapy Unit with cryotips (set) (ZM)</v>
      </c>
      <c r="F2548" s="375" t="s">
        <v>47</v>
      </c>
    </row>
    <row r="2549" spans="4:6" s="327" customFormat="1" x14ac:dyDescent="0.2">
      <c r="D2549" s="328" t="str">
        <f>Intv_BA!D3390</f>
        <v>Cryotherapy Unit with cryotips (TZ)</v>
      </c>
      <c r="F2549" s="375" t="s">
        <v>47</v>
      </c>
    </row>
    <row r="2550" spans="4:6" s="327" customFormat="1" x14ac:dyDescent="0.2">
      <c r="D2550" s="328" t="str">
        <f>Intv_BA!D3391</f>
        <v>Digital Camera (ZM)</v>
      </c>
      <c r="F2550" s="375" t="s">
        <v>47</v>
      </c>
    </row>
    <row r="2551" spans="4:6" s="327" customFormat="1" x14ac:dyDescent="0.2">
      <c r="D2551" s="328" t="str">
        <f>Intv_BA!D3392</f>
        <v>Dissecting forceps – 12.5 cm  (TZ)</v>
      </c>
      <c r="F2551" s="375" t="s">
        <v>47</v>
      </c>
    </row>
    <row r="2552" spans="4:6" s="327" customFormat="1" x14ac:dyDescent="0.2">
      <c r="D2552" s="328" t="str">
        <f>Intv_BA!D3393</f>
        <v>Doctor's Stool (ZM)</v>
      </c>
      <c r="F2552" s="375" t="s">
        <v>47</v>
      </c>
    </row>
    <row r="2553" spans="4:6" s="327" customFormat="1" x14ac:dyDescent="0.2">
      <c r="D2553" s="328" t="str">
        <f>Intv_BA!D3394</f>
        <v>Endocervical speculum  (UG)</v>
      </c>
      <c r="F2553" s="375" t="s">
        <v>47</v>
      </c>
    </row>
    <row r="2554" spans="4:6" s="327" customFormat="1" x14ac:dyDescent="0.2">
      <c r="D2554" s="328" t="str">
        <f>Intv_BA!D3395</f>
        <v>Examination bed (UG)</v>
      </c>
      <c r="F2554" s="375" t="s">
        <v>47</v>
      </c>
    </row>
    <row r="2555" spans="4:6" s="327" customFormat="1" x14ac:dyDescent="0.2">
      <c r="D2555" s="328" t="str">
        <f>Intv_BA!D3396</f>
        <v>Examination couch (with Stirrups) (ZM)</v>
      </c>
      <c r="F2555" s="375" t="s">
        <v>47</v>
      </c>
    </row>
    <row r="2556" spans="4:6" s="327" customFormat="1" x14ac:dyDescent="0.2">
      <c r="D2556" s="328" t="str">
        <f>Intv_BA!D3397</f>
        <v>Examination light (Halogen, no bulb) (ZM)</v>
      </c>
      <c r="F2556" s="375" t="s">
        <v>47</v>
      </c>
    </row>
    <row r="2557" spans="4:6" s="327" customFormat="1" x14ac:dyDescent="0.2">
      <c r="D2557" s="328" t="str">
        <f>Intv_BA!D3398</f>
        <v>Examination light source  (TZ)</v>
      </c>
      <c r="F2557" s="375" t="s">
        <v>47</v>
      </c>
    </row>
    <row r="2558" spans="4:6" s="327" customFormat="1" x14ac:dyDescent="0.2">
      <c r="D2558" s="328" t="str">
        <f>Intv_BA!D3399</f>
        <v>Examination light source (Halogen) with bulb (set) (ZM)</v>
      </c>
      <c r="F2558" s="375" t="s">
        <v>47</v>
      </c>
    </row>
    <row r="2559" spans="4:6" s="327" customFormat="1" x14ac:dyDescent="0.2">
      <c r="D2559" s="328" t="str">
        <f>Intv_BA!D3400</f>
        <v>Examination table (UG)</v>
      </c>
      <c r="F2559" s="375" t="s">
        <v>47</v>
      </c>
    </row>
    <row r="2560" spans="4:6" s="327" customFormat="1" x14ac:dyDescent="0.2">
      <c r="D2560" s="328" t="str">
        <f>Intv_BA!D3401</f>
        <v>Filing Cabinet (ZM)</v>
      </c>
      <c r="F2560" s="375" t="s">
        <v>47</v>
      </c>
    </row>
    <row r="2561" spans="4:6" s="327" customFormat="1" x14ac:dyDescent="0.2">
      <c r="D2561" s="328" t="str">
        <f>Intv_BA!D3402</f>
        <v>Forceps (UG)</v>
      </c>
      <c r="F2561" s="375" t="s">
        <v>47</v>
      </c>
    </row>
    <row r="2562" spans="4:6" s="327" customFormat="1" x14ac:dyDescent="0.2">
      <c r="D2562" s="328" t="str">
        <f>Intv_BA!D3403</f>
        <v>Forceps Babcocks  (ZM)</v>
      </c>
      <c r="F2562" s="375" t="s">
        <v>47</v>
      </c>
    </row>
    <row r="2563" spans="4:6" s="327" customFormat="1" x14ac:dyDescent="0.2">
      <c r="D2563" s="328" t="str">
        <f>Intv_BA!D3404</f>
        <v>Forceps tissue - babcocks  (TZ)</v>
      </c>
      <c r="F2563" s="375" t="s">
        <v>47</v>
      </c>
    </row>
    <row r="2564" spans="4:6" s="327" customFormat="1" x14ac:dyDescent="0.2">
      <c r="D2564" s="328" t="str">
        <f>Intv_BA!D3405</f>
        <v>Forceps tissue - long  (TZ)</v>
      </c>
      <c r="F2564" s="375" t="s">
        <v>47</v>
      </c>
    </row>
    <row r="2565" spans="4:6" s="327" customFormat="1" x14ac:dyDescent="0.2">
      <c r="D2565" s="328" t="str">
        <f>Intv_BA!D3406</f>
        <v>Forceps tissue- litlewoods 19 cm  (TZ)</v>
      </c>
      <c r="F2565" s="375" t="s">
        <v>47</v>
      </c>
    </row>
    <row r="2566" spans="4:6" s="327" customFormat="1" x14ac:dyDescent="0.2">
      <c r="D2566" s="328" t="str">
        <f>Intv_BA!D3407</f>
        <v>Forceps, Cheetal (ZM)</v>
      </c>
      <c r="F2566" s="375" t="s">
        <v>47</v>
      </c>
    </row>
    <row r="2567" spans="4:6" s="327" customFormat="1" x14ac:dyDescent="0.2">
      <c r="D2567" s="328" t="str">
        <f>Intv_BA!D3408</f>
        <v>Forceps, Dissecting - 12.5 cm (ZM)</v>
      </c>
      <c r="F2567" s="375" t="s">
        <v>47</v>
      </c>
    </row>
    <row r="2568" spans="4:6" s="327" customFormat="1" x14ac:dyDescent="0.2">
      <c r="D2568" s="328" t="str">
        <f>Intv_BA!D3409</f>
        <v>Forceps, Littlewoods 19 cm (ZM)</v>
      </c>
      <c r="F2568" s="375" t="s">
        <v>47</v>
      </c>
    </row>
    <row r="2569" spans="4:6" s="327" customFormat="1" x14ac:dyDescent="0.2">
      <c r="D2569" s="328" t="str">
        <f>Intv_BA!D3410</f>
        <v>Forceps, Long  (ZM)</v>
      </c>
      <c r="F2569" s="375" t="s">
        <v>47</v>
      </c>
    </row>
    <row r="2570" spans="4:6" s="327" customFormat="1" x14ac:dyDescent="0.2">
      <c r="D2570" s="328" t="str">
        <f>Intv_BA!D3411</f>
        <v>Forceps, ovum (ZM)</v>
      </c>
      <c r="F2570" s="375" t="s">
        <v>47</v>
      </c>
    </row>
    <row r="2571" spans="4:6" s="327" customFormat="1" x14ac:dyDescent="0.2">
      <c r="D2571" s="328" t="str">
        <f>Intv_BA!D3412</f>
        <v>Forceps, ovum  (TZ)</v>
      </c>
      <c r="F2571" s="375" t="s">
        <v>47</v>
      </c>
    </row>
    <row r="2572" spans="4:6" s="327" customFormat="1" x14ac:dyDescent="0.2">
      <c r="D2572" s="328" t="str">
        <f>Intv_BA!D3413</f>
        <v>Forceps, Punch biopsy (ZM)</v>
      </c>
      <c r="F2572" s="375" t="s">
        <v>47</v>
      </c>
    </row>
    <row r="2573" spans="4:6" s="327" customFormat="1" x14ac:dyDescent="0.2">
      <c r="D2573" s="328" t="str">
        <f>Intv_BA!D3414</f>
        <v>Forceps, punch biopsy (TZ)</v>
      </c>
      <c r="F2573" s="375" t="s">
        <v>47</v>
      </c>
    </row>
    <row r="2574" spans="4:6" s="327" customFormat="1" x14ac:dyDescent="0.2">
      <c r="D2574" s="328" t="str">
        <f>Intv_BA!D3415</f>
        <v>Forceps, Sponge holder (ZM)</v>
      </c>
      <c r="F2574" s="375" t="s">
        <v>47</v>
      </c>
    </row>
    <row r="2575" spans="4:6" s="327" customFormat="1" x14ac:dyDescent="0.2">
      <c r="D2575" s="328" t="str">
        <f>Intv_BA!D3416</f>
        <v>Forceps, sponge holder  (TZ)</v>
      </c>
      <c r="F2575" s="375" t="s">
        <v>47</v>
      </c>
    </row>
    <row r="2576" spans="4:6" s="327" customFormat="1" x14ac:dyDescent="0.2">
      <c r="D2576" s="328" t="str">
        <f>Intv_BA!D3417</f>
        <v>Gallipot (ZM)</v>
      </c>
      <c r="F2576" s="375" t="s">
        <v>47</v>
      </c>
    </row>
    <row r="2577" spans="4:6" s="327" customFormat="1" x14ac:dyDescent="0.2">
      <c r="D2577" s="328" t="str">
        <f>Intv_BA!D3418</f>
        <v>Gallipot (UG)</v>
      </c>
      <c r="F2577" s="375" t="s">
        <v>47</v>
      </c>
    </row>
    <row r="2578" spans="4:6" s="327" customFormat="1" x14ac:dyDescent="0.2">
      <c r="D2578" s="328" t="str">
        <f>Intv_BA!D3419</f>
        <v>Gas cylinder adaptor (ZM)</v>
      </c>
      <c r="F2578" s="375" t="s">
        <v>47</v>
      </c>
    </row>
    <row r="2579" spans="4:6" s="327" customFormat="1" x14ac:dyDescent="0.2">
      <c r="D2579" s="328" t="str">
        <f>Intv_BA!D3420</f>
        <v>Gas cylinder adaptor  (TZ)</v>
      </c>
      <c r="F2579" s="375" t="s">
        <v>47</v>
      </c>
    </row>
    <row r="2580" spans="4:6" s="327" customFormat="1" x14ac:dyDescent="0.2">
      <c r="D2580" s="328" t="str">
        <f>Intv_BA!D3421</f>
        <v>Gynecological examination bed  (TZ)</v>
      </c>
      <c r="F2580" s="375" t="s">
        <v>47</v>
      </c>
    </row>
    <row r="2581" spans="4:6" s="327" customFormat="1" x14ac:dyDescent="0.2">
      <c r="D2581" s="328" t="str">
        <f>Intv_BA!D3422</f>
        <v>Halogen Bulbs (ZM)</v>
      </c>
      <c r="F2581" s="375" t="s">
        <v>47</v>
      </c>
    </row>
    <row r="2582" spans="4:6" s="327" customFormat="1" x14ac:dyDescent="0.2">
      <c r="D2582" s="328" t="str">
        <f>Intv_BA!D3423</f>
        <v>Hysterectomy Set (ZM)</v>
      </c>
      <c r="F2582" s="375" t="s">
        <v>47</v>
      </c>
    </row>
    <row r="2583" spans="4:6" s="327" customFormat="1" x14ac:dyDescent="0.2">
      <c r="D2583" s="328" t="str">
        <f>Intv_BA!D3424</f>
        <v>Instrument tray (ZM)</v>
      </c>
      <c r="F2583" s="375" t="s">
        <v>47</v>
      </c>
    </row>
    <row r="2584" spans="4:6" s="327" customFormat="1" x14ac:dyDescent="0.2">
      <c r="D2584" s="328" t="str">
        <f>Intv_BA!D3425</f>
        <v>Instrument tray  (TZ)</v>
      </c>
      <c r="F2584" s="375" t="s">
        <v>47</v>
      </c>
    </row>
    <row r="2585" spans="4:6" s="327" customFormat="1" x14ac:dyDescent="0.2">
      <c r="D2585" s="328" t="str">
        <f>Intv_BA!D3426</f>
        <v>Kidney Dish (ZM)</v>
      </c>
      <c r="F2585" s="375" t="s">
        <v>47</v>
      </c>
    </row>
    <row r="2586" spans="4:6" s="327" customFormat="1" x14ac:dyDescent="0.2">
      <c r="D2586" s="328" t="str">
        <f>Intv_BA!D3427</f>
        <v>Kidney Dish (UG)</v>
      </c>
      <c r="F2586" s="375" t="s">
        <v>47</v>
      </c>
    </row>
    <row r="2587" spans="4:6" s="327" customFormat="1" x14ac:dyDescent="0.2">
      <c r="D2587" s="328" t="str">
        <f>Intv_BA!D3428</f>
        <v>Lamp (UG)</v>
      </c>
      <c r="F2587" s="375" t="s">
        <v>47</v>
      </c>
    </row>
    <row r="2588" spans="4:6" s="327" customFormat="1" x14ac:dyDescent="0.2">
      <c r="D2588" s="328" t="str">
        <f>Intv_BA!D3429</f>
        <v>Laptop / Desktop Computer (ZM)</v>
      </c>
      <c r="F2588" s="375" t="s">
        <v>47</v>
      </c>
    </row>
    <row r="2589" spans="4:6" s="327" customFormat="1" x14ac:dyDescent="0.2">
      <c r="D2589" s="328" t="str">
        <f>Intv_BA!D3430</f>
        <v>LEEP Equipment  (TZ)</v>
      </c>
      <c r="F2589" s="375" t="s">
        <v>47</v>
      </c>
    </row>
    <row r="2590" spans="4:6" s="327" customFormat="1" x14ac:dyDescent="0.2">
      <c r="D2590" s="328" t="str">
        <f>Intv_BA!D3431</f>
        <v>LEEP machine plus smoke evacuator system plus accessories (ZM)</v>
      </c>
      <c r="F2590" s="375" t="s">
        <v>47</v>
      </c>
    </row>
    <row r="2591" spans="4:6" s="327" customFormat="1" x14ac:dyDescent="0.2">
      <c r="D2591" s="328" t="str">
        <f>Intv_BA!D3432</f>
        <v>LEEP machine  with coated speculums (UG)</v>
      </c>
      <c r="F2591" s="375" t="s">
        <v>47</v>
      </c>
    </row>
    <row r="2592" spans="4:6" s="327" customFormat="1" x14ac:dyDescent="0.2">
      <c r="D2592" s="328" t="str">
        <f>Intv_BA!D3433</f>
        <v>Lensmate SX 40 Filter Adapter 58mm (ZM)</v>
      </c>
      <c r="F2592" s="375" t="s">
        <v>47</v>
      </c>
    </row>
    <row r="2593" spans="4:6" s="327" customFormat="1" x14ac:dyDescent="0.2">
      <c r="D2593" s="328" t="str">
        <f>Intv_BA!D3434</f>
        <v>Loop Electrodes - 5 mm x 5mm (Ellman) (ZM)</v>
      </c>
      <c r="F2593" s="375" t="s">
        <v>47</v>
      </c>
    </row>
    <row r="2594" spans="4:6" s="327" customFormat="1" x14ac:dyDescent="0.2">
      <c r="D2594" s="328" t="str">
        <f>Intv_BA!D3435</f>
        <v>Loop Electrodes - 10 mm x 10mm (Ellman) (ZM)</v>
      </c>
      <c r="F2594" s="375" t="s">
        <v>47</v>
      </c>
    </row>
    <row r="2595" spans="4:6" s="327" customFormat="1" x14ac:dyDescent="0.2">
      <c r="D2595" s="328" t="str">
        <f>Intv_BA!D3436</f>
        <v>Loop Electrodes - 20 mm x 8mm (Ellman) (ZM)</v>
      </c>
      <c r="F2595" s="375" t="s">
        <v>47</v>
      </c>
    </row>
    <row r="2596" spans="4:6" s="327" customFormat="1" x14ac:dyDescent="0.2">
      <c r="D2596" s="328" t="str">
        <f>Intv_BA!D3437</f>
        <v>Loop Electrodes - 20 mm x 15mm (Ellman) (ZM)</v>
      </c>
      <c r="F2596" s="375" t="s">
        <v>47</v>
      </c>
    </row>
    <row r="2597" spans="4:6" s="327" customFormat="1" x14ac:dyDescent="0.2">
      <c r="D2597" s="328" t="str">
        <f>Intv_BA!D3438</f>
        <v>Mackintosh (Plastic sheet for exam couch) (ZM)</v>
      </c>
      <c r="F2597" s="375" t="s">
        <v>47</v>
      </c>
    </row>
    <row r="2598" spans="4:6" s="327" customFormat="1" x14ac:dyDescent="0.2">
      <c r="D2598" s="328" t="str">
        <f>Intv_BA!D3439</f>
        <v>Magnification Lens (ZM)</v>
      </c>
      <c r="F2598" s="375" t="s">
        <v>47</v>
      </c>
    </row>
    <row r="2599" spans="4:6" s="327" customFormat="1" x14ac:dyDescent="0.2">
      <c r="D2599" s="328" t="str">
        <f>Intv_BA!D3440</f>
        <v>Medical Rubber Mackintosh Sheet (ZM)</v>
      </c>
      <c r="F2599" s="375" t="s">
        <v>47</v>
      </c>
    </row>
    <row r="2600" spans="4:6" s="327" customFormat="1" x14ac:dyDescent="0.2">
      <c r="D2600" s="328" t="str">
        <f>Intv_BA!D3441</f>
        <v>Medical Rubber Mackintosh Sheet   (TZ)</v>
      </c>
      <c r="F2600" s="375" t="s">
        <v>47</v>
      </c>
    </row>
    <row r="2601" spans="4:6" s="327" customFormat="1" x14ac:dyDescent="0.2">
      <c r="D2601" s="328" t="str">
        <f>Intv_BA!D3442</f>
        <v>Memory Card (ZM)</v>
      </c>
      <c r="F2601" s="375" t="s">
        <v>47</v>
      </c>
    </row>
    <row r="2602" spans="4:6" s="327" customFormat="1" x14ac:dyDescent="0.2">
      <c r="D2602" s="328" t="str">
        <f>Intv_BA!D3443</f>
        <v>Multi-Tip Cryo-Probe System with British adapter for NO2 includes gun, regulator, hose(2/3Tips included) (set) (ZM)</v>
      </c>
      <c r="F2602" s="375" t="s">
        <v>47</v>
      </c>
    </row>
    <row r="2603" spans="4:6" s="327" customFormat="1" x14ac:dyDescent="0.2">
      <c r="D2603" s="328" t="str">
        <f>Intv_BA!D3444</f>
        <v>Non-conducting speculum  Pederson  (ZM)</v>
      </c>
      <c r="F2603" s="375" t="s">
        <v>47</v>
      </c>
    </row>
    <row r="2604" spans="4:6" s="327" customFormat="1" x14ac:dyDescent="0.2">
      <c r="D2604" s="328" t="str">
        <f>Intv_BA!D3445</f>
        <v>Non-conducting speculum (UG)</v>
      </c>
      <c r="F2604" s="375" t="s">
        <v>47</v>
      </c>
    </row>
    <row r="2605" spans="4:6" s="327" customFormat="1" x14ac:dyDescent="0.2">
      <c r="D2605" s="328" t="str">
        <f>Intv_BA!D3446</f>
        <v>Nurses Table (ZM)</v>
      </c>
      <c r="F2605" s="375" t="s">
        <v>47</v>
      </c>
    </row>
    <row r="2606" spans="4:6" s="327" customFormat="1" x14ac:dyDescent="0.2">
      <c r="D2606" s="328" t="str">
        <f>Intv_BA!D3447</f>
        <v>Pillow (ZM)</v>
      </c>
      <c r="F2606" s="375" t="s">
        <v>47</v>
      </c>
    </row>
    <row r="2607" spans="4:6" s="327" customFormat="1" x14ac:dyDescent="0.2">
      <c r="D2607" s="328" t="str">
        <f>Intv_BA!D3448</f>
        <v>Plastic apron (ZM)</v>
      </c>
      <c r="F2607" s="375" t="s">
        <v>47</v>
      </c>
    </row>
    <row r="2608" spans="4:6" s="327" customFormat="1" x14ac:dyDescent="0.2">
      <c r="D2608" s="328" t="str">
        <f>Intv_BA!D3449</f>
        <v>Plastic apron  (TZ)</v>
      </c>
      <c r="F2608" s="375" t="s">
        <v>47</v>
      </c>
    </row>
    <row r="2609" spans="4:6" s="327" customFormat="1" x14ac:dyDescent="0.2">
      <c r="D2609" s="328" t="str">
        <f>Intv_BA!D3450</f>
        <v>Privacy screen (portable) (ZM)</v>
      </c>
      <c r="F2609" s="375" t="s">
        <v>47</v>
      </c>
    </row>
    <row r="2610" spans="4:6" s="327" customFormat="1" x14ac:dyDescent="0.2">
      <c r="D2610" s="328" t="str">
        <f>Intv_BA!D3451</f>
        <v>Privacy screen (portable) (TZ)</v>
      </c>
      <c r="F2610" s="375" t="s">
        <v>47</v>
      </c>
    </row>
    <row r="2611" spans="4:6" s="327" customFormat="1" x14ac:dyDescent="0.2">
      <c r="D2611" s="328" t="str">
        <f>Intv_BA!D3452</f>
        <v>Punch Biopsy Forceps  Titanium 10" (ZM)</v>
      </c>
      <c r="F2611" s="375" t="s">
        <v>47</v>
      </c>
    </row>
    <row r="2612" spans="4:6" s="327" customFormat="1" x14ac:dyDescent="0.2">
      <c r="D2612" s="328" t="str">
        <f>Intv_BA!D3453</f>
        <v>Punch Biopsy Forceps (UG)</v>
      </c>
      <c r="F2612" s="375" t="s">
        <v>47</v>
      </c>
    </row>
    <row r="2613" spans="4:6" s="327" customFormat="1" x14ac:dyDescent="0.2">
      <c r="D2613" s="328" t="str">
        <f>Intv_BA!D3454</f>
        <v>Radiotherapy Machine - intra-cavity ( internal)  (TZ)</v>
      </c>
      <c r="F2613" s="375" t="s">
        <v>47</v>
      </c>
    </row>
    <row r="2614" spans="4:6" s="327" customFormat="1" x14ac:dyDescent="0.2">
      <c r="D2614" s="328" t="str">
        <f>Intv_BA!D3455</f>
        <v>Radiotherapy Machine - teletherapy (external) Cobalt-60  (TZ)</v>
      </c>
      <c r="F2614" s="375" t="s">
        <v>47</v>
      </c>
    </row>
    <row r="2615" spans="4:6" s="327" customFormat="1" x14ac:dyDescent="0.2">
      <c r="D2615" s="328" t="str">
        <f>Intv_BA!D3456</f>
        <v>Radiotherapy Treatment Couch  (TZ)</v>
      </c>
      <c r="F2615" s="375" t="s">
        <v>47</v>
      </c>
    </row>
    <row r="2616" spans="4:6" s="327" customFormat="1" x14ac:dyDescent="0.2">
      <c r="D2616" s="328" t="str">
        <f>Intv_BA!D3457</f>
        <v>Registration book, patient  (TZ)</v>
      </c>
      <c r="F2616" s="375" t="s">
        <v>47</v>
      </c>
    </row>
    <row r="2617" spans="4:6" s="327" customFormat="1" x14ac:dyDescent="0.2">
      <c r="D2617" s="328" t="str">
        <f>Intv_BA!D3458</f>
        <v>Retractor 3.5" Coated Lateral Wall (ZM)</v>
      </c>
      <c r="F2617" s="375" t="s">
        <v>47</v>
      </c>
    </row>
    <row r="2618" spans="4:6" s="327" customFormat="1" x14ac:dyDescent="0.2">
      <c r="D2618" s="328" t="str">
        <f>Intv_BA!D3459</f>
        <v>Smoke evacuator (UG)</v>
      </c>
      <c r="F2618" s="375" t="s">
        <v>47</v>
      </c>
    </row>
    <row r="2619" spans="4:6" s="327" customFormat="1" x14ac:dyDescent="0.2">
      <c r="D2619" s="328" t="str">
        <f>Intv_BA!D3460</f>
        <v>Specimen Tube rack  (TZ)</v>
      </c>
      <c r="F2619" s="375" t="s">
        <v>47</v>
      </c>
    </row>
    <row r="2620" spans="4:6" s="327" customFormat="1" x14ac:dyDescent="0.2">
      <c r="D2620" s="328" t="str">
        <f>Intv_BA!D3461</f>
        <v>Speculum  (TZ)</v>
      </c>
      <c r="F2620" s="375" t="s">
        <v>47</v>
      </c>
    </row>
    <row r="2621" spans="4:6" s="327" customFormat="1" x14ac:dyDescent="0.2">
      <c r="D2621" s="328" t="str">
        <f>Intv_BA!D3462</f>
        <v>Speculum (reusable) (UG)</v>
      </c>
      <c r="F2621" s="375" t="s">
        <v>47</v>
      </c>
    </row>
    <row r="2622" spans="4:6" s="327" customFormat="1" x14ac:dyDescent="0.2">
      <c r="D2622" s="328" t="str">
        <f>Intv_BA!D3463</f>
        <v>Speculum (UG)</v>
      </c>
      <c r="F2622" s="375" t="s">
        <v>47</v>
      </c>
    </row>
    <row r="2623" spans="4:6" s="327" customFormat="1" x14ac:dyDescent="0.2">
      <c r="D2623" s="328" t="str">
        <f>Intv_BA!D3464</f>
        <v>Speculum Graves' large  (ZM)</v>
      </c>
      <c r="F2623" s="375" t="s">
        <v>47</v>
      </c>
    </row>
    <row r="2624" spans="4:6" s="327" customFormat="1" x14ac:dyDescent="0.2">
      <c r="D2624" s="328" t="str">
        <f>Intv_BA!D3465</f>
        <v>Speculum Graves' Medium (ZM)</v>
      </c>
      <c r="F2624" s="375" t="s">
        <v>47</v>
      </c>
    </row>
    <row r="2625" spans="4:6" s="327" customFormat="1" x14ac:dyDescent="0.2">
      <c r="D2625" s="328" t="str">
        <f>Intv_BA!D3466</f>
        <v>Speculum  Graves'  Small (ZM)</v>
      </c>
      <c r="F2625" s="375" t="s">
        <v>47</v>
      </c>
    </row>
    <row r="2626" spans="4:6" s="327" customFormat="1" x14ac:dyDescent="0.2">
      <c r="D2626" s="328" t="str">
        <f>Intv_BA!D3467</f>
        <v>Speculum, endocervical (ZM)</v>
      </c>
      <c r="F2626" s="375" t="s">
        <v>47</v>
      </c>
    </row>
    <row r="2627" spans="4:6" s="327" customFormat="1" x14ac:dyDescent="0.2">
      <c r="D2627" s="328" t="str">
        <f>Intv_BA!D3468</f>
        <v>Sponge holding forceps (UG)</v>
      </c>
      <c r="F2627" s="375" t="s">
        <v>47</v>
      </c>
    </row>
    <row r="2628" spans="4:6" s="327" customFormat="1" x14ac:dyDescent="0.2">
      <c r="D2628" s="328" t="str">
        <f>Intv_BA!D3469</f>
        <v>Steel trolley (Two/three shelves) (ZM)</v>
      </c>
      <c r="F2628" s="375" t="s">
        <v>47</v>
      </c>
    </row>
    <row r="2629" spans="4:6" s="327" customFormat="1" x14ac:dyDescent="0.2">
      <c r="D2629" s="328" t="str">
        <f>Intv_BA!D3470</f>
        <v>Step-on stool (ZM)</v>
      </c>
      <c r="F2629" s="375" t="s">
        <v>47</v>
      </c>
    </row>
    <row r="2630" spans="4:6" s="327" customFormat="1" x14ac:dyDescent="0.2">
      <c r="D2630" s="328" t="str">
        <f>Intv_BA!D3471</f>
        <v>Sterilising Drum (ZM)</v>
      </c>
      <c r="F2630" s="375" t="s">
        <v>47</v>
      </c>
    </row>
    <row r="2631" spans="4:6" s="327" customFormat="1" x14ac:dyDescent="0.2">
      <c r="D2631" s="328" t="str">
        <f>Intv_BA!D3472</f>
        <v>Sterilizer (UG)</v>
      </c>
      <c r="F2631" s="375" t="s">
        <v>47</v>
      </c>
    </row>
    <row r="2632" spans="4:6" s="327" customFormat="1" x14ac:dyDescent="0.2">
      <c r="D2632" s="328" t="str">
        <f>Intv_BA!D3473</f>
        <v>Television set (ZM)</v>
      </c>
      <c r="F2632" s="375" t="s">
        <v>47</v>
      </c>
    </row>
    <row r="2633" spans="4:6" s="327" customFormat="1" x14ac:dyDescent="0.2">
      <c r="D2633" s="328" t="str">
        <f>Intv_BA!D3474</f>
        <v>Timer / wall clock (UG)</v>
      </c>
      <c r="F2633" s="375" t="s">
        <v>47</v>
      </c>
    </row>
    <row r="2634" spans="4:6" s="327" customFormat="1" x14ac:dyDescent="0.2">
      <c r="D2634" s="328" t="str">
        <f>Intv_BA!D3475</f>
        <v>Torch (UG)</v>
      </c>
      <c r="F2634" s="375" t="s">
        <v>47</v>
      </c>
    </row>
    <row r="2635" spans="4:6" s="327" customFormat="1" x14ac:dyDescent="0.2">
      <c r="D2635" s="328" t="str">
        <f>Intv_BA!D3476</f>
        <v>Uterine Cervical Dilator (ZM)</v>
      </c>
      <c r="F2635" s="375" t="s">
        <v>47</v>
      </c>
    </row>
    <row r="2636" spans="4:6" s="327" customFormat="1" x14ac:dyDescent="0.2">
      <c r="D2636" s="328" t="str">
        <f>Intv_BA!D3477</f>
        <v>Uterine Cervical Dilator  (TZ)</v>
      </c>
      <c r="F2636" s="375" t="s">
        <v>47</v>
      </c>
    </row>
    <row r="2637" spans="4:6" s="327" customFormat="1" x14ac:dyDescent="0.2">
      <c r="D2637" s="328" t="str">
        <f>Intv_BA!D3478</f>
        <v>Uterine Probe (ZM)</v>
      </c>
      <c r="F2637" s="375" t="s">
        <v>47</v>
      </c>
    </row>
    <row r="2638" spans="4:6" s="327" customFormat="1" x14ac:dyDescent="0.2">
      <c r="D2638" s="328" t="str">
        <f>Intv_BA!D3479</f>
        <v>Uterine Probe  (TZ)</v>
      </c>
      <c r="F2638" s="375" t="s">
        <v>47</v>
      </c>
    </row>
    <row r="2639" spans="4:6" s="327" customFormat="1" x14ac:dyDescent="0.2">
      <c r="D2639" s="328" t="str">
        <f>Intv_BA!D3480</f>
        <v>Equipment Category 113</v>
      </c>
      <c r="F2639" s="375" t="s">
        <v>47</v>
      </c>
    </row>
    <row r="2640" spans="4:6" s="327" customFormat="1" x14ac:dyDescent="0.2">
      <c r="D2640" s="328" t="str">
        <f>Intv_BA!D3481</f>
        <v>Equipment Category 114</v>
      </c>
      <c r="F2640" s="375" t="s">
        <v>47</v>
      </c>
    </row>
    <row r="2641" spans="3:6" s="327" customFormat="1" x14ac:dyDescent="0.2">
      <c r="D2641" s="328" t="str">
        <f>Intv_BA!D3482</f>
        <v>Equipment Category 115</v>
      </c>
      <c r="F2641" s="375" t="s">
        <v>47</v>
      </c>
    </row>
    <row r="2642" spans="3:6" s="327" customFormat="1" x14ac:dyDescent="0.2">
      <c r="D2642" s="328" t="str">
        <f>Intv_BA!D3483</f>
        <v>Equipment Category 116</v>
      </c>
      <c r="F2642" s="375" t="s">
        <v>47</v>
      </c>
    </row>
    <row r="2643" spans="3:6" s="327" customFormat="1" x14ac:dyDescent="0.2">
      <c r="D2643" s="328" t="str">
        <f>Intv_BA!D3484</f>
        <v>Equipment Category 117</v>
      </c>
      <c r="F2643" s="375" t="s">
        <v>47</v>
      </c>
    </row>
    <row r="2644" spans="3:6" s="327" customFormat="1" x14ac:dyDescent="0.2">
      <c r="D2644" s="328" t="str">
        <f>Intv_BA!D3485</f>
        <v>Equipment Category 118</v>
      </c>
      <c r="F2644" s="375" t="s">
        <v>47</v>
      </c>
    </row>
    <row r="2645" spans="3:6" s="327" customFormat="1" x14ac:dyDescent="0.2">
      <c r="D2645" s="328" t="str">
        <f>Intv_BA!D3486</f>
        <v>Equipment Category 119</v>
      </c>
      <c r="F2645" s="375" t="s">
        <v>47</v>
      </c>
    </row>
    <row r="2646" spans="3:6" s="327" customFormat="1" x14ac:dyDescent="0.2">
      <c r="D2646" s="328" t="str">
        <f>Intv_BA!D3487</f>
        <v>Equipment Category 120</v>
      </c>
      <c r="F2646" s="375" t="s">
        <v>47</v>
      </c>
    </row>
    <row r="2647" spans="3:6" s="327" customFormat="1" x14ac:dyDescent="0.2">
      <c r="D2647" s="328" t="str">
        <f>Intv_BA!D3488</f>
        <v>Equipment Category 121</v>
      </c>
      <c r="F2647" s="375" t="s">
        <v>47</v>
      </c>
    </row>
    <row r="2648" spans="3:6" s="327" customFormat="1" x14ac:dyDescent="0.2">
      <c r="D2648" s="328" t="str">
        <f>Intv_BA!D3489</f>
        <v>Equipment Category 122</v>
      </c>
      <c r="F2648" s="375" t="s">
        <v>47</v>
      </c>
    </row>
    <row r="2649" spans="3:6" s="327" customFormat="1" x14ac:dyDescent="0.2">
      <c r="D2649" s="328" t="str">
        <f>Intv_BA!D3490</f>
        <v>Equipment Category 123</v>
      </c>
      <c r="F2649" s="375" t="s">
        <v>47</v>
      </c>
    </row>
    <row r="2650" spans="3:6" s="327" customFormat="1" x14ac:dyDescent="0.2"/>
    <row r="2651" spans="3:6" s="327" customFormat="1" ht="15.75" x14ac:dyDescent="0.2">
      <c r="C2651" s="330" t="s">
        <v>186</v>
      </c>
      <c r="F2651" s="330" t="s">
        <v>32</v>
      </c>
    </row>
    <row r="2652" spans="3:6" s="327" customFormat="1" x14ac:dyDescent="0.2"/>
    <row r="2653" spans="3:6" s="327" customFormat="1" x14ac:dyDescent="0.2">
      <c r="D2653" s="331" t="s">
        <v>186</v>
      </c>
      <c r="F2653" s="643" t="s">
        <v>377</v>
      </c>
    </row>
    <row r="2654" spans="3:6" s="327" customFormat="1" x14ac:dyDescent="0.2">
      <c r="D2654" s="328" t="str">
        <f>Intv_BA!D3493</f>
        <v>_Not Applicable</v>
      </c>
      <c r="F2654" s="375" t="s">
        <v>47</v>
      </c>
    </row>
    <row r="2655" spans="3:6" s="327" customFormat="1" x14ac:dyDescent="0.2">
      <c r="D2655" s="328" t="str">
        <f>Intv_BA!D3494</f>
        <v>Biopsy Pathology (ZM)</v>
      </c>
      <c r="F2655" s="375" t="s">
        <v>47</v>
      </c>
    </row>
    <row r="2656" spans="3:6" s="327" customFormat="1" x14ac:dyDescent="0.2">
      <c r="D2656" s="328" t="str">
        <f>Intv_BA!D3495</f>
        <v>Blood chemistry (TZ)</v>
      </c>
      <c r="F2656" s="375" t="s">
        <v>47</v>
      </c>
    </row>
    <row r="2657" spans="4:6" s="327" customFormat="1" x14ac:dyDescent="0.2">
      <c r="D2657" s="328" t="str">
        <f>Intv_BA!D3496</f>
        <v>Blood slide for malaria (TZ)</v>
      </c>
      <c r="F2657" s="375" t="s">
        <v>47</v>
      </c>
    </row>
    <row r="2658" spans="4:6" s="327" customFormat="1" x14ac:dyDescent="0.2">
      <c r="D2658" s="328" t="str">
        <f>Intv_BA!D3497</f>
        <v>CareHPV test (TZ)</v>
      </c>
      <c r="F2658" s="375" t="s">
        <v>47</v>
      </c>
    </row>
    <row r="2659" spans="4:6" s="327" customFormat="1" x14ac:dyDescent="0.2">
      <c r="D2659" s="328" t="str">
        <f>Intv_BA!D3498</f>
        <v>Chest X-ray (ZM)</v>
      </c>
      <c r="F2659" s="375" t="s">
        <v>47</v>
      </c>
    </row>
    <row r="2660" spans="4:6" s="327" customFormat="1" x14ac:dyDescent="0.2">
      <c r="D2660" s="328" t="str">
        <f>Intv_BA!D3499</f>
        <v>Chest x-ray (TZ)</v>
      </c>
      <c r="F2660" s="375" t="s">
        <v>47</v>
      </c>
    </row>
    <row r="2661" spans="4:6" s="327" customFormat="1" x14ac:dyDescent="0.2">
      <c r="D2661" s="328" t="str">
        <f>Intv_BA!D3500</f>
        <v>Full Blood Count (ZM)</v>
      </c>
      <c r="F2661" s="375" t="s">
        <v>47</v>
      </c>
    </row>
    <row r="2662" spans="4:6" s="327" customFormat="1" x14ac:dyDescent="0.2">
      <c r="D2662" s="328" t="str">
        <f>Intv_BA!D3501</f>
        <v>Full blood picture (TZ)</v>
      </c>
      <c r="F2662" s="375" t="s">
        <v>47</v>
      </c>
    </row>
    <row r="2663" spans="4:6" s="327" customFormat="1" x14ac:dyDescent="0.2">
      <c r="D2663" s="328" t="str">
        <f>Intv_BA!D3502</f>
        <v>Grouping, X matching (TZ)</v>
      </c>
      <c r="F2663" s="375" t="s">
        <v>47</v>
      </c>
    </row>
    <row r="2664" spans="4:6" s="327" customFormat="1" x14ac:dyDescent="0.2">
      <c r="D2664" s="328" t="str">
        <f>Intv_BA!D3503</f>
        <v>Haemoglobin (TZ)</v>
      </c>
      <c r="F2664" s="375" t="s">
        <v>47</v>
      </c>
    </row>
    <row r="2665" spans="4:6" s="327" customFormat="1" x14ac:dyDescent="0.2">
      <c r="D2665" s="328" t="str">
        <f>Intv_BA!D3504</f>
        <v>Histopathology (TZ)</v>
      </c>
      <c r="F2665" s="375" t="s">
        <v>47</v>
      </c>
    </row>
    <row r="2666" spans="4:6" s="327" customFormat="1" x14ac:dyDescent="0.2">
      <c r="D2666" s="328" t="str">
        <f>Intv_BA!D3505</f>
        <v>Home Care (Day) (TZ)</v>
      </c>
      <c r="F2666" s="375" t="s">
        <v>47</v>
      </c>
    </row>
    <row r="2667" spans="4:6" s="327" customFormat="1" x14ac:dyDescent="0.2">
      <c r="D2667" s="328" t="str">
        <f>Intv_BA!D3506</f>
        <v>Hospital Stay (Bed Day) (TZ)</v>
      </c>
      <c r="F2667" s="375" t="s">
        <v>47</v>
      </c>
    </row>
    <row r="2668" spans="4:6" s="327" customFormat="1" x14ac:dyDescent="0.2">
      <c r="D2668" s="328" t="str">
        <f>Intv_BA!D3507</f>
        <v>Hysterectomy Pathology (ZM)</v>
      </c>
      <c r="F2668" s="375" t="s">
        <v>47</v>
      </c>
    </row>
    <row r="2669" spans="4:6" s="327" customFormat="1" x14ac:dyDescent="0.2">
      <c r="D2669" s="328" t="str">
        <f>Intv_BA!D3508</f>
        <v>LEEP Pathology (ZM)</v>
      </c>
      <c r="F2669" s="375" t="s">
        <v>47</v>
      </c>
    </row>
    <row r="2670" spans="4:6" s="327" customFormat="1" x14ac:dyDescent="0.2">
      <c r="D2670" s="328" t="str">
        <f>Intv_BA!D3509</f>
        <v>Liver Function (ZM)</v>
      </c>
      <c r="F2670" s="375" t="s">
        <v>47</v>
      </c>
    </row>
    <row r="2671" spans="4:6" s="327" customFormat="1" x14ac:dyDescent="0.2">
      <c r="D2671" s="328" t="str">
        <f>Intv_BA!D3510</f>
        <v>Planning x-ray (TZ)</v>
      </c>
      <c r="F2671" s="375" t="s">
        <v>47</v>
      </c>
    </row>
    <row r="2672" spans="4:6" s="327" customFormat="1" x14ac:dyDescent="0.2">
      <c r="D2672" s="328" t="str">
        <f>Intv_BA!D3511</f>
        <v>Renal Function (ZM)</v>
      </c>
      <c r="F2672" s="375" t="s">
        <v>47</v>
      </c>
    </row>
    <row r="2673" spans="4:6" s="327" customFormat="1" x14ac:dyDescent="0.2">
      <c r="D2673" s="328" t="str">
        <f>Intv_BA!D3512</f>
        <v>Ultrasound (ZM)</v>
      </c>
      <c r="F2673" s="375" t="s">
        <v>47</v>
      </c>
    </row>
    <row r="2674" spans="4:6" s="327" customFormat="1" x14ac:dyDescent="0.2">
      <c r="D2674" s="328" t="str">
        <f>Intv_BA!D3513</f>
        <v>ultrasound (abdominal &amp; pelvic) (TZ)</v>
      </c>
      <c r="F2674" s="375" t="s">
        <v>47</v>
      </c>
    </row>
    <row r="2675" spans="4:6" s="327" customFormat="1" x14ac:dyDescent="0.2">
      <c r="D2675" s="328" t="str">
        <f>Intv_BA!D3514</f>
        <v>Urine/stool test (TZ)</v>
      </c>
      <c r="F2675" s="375" t="s">
        <v>47</v>
      </c>
    </row>
    <row r="2676" spans="4:6" s="327" customFormat="1" x14ac:dyDescent="0.2">
      <c r="D2676" s="328" t="str">
        <f>Intv_BA!D3515</f>
        <v>Lab Tests &amp; Other Direct Costs Category 23</v>
      </c>
      <c r="F2676" s="375" t="s">
        <v>47</v>
      </c>
    </row>
    <row r="2677" spans="4:6" s="327" customFormat="1" x14ac:dyDescent="0.2">
      <c r="D2677" s="328" t="str">
        <f>Intv_BA!D3516</f>
        <v>Lab Tests &amp; Other Direct Costs Category 24</v>
      </c>
      <c r="F2677" s="375" t="s">
        <v>47</v>
      </c>
    </row>
    <row r="2678" spans="4:6" s="327" customFormat="1" x14ac:dyDescent="0.2">
      <c r="D2678" s="328" t="str">
        <f>Intv_BA!D3517</f>
        <v>Lab Tests &amp; Other Direct Costs Category 25</v>
      </c>
      <c r="F2678" s="375" t="s">
        <v>47</v>
      </c>
    </row>
    <row r="2679" spans="4:6" s="327" customFormat="1" x14ac:dyDescent="0.2">
      <c r="D2679" s="328" t="str">
        <f>Intv_BA!D3518</f>
        <v>Lab Tests &amp; Other Direct Costs Category 26</v>
      </c>
      <c r="F2679" s="375" t="s">
        <v>47</v>
      </c>
    </row>
    <row r="2680" spans="4:6" s="327" customFormat="1" x14ac:dyDescent="0.2">
      <c r="D2680" s="328" t="str">
        <f>Intv_BA!D3519</f>
        <v>Lab Tests &amp; Other Direct Costs Category 27</v>
      </c>
      <c r="F2680" s="375" t="s">
        <v>47</v>
      </c>
    </row>
    <row r="2681" spans="4:6" s="327" customFormat="1" x14ac:dyDescent="0.2">
      <c r="D2681" s="328" t="str">
        <f>Intv_BA!D3520</f>
        <v>Lab Tests &amp; Other Direct Costs Category 28</v>
      </c>
      <c r="F2681" s="375" t="s">
        <v>47</v>
      </c>
    </row>
    <row r="2682" spans="4:6" s="327" customFormat="1" x14ac:dyDescent="0.2">
      <c r="D2682" s="328" t="str">
        <f>Intv_BA!D3521</f>
        <v>Lab Tests &amp; Other Direct Costs Category 29</v>
      </c>
      <c r="F2682" s="375" t="s">
        <v>47</v>
      </c>
    </row>
    <row r="2683" spans="4:6" s="327" customFormat="1" x14ac:dyDescent="0.2">
      <c r="D2683" s="328" t="str">
        <f>Intv_BA!D3522</f>
        <v>Lab Tests &amp; Other Direct Costs Category 30</v>
      </c>
      <c r="F2683" s="375" t="s">
        <v>47</v>
      </c>
    </row>
    <row r="2684" spans="4:6" s="327" customFormat="1" x14ac:dyDescent="0.2">
      <c r="D2684" s="328" t="str">
        <f>Intv_BA!D3523</f>
        <v>Lab Tests &amp; Other Direct Costs Category 31</v>
      </c>
      <c r="F2684" s="375" t="s">
        <v>47</v>
      </c>
    </row>
    <row r="2685" spans="4:6" s="327" customFormat="1" x14ac:dyDescent="0.2">
      <c r="D2685" s="328" t="str">
        <f>Intv_BA!D3524</f>
        <v>Lab Tests &amp; Other Direct Costs Category 32</v>
      </c>
      <c r="F2685" s="375" t="s">
        <v>47</v>
      </c>
    </row>
    <row r="2686" spans="4:6" s="327" customFormat="1" x14ac:dyDescent="0.2">
      <c r="D2686" s="328" t="str">
        <f>Intv_BA!D3525</f>
        <v>Last ODC Row</v>
      </c>
      <c r="F2686" s="375" t="s">
        <v>47</v>
      </c>
    </row>
  </sheetData>
  <sheetProtection password="F0F4" sheet="1" scenarios="1"/>
  <mergeCells count="1">
    <mergeCell ref="B3:D3"/>
  </mergeCells>
  <hyperlinks>
    <hyperlink ref="A4" location="$B$5" tooltip="Go to Top of Sheet" display="$B$5"/>
    <hyperlink ref="B4" location="HL_Sheet_Main_25" tooltip="Go to Previous Sheet" display="HL_Sheet_Main_25"/>
    <hyperlink ref="C4" location="HL_Sheet_Main_31" tooltip="Go to Next Sheet" display="HL_Sheet_Main_31"/>
    <hyperlink ref="B3" location="HL_Home" tooltip="Go to Table of Contents" display="HL_Home"/>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7030A0"/>
    <pageSetUpPr autoPageBreaks="0"/>
  </sheetPr>
  <dimension ref="A1:F106"/>
  <sheetViews>
    <sheetView showGridLines="0" zoomScaleNormal="100" workbookViewId="0">
      <selection activeCell="F98" sqref="F98"/>
    </sheetView>
  </sheetViews>
  <sheetFormatPr defaultColWidth="11.7109375" defaultRowHeight="12.75" x14ac:dyDescent="0.2"/>
  <cols>
    <col min="1" max="3" width="3.7109375" style="49" customWidth="1"/>
    <col min="4" max="4" width="35.7109375" style="49" customWidth="1"/>
    <col min="5" max="5" width="3.7109375" style="49" customWidth="1"/>
    <col min="6" max="6" width="35.7109375" style="49" customWidth="1"/>
    <col min="7" max="7" width="3.7109375" style="49" customWidth="1"/>
    <col min="8" max="16384" width="11.7109375" style="49"/>
  </cols>
  <sheetData>
    <row r="1" spans="1:6" ht="23.25" x14ac:dyDescent="0.2">
      <c r="A1" s="422"/>
      <c r="B1" s="100" t="s">
        <v>8</v>
      </c>
    </row>
    <row r="2" spans="1:6" ht="18.75" x14ac:dyDescent="0.2">
      <c r="B2" s="101" t="str">
        <f>Model_Name</f>
        <v>Zambia C4P* - Screening &amp; Treatment Tool</v>
      </c>
    </row>
    <row r="3" spans="1:6" x14ac:dyDescent="0.2">
      <c r="B3" s="716" t="s">
        <v>2</v>
      </c>
      <c r="C3" s="716"/>
      <c r="D3" s="716"/>
    </row>
    <row r="4" spans="1:6" x14ac:dyDescent="0.2">
      <c r="A4" s="102" t="s">
        <v>4</v>
      </c>
      <c r="B4" s="103" t="s">
        <v>6</v>
      </c>
      <c r="C4" s="104" t="s">
        <v>7</v>
      </c>
    </row>
    <row r="7" spans="1:6" ht="18.75" x14ac:dyDescent="0.2">
      <c r="B7" s="426" t="s">
        <v>231</v>
      </c>
    </row>
    <row r="9" spans="1:6" ht="15.75" x14ac:dyDescent="0.2">
      <c r="C9" s="19" t="s">
        <v>212</v>
      </c>
      <c r="F9" s="19" t="s">
        <v>32</v>
      </c>
    </row>
    <row r="11" spans="1:6" x14ac:dyDescent="0.2">
      <c r="D11" s="20" t="s">
        <v>213</v>
      </c>
      <c r="F11" s="598" t="s">
        <v>232</v>
      </c>
    </row>
    <row r="12" spans="1:6" x14ac:dyDescent="0.2">
      <c r="D12" s="10" t="str">
        <f>Out_Ann_TO!D194</f>
        <v>USD</v>
      </c>
      <c r="F12" s="375" t="s">
        <v>47</v>
      </c>
    </row>
    <row r="13" spans="1:6" s="322" customFormat="1" x14ac:dyDescent="0.2">
      <c r="D13" s="374" t="str">
        <f>Out_Ann_TO!D195</f>
        <v>ZMW</v>
      </c>
      <c r="F13" s="342" t="s">
        <v>47</v>
      </c>
    </row>
    <row r="15" spans="1:6" ht="15.75" x14ac:dyDescent="0.2">
      <c r="C15" s="19" t="s">
        <v>37</v>
      </c>
      <c r="F15" s="19" t="s">
        <v>32</v>
      </c>
    </row>
    <row r="17" spans="2:6" x14ac:dyDescent="0.2">
      <c r="D17" s="20" t="s">
        <v>37</v>
      </c>
      <c r="F17" s="98" t="s">
        <v>233</v>
      </c>
    </row>
    <row r="18" spans="2:6" x14ac:dyDescent="0.2">
      <c r="D18" s="21" t="str">
        <f>INDEX(LU_Sum_Tbls_Curr,DD_Sum_Tbls_Curr)&amp;CHOOSE(ROWS(D$18:D18),""," '000"," Millions"," Billions")</f>
        <v>USD</v>
      </c>
      <c r="F18" s="98" t="s">
        <v>47</v>
      </c>
    </row>
    <row r="19" spans="2:6" x14ac:dyDescent="0.2">
      <c r="D19" s="21" t="str">
        <f>INDEX(LU_Sum_Tbls_Curr,DD_Sum_Tbls_Curr)&amp;CHOOSE(ROWS(D$18:D19),""," '000"," Millions"," Billions")</f>
        <v>USD '000</v>
      </c>
      <c r="F19" s="98" t="s">
        <v>47</v>
      </c>
    </row>
    <row r="20" spans="2:6" x14ac:dyDescent="0.2">
      <c r="D20" s="21" t="str">
        <f>INDEX(LU_Sum_Tbls_Curr,DD_Sum_Tbls_Curr)&amp;CHOOSE(ROWS(D$18:D20),""," '000"," Millions"," Billions")</f>
        <v>USD Millions</v>
      </c>
      <c r="F20" s="98" t="s">
        <v>47</v>
      </c>
    </row>
    <row r="21" spans="2:6" x14ac:dyDescent="0.2">
      <c r="D21" s="21" t="str">
        <f>INDEX(LU_Sum_Tbls_Curr,DD_Sum_Tbls_Curr)&amp;CHOOSE(ROWS(D$18:D21),""," '000"," Millions"," Billions")</f>
        <v>USD Billions</v>
      </c>
      <c r="F21" s="98" t="s">
        <v>47</v>
      </c>
    </row>
    <row r="24" spans="2:6" ht="18.75" x14ac:dyDescent="0.2">
      <c r="B24" s="426" t="s">
        <v>253</v>
      </c>
    </row>
    <row r="26" spans="2:6" ht="15.75" x14ac:dyDescent="0.2">
      <c r="C26" s="19" t="s">
        <v>212</v>
      </c>
      <c r="F26" s="19" t="s">
        <v>32</v>
      </c>
    </row>
    <row r="28" spans="2:6" x14ac:dyDescent="0.2">
      <c r="D28" s="20" t="s">
        <v>213</v>
      </c>
      <c r="F28" s="598" t="s">
        <v>254</v>
      </c>
    </row>
    <row r="29" spans="2:6" x14ac:dyDescent="0.2">
      <c r="D29" s="10" t="str">
        <f>Out_Ann_TO!D309</f>
        <v>USD</v>
      </c>
      <c r="F29" s="375" t="s">
        <v>47</v>
      </c>
    </row>
    <row r="30" spans="2:6" s="322" customFormat="1" x14ac:dyDescent="0.2">
      <c r="D30" s="374" t="str">
        <f>Out_Ann_TO!D310</f>
        <v>ZMW</v>
      </c>
      <c r="F30" s="342" t="s">
        <v>47</v>
      </c>
    </row>
    <row r="32" spans="2:6" ht="15.75" x14ac:dyDescent="0.2">
      <c r="C32" s="19" t="s">
        <v>37</v>
      </c>
      <c r="F32" s="19" t="s">
        <v>32</v>
      </c>
    </row>
    <row r="34" spans="2:6" x14ac:dyDescent="0.2">
      <c r="D34" s="20" t="s">
        <v>37</v>
      </c>
      <c r="F34" s="98" t="s">
        <v>255</v>
      </c>
    </row>
    <row r="35" spans="2:6" x14ac:dyDescent="0.2">
      <c r="D35" s="21" t="str">
        <f>INDEX(LU_Init_Inv_Curr,DD_Init_Inv_Curr)&amp;CHOOSE(ROWS(D$35:D35),""," '000"," Millions"," Billions")</f>
        <v>USD</v>
      </c>
      <c r="F35" s="98" t="s">
        <v>47</v>
      </c>
    </row>
    <row r="36" spans="2:6" x14ac:dyDescent="0.2">
      <c r="D36" s="21" t="str">
        <f>INDEX(LU_Init_Inv_Curr,DD_Init_Inv_Curr)&amp;CHOOSE(ROWS(D$35:D36),""," '000"," Millions"," Billions")</f>
        <v>USD '000</v>
      </c>
      <c r="F36" s="98" t="s">
        <v>47</v>
      </c>
    </row>
    <row r="37" spans="2:6" x14ac:dyDescent="0.2">
      <c r="D37" s="21" t="str">
        <f>INDEX(LU_Init_Inv_Curr,DD_Init_Inv_Curr)&amp;CHOOSE(ROWS(D$35:D37),""," '000"," Millions"," Billions")</f>
        <v>USD Millions</v>
      </c>
      <c r="F37" s="98" t="s">
        <v>47</v>
      </c>
    </row>
    <row r="38" spans="2:6" x14ac:dyDescent="0.2">
      <c r="D38" s="21" t="str">
        <f>INDEX(LU_Init_Inv_Curr,DD_Init_Inv_Curr)&amp;CHOOSE(ROWS(D$35:D38),""," '000"," Millions"," Billions")</f>
        <v>USD Billions</v>
      </c>
      <c r="F38" s="98" t="s">
        <v>47</v>
      </c>
    </row>
    <row r="41" spans="2:6" ht="18.75" x14ac:dyDescent="0.2">
      <c r="B41" s="426" t="s">
        <v>249</v>
      </c>
    </row>
    <row r="43" spans="2:6" ht="15.75" x14ac:dyDescent="0.2">
      <c r="C43" s="19" t="s">
        <v>212</v>
      </c>
      <c r="F43" s="19" t="s">
        <v>32</v>
      </c>
    </row>
    <row r="45" spans="2:6" x14ac:dyDescent="0.2">
      <c r="D45" s="20" t="s">
        <v>250</v>
      </c>
      <c r="F45" s="598" t="s">
        <v>251</v>
      </c>
    </row>
    <row r="46" spans="2:6" x14ac:dyDescent="0.2">
      <c r="D46" s="10" t="str">
        <f>Out_Ann_TO!D391</f>
        <v>USD</v>
      </c>
      <c r="F46" s="375" t="s">
        <v>47</v>
      </c>
    </row>
    <row r="47" spans="2:6" s="322" customFormat="1" x14ac:dyDescent="0.2">
      <c r="D47" s="374" t="str">
        <f>Out_Ann_TO!D392</f>
        <v>ZMW</v>
      </c>
      <c r="F47" s="342" t="s">
        <v>47</v>
      </c>
    </row>
    <row r="49" spans="2:6" ht="15.75" x14ac:dyDescent="0.2">
      <c r="C49" s="19" t="s">
        <v>37</v>
      </c>
      <c r="F49" s="19" t="s">
        <v>32</v>
      </c>
    </row>
    <row r="51" spans="2:6" x14ac:dyDescent="0.2">
      <c r="D51" s="20" t="s">
        <v>37</v>
      </c>
      <c r="F51" s="98" t="s">
        <v>252</v>
      </c>
    </row>
    <row r="52" spans="2:6" x14ac:dyDescent="0.2">
      <c r="D52" s="21" t="str">
        <f>INDEX(LU_Intro_Costs_Curr,DD_Intro_Costs_Curr)&amp;CHOOSE(ROWS(D$52:D52),""," '000"," Millions"," Billions")</f>
        <v>USD</v>
      </c>
      <c r="F52" s="98" t="s">
        <v>47</v>
      </c>
    </row>
    <row r="53" spans="2:6" x14ac:dyDescent="0.2">
      <c r="D53" s="21" t="str">
        <f>INDEX(LU_Intro_Costs_Curr,DD_Intro_Costs_Curr)&amp;CHOOSE(ROWS(D$52:D53),""," '000"," Millions"," Billions")</f>
        <v>USD '000</v>
      </c>
      <c r="F53" s="98" t="s">
        <v>47</v>
      </c>
    </row>
    <row r="54" spans="2:6" x14ac:dyDescent="0.2">
      <c r="D54" s="21" t="str">
        <f>INDEX(LU_Intro_Costs_Curr,DD_Intro_Costs_Curr)&amp;CHOOSE(ROWS(D$52:D54),""," '000"," Millions"," Billions")</f>
        <v>USD Millions</v>
      </c>
      <c r="F54" s="98" t="s">
        <v>47</v>
      </c>
    </row>
    <row r="55" spans="2:6" x14ac:dyDescent="0.2">
      <c r="D55" s="21" t="str">
        <f>INDEX(LU_Intro_Costs_Curr,DD_Intro_Costs_Curr)&amp;CHOOSE(ROWS(D$52:D55),""," '000"," Millions"," Billions")</f>
        <v>USD Billions</v>
      </c>
      <c r="F55" s="98" t="s">
        <v>47</v>
      </c>
    </row>
    <row r="58" spans="2:6" ht="18.75" x14ac:dyDescent="0.2">
      <c r="B58" s="426" t="s">
        <v>256</v>
      </c>
    </row>
    <row r="60" spans="2:6" ht="15.75" x14ac:dyDescent="0.2">
      <c r="C60" s="19" t="s">
        <v>212</v>
      </c>
      <c r="F60" s="19" t="s">
        <v>32</v>
      </c>
    </row>
    <row r="62" spans="2:6" x14ac:dyDescent="0.2">
      <c r="D62" s="20" t="s">
        <v>213</v>
      </c>
      <c r="F62" s="598" t="s">
        <v>257</v>
      </c>
    </row>
    <row r="63" spans="2:6" x14ac:dyDescent="0.2">
      <c r="D63" s="10" t="str">
        <f>Out_Ann_TO!D465</f>
        <v>USD</v>
      </c>
      <c r="F63" s="375" t="s">
        <v>47</v>
      </c>
    </row>
    <row r="64" spans="2:6" s="322" customFormat="1" x14ac:dyDescent="0.2">
      <c r="D64" s="374" t="str">
        <f>Out_Ann_TO!D466</f>
        <v>ZMW</v>
      </c>
      <c r="F64" s="342" t="s">
        <v>47</v>
      </c>
    </row>
    <row r="66" spans="2:6" ht="15.75" x14ac:dyDescent="0.2">
      <c r="C66" s="19" t="s">
        <v>37</v>
      </c>
      <c r="F66" s="19" t="s">
        <v>32</v>
      </c>
    </row>
    <row r="68" spans="2:6" x14ac:dyDescent="0.2">
      <c r="D68" s="20" t="s">
        <v>37</v>
      </c>
      <c r="F68" s="98" t="s">
        <v>258</v>
      </c>
    </row>
    <row r="69" spans="2:6" x14ac:dyDescent="0.2">
      <c r="D69" s="21" t="str">
        <f>INDEX(LU_Recur_Cost_Curr,DD_Recur_Cost_Curr)&amp;CHOOSE(ROWS(D$69:D69),""," '000"," Millions"," Billions")</f>
        <v>USD</v>
      </c>
      <c r="F69" s="98" t="s">
        <v>47</v>
      </c>
    </row>
    <row r="70" spans="2:6" x14ac:dyDescent="0.2">
      <c r="D70" s="21" t="str">
        <f>INDEX(LU_Recur_Cost_Curr,DD_Recur_Cost_Curr)&amp;CHOOSE(ROWS(D$69:D70),""," '000"," Millions"," Billions")</f>
        <v>USD '000</v>
      </c>
      <c r="F70" s="98" t="s">
        <v>47</v>
      </c>
    </row>
    <row r="71" spans="2:6" x14ac:dyDescent="0.2">
      <c r="D71" s="21" t="str">
        <f>INDEX(LU_Recur_Cost_Curr,DD_Recur_Cost_Curr)&amp;CHOOSE(ROWS(D$69:D71),""," '000"," Millions"," Billions")</f>
        <v>USD Millions</v>
      </c>
      <c r="F71" s="98" t="s">
        <v>47</v>
      </c>
    </row>
    <row r="72" spans="2:6" x14ac:dyDescent="0.2">
      <c r="D72" s="21" t="str">
        <f>INDEX(LU_Recur_Cost_Curr,DD_Recur_Cost_Curr)&amp;CHOOSE(ROWS(D$69:D72),""," '000"," Millions"," Billions")</f>
        <v>USD Billions</v>
      </c>
      <c r="F72" s="98" t="s">
        <v>47</v>
      </c>
    </row>
    <row r="75" spans="2:6" ht="18.75" x14ac:dyDescent="0.2">
      <c r="B75" s="426" t="s">
        <v>246</v>
      </c>
    </row>
    <row r="77" spans="2:6" ht="15.75" x14ac:dyDescent="0.2">
      <c r="C77" s="19" t="s">
        <v>212</v>
      </c>
      <c r="F77" s="19" t="s">
        <v>32</v>
      </c>
    </row>
    <row r="79" spans="2:6" x14ac:dyDescent="0.2">
      <c r="D79" s="20" t="s">
        <v>213</v>
      </c>
      <c r="F79" s="598" t="s">
        <v>247</v>
      </c>
    </row>
    <row r="80" spans="2:6" x14ac:dyDescent="0.2">
      <c r="D80" s="10" t="str">
        <f>Out_Ann_TO!D141</f>
        <v>USD</v>
      </c>
      <c r="F80" s="375" t="s">
        <v>47</v>
      </c>
    </row>
    <row r="81" spans="2:6" s="322" customFormat="1" x14ac:dyDescent="0.2">
      <c r="D81" s="374" t="str">
        <f>Out_Ann_TO!D142</f>
        <v>ZMW</v>
      </c>
      <c r="F81" s="342" t="s">
        <v>47</v>
      </c>
    </row>
    <row r="83" spans="2:6" ht="15.75" x14ac:dyDescent="0.2">
      <c r="C83" s="19" t="s">
        <v>37</v>
      </c>
      <c r="F83" s="19" t="s">
        <v>32</v>
      </c>
    </row>
    <row r="85" spans="2:6" x14ac:dyDescent="0.2">
      <c r="D85" s="20" t="s">
        <v>37</v>
      </c>
      <c r="F85" s="98" t="s">
        <v>248</v>
      </c>
    </row>
    <row r="86" spans="2:6" x14ac:dyDescent="0.2">
      <c r="D86" s="21" t="str">
        <f>INDEX(LU_Serv_Curr,DD_Serv_Curr)&amp;CHOOSE(ROWS(D$86:D86),""," '000"," Millions"," Billions")</f>
        <v>USD</v>
      </c>
      <c r="F86" s="98" t="s">
        <v>47</v>
      </c>
    </row>
    <row r="87" spans="2:6" x14ac:dyDescent="0.2">
      <c r="D87" s="21" t="str">
        <f>INDEX(LU_Serv_Curr,DD_Serv_Curr)&amp;CHOOSE(ROWS(D$86:D87),""," '000"," Millions"," Billions")</f>
        <v>USD '000</v>
      </c>
      <c r="F87" s="98" t="s">
        <v>47</v>
      </c>
    </row>
    <row r="88" spans="2:6" x14ac:dyDescent="0.2">
      <c r="D88" s="21" t="str">
        <f>INDEX(LU_Serv_Curr,DD_Serv_Curr)&amp;CHOOSE(ROWS(D$86:D88),""," '000"," Millions"," Billions")</f>
        <v>USD Millions</v>
      </c>
      <c r="F88" s="98" t="s">
        <v>47</v>
      </c>
    </row>
    <row r="89" spans="2:6" x14ac:dyDescent="0.2">
      <c r="D89" s="21" t="str">
        <f>INDEX(LU_Serv_Curr,DD_Serv_Curr)&amp;CHOOSE(ROWS(D$86:D89),""," '000"," Millions"," Billions")</f>
        <v>USD Billions</v>
      </c>
      <c r="F89" s="98" t="s">
        <v>47</v>
      </c>
    </row>
    <row r="92" spans="2:6" ht="18.75" x14ac:dyDescent="0.2">
      <c r="B92" s="426" t="s">
        <v>260</v>
      </c>
    </row>
    <row r="94" spans="2:6" ht="15.75" x14ac:dyDescent="0.2">
      <c r="C94" s="19" t="s">
        <v>212</v>
      </c>
      <c r="F94" s="19" t="s">
        <v>32</v>
      </c>
    </row>
    <row r="96" spans="2:6" x14ac:dyDescent="0.2">
      <c r="D96" s="20" t="s">
        <v>213</v>
      </c>
      <c r="F96" s="598" t="s">
        <v>261</v>
      </c>
    </row>
    <row r="97" spans="3:6" x14ac:dyDescent="0.2">
      <c r="D97" s="10" t="str">
        <f>Out_Ann_TO!D54</f>
        <v>USD</v>
      </c>
      <c r="F97" s="375" t="s">
        <v>47</v>
      </c>
    </row>
    <row r="98" spans="3:6" s="322" customFormat="1" x14ac:dyDescent="0.2">
      <c r="D98" s="374" t="str">
        <f>Out_Ann_TO!D55</f>
        <v>ZMW</v>
      </c>
      <c r="F98" s="342" t="s">
        <v>47</v>
      </c>
    </row>
    <row r="100" spans="3:6" ht="15.75" x14ac:dyDescent="0.2">
      <c r="C100" s="19" t="s">
        <v>37</v>
      </c>
      <c r="F100" s="19" t="s">
        <v>32</v>
      </c>
    </row>
    <row r="102" spans="3:6" x14ac:dyDescent="0.2">
      <c r="D102" s="20" t="s">
        <v>37</v>
      </c>
      <c r="F102" s="98" t="s">
        <v>262</v>
      </c>
    </row>
    <row r="103" spans="3:6" x14ac:dyDescent="0.2">
      <c r="D103" s="21" t="str">
        <f>INDEX(LU_Total_Costs_Curr,DD_Total_Costs_Curr)&amp;CHOOSE(ROWS(D$103:D103),""," '000"," Millions"," Billions")</f>
        <v>USD</v>
      </c>
      <c r="F103" s="98" t="s">
        <v>47</v>
      </c>
    </row>
    <row r="104" spans="3:6" x14ac:dyDescent="0.2">
      <c r="D104" s="21" t="str">
        <f>INDEX(LU_Total_Costs_Curr,DD_Total_Costs_Curr)&amp;CHOOSE(ROWS(D$103:D104),""," '000"," Millions"," Billions")</f>
        <v>USD '000</v>
      </c>
      <c r="F104" s="98" t="s">
        <v>47</v>
      </c>
    </row>
    <row r="105" spans="3:6" x14ac:dyDescent="0.2">
      <c r="D105" s="21" t="str">
        <f>INDEX(LU_Total_Costs_Curr,DD_Total_Costs_Curr)&amp;CHOOSE(ROWS(D$103:D105),""," '000"," Millions"," Billions")</f>
        <v>USD Millions</v>
      </c>
      <c r="F105" s="98" t="s">
        <v>47</v>
      </c>
    </row>
    <row r="106" spans="3:6" x14ac:dyDescent="0.2">
      <c r="D106" s="21" t="str">
        <f>INDEX(LU_Total_Costs_Curr,DD_Total_Costs_Curr)&amp;CHOOSE(ROWS(D$103:D106),""," '000"," Millions"," Billions")</f>
        <v>USD Billions</v>
      </c>
      <c r="F106" s="98" t="s">
        <v>47</v>
      </c>
    </row>
  </sheetData>
  <sheetProtection password="F0F4" sheet="1" scenarios="1"/>
  <mergeCells count="1">
    <mergeCell ref="B3:D3"/>
  </mergeCells>
  <hyperlinks>
    <hyperlink ref="A4" location="$B$5" tooltip="Go to Top of Sheet" display="$B$5"/>
    <hyperlink ref="B4" location="HL_Sheet_Main_29" tooltip="Go to Previous Sheet" display="HL_Sheet_Main_29"/>
    <hyperlink ref="C4" location="HL_Sheet_Main_6" tooltip="Go to Next Sheet" display="HL_Sheet_Main_6"/>
    <hyperlink ref="B3" location="HL_Home" tooltip="Go to Table of Contents" display="HL_Home"/>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pageSetUpPr autoPageBreaks="0" fitToPage="1"/>
  </sheetPr>
  <dimension ref="A1:G18"/>
  <sheetViews>
    <sheetView showGridLines="0" zoomScaleNormal="100" workbookViewId="0">
      <selection activeCell="K22" sqref="K22"/>
    </sheetView>
  </sheetViews>
  <sheetFormatPr defaultColWidth="11.7109375" defaultRowHeight="12.75" x14ac:dyDescent="0.2"/>
  <cols>
    <col min="3" max="6" width="3.7109375" customWidth="1"/>
  </cols>
  <sheetData>
    <row r="1" spans="1:7" x14ac:dyDescent="0.2">
      <c r="A1" s="420"/>
    </row>
    <row r="7" spans="1:7" ht="23.25" x14ac:dyDescent="0.2">
      <c r="C7" s="42"/>
    </row>
    <row r="9" spans="1:7" ht="23.25" x14ac:dyDescent="0.2">
      <c r="C9" s="32" t="s">
        <v>11</v>
      </c>
    </row>
    <row r="10" spans="1:7" ht="21" x14ac:dyDescent="0.2">
      <c r="C10" s="35" t="s">
        <v>1996</v>
      </c>
    </row>
    <row r="11" spans="1:7" ht="18.75" x14ac:dyDescent="0.2">
      <c r="C11" s="36" t="str">
        <f>Model_Name</f>
        <v>Zambia C4P* - Screening &amp; Treatment Tool</v>
      </c>
    </row>
    <row r="12" spans="1:7" x14ac:dyDescent="0.2">
      <c r="C12" s="702" t="s">
        <v>2</v>
      </c>
      <c r="D12" s="702"/>
      <c r="E12" s="702"/>
      <c r="F12" s="702"/>
      <c r="G12" s="702"/>
    </row>
    <row r="13" spans="1:7" x14ac:dyDescent="0.2">
      <c r="C13" s="337" t="s">
        <v>6</v>
      </c>
      <c r="D13" s="2" t="s">
        <v>7</v>
      </c>
    </row>
    <row r="17" spans="3:3" ht="15" x14ac:dyDescent="0.2">
      <c r="C17" s="30" t="s">
        <v>10</v>
      </c>
    </row>
    <row r="18" spans="3:3" x14ac:dyDescent="0.2">
      <c r="C18" s="647" t="s">
        <v>1999</v>
      </c>
    </row>
  </sheetData>
  <mergeCells count="1">
    <mergeCell ref="C12:G12"/>
  </mergeCells>
  <hyperlinks>
    <hyperlink ref="D13" location="Chks_BO!A1" tooltip="Go to Next Sheet" display="Chks_BO!A1"/>
    <hyperlink ref="C13" location="HL_Sheet_Main_5" tooltip="Go to Previous Sheet" display="HL_Sheet_Main_5"/>
    <hyperlink ref="C12" location="HL_Home" tooltip="Go to Table of Contents" display="HL_Home"/>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1">
    <tabColor indexed="60"/>
    <pageSetUpPr autoPageBreaks="0"/>
  </sheetPr>
  <dimension ref="A1:M63"/>
  <sheetViews>
    <sheetView showGridLines="0" zoomScaleNormal="100" workbookViewId="0">
      <pane ySplit="4" topLeftCell="A5" activePane="bottomLeft" state="frozen"/>
      <selection activeCell="F4" sqref="F4"/>
      <selection pane="bottomLeft" activeCell="B3" sqref="B3:F3"/>
    </sheetView>
  </sheetViews>
  <sheetFormatPr defaultColWidth="11.7109375" defaultRowHeight="12.75" x14ac:dyDescent="0.2"/>
  <cols>
    <col min="1" max="5" width="3.7109375" style="49" customWidth="1"/>
    <col min="6" max="16384" width="11.7109375" style="49"/>
  </cols>
  <sheetData>
    <row r="1" spans="1:9" ht="23.25" x14ac:dyDescent="0.2">
      <c r="A1" s="422"/>
      <c r="B1" s="100" t="s">
        <v>11</v>
      </c>
    </row>
    <row r="2" spans="1:9" ht="18.75" x14ac:dyDescent="0.2">
      <c r="B2" s="101" t="str">
        <f>Model_Name</f>
        <v>Zambia C4P* - Screening &amp; Treatment Tool</v>
      </c>
    </row>
    <row r="3" spans="1:9" x14ac:dyDescent="0.2">
      <c r="B3" s="716" t="s">
        <v>2</v>
      </c>
      <c r="C3" s="716"/>
      <c r="D3" s="716"/>
      <c r="E3" s="716"/>
      <c r="F3" s="716"/>
    </row>
    <row r="4" spans="1:9" x14ac:dyDescent="0.2">
      <c r="A4" s="102" t="s">
        <v>4</v>
      </c>
      <c r="B4" s="343" t="s">
        <v>6</v>
      </c>
      <c r="C4" s="605" t="s">
        <v>7</v>
      </c>
      <c r="D4" s="345" t="s">
        <v>27</v>
      </c>
      <c r="E4" s="346" t="s">
        <v>28</v>
      </c>
      <c r="F4" s="347" t="s">
        <v>29</v>
      </c>
    </row>
    <row r="5" spans="1:9" s="327" customFormat="1" x14ac:dyDescent="0.2"/>
    <row r="6" spans="1:9" s="327" customFormat="1" x14ac:dyDescent="0.2"/>
    <row r="7" spans="1:9" s="327" customFormat="1" x14ac:dyDescent="0.2">
      <c r="B7" s="429" t="s">
        <v>12</v>
      </c>
    </row>
    <row r="8" spans="1:9" s="327" customFormat="1" x14ac:dyDescent="0.2"/>
    <row r="9" spans="1:9" s="327" customFormat="1" ht="17.25" customHeight="1" x14ac:dyDescent="0.2">
      <c r="C9" s="73" t="b">
        <v>1</v>
      </c>
    </row>
    <row r="10" spans="1:9" s="327" customFormat="1" x14ac:dyDescent="0.2"/>
    <row r="11" spans="1:9" s="327" customFormat="1" x14ac:dyDescent="0.2">
      <c r="C11" s="74" t="s">
        <v>13</v>
      </c>
    </row>
    <row r="12" spans="1:9" s="327" customFormat="1" x14ac:dyDescent="0.2"/>
    <row r="13" spans="1:9" s="327" customFormat="1" x14ac:dyDescent="0.2">
      <c r="D13" s="75" t="str">
        <f>D20</f>
        <v>Total Errors:</v>
      </c>
      <c r="I13" s="76">
        <f>Err_Chks_Ttl_Areas</f>
        <v>0</v>
      </c>
    </row>
    <row r="14" spans="1:9" s="327" customFormat="1" x14ac:dyDescent="0.2">
      <c r="D14" s="77" t="s">
        <v>18</v>
      </c>
      <c r="I14" s="78" t="str">
        <f>IF(OR(NOT(CB_Err_Chks_Show_Msg),Err_Chks_Ttl_Areas=0),"",IF(Err_Chks_Ttl_Areas=1," (Error in "&amp;INDEX(CA_Err_Chks_Area_Names,MATCH(1,CA_Err_Chks_Flags,0))&amp;")"," ("&amp;TEXT(Err_Chks_Ttl_Areas,"#,##0")&amp;" Errors Detected)"))</f>
        <v/>
      </c>
    </row>
    <row r="15" spans="1:9" s="327" customFormat="1" x14ac:dyDescent="0.2"/>
    <row r="16" spans="1:9" s="327" customFormat="1" x14ac:dyDescent="0.2">
      <c r="C16" s="74" t="s">
        <v>12</v>
      </c>
    </row>
    <row r="17" spans="2:13" s="327" customFormat="1" x14ac:dyDescent="0.2"/>
    <row r="18" spans="2:13" s="327" customFormat="1" x14ac:dyDescent="0.2">
      <c r="D18" s="79" t="s">
        <v>12</v>
      </c>
      <c r="E18" s="6"/>
      <c r="F18" s="6"/>
      <c r="G18" s="6"/>
      <c r="H18" s="6"/>
      <c r="I18" s="6"/>
      <c r="J18" s="6"/>
      <c r="K18" s="80" t="s">
        <v>14</v>
      </c>
      <c r="L18" s="80" t="s">
        <v>15</v>
      </c>
      <c r="M18" s="80" t="s">
        <v>16</v>
      </c>
    </row>
    <row r="19" spans="2:13" s="327" customFormat="1" x14ac:dyDescent="0.2"/>
    <row r="20" spans="2:13" s="327" customFormat="1" x14ac:dyDescent="0.2">
      <c r="D20" s="87" t="s">
        <v>17</v>
      </c>
      <c r="M20" s="88">
        <f>SUMIF(CA_Err_Chks_Inc,"Yes",CA_Err_Chks_Flags)</f>
        <v>0</v>
      </c>
    </row>
    <row r="21" spans="2:13" s="327" customFormat="1" x14ac:dyDescent="0.2"/>
    <row r="22" spans="2:13" s="327" customFormat="1" x14ac:dyDescent="0.2"/>
    <row r="23" spans="2:13" s="327" customFormat="1" x14ac:dyDescent="0.2">
      <c r="B23" s="429" t="s">
        <v>19</v>
      </c>
    </row>
    <row r="24" spans="2:13" s="327" customFormat="1" x14ac:dyDescent="0.2"/>
    <row r="25" spans="2:13" s="327" customFormat="1" ht="17.25" customHeight="1" x14ac:dyDescent="0.2">
      <c r="C25" s="73" t="b">
        <v>1</v>
      </c>
    </row>
    <row r="26" spans="2:13" s="327" customFormat="1" x14ac:dyDescent="0.2"/>
    <row r="27" spans="2:13" s="327" customFormat="1" x14ac:dyDescent="0.2">
      <c r="C27" s="74" t="s">
        <v>20</v>
      </c>
    </row>
    <row r="28" spans="2:13" s="327" customFormat="1" x14ac:dyDescent="0.2"/>
    <row r="29" spans="2:13" s="327" customFormat="1" x14ac:dyDescent="0.2">
      <c r="D29" s="75" t="str">
        <f>D36</f>
        <v>Total Sensitivities:</v>
      </c>
      <c r="I29" s="76">
        <f>Sens_Chks_Ttl_Areas</f>
        <v>0</v>
      </c>
    </row>
    <row r="30" spans="2:13" s="327" customFormat="1" x14ac:dyDescent="0.2">
      <c r="D30" s="77" t="s">
        <v>22</v>
      </c>
      <c r="I30" s="78" t="str">
        <f>IF(OR(NOT(CB_Sens_Chks_Show_Msg),Sens_Chks_Ttl_Areas=0),"",IF(Sens_Chks_Ttl_Areas=1," (Sensitivity in "&amp;INDEX(CA_Sens_Chks_Area_Names,MATCH(1,CA_Sens_Chks_Flags,0))&amp;")"," ("&amp;TEXT(Sens_Chks_Ttl_Areas,"#,##0")&amp;" Sensitivities Detected)"))</f>
        <v/>
      </c>
    </row>
    <row r="31" spans="2:13" s="327" customFormat="1" x14ac:dyDescent="0.2"/>
    <row r="32" spans="2:13" s="327" customFormat="1" x14ac:dyDescent="0.2">
      <c r="C32" s="74" t="s">
        <v>19</v>
      </c>
    </row>
    <row r="33" spans="2:13" s="327" customFormat="1" x14ac:dyDescent="0.2"/>
    <row r="34" spans="2:13" s="327" customFormat="1" x14ac:dyDescent="0.2">
      <c r="D34" s="79" t="s">
        <v>19</v>
      </c>
      <c r="E34" s="6"/>
      <c r="F34" s="6"/>
      <c r="G34" s="6"/>
      <c r="H34" s="6"/>
      <c r="I34" s="6"/>
      <c r="J34" s="6"/>
      <c r="K34" s="80" t="s">
        <v>14</v>
      </c>
      <c r="L34" s="80" t="s">
        <v>15</v>
      </c>
      <c r="M34" s="80" t="s">
        <v>16</v>
      </c>
    </row>
    <row r="35" spans="2:13" s="327" customFormat="1" x14ac:dyDescent="0.2"/>
    <row r="36" spans="2:13" s="327" customFormat="1" x14ac:dyDescent="0.2">
      <c r="D36" s="87" t="s">
        <v>21</v>
      </c>
      <c r="M36" s="88">
        <f>SUMIF(CA_Sens_Chks_Inc,"Yes",CA_Sens_Chks_Flags)</f>
        <v>0</v>
      </c>
    </row>
    <row r="37" spans="2:13" s="327" customFormat="1" x14ac:dyDescent="0.2"/>
    <row r="38" spans="2:13" s="327" customFormat="1" x14ac:dyDescent="0.2"/>
    <row r="39" spans="2:13" s="327" customFormat="1" x14ac:dyDescent="0.2">
      <c r="B39" s="429" t="s">
        <v>23</v>
      </c>
    </row>
    <row r="40" spans="2:13" s="327" customFormat="1" x14ac:dyDescent="0.2"/>
    <row r="41" spans="2:13" s="327" customFormat="1" ht="17.25" customHeight="1" x14ac:dyDescent="0.2">
      <c r="C41" s="73" t="b">
        <v>1</v>
      </c>
    </row>
    <row r="42" spans="2:13" s="327" customFormat="1" x14ac:dyDescent="0.2"/>
    <row r="43" spans="2:13" s="327" customFormat="1" x14ac:dyDescent="0.2">
      <c r="C43" s="74" t="s">
        <v>24</v>
      </c>
    </row>
    <row r="44" spans="2:13" s="327" customFormat="1" x14ac:dyDescent="0.2"/>
    <row r="45" spans="2:13" s="327" customFormat="1" x14ac:dyDescent="0.2">
      <c r="D45" s="75" t="str">
        <f>D63</f>
        <v>Total Alerts:</v>
      </c>
      <c r="I45" s="76">
        <f>Alt_Chks_Ttl_Areas</f>
        <v>0</v>
      </c>
    </row>
    <row r="46" spans="2:13" s="327" customFormat="1" x14ac:dyDescent="0.2">
      <c r="D46" s="77" t="s">
        <v>26</v>
      </c>
      <c r="I46" s="78" t="str">
        <f>IF(OR(NOT(CB_Alt_Chks_Show_Msg),Alt_Chks_Ttl_Areas=0),"",IF(Alt_Chks_Ttl_Areas=1," (Alert in "&amp;INDEX(CA_Alt_Chks_Area_Names,MATCH(1,CA_Alt_Chks_Flags,0))&amp;")"," ("&amp;TEXT(Alt_Chks_Ttl_Areas,"#,##0")&amp;" Alerts Detected)"))</f>
        <v/>
      </c>
    </row>
    <row r="47" spans="2:13" s="327" customFormat="1" x14ac:dyDescent="0.2"/>
    <row r="48" spans="2:13" s="327" customFormat="1" x14ac:dyDescent="0.2">
      <c r="C48" s="74" t="s">
        <v>23</v>
      </c>
    </row>
    <row r="49" spans="4:13" s="327" customFormat="1" x14ac:dyDescent="0.2"/>
    <row r="50" spans="4:13" s="327" customFormat="1" x14ac:dyDescent="0.2">
      <c r="D50" s="79" t="s">
        <v>23</v>
      </c>
      <c r="E50" s="6"/>
      <c r="F50" s="6"/>
      <c r="G50" s="6"/>
      <c r="H50" s="6"/>
      <c r="I50" s="6"/>
      <c r="J50" s="6"/>
      <c r="K50" s="80" t="s">
        <v>14</v>
      </c>
      <c r="L50" s="80" t="s">
        <v>15</v>
      </c>
      <c r="M50" s="80" t="s">
        <v>16</v>
      </c>
    </row>
    <row r="51" spans="4:13" s="327" customFormat="1" x14ac:dyDescent="0.2">
      <c r="D51" s="81"/>
      <c r="E51" s="82"/>
      <c r="F51" s="82"/>
      <c r="G51" s="82"/>
      <c r="H51" s="82"/>
      <c r="I51" s="82"/>
      <c r="J51" s="82"/>
      <c r="K51" s="83"/>
      <c r="L51" s="83"/>
      <c r="M51" s="83"/>
    </row>
    <row r="52" spans="4:13" s="327" customFormat="1" x14ac:dyDescent="0.2">
      <c r="D52" s="657" t="str">
        <f>IF(ISERROR(Alt_Chk_11_Hdg),"Miscellaneous Check",Alt_Chk_11_Hdg)</f>
        <v>Prices - Assumptions</v>
      </c>
      <c r="E52" s="84"/>
      <c r="F52" s="84"/>
      <c r="G52" s="84"/>
      <c r="H52" s="84"/>
      <c r="I52" s="84"/>
      <c r="J52" s="84"/>
      <c r="K52" s="341">
        <f>IF(ISERROR(HL_Alt_Chk_11),1,(HL_Alt_Chk_11&lt;&gt;0)*1)</f>
        <v>0</v>
      </c>
      <c r="L52" s="85" t="s">
        <v>132</v>
      </c>
      <c r="M52" s="86">
        <f t="shared" ref="M52:M61" si="0">K52*(L52="Yes")</f>
        <v>0</v>
      </c>
    </row>
    <row r="53" spans="4:13" s="327" customFormat="1" x14ac:dyDescent="0.2">
      <c r="D53" s="657" t="str">
        <f>IF(ISERROR(Alt_Chk_2_Hdg),"Miscellaneous Check",Alt_Chk_2_Hdg)</f>
        <v>Visual Inspection with Acetic Acid - Assumptions</v>
      </c>
      <c r="E53" s="84"/>
      <c r="F53" s="84"/>
      <c r="G53" s="84"/>
      <c r="H53" s="84"/>
      <c r="I53" s="84"/>
      <c r="J53" s="84"/>
      <c r="K53" s="341">
        <f>IF(ISERROR(HL_Alt_Chk_2),1,(HL_Alt_Chk_2&lt;&gt;0)*1)</f>
        <v>0</v>
      </c>
      <c r="L53" s="85" t="s">
        <v>132</v>
      </c>
      <c r="M53" s="86">
        <f t="shared" si="0"/>
        <v>0</v>
      </c>
    </row>
    <row r="54" spans="4:13" s="327" customFormat="1" x14ac:dyDescent="0.2">
      <c r="D54" s="657" t="str">
        <f>IF(ISERROR(Alt_Chk_10_Hdg),"Miscellaneous Check",Alt_Chk_10_Hdg)</f>
        <v>Biopsy and Histopathology Assumptions</v>
      </c>
      <c r="E54" s="84"/>
      <c r="F54" s="84"/>
      <c r="G54" s="84"/>
      <c r="H54" s="84"/>
      <c r="I54" s="84"/>
      <c r="J54" s="84"/>
      <c r="K54" s="341">
        <f>IF(ISERROR(HL_Alt_Chk_10),1,(HL_Alt_Chk_10&lt;&gt;0)*1)</f>
        <v>0</v>
      </c>
      <c r="L54" s="85" t="s">
        <v>132</v>
      </c>
      <c r="M54" s="86">
        <f t="shared" si="0"/>
        <v>0</v>
      </c>
    </row>
    <row r="55" spans="4:13" s="327" customFormat="1" x14ac:dyDescent="0.2">
      <c r="D55" s="657" t="str">
        <f>IF(ISERROR(Alt_Chk_4_Hdg),"Miscellaneous Check",Alt_Chk_4_Hdg)</f>
        <v>Cryotherapy - Same Visit</v>
      </c>
      <c r="E55" s="84"/>
      <c r="F55" s="84"/>
      <c r="G55" s="84"/>
      <c r="H55" s="84"/>
      <c r="I55" s="84"/>
      <c r="J55" s="84"/>
      <c r="K55" s="341">
        <f>IF(ISERROR(HL_Alt_Chk_4),1,(HL_Alt_Chk_4&lt;&gt;0)*1)</f>
        <v>0</v>
      </c>
      <c r="L55" s="85" t="s">
        <v>132</v>
      </c>
      <c r="M55" s="86">
        <f t="shared" si="0"/>
        <v>0</v>
      </c>
    </row>
    <row r="56" spans="4:13" s="327" customFormat="1" x14ac:dyDescent="0.2">
      <c r="D56" s="657" t="str">
        <f>IF(ISERROR(Alt_Chk_5_Hdg),"Miscellaneous Check",Alt_Chk_5_Hdg)</f>
        <v>Loop Electrosurgical Excision Procedure  with BIOP-H</v>
      </c>
      <c r="E56" s="84"/>
      <c r="F56" s="84"/>
      <c r="G56" s="84"/>
      <c r="H56" s="84"/>
      <c r="I56" s="84"/>
      <c r="J56" s="84"/>
      <c r="K56" s="341">
        <f>IF(ISERROR(HL_Alt_Chk_5),1,(HL_Alt_Chk_5&lt;&gt;0)*1)</f>
        <v>0</v>
      </c>
      <c r="L56" s="85" t="s">
        <v>132</v>
      </c>
      <c r="M56" s="86">
        <f t="shared" si="0"/>
        <v>0</v>
      </c>
    </row>
    <row r="57" spans="4:13" s="327" customFormat="1" x14ac:dyDescent="0.2">
      <c r="D57" s="657" t="str">
        <f>IF(ISERROR(Alt_Chk_6_Hdg),"Miscellaneous Check",Alt_Chk_6_Hdg)</f>
        <v>Chemotherapy</v>
      </c>
      <c r="E57" s="84"/>
      <c r="F57" s="84"/>
      <c r="G57" s="84"/>
      <c r="H57" s="84"/>
      <c r="I57" s="84"/>
      <c r="J57" s="84"/>
      <c r="K57" s="341">
        <f>IF(ISERROR(HL_Alt_Chk_6),1,(HL_Alt_Chk_6&lt;&gt;0)*1)</f>
        <v>0</v>
      </c>
      <c r="L57" s="85" t="s">
        <v>132</v>
      </c>
      <c r="M57" s="86">
        <f t="shared" si="0"/>
        <v>0</v>
      </c>
    </row>
    <row r="58" spans="4:13" s="327" customFormat="1" x14ac:dyDescent="0.2">
      <c r="D58" s="657" t="str">
        <f>IF(ISERROR(Alt_Chk_7_Hdg),"Miscellaneous Check",Alt_Chk_7_Hdg)</f>
        <v>Radiotherapy</v>
      </c>
      <c r="E58" s="84"/>
      <c r="F58" s="84"/>
      <c r="G58" s="84"/>
      <c r="H58" s="84"/>
      <c r="I58" s="84"/>
      <c r="J58" s="84"/>
      <c r="K58" s="341">
        <f>IF(ISERROR(HL_Alt_Chk_7),1,(HL_Alt_Chk_7&lt;&gt;0)*1)</f>
        <v>0</v>
      </c>
      <c r="L58" s="85" t="s">
        <v>132</v>
      </c>
      <c r="M58" s="86">
        <f t="shared" si="0"/>
        <v>0</v>
      </c>
    </row>
    <row r="59" spans="4:13" s="327" customFormat="1" x14ac:dyDescent="0.2">
      <c r="D59" s="657" t="str">
        <f>IF(ISERROR(Alt_Chk_8_Hdg),"Miscellaneous Check",Alt_Chk_8_Hdg)</f>
        <v>Surgery (Radical Hysterectomy plus Stump Removal)</v>
      </c>
      <c r="E59" s="84"/>
      <c r="F59" s="84"/>
      <c r="G59" s="84"/>
      <c r="H59" s="84"/>
      <c r="I59" s="84"/>
      <c r="J59" s="84"/>
      <c r="K59" s="341">
        <f>IF(ISERROR(HL_Alt_Chk_8),1,(HL_Alt_Chk_8&lt;&gt;0)*1)</f>
        <v>0</v>
      </c>
      <c r="L59" s="85" t="s">
        <v>132</v>
      </c>
      <c r="M59" s="86">
        <f t="shared" si="0"/>
        <v>0</v>
      </c>
    </row>
    <row r="60" spans="4:13" s="327" customFormat="1" x14ac:dyDescent="0.2">
      <c r="D60" s="657" t="str">
        <f>IF(ISERROR(Alt_Chk_9_Hdg),"Miscellaneous Check",Alt_Chk_9_Hdg)</f>
        <v>Palliative Care</v>
      </c>
      <c r="E60" s="84"/>
      <c r="F60" s="84"/>
      <c r="G60" s="84"/>
      <c r="H60" s="84"/>
      <c r="I60" s="84"/>
      <c r="J60" s="84"/>
      <c r="K60" s="341">
        <f>IF(ISERROR(HL_Alt_Chk_9),1,(HL_Alt_Chk_9&lt;&gt;0)*1)</f>
        <v>0</v>
      </c>
      <c r="L60" s="85" t="s">
        <v>132</v>
      </c>
      <c r="M60" s="86">
        <f t="shared" si="0"/>
        <v>0</v>
      </c>
    </row>
    <row r="61" spans="4:13" s="327" customFormat="1" x14ac:dyDescent="0.2">
      <c r="D61" s="657" t="str">
        <f>IF(ISERROR(Alt_Chk_12_Hdg),"Miscellaneous Check",Alt_Chk_12_Hdg)</f>
        <v>Population - Outputs</v>
      </c>
      <c r="E61" s="84"/>
      <c r="F61" s="84"/>
      <c r="G61" s="84"/>
      <c r="H61" s="84"/>
      <c r="I61" s="84"/>
      <c r="J61" s="84"/>
      <c r="K61" s="341">
        <f>IF(ISERROR(HL_Alt_Chk_12),1,(HL_Alt_Chk_12&lt;&gt;0)*1)</f>
        <v>0</v>
      </c>
      <c r="L61" s="85" t="s">
        <v>132</v>
      </c>
      <c r="M61" s="86">
        <f t="shared" si="0"/>
        <v>0</v>
      </c>
    </row>
    <row r="62" spans="4:13" s="327" customFormat="1" x14ac:dyDescent="0.2"/>
    <row r="63" spans="4:13" s="327" customFormat="1" x14ac:dyDescent="0.2">
      <c r="D63" s="87" t="s">
        <v>25</v>
      </c>
      <c r="M63" s="88">
        <f>SUMIF(CA_Alt_Chks_Inc,"Yes",CA_Alt_Chks_Flags)</f>
        <v>0</v>
      </c>
    </row>
  </sheetData>
  <sheetProtection password="F0F4" sheet="1" scenarios="1"/>
  <mergeCells count="1">
    <mergeCell ref="B3:F3"/>
  </mergeCells>
  <conditionalFormatting sqref="M20">
    <cfRule type="cellIs" dxfId="45" priority="1" stopIfTrue="1" operator="notEqual">
      <formula>0</formula>
    </cfRule>
  </conditionalFormatting>
  <conditionalFormatting sqref="I13">
    <cfRule type="cellIs" dxfId="44" priority="2" stopIfTrue="1" operator="notEqual">
      <formula>0</formula>
    </cfRule>
  </conditionalFormatting>
  <conditionalFormatting sqref="M36">
    <cfRule type="cellIs" dxfId="43" priority="3" stopIfTrue="1" operator="notEqual">
      <formula>0</formula>
    </cfRule>
  </conditionalFormatting>
  <conditionalFormatting sqref="I29">
    <cfRule type="cellIs" dxfId="42" priority="4" stopIfTrue="1" operator="notEqual">
      <formula>0</formula>
    </cfRule>
  </conditionalFormatting>
  <conditionalFormatting sqref="M63">
    <cfRule type="cellIs" dxfId="41" priority="5" stopIfTrue="1" operator="notEqual">
      <formula>0</formula>
    </cfRule>
  </conditionalFormatting>
  <conditionalFormatting sqref="I45">
    <cfRule type="cellIs" dxfId="40" priority="6" stopIfTrue="1" operator="notEqual">
      <formula>0</formula>
    </cfRule>
  </conditionalFormatting>
  <conditionalFormatting sqref="D52">
    <cfRule type="expression" dxfId="39" priority="7" stopIfTrue="1">
      <formula>K52&lt;&gt;0</formula>
    </cfRule>
  </conditionalFormatting>
  <conditionalFormatting sqref="K52">
    <cfRule type="cellIs" dxfId="38" priority="8" stopIfTrue="1" operator="notEqual">
      <formula>0</formula>
    </cfRule>
  </conditionalFormatting>
  <conditionalFormatting sqref="L52">
    <cfRule type="expression" dxfId="37" priority="9" stopIfTrue="1">
      <formula>K52&lt;&gt;0</formula>
    </cfRule>
  </conditionalFormatting>
  <conditionalFormatting sqref="M52">
    <cfRule type="expression" dxfId="36" priority="10" stopIfTrue="1">
      <formula>K52&lt;&gt;0</formula>
    </cfRule>
  </conditionalFormatting>
  <conditionalFormatting sqref="D53">
    <cfRule type="expression" dxfId="35" priority="11" stopIfTrue="1">
      <formula>K53&lt;&gt;0</formula>
    </cfRule>
  </conditionalFormatting>
  <conditionalFormatting sqref="K53">
    <cfRule type="cellIs" dxfId="34" priority="12" stopIfTrue="1" operator="notEqual">
      <formula>0</formula>
    </cfRule>
  </conditionalFormatting>
  <conditionalFormatting sqref="L53">
    <cfRule type="expression" dxfId="33" priority="13" stopIfTrue="1">
      <formula>K53&lt;&gt;0</formula>
    </cfRule>
  </conditionalFormatting>
  <conditionalFormatting sqref="M53">
    <cfRule type="expression" dxfId="32" priority="14" stopIfTrue="1">
      <formula>K53&lt;&gt;0</formula>
    </cfRule>
  </conditionalFormatting>
  <conditionalFormatting sqref="D54">
    <cfRule type="expression" dxfId="31" priority="15" stopIfTrue="1">
      <formula>K54&lt;&gt;0</formula>
    </cfRule>
  </conditionalFormatting>
  <conditionalFormatting sqref="K54">
    <cfRule type="cellIs" dxfId="30" priority="16" stopIfTrue="1" operator="notEqual">
      <formula>0</formula>
    </cfRule>
  </conditionalFormatting>
  <conditionalFormatting sqref="L54">
    <cfRule type="expression" dxfId="29" priority="17" stopIfTrue="1">
      <formula>K54&lt;&gt;0</formula>
    </cfRule>
  </conditionalFormatting>
  <conditionalFormatting sqref="M54">
    <cfRule type="expression" dxfId="28" priority="18" stopIfTrue="1">
      <formula>K54&lt;&gt;0</formula>
    </cfRule>
  </conditionalFormatting>
  <conditionalFormatting sqref="D55">
    <cfRule type="expression" dxfId="27" priority="19" stopIfTrue="1">
      <formula>K55&lt;&gt;0</formula>
    </cfRule>
  </conditionalFormatting>
  <conditionalFormatting sqref="K55">
    <cfRule type="cellIs" dxfId="26" priority="20" stopIfTrue="1" operator="notEqual">
      <formula>0</formula>
    </cfRule>
  </conditionalFormatting>
  <conditionalFormatting sqref="L55">
    <cfRule type="expression" dxfId="25" priority="21" stopIfTrue="1">
      <formula>K55&lt;&gt;0</formula>
    </cfRule>
  </conditionalFormatting>
  <conditionalFormatting sqref="M55">
    <cfRule type="expression" dxfId="24" priority="22" stopIfTrue="1">
      <formula>K55&lt;&gt;0</formula>
    </cfRule>
  </conditionalFormatting>
  <conditionalFormatting sqref="D56">
    <cfRule type="expression" dxfId="23" priority="23" stopIfTrue="1">
      <formula>K56&lt;&gt;0</formula>
    </cfRule>
  </conditionalFormatting>
  <conditionalFormatting sqref="K56">
    <cfRule type="cellIs" dxfId="22" priority="24" stopIfTrue="1" operator="notEqual">
      <formula>0</formula>
    </cfRule>
  </conditionalFormatting>
  <conditionalFormatting sqref="L56">
    <cfRule type="expression" dxfId="21" priority="25" stopIfTrue="1">
      <formula>K56&lt;&gt;0</formula>
    </cfRule>
  </conditionalFormatting>
  <conditionalFormatting sqref="M56">
    <cfRule type="expression" dxfId="20" priority="26" stopIfTrue="1">
      <formula>K56&lt;&gt;0</formula>
    </cfRule>
  </conditionalFormatting>
  <conditionalFormatting sqref="D57">
    <cfRule type="expression" dxfId="19" priority="27" stopIfTrue="1">
      <formula>K57&lt;&gt;0</formula>
    </cfRule>
  </conditionalFormatting>
  <conditionalFormatting sqref="K57">
    <cfRule type="cellIs" dxfId="18" priority="28" stopIfTrue="1" operator="notEqual">
      <formula>0</formula>
    </cfRule>
  </conditionalFormatting>
  <conditionalFormatting sqref="L57">
    <cfRule type="expression" dxfId="17" priority="29" stopIfTrue="1">
      <formula>K57&lt;&gt;0</formula>
    </cfRule>
  </conditionalFormatting>
  <conditionalFormatting sqref="M57">
    <cfRule type="expression" dxfId="16" priority="30" stopIfTrue="1">
      <formula>K57&lt;&gt;0</formula>
    </cfRule>
  </conditionalFormatting>
  <conditionalFormatting sqref="D58">
    <cfRule type="expression" dxfId="15" priority="31" stopIfTrue="1">
      <formula>K58&lt;&gt;0</formula>
    </cfRule>
  </conditionalFormatting>
  <conditionalFormatting sqref="K58">
    <cfRule type="cellIs" dxfId="14" priority="32" stopIfTrue="1" operator="notEqual">
      <formula>0</formula>
    </cfRule>
  </conditionalFormatting>
  <conditionalFormatting sqref="L58">
    <cfRule type="expression" dxfId="13" priority="33" stopIfTrue="1">
      <formula>K58&lt;&gt;0</formula>
    </cfRule>
  </conditionalFormatting>
  <conditionalFormatting sqref="M58">
    <cfRule type="expression" dxfId="12" priority="34" stopIfTrue="1">
      <formula>K58&lt;&gt;0</formula>
    </cfRule>
  </conditionalFormatting>
  <conditionalFormatting sqref="D59">
    <cfRule type="expression" dxfId="11" priority="35" stopIfTrue="1">
      <formula>K59&lt;&gt;0</formula>
    </cfRule>
  </conditionalFormatting>
  <conditionalFormatting sqref="K59">
    <cfRule type="cellIs" dxfId="10" priority="36" stopIfTrue="1" operator="notEqual">
      <formula>0</formula>
    </cfRule>
  </conditionalFormatting>
  <conditionalFormatting sqref="L59">
    <cfRule type="expression" dxfId="9" priority="37" stopIfTrue="1">
      <formula>K59&lt;&gt;0</formula>
    </cfRule>
  </conditionalFormatting>
  <conditionalFormatting sqref="M59">
    <cfRule type="expression" dxfId="8" priority="38" stopIfTrue="1">
      <formula>K59&lt;&gt;0</formula>
    </cfRule>
  </conditionalFormatting>
  <conditionalFormatting sqref="D60">
    <cfRule type="expression" dxfId="7" priority="39" stopIfTrue="1">
      <formula>K60&lt;&gt;0</formula>
    </cfRule>
  </conditionalFormatting>
  <conditionalFormatting sqref="K60">
    <cfRule type="cellIs" dxfId="6" priority="40" stopIfTrue="1" operator="notEqual">
      <formula>0</formula>
    </cfRule>
  </conditionalFormatting>
  <conditionalFormatting sqref="L60">
    <cfRule type="expression" dxfId="5" priority="41" stopIfTrue="1">
      <formula>K60&lt;&gt;0</formula>
    </cfRule>
  </conditionalFormatting>
  <conditionalFormatting sqref="M60">
    <cfRule type="expression" dxfId="4" priority="42" stopIfTrue="1">
      <formula>K60&lt;&gt;0</formula>
    </cfRule>
  </conditionalFormatting>
  <conditionalFormatting sqref="D61">
    <cfRule type="expression" dxfId="3" priority="43" stopIfTrue="1">
      <formula>K61&lt;&gt;0</formula>
    </cfRule>
  </conditionalFormatting>
  <conditionalFormatting sqref="K61">
    <cfRule type="cellIs" dxfId="2" priority="44" stopIfTrue="1" operator="notEqual">
      <formula>0</formula>
    </cfRule>
  </conditionalFormatting>
  <conditionalFormatting sqref="L61">
    <cfRule type="expression" dxfId="1" priority="45" stopIfTrue="1">
      <formula>K61&lt;&gt;0</formula>
    </cfRule>
  </conditionalFormatting>
  <conditionalFormatting sqref="M61">
    <cfRule type="expression" dxfId="0" priority="46" stopIfTrue="1">
      <formula>K61&lt;&gt;0</formula>
    </cfRule>
  </conditionalFormatting>
  <dataValidations count="11">
    <dataValidation type="custom" showDropDown="1" showErrorMessage="1" errorTitle="Check Box Cell Link" error="The value in an option button cell link must be either &quot;TRUE&quot; or &quot;FALSE&quot;" sqref="C9 C41 C25">
      <formula1>ISLOGICAL(C9)</formula1>
    </dataValidation>
    <dataValidation type="list" showErrorMessage="1" errorTitle="Include Alert Check" error="The include alert check trigger must correspond with one of the options provided in the drop down list." sqref="L52">
      <formula1>"Yes,No"</formula1>
    </dataValidation>
    <dataValidation type="list" showErrorMessage="1" errorTitle="Include Alert Check" error="The include alert check trigger must correspond with one of the options provided in the drop down list." sqref="L53">
      <formula1>"Yes,No"</formula1>
    </dataValidation>
    <dataValidation type="list" showErrorMessage="1" errorTitle="Include Alert Check" error="The include alert check trigger must correspond with one of the options provided in the drop down list." sqref="L54">
      <formula1>"Yes,No"</formula1>
    </dataValidation>
    <dataValidation type="list" showErrorMessage="1" errorTitle="Include Alert Check" error="The include alert check trigger must correspond with one of the options provided in the drop down list." sqref="L55">
      <formula1>"Yes,No"</formula1>
    </dataValidation>
    <dataValidation type="list" showErrorMessage="1" errorTitle="Include Alert Check" error="The include alert check trigger must correspond with one of the options provided in the drop down list." sqref="L56">
      <formula1>"Yes,No"</formula1>
    </dataValidation>
    <dataValidation type="list" showErrorMessage="1" errorTitle="Include Alert Check" error="The include alert check trigger must correspond with one of the options provided in the drop down list." sqref="L57">
      <formula1>"Yes,No"</formula1>
    </dataValidation>
    <dataValidation type="list" showErrorMessage="1" errorTitle="Include Alert Check" error="The include alert check trigger must correspond with one of the options provided in the drop down list." sqref="L58">
      <formula1>"Yes,No"</formula1>
    </dataValidation>
    <dataValidation type="list" showErrorMessage="1" errorTitle="Include Alert Check" error="The include alert check trigger must correspond with one of the options provided in the drop down list." sqref="L59">
      <formula1>"Yes,No"</formula1>
    </dataValidation>
    <dataValidation type="list" showErrorMessage="1" errorTitle="Include Alert Check" error="The include alert check trigger must correspond with one of the options provided in the drop down list." sqref="L60">
      <formula1>"Yes,No"</formula1>
    </dataValidation>
    <dataValidation type="list" showErrorMessage="1" errorTitle="Include Alert Check" error="The include alert check trigger must correspond with one of the options provided in the drop down list." sqref="L61">
      <formula1>"Yes,No"</formula1>
    </dataValidation>
  </dataValidations>
  <hyperlinks>
    <hyperlink ref="A4" location="$A$5" tooltip="Go to Top of Sheet" display="$A$5"/>
    <hyperlink ref="B4" location="HL_Sheet_Main_6" tooltip="Go to Previous Sheet" display="HL_Sheet_Main_6"/>
    <hyperlink ref="C4" location="HL_Sheet_Main_55" tooltip="Go to Next Sheet" display="HL_Sheet_Main_55"/>
    <hyperlink ref="D52:J52" location="HL_Alt_Chk_11" tooltip="Go to Prices - Assumptions" display="HL_Alt_Chk_11"/>
    <hyperlink ref="D53:J53" location="HL_Alt_Chk_2" tooltip="Go to Visual Inspection with Acetic Acid - Assumptions" display="HL_Alt_Chk_2"/>
    <hyperlink ref="D54:J54" location="HL_Alt_Chk_10" tooltip="Go to Biopsy and Histopathology Assumptions" display="HL_Alt_Chk_10"/>
    <hyperlink ref="D55:J55" location="HL_Alt_Chk_4" tooltip="Go to Cryotherapy - Same Visit" display="HL_Alt_Chk_4"/>
    <hyperlink ref="D56:J56" location="HL_Alt_Chk_5" tooltip="Go to Loop Electrosurgical Excision Procedure  with BIOP-H" display="HL_Alt_Chk_5"/>
    <hyperlink ref="D57:J57" location="HL_Alt_Chk_6" tooltip="Go to Chemotherapy" display="HL_Alt_Chk_6"/>
    <hyperlink ref="D58:J58" location="HL_Alt_Chk_7" tooltip="Go to Radiotherapy" display="HL_Alt_Chk_7"/>
    <hyperlink ref="D59:J59" location="HL_Alt_Chk_8" tooltip="Go to Surgery (Radical Hysterectomy plus Stump Removal)" display="HL_Alt_Chk_8"/>
    <hyperlink ref="D60:J60" location="HL_Alt_Chk_9" tooltip="Go to Palliative Care" display="HL_Alt_Chk_9"/>
    <hyperlink ref="D61:J61" location="HL_Alt_Chk_12" tooltip="Go to Population - Outputs" display="HL_Alt_Chk_12"/>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r:id="rId1"/>
  <headerFooter>
    <oddFooter>&amp;L&amp;F
&amp;A
Printed: &amp;T on &amp;D&amp;CPage &amp;P of &amp;N</oddFooter>
  </headerFooter>
  <rowBreaks count="2" manualBreakCount="2">
    <brk id="20" max="16383" man="1"/>
    <brk id="36"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2049" r:id="rId4" name="CB_Err_Chks_Show_Msg">
              <controlPr defaultSize="0" autoFill="0" autoLine="0" autoPict="0">
                <anchor moveWithCells="1">
                  <from>
                    <xdr:col>2</xdr:col>
                    <xdr:colOff>0</xdr:colOff>
                    <xdr:row>8</xdr:row>
                    <xdr:rowOff>0</xdr:rowOff>
                  </from>
                  <to>
                    <xdr:col>7</xdr:col>
                    <xdr:colOff>381000</xdr:colOff>
                    <xdr:row>9</xdr:row>
                    <xdr:rowOff>0</xdr:rowOff>
                  </to>
                </anchor>
              </controlPr>
            </control>
          </mc:Choice>
        </mc:AlternateContent>
        <mc:AlternateContent xmlns:mc="http://schemas.openxmlformats.org/markup-compatibility/2006">
          <mc:Choice Requires="x14">
            <control shapeId="2050" r:id="rId5" name="CB_Sens_Chks_Show_Msg">
              <controlPr defaultSize="0" autoFill="0" autoLine="0" autoPict="0">
                <anchor moveWithCells="1">
                  <from>
                    <xdr:col>2</xdr:col>
                    <xdr:colOff>0</xdr:colOff>
                    <xdr:row>24</xdr:row>
                    <xdr:rowOff>0</xdr:rowOff>
                  </from>
                  <to>
                    <xdr:col>7</xdr:col>
                    <xdr:colOff>381000</xdr:colOff>
                    <xdr:row>25</xdr:row>
                    <xdr:rowOff>0</xdr:rowOff>
                  </to>
                </anchor>
              </controlPr>
            </control>
          </mc:Choice>
        </mc:AlternateContent>
        <mc:AlternateContent xmlns:mc="http://schemas.openxmlformats.org/markup-compatibility/2006">
          <mc:Choice Requires="x14">
            <control shapeId="2051" r:id="rId6" name="CB_Alt_Chks_Show_Msg">
              <controlPr defaultSize="0" autoFill="0" autoLine="0" autoPict="0">
                <anchor moveWithCells="1">
                  <from>
                    <xdr:col>2</xdr:col>
                    <xdr:colOff>0</xdr:colOff>
                    <xdr:row>40</xdr:row>
                    <xdr:rowOff>0</xdr:rowOff>
                  </from>
                  <to>
                    <xdr:col>7</xdr:col>
                    <xdr:colOff>381000</xdr:colOff>
                    <xdr:row>41</xdr:row>
                    <xdr:rowOff>0</xdr:rowOff>
                  </to>
                </anchor>
              </controlPr>
            </control>
          </mc:Choice>
        </mc:AlternateContent>
      </controls>
    </mc:Choice>
  </mc:AlternateConten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pageSetUpPr autoPageBreaks="0" fitToPage="1"/>
  </sheetPr>
  <dimension ref="A1:P27"/>
  <sheetViews>
    <sheetView showGridLines="0" zoomScaleNormal="100" workbookViewId="0">
      <selection activeCell="I175" sqref="I175:P175"/>
    </sheetView>
  </sheetViews>
  <sheetFormatPr defaultColWidth="0" defaultRowHeight="12.75" zeroHeight="1" x14ac:dyDescent="0.2"/>
  <cols>
    <col min="1" max="2" width="11.7109375" customWidth="1"/>
    <col min="3" max="6" width="3.7109375" customWidth="1"/>
    <col min="7" max="16" width="11.7109375" customWidth="1"/>
    <col min="17" max="16384" width="11.7109375" hidden="1"/>
  </cols>
  <sheetData>
    <row r="1" spans="1:7" x14ac:dyDescent="0.2">
      <c r="A1" s="420"/>
    </row>
    <row r="2" spans="1:7" x14ac:dyDescent="0.2"/>
    <row r="3" spans="1:7" x14ac:dyDescent="0.2"/>
    <row r="4" spans="1:7" x14ac:dyDescent="0.2"/>
    <row r="5" spans="1:7" x14ac:dyDescent="0.2"/>
    <row r="6" spans="1:7" x14ac:dyDescent="0.2"/>
    <row r="7" spans="1:7" x14ac:dyDescent="0.2"/>
    <row r="8" spans="1:7" x14ac:dyDescent="0.2"/>
    <row r="9" spans="1:7" ht="23.25" x14ac:dyDescent="0.2">
      <c r="C9" s="32" t="s">
        <v>660</v>
      </c>
    </row>
    <row r="10" spans="1:7" ht="21" x14ac:dyDescent="0.2">
      <c r="C10" s="35" t="s">
        <v>1991</v>
      </c>
    </row>
    <row r="11" spans="1:7" ht="18.75" x14ac:dyDescent="0.2">
      <c r="C11" s="36" t="str">
        <f>Model_Name</f>
        <v>Zambia C4P* - Screening &amp; Treatment Tool</v>
      </c>
    </row>
    <row r="12" spans="1:7" x14ac:dyDescent="0.2">
      <c r="C12" s="702" t="s">
        <v>2</v>
      </c>
      <c r="D12" s="702"/>
      <c r="E12" s="702"/>
      <c r="F12" s="702"/>
      <c r="G12" s="702"/>
    </row>
    <row r="13" spans="1:7" x14ac:dyDescent="0.2">
      <c r="C13" s="337" t="s">
        <v>6</v>
      </c>
      <c r="D13" s="324" t="s">
        <v>7</v>
      </c>
    </row>
    <row r="14" spans="1:7" x14ac:dyDescent="0.2"/>
    <row r="15" spans="1:7" x14ac:dyDescent="0.2"/>
    <row r="16" spans="1:7" x14ac:dyDescent="0.2"/>
    <row r="17" spans="3:9" ht="15" x14ac:dyDescent="0.2">
      <c r="C17" s="54" t="s">
        <v>5</v>
      </c>
    </row>
    <row r="18" spans="3:9" x14ac:dyDescent="0.2">
      <c r="C18" s="179" t="s">
        <v>692</v>
      </c>
      <c r="D18" s="47"/>
      <c r="E18" s="47"/>
      <c r="F18" s="47"/>
      <c r="G18" s="47"/>
      <c r="H18" s="47"/>
      <c r="I18" s="47"/>
    </row>
    <row r="19" spans="3:9" x14ac:dyDescent="0.2">
      <c r="C19" s="179" t="s">
        <v>693</v>
      </c>
      <c r="D19" s="47"/>
      <c r="E19" s="47"/>
      <c r="F19" s="47"/>
      <c r="G19" s="47"/>
      <c r="H19" s="47"/>
      <c r="I19" s="47"/>
    </row>
    <row r="20" spans="3:9" x14ac:dyDescent="0.2">
      <c r="C20" s="89"/>
    </row>
    <row r="21" spans="3:9" x14ac:dyDescent="0.2"/>
    <row r="22" spans="3:9" x14ac:dyDescent="0.2"/>
    <row r="23" spans="3:9" x14ac:dyDescent="0.2"/>
    <row r="24" spans="3:9" x14ac:dyDescent="0.2"/>
    <row r="25" spans="3:9" x14ac:dyDescent="0.2"/>
    <row r="26" spans="3:9" x14ac:dyDescent="0.2"/>
    <row r="27" spans="3:9" x14ac:dyDescent="0.2"/>
  </sheetData>
  <mergeCells count="1">
    <mergeCell ref="C12:G12"/>
  </mergeCells>
  <hyperlinks>
    <hyperlink ref="D13" location="HL_Sheet_Main_56" tooltip="Go to Next Sheet" display="HL_Sheet_Main_56"/>
    <hyperlink ref="C13" location="HL_Sheet_Main_7" tooltip="Go to Previous Sheet" display="HL_Sheet_Main_7"/>
    <hyperlink ref="C12"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7030A0"/>
    <pageSetUpPr autoPageBreaks="0" fitToPage="1"/>
  </sheetPr>
  <dimension ref="A1:G20"/>
  <sheetViews>
    <sheetView showGridLines="0" zoomScaleNormal="100" workbookViewId="0">
      <selection activeCell="K5" sqref="K5:N8"/>
    </sheetView>
  </sheetViews>
  <sheetFormatPr defaultColWidth="11.7109375" defaultRowHeight="12.75" x14ac:dyDescent="0.2"/>
  <cols>
    <col min="3" max="6" width="3.7109375" customWidth="1"/>
  </cols>
  <sheetData>
    <row r="1" spans="1:7" x14ac:dyDescent="0.2">
      <c r="A1" s="420"/>
    </row>
    <row r="9" spans="1:7" ht="23.25" x14ac:dyDescent="0.2">
      <c r="C9" s="32" t="s">
        <v>74</v>
      </c>
    </row>
    <row r="10" spans="1:7" ht="21" x14ac:dyDescent="0.2">
      <c r="C10" s="35" t="s">
        <v>1992</v>
      </c>
    </row>
    <row r="11" spans="1:7" ht="18.75" x14ac:dyDescent="0.2">
      <c r="C11" s="36" t="str">
        <f>Model_Name</f>
        <v>Zambia C4P* - Screening &amp; Treatment Tool</v>
      </c>
    </row>
    <row r="12" spans="1:7" x14ac:dyDescent="0.2">
      <c r="C12" s="702" t="s">
        <v>2</v>
      </c>
      <c r="D12" s="702"/>
      <c r="E12" s="702"/>
      <c r="F12" s="702"/>
      <c r="G12" s="702"/>
    </row>
    <row r="13" spans="1:7" x14ac:dyDescent="0.2">
      <c r="C13" s="50" t="s">
        <v>6</v>
      </c>
      <c r="D13" s="46" t="s">
        <v>7</v>
      </c>
    </row>
    <row r="17" spans="3:3" ht="15" x14ac:dyDescent="0.2">
      <c r="C17" s="54" t="s">
        <v>10</v>
      </c>
    </row>
    <row r="18" spans="3:3" x14ac:dyDescent="0.2">
      <c r="C18" s="179" t="s">
        <v>681</v>
      </c>
    </row>
    <row r="19" spans="3:3" x14ac:dyDescent="0.2">
      <c r="C19" s="179" t="s">
        <v>682</v>
      </c>
    </row>
    <row r="20" spans="3:3" x14ac:dyDescent="0.2">
      <c r="C20" s="89"/>
    </row>
  </sheetData>
  <mergeCells count="1">
    <mergeCell ref="C12:G12"/>
  </mergeCells>
  <hyperlinks>
    <hyperlink ref="C13" location="HL_Sheet_Main_55" tooltip="Go to Previous Sheet" display="HL_Sheet_Main_55"/>
    <hyperlink ref="D13" location="HL_Sheet_Main_57" tooltip="Go to Next Sheet" display="HL_Sheet_Main_57"/>
    <hyperlink ref="C12"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7030A0"/>
    <pageSetUpPr autoPageBreaks="0"/>
  </sheetPr>
  <dimension ref="A1:M35"/>
  <sheetViews>
    <sheetView showGridLines="0" zoomScaleNormal="100" workbookViewId="0">
      <pane xSplit="1" ySplit="4" topLeftCell="B5" activePane="bottomRight" state="frozen"/>
      <selection pane="topRight"/>
      <selection pane="bottomLeft"/>
      <selection pane="bottomRight" activeCell="F4" sqref="F4"/>
    </sheetView>
  </sheetViews>
  <sheetFormatPr defaultColWidth="11.7109375" defaultRowHeight="12.75" x14ac:dyDescent="0.2"/>
  <cols>
    <col min="1" max="5" width="3.7109375" customWidth="1"/>
    <col min="13" max="13" width="15.140625" customWidth="1"/>
    <col min="14" max="15" width="17.42578125" customWidth="1"/>
    <col min="16" max="16" width="19.140625" customWidth="1"/>
  </cols>
  <sheetData>
    <row r="1" spans="1:13" ht="23.25" x14ac:dyDescent="0.2">
      <c r="A1" s="420"/>
      <c r="B1" s="32" t="s">
        <v>74</v>
      </c>
    </row>
    <row r="2" spans="1:13" ht="18.75" x14ac:dyDescent="0.2">
      <c r="B2" s="36" t="str">
        <f>Model_Name</f>
        <v>Zambia C4P* - Screening &amp; Treatment Tool</v>
      </c>
    </row>
    <row r="3" spans="1:13" x14ac:dyDescent="0.2">
      <c r="B3" s="702" t="s">
        <v>2</v>
      </c>
      <c r="C3" s="702"/>
      <c r="D3" s="702"/>
      <c r="E3" s="702"/>
      <c r="F3" s="702"/>
    </row>
    <row r="4" spans="1:13" x14ac:dyDescent="0.2">
      <c r="A4" s="1" t="s">
        <v>4</v>
      </c>
      <c r="B4" s="337" t="s">
        <v>6</v>
      </c>
      <c r="C4" s="46" t="s">
        <v>7</v>
      </c>
      <c r="D4" s="655" t="s">
        <v>27</v>
      </c>
      <c r="E4" s="656" t="s">
        <v>28</v>
      </c>
      <c r="F4" s="654" t="s">
        <v>29</v>
      </c>
    </row>
    <row r="7" spans="1:13" x14ac:dyDescent="0.2">
      <c r="C7" s="176" t="s">
        <v>661</v>
      </c>
      <c r="D7" s="177"/>
      <c r="E7" s="177"/>
      <c r="F7" s="177"/>
      <c r="G7" s="176" t="s">
        <v>74</v>
      </c>
      <c r="H7" s="177"/>
      <c r="I7" s="177"/>
      <c r="J7" s="177"/>
      <c r="K7" s="177"/>
      <c r="L7" s="177"/>
      <c r="M7" s="177"/>
    </row>
    <row r="8" spans="1:13" x14ac:dyDescent="0.2">
      <c r="C8" s="47"/>
      <c r="D8" s="47"/>
      <c r="E8" s="47"/>
      <c r="F8" s="47"/>
      <c r="G8" s="47"/>
      <c r="H8" s="47"/>
      <c r="I8" s="47"/>
      <c r="J8" s="47"/>
      <c r="K8" s="47"/>
      <c r="L8" s="47"/>
      <c r="M8" s="47"/>
    </row>
    <row r="9" spans="1:13" x14ac:dyDescent="0.2">
      <c r="C9" s="969" t="s">
        <v>662</v>
      </c>
      <c r="D9" s="969"/>
      <c r="E9" s="969"/>
      <c r="F9" s="969"/>
      <c r="G9" s="972" t="s">
        <v>674</v>
      </c>
      <c r="H9" s="972"/>
      <c r="I9" s="972"/>
      <c r="J9" s="972"/>
      <c r="K9" s="972"/>
      <c r="L9" s="972"/>
      <c r="M9" s="972"/>
    </row>
    <row r="10" spans="1:13" x14ac:dyDescent="0.2">
      <c r="C10" s="969"/>
      <c r="D10" s="969"/>
      <c r="E10" s="969"/>
      <c r="F10" s="969"/>
      <c r="G10" s="972"/>
      <c r="H10" s="972"/>
      <c r="I10" s="972"/>
      <c r="J10" s="972"/>
      <c r="K10" s="972"/>
      <c r="L10" s="972"/>
      <c r="M10" s="972"/>
    </row>
    <row r="11" spans="1:13" x14ac:dyDescent="0.2">
      <c r="C11" s="968"/>
      <c r="D11" s="968"/>
      <c r="E11" s="968"/>
      <c r="F11" s="968"/>
      <c r="G11" s="972"/>
      <c r="H11" s="972"/>
      <c r="I11" s="972"/>
      <c r="J11" s="972"/>
      <c r="K11" s="972"/>
      <c r="L11" s="972"/>
      <c r="M11" s="972"/>
    </row>
    <row r="12" spans="1:13" x14ac:dyDescent="0.2">
      <c r="C12" s="968"/>
      <c r="D12" s="968"/>
      <c r="E12" s="968"/>
      <c r="F12" s="968"/>
      <c r="G12" s="180"/>
      <c r="H12" s="180"/>
      <c r="I12" s="180"/>
      <c r="J12" s="180"/>
      <c r="K12" s="180"/>
      <c r="L12" s="180"/>
      <c r="M12" s="180"/>
    </row>
    <row r="13" spans="1:13" x14ac:dyDescent="0.2">
      <c r="C13" s="969" t="s">
        <v>1761</v>
      </c>
      <c r="D13" s="969"/>
      <c r="E13" s="969"/>
      <c r="F13" s="969"/>
      <c r="G13" s="972" t="s">
        <v>663</v>
      </c>
      <c r="H13" s="972"/>
      <c r="I13" s="972"/>
      <c r="J13" s="972"/>
      <c r="K13" s="972"/>
      <c r="L13" s="972"/>
      <c r="M13" s="972"/>
    </row>
    <row r="14" spans="1:13" x14ac:dyDescent="0.2">
      <c r="C14" s="968"/>
      <c r="D14" s="968"/>
      <c r="E14" s="968"/>
      <c r="F14" s="968"/>
      <c r="G14" s="974" t="s">
        <v>675</v>
      </c>
      <c r="H14" s="974"/>
      <c r="I14" s="974"/>
      <c r="J14" s="974"/>
      <c r="K14" s="974"/>
      <c r="L14" s="974"/>
      <c r="M14" s="974"/>
    </row>
    <row r="15" spans="1:13" x14ac:dyDescent="0.2">
      <c r="C15" s="968"/>
      <c r="D15" s="968"/>
      <c r="E15" s="968"/>
      <c r="F15" s="968"/>
      <c r="G15" s="974" t="s">
        <v>676</v>
      </c>
      <c r="H15" s="974"/>
      <c r="I15" s="974"/>
      <c r="J15" s="974"/>
      <c r="K15" s="974"/>
      <c r="L15" s="974"/>
      <c r="M15" s="974"/>
    </row>
    <row r="16" spans="1:13" x14ac:dyDescent="0.2">
      <c r="C16" s="968"/>
      <c r="D16" s="968"/>
      <c r="E16" s="968"/>
      <c r="F16" s="968"/>
      <c r="G16" s="974" t="s">
        <v>677</v>
      </c>
      <c r="H16" s="974"/>
      <c r="I16" s="974"/>
      <c r="J16" s="974"/>
      <c r="K16" s="974"/>
      <c r="L16" s="974"/>
      <c r="M16" s="974"/>
    </row>
    <row r="17" spans="3:13" x14ac:dyDescent="0.2">
      <c r="C17" s="968"/>
      <c r="D17" s="968"/>
      <c r="E17" s="968"/>
      <c r="F17" s="968"/>
      <c r="G17" s="180"/>
      <c r="H17" s="180"/>
      <c r="I17" s="180"/>
      <c r="J17" s="180"/>
      <c r="K17" s="180"/>
      <c r="L17" s="180"/>
      <c r="M17" s="180"/>
    </row>
    <row r="18" spans="3:13" x14ac:dyDescent="0.2">
      <c r="C18" s="969" t="s">
        <v>664</v>
      </c>
      <c r="D18" s="969"/>
      <c r="E18" s="969"/>
      <c r="F18" s="969"/>
      <c r="G18" s="972" t="s">
        <v>680</v>
      </c>
      <c r="H18" s="972"/>
      <c r="I18" s="972"/>
      <c r="J18" s="972"/>
      <c r="K18" s="972"/>
      <c r="L18" s="972"/>
      <c r="M18" s="972"/>
    </row>
    <row r="19" spans="3:13" x14ac:dyDescent="0.2">
      <c r="C19" s="968"/>
      <c r="D19" s="968"/>
      <c r="E19" s="968"/>
      <c r="F19" s="968"/>
      <c r="G19" s="180"/>
      <c r="H19" s="180"/>
      <c r="I19" s="180"/>
      <c r="J19" s="180"/>
      <c r="K19" s="180"/>
      <c r="L19" s="180"/>
      <c r="M19" s="180"/>
    </row>
    <row r="20" spans="3:13" x14ac:dyDescent="0.2">
      <c r="C20" s="969" t="s">
        <v>665</v>
      </c>
      <c r="D20" s="969"/>
      <c r="E20" s="969"/>
      <c r="F20" s="969"/>
      <c r="G20" s="972" t="s">
        <v>666</v>
      </c>
      <c r="H20" s="972"/>
      <c r="I20" s="972"/>
      <c r="J20" s="972"/>
      <c r="K20" s="972"/>
      <c r="L20" s="972"/>
      <c r="M20" s="972"/>
    </row>
    <row r="21" spans="3:13" x14ac:dyDescent="0.2">
      <c r="C21" s="971"/>
      <c r="D21" s="971"/>
      <c r="E21" s="971"/>
      <c r="F21" s="971"/>
      <c r="G21" s="180"/>
      <c r="H21" s="180"/>
      <c r="I21" s="180"/>
      <c r="J21" s="180"/>
      <c r="K21" s="180"/>
      <c r="L21" s="180"/>
      <c r="M21" s="180"/>
    </row>
    <row r="22" spans="3:13" x14ac:dyDescent="0.2">
      <c r="C22" s="969" t="s">
        <v>667</v>
      </c>
      <c r="D22" s="969"/>
      <c r="E22" s="969"/>
      <c r="F22" s="969"/>
      <c r="G22" s="972" t="s">
        <v>678</v>
      </c>
      <c r="H22" s="972"/>
      <c r="I22" s="972"/>
      <c r="J22" s="972"/>
      <c r="K22" s="972"/>
      <c r="L22" s="972"/>
      <c r="M22" s="972"/>
    </row>
    <row r="23" spans="3:13" x14ac:dyDescent="0.2">
      <c r="C23" s="968"/>
      <c r="D23" s="968"/>
      <c r="E23" s="968"/>
      <c r="F23" s="968"/>
      <c r="G23" s="972"/>
      <c r="H23" s="972"/>
      <c r="I23" s="972"/>
      <c r="J23" s="972"/>
      <c r="K23" s="972"/>
      <c r="L23" s="972"/>
      <c r="M23" s="972"/>
    </row>
    <row r="24" spans="3:13" x14ac:dyDescent="0.2">
      <c r="C24" s="971"/>
      <c r="D24" s="971"/>
      <c r="E24" s="971"/>
      <c r="F24" s="971"/>
      <c r="G24" s="180"/>
      <c r="H24" s="180"/>
      <c r="I24" s="180"/>
      <c r="J24" s="180"/>
      <c r="K24" s="180"/>
      <c r="L24" s="180"/>
      <c r="M24" s="180"/>
    </row>
    <row r="25" spans="3:13" x14ac:dyDescent="0.2">
      <c r="C25" s="969" t="s">
        <v>668</v>
      </c>
      <c r="D25" s="969"/>
      <c r="E25" s="969"/>
      <c r="F25" s="969"/>
      <c r="G25" s="972" t="s">
        <v>669</v>
      </c>
      <c r="H25" s="972"/>
      <c r="I25" s="972"/>
      <c r="J25" s="972"/>
      <c r="K25" s="972"/>
      <c r="L25" s="972"/>
      <c r="M25" s="972"/>
    </row>
    <row r="26" spans="3:13" x14ac:dyDescent="0.2">
      <c r="C26" s="969"/>
      <c r="D26" s="969"/>
      <c r="E26" s="969"/>
      <c r="F26" s="969"/>
      <c r="G26" s="972"/>
      <c r="H26" s="972"/>
      <c r="I26" s="972"/>
      <c r="J26" s="972"/>
      <c r="K26" s="972"/>
      <c r="L26" s="972"/>
      <c r="M26" s="972"/>
    </row>
    <row r="27" spans="3:13" x14ac:dyDescent="0.2">
      <c r="C27" s="969"/>
      <c r="D27" s="969"/>
      <c r="E27" s="969"/>
      <c r="F27" s="969"/>
      <c r="G27" s="972"/>
      <c r="H27" s="972"/>
      <c r="I27" s="972"/>
      <c r="J27" s="972"/>
      <c r="K27" s="972"/>
      <c r="L27" s="972"/>
      <c r="M27" s="972"/>
    </row>
    <row r="28" spans="3:13" x14ac:dyDescent="0.2">
      <c r="C28" s="973"/>
      <c r="D28" s="973"/>
      <c r="E28" s="973"/>
      <c r="F28" s="973"/>
      <c r="G28" s="972"/>
      <c r="H28" s="972"/>
      <c r="I28" s="972"/>
      <c r="J28" s="972"/>
      <c r="K28" s="972"/>
      <c r="L28" s="972"/>
      <c r="M28" s="972"/>
    </row>
    <row r="29" spans="3:13" x14ac:dyDescent="0.2">
      <c r="C29" s="968"/>
      <c r="D29" s="968"/>
      <c r="E29" s="968"/>
      <c r="F29" s="968"/>
      <c r="G29" s="181"/>
      <c r="H29" s="181"/>
      <c r="I29" s="181"/>
      <c r="J29" s="181"/>
      <c r="K29" s="181"/>
      <c r="L29" s="181"/>
      <c r="M29" s="181"/>
    </row>
    <row r="30" spans="3:13" x14ac:dyDescent="0.2">
      <c r="C30" s="969" t="s">
        <v>679</v>
      </c>
      <c r="D30" s="969"/>
      <c r="E30" s="969"/>
      <c r="F30" s="969"/>
      <c r="G30" s="970" t="s">
        <v>670</v>
      </c>
      <c r="H30" s="970"/>
      <c r="I30" s="716" t="s">
        <v>1250</v>
      </c>
      <c r="J30" s="716"/>
      <c r="K30" s="716"/>
      <c r="L30" s="716"/>
      <c r="M30" s="716"/>
    </row>
    <row r="31" spans="3:13" x14ac:dyDescent="0.2">
      <c r="C31" s="968"/>
      <c r="D31" s="968"/>
      <c r="E31" s="968"/>
      <c r="F31" s="968"/>
      <c r="G31" s="970" t="s">
        <v>671</v>
      </c>
      <c r="H31" s="970"/>
      <c r="I31" s="716" t="s">
        <v>1760</v>
      </c>
      <c r="J31" s="716"/>
      <c r="K31" s="716"/>
      <c r="L31" s="716"/>
      <c r="M31" s="716"/>
    </row>
    <row r="32" spans="3:13" x14ac:dyDescent="0.2">
      <c r="C32" s="967"/>
      <c r="D32" s="967"/>
      <c r="E32" s="967"/>
      <c r="F32" s="967"/>
      <c r="G32" s="178"/>
      <c r="H32" s="178"/>
      <c r="I32" s="178"/>
      <c r="J32" s="178"/>
      <c r="K32" s="178"/>
      <c r="L32" s="178"/>
      <c r="M32" s="178"/>
    </row>
    <row r="33" spans="3:13" x14ac:dyDescent="0.2">
      <c r="C33" s="967"/>
      <c r="D33" s="967"/>
      <c r="E33" s="967"/>
      <c r="F33" s="967"/>
      <c r="G33" s="928" t="s">
        <v>694</v>
      </c>
      <c r="H33" s="928"/>
      <c r="I33" s="928"/>
      <c r="J33" s="928"/>
      <c r="K33" s="928"/>
      <c r="L33" s="928"/>
      <c r="M33" s="928"/>
    </row>
    <row r="34" spans="3:13" x14ac:dyDescent="0.2">
      <c r="C34" s="967"/>
      <c r="D34" s="967"/>
      <c r="E34" s="967"/>
      <c r="F34" s="967"/>
      <c r="G34" s="178"/>
      <c r="H34" s="178"/>
      <c r="I34" s="178"/>
      <c r="J34" s="178"/>
      <c r="K34" s="178"/>
      <c r="L34" s="178"/>
      <c r="M34" s="178"/>
    </row>
    <row r="35" spans="3:13" x14ac:dyDescent="0.2">
      <c r="C35" s="967"/>
      <c r="D35" s="967"/>
      <c r="E35" s="967"/>
      <c r="F35" s="967"/>
      <c r="G35" s="928" t="s">
        <v>672</v>
      </c>
      <c r="H35" s="928"/>
      <c r="I35" s="716" t="s">
        <v>673</v>
      </c>
      <c r="J35" s="716"/>
      <c r="K35" s="716"/>
      <c r="L35" s="716"/>
      <c r="M35" s="716"/>
    </row>
  </sheetData>
  <mergeCells count="44">
    <mergeCell ref="B3:F3"/>
    <mergeCell ref="C9:F9"/>
    <mergeCell ref="G9:M11"/>
    <mergeCell ref="C10:F10"/>
    <mergeCell ref="C11:F11"/>
    <mergeCell ref="C18:F18"/>
    <mergeCell ref="G18:M18"/>
    <mergeCell ref="C12:F12"/>
    <mergeCell ref="C13:F13"/>
    <mergeCell ref="G13:M13"/>
    <mergeCell ref="C14:F14"/>
    <mergeCell ref="G14:M14"/>
    <mergeCell ref="C15:F15"/>
    <mergeCell ref="G15:M15"/>
    <mergeCell ref="C16:F16"/>
    <mergeCell ref="G16:M16"/>
    <mergeCell ref="C17:F17"/>
    <mergeCell ref="C19:F19"/>
    <mergeCell ref="C20:F20"/>
    <mergeCell ref="G20:M20"/>
    <mergeCell ref="C21:F21"/>
    <mergeCell ref="C22:F22"/>
    <mergeCell ref="G22:M23"/>
    <mergeCell ref="C23:F23"/>
    <mergeCell ref="C24:F24"/>
    <mergeCell ref="C25:F25"/>
    <mergeCell ref="G25:M28"/>
    <mergeCell ref="C26:F26"/>
    <mergeCell ref="C27:F27"/>
    <mergeCell ref="C28:F28"/>
    <mergeCell ref="C29:F29"/>
    <mergeCell ref="C30:F30"/>
    <mergeCell ref="G30:H30"/>
    <mergeCell ref="I30:M30"/>
    <mergeCell ref="C31:F31"/>
    <mergeCell ref="G31:H31"/>
    <mergeCell ref="I31:M31"/>
    <mergeCell ref="C32:F32"/>
    <mergeCell ref="C33:F33"/>
    <mergeCell ref="G33:M33"/>
    <mergeCell ref="C34:F34"/>
    <mergeCell ref="C35:F35"/>
    <mergeCell ref="G35:H35"/>
    <mergeCell ref="I35:M35"/>
  </mergeCells>
  <hyperlinks>
    <hyperlink ref="A4" location="$B$5" tooltip="Go to Top of Sheet" display="$B$5"/>
    <hyperlink ref="I30" r:id="rId1"/>
    <hyperlink ref="I30:J30" r:id="rId2" tooltip="Email BPM." display="Info@bpmglobal.com"/>
    <hyperlink ref="I35:M35" r:id="rId3" tooltip="View more examples of best practice models." display="www.bestpracticemodelling.com/downloads/example_models"/>
    <hyperlink ref="I31" r:id="rId4"/>
    <hyperlink ref="I35" r:id="rId5"/>
    <hyperlink ref="C4" location="HL_Sheet_Main_59" tooltip="Go to Next Sheet" display="HL_Sheet_Main_59"/>
    <hyperlink ref="B4" location="HL_Sheet_Main_56" tooltip="Go to Previous Sheet" display="HL_Sheet_Main_56"/>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horizontalDpi="0" verticalDpi="0" r:id="rId6"/>
  <headerFooter>
    <oddFooter>&amp;L&amp;F
&amp;A
Printed: &amp;T on &amp;D&amp;CPage &amp;P of &amp;N</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7030A0"/>
    <pageSetUpPr autoPageBreaks="0"/>
  </sheetPr>
  <dimension ref="A1:T26"/>
  <sheetViews>
    <sheetView showGridLines="0" zoomScaleNormal="100" workbookViewId="0">
      <pane xSplit="1" ySplit="4" topLeftCell="B5" activePane="bottomRight" state="frozen"/>
      <selection pane="topRight"/>
      <selection pane="bottomLeft"/>
      <selection pane="bottomRight" activeCell="F4" sqref="F4"/>
    </sheetView>
  </sheetViews>
  <sheetFormatPr defaultColWidth="11.7109375" defaultRowHeight="12.75" x14ac:dyDescent="0.2"/>
  <cols>
    <col min="1" max="5" width="3.7109375" style="171" customWidth="1"/>
    <col min="6" max="7" width="11.7109375" style="171"/>
    <col min="8" max="8" width="3.85546875" style="171" customWidth="1"/>
    <col min="9" max="9" width="3.42578125" style="171" customWidth="1"/>
    <col min="10" max="16384" width="11.7109375" style="171"/>
  </cols>
  <sheetData>
    <row r="1" spans="1:14" ht="23.25" x14ac:dyDescent="0.2">
      <c r="A1" s="421"/>
      <c r="B1" s="40" t="s">
        <v>685</v>
      </c>
    </row>
    <row r="2" spans="1:14" ht="18.75" x14ac:dyDescent="0.2">
      <c r="B2" s="39" t="str">
        <f>Model_Name</f>
        <v>Zambia C4P* - Screening &amp; Treatment Tool</v>
      </c>
    </row>
    <row r="3" spans="1:14" x14ac:dyDescent="0.2">
      <c r="B3" s="939" t="s">
        <v>2</v>
      </c>
      <c r="C3" s="939"/>
      <c r="D3" s="939"/>
      <c r="E3" s="939"/>
      <c r="F3" s="939"/>
    </row>
    <row r="4" spans="1:14" x14ac:dyDescent="0.2">
      <c r="A4" s="41" t="s">
        <v>4</v>
      </c>
      <c r="B4" s="173" t="s">
        <v>6</v>
      </c>
      <c r="C4" s="415" t="s">
        <v>7</v>
      </c>
      <c r="D4" s="655" t="s">
        <v>27</v>
      </c>
      <c r="E4" s="656" t="s">
        <v>28</v>
      </c>
      <c r="F4" s="654" t="s">
        <v>29</v>
      </c>
    </row>
    <row r="7" spans="1:14" ht="26.45" customHeight="1" x14ac:dyDescent="0.2">
      <c r="F7" s="975" t="s">
        <v>695</v>
      </c>
      <c r="G7" s="975"/>
      <c r="H7" s="975"/>
      <c r="J7" s="977" t="s">
        <v>711</v>
      </c>
      <c r="K7" s="977"/>
      <c r="L7" s="977"/>
      <c r="M7" s="977"/>
      <c r="N7" s="977"/>
    </row>
    <row r="8" spans="1:14" ht="21.6" customHeight="1" x14ac:dyDescent="0.2">
      <c r="F8" s="975" t="s">
        <v>709</v>
      </c>
      <c r="G8" s="975"/>
      <c r="H8" s="975"/>
      <c r="J8" s="977" t="s">
        <v>707</v>
      </c>
      <c r="K8" s="977"/>
      <c r="L8" s="977"/>
      <c r="M8" s="977"/>
      <c r="N8" s="977"/>
    </row>
    <row r="9" spans="1:14" s="315" customFormat="1" ht="81.599999999999994" customHeight="1" x14ac:dyDescent="0.2">
      <c r="F9" s="316" t="s">
        <v>989</v>
      </c>
      <c r="G9" s="316"/>
      <c r="H9" s="316"/>
      <c r="J9" s="978" t="s">
        <v>992</v>
      </c>
      <c r="K9" s="978"/>
      <c r="L9" s="978"/>
      <c r="M9" s="978"/>
      <c r="N9" s="978"/>
    </row>
    <row r="10" spans="1:14" s="315" customFormat="1" ht="95.1" customHeight="1" x14ac:dyDescent="0.2">
      <c r="F10" s="316" t="s">
        <v>990</v>
      </c>
      <c r="G10" s="316"/>
      <c r="H10" s="316"/>
      <c r="J10" s="978" t="s">
        <v>991</v>
      </c>
      <c r="K10" s="978"/>
      <c r="L10" s="978"/>
      <c r="M10" s="978"/>
      <c r="N10" s="978"/>
    </row>
    <row r="11" spans="1:14" s="315" customFormat="1" ht="68.099999999999994" customHeight="1" x14ac:dyDescent="0.2">
      <c r="F11" s="976" t="s">
        <v>981</v>
      </c>
      <c r="G11" s="976"/>
      <c r="H11" s="316"/>
      <c r="J11" s="978" t="s">
        <v>982</v>
      </c>
      <c r="K11" s="978"/>
      <c r="L11" s="978"/>
      <c r="M11" s="978"/>
      <c r="N11" s="978"/>
    </row>
    <row r="12" spans="1:14" ht="49.5" customHeight="1" x14ac:dyDescent="0.2">
      <c r="F12" s="975" t="s">
        <v>696</v>
      </c>
      <c r="G12" s="975"/>
      <c r="H12" s="975"/>
      <c r="J12" s="977" t="s">
        <v>697</v>
      </c>
      <c r="K12" s="977"/>
      <c r="L12" s="977"/>
      <c r="M12" s="977"/>
      <c r="N12" s="977"/>
    </row>
    <row r="13" spans="1:14" ht="31.5" customHeight="1" x14ac:dyDescent="0.2">
      <c r="F13" s="975" t="s">
        <v>698</v>
      </c>
      <c r="G13" s="975"/>
      <c r="H13" s="975"/>
      <c r="J13" s="977" t="s">
        <v>712</v>
      </c>
      <c r="K13" s="977"/>
      <c r="L13" s="977"/>
      <c r="M13" s="977"/>
      <c r="N13" s="977"/>
    </row>
    <row r="14" spans="1:14" ht="40.5" customHeight="1" x14ac:dyDescent="0.2">
      <c r="F14" s="975" t="s">
        <v>699</v>
      </c>
      <c r="G14" s="975"/>
      <c r="H14" s="975"/>
      <c r="J14" s="977" t="s">
        <v>713</v>
      </c>
      <c r="K14" s="977"/>
      <c r="L14" s="977"/>
      <c r="M14" s="977"/>
      <c r="N14" s="977"/>
    </row>
    <row r="15" spans="1:14" ht="107.1" customHeight="1" x14ac:dyDescent="0.2">
      <c r="F15" s="975" t="s">
        <v>700</v>
      </c>
      <c r="G15" s="975"/>
      <c r="H15" s="975"/>
      <c r="J15" s="977" t="s">
        <v>714</v>
      </c>
      <c r="K15" s="977"/>
      <c r="L15" s="977"/>
      <c r="M15" s="977"/>
      <c r="N15" s="977"/>
    </row>
    <row r="16" spans="1:14" ht="54.6" customHeight="1" x14ac:dyDescent="0.2">
      <c r="F16" s="975" t="s">
        <v>701</v>
      </c>
      <c r="G16" s="975"/>
      <c r="H16" s="975"/>
      <c r="J16" s="977" t="s">
        <v>715</v>
      </c>
      <c r="K16" s="977"/>
      <c r="L16" s="977"/>
      <c r="M16" s="977"/>
      <c r="N16" s="977"/>
    </row>
    <row r="17" spans="6:20" ht="53.1" customHeight="1" x14ac:dyDescent="0.2">
      <c r="F17" s="975" t="s">
        <v>172</v>
      </c>
      <c r="G17" s="975"/>
      <c r="H17" s="975"/>
      <c r="J17" s="977" t="s">
        <v>716</v>
      </c>
      <c r="K17" s="977"/>
      <c r="L17" s="977"/>
      <c r="M17" s="977"/>
      <c r="N17" s="977"/>
    </row>
    <row r="18" spans="6:20" ht="40.5" customHeight="1" x14ac:dyDescent="0.2">
      <c r="F18" s="975" t="s">
        <v>702</v>
      </c>
      <c r="G18" s="975"/>
      <c r="H18" s="975"/>
      <c r="J18" s="977" t="s">
        <v>717</v>
      </c>
      <c r="K18" s="977"/>
      <c r="L18" s="977"/>
      <c r="M18" s="977"/>
      <c r="N18" s="977"/>
      <c r="P18" s="979"/>
      <c r="Q18" s="979"/>
      <c r="R18" s="979"/>
      <c r="S18" s="979"/>
      <c r="T18" s="979"/>
    </row>
    <row r="19" spans="6:20" ht="26.1" customHeight="1" x14ac:dyDescent="0.2">
      <c r="F19" s="975" t="s">
        <v>703</v>
      </c>
      <c r="G19" s="975"/>
      <c r="H19" s="975"/>
      <c r="J19" s="977" t="s">
        <v>718</v>
      </c>
      <c r="K19" s="977"/>
      <c r="L19" s="977"/>
      <c r="M19" s="977"/>
      <c r="N19" s="977"/>
    </row>
    <row r="20" spans="6:20" ht="35.450000000000003" customHeight="1" x14ac:dyDescent="0.2">
      <c r="F20" s="975" t="s">
        <v>704</v>
      </c>
      <c r="G20" s="975"/>
      <c r="H20" s="975"/>
      <c r="J20" s="977" t="s">
        <v>719</v>
      </c>
      <c r="K20" s="977"/>
      <c r="L20" s="977"/>
      <c r="M20" s="977"/>
      <c r="N20" s="977"/>
    </row>
    <row r="21" spans="6:20" s="315" customFormat="1" ht="83.45" customHeight="1" x14ac:dyDescent="0.2">
      <c r="F21" s="976" t="s">
        <v>984</v>
      </c>
      <c r="G21" s="976"/>
      <c r="H21" s="316"/>
      <c r="J21" s="978" t="s">
        <v>983</v>
      </c>
      <c r="K21" s="978"/>
      <c r="L21" s="978"/>
      <c r="M21" s="978"/>
      <c r="N21" s="978"/>
    </row>
    <row r="22" spans="6:20" ht="53.1" customHeight="1" x14ac:dyDescent="0.2">
      <c r="F22" s="975" t="s">
        <v>710</v>
      </c>
      <c r="G22" s="975"/>
      <c r="H22" s="975"/>
      <c r="J22" s="977" t="s">
        <v>708</v>
      </c>
      <c r="K22" s="977"/>
      <c r="L22" s="977"/>
      <c r="M22" s="977"/>
      <c r="N22" s="977"/>
    </row>
    <row r="23" spans="6:20" s="315" customFormat="1" ht="159" customHeight="1" x14ac:dyDescent="0.2">
      <c r="F23" s="976" t="s">
        <v>985</v>
      </c>
      <c r="G23" s="976"/>
      <c r="H23" s="316"/>
      <c r="J23" s="978" t="s">
        <v>986</v>
      </c>
      <c r="K23" s="978"/>
      <c r="L23" s="978"/>
      <c r="M23" s="978"/>
      <c r="N23" s="978"/>
    </row>
    <row r="24" spans="6:20" ht="51.6" customHeight="1" x14ac:dyDescent="0.2">
      <c r="F24" s="975" t="s">
        <v>705</v>
      </c>
      <c r="G24" s="975"/>
      <c r="H24" s="975"/>
      <c r="J24" s="977" t="s">
        <v>720</v>
      </c>
      <c r="K24" s="977"/>
      <c r="L24" s="977"/>
      <c r="M24" s="977"/>
      <c r="N24" s="977"/>
    </row>
    <row r="25" spans="6:20" s="315" customFormat="1" ht="137.44999999999999" customHeight="1" x14ac:dyDescent="0.2">
      <c r="F25" s="976" t="s">
        <v>987</v>
      </c>
      <c r="G25" s="976"/>
      <c r="H25" s="316"/>
      <c r="J25" s="978" t="s">
        <v>988</v>
      </c>
      <c r="K25" s="978"/>
      <c r="L25" s="978"/>
      <c r="M25" s="978"/>
      <c r="N25" s="978"/>
    </row>
    <row r="26" spans="6:20" ht="60" customHeight="1" x14ac:dyDescent="0.2">
      <c r="F26" s="975" t="s">
        <v>706</v>
      </c>
      <c r="G26" s="975"/>
      <c r="H26" s="975"/>
      <c r="J26" s="977" t="s">
        <v>721</v>
      </c>
      <c r="K26" s="977"/>
      <c r="L26" s="977"/>
      <c r="M26" s="977"/>
      <c r="N26" s="977"/>
    </row>
  </sheetData>
  <mergeCells count="40">
    <mergeCell ref="J20:N20"/>
    <mergeCell ref="J22:N22"/>
    <mergeCell ref="J24:N24"/>
    <mergeCell ref="J26:N26"/>
    <mergeCell ref="P18:T18"/>
    <mergeCell ref="J21:N21"/>
    <mergeCell ref="J23:N23"/>
    <mergeCell ref="J25:N25"/>
    <mergeCell ref="J15:N15"/>
    <mergeCell ref="J16:N16"/>
    <mergeCell ref="J17:N17"/>
    <mergeCell ref="J18:N18"/>
    <mergeCell ref="J19:N19"/>
    <mergeCell ref="J7:N7"/>
    <mergeCell ref="J8:N8"/>
    <mergeCell ref="J12:N12"/>
    <mergeCell ref="J13:N13"/>
    <mergeCell ref="J14:N14"/>
    <mergeCell ref="J11:N11"/>
    <mergeCell ref="J9:N9"/>
    <mergeCell ref="J10:N10"/>
    <mergeCell ref="F19:H19"/>
    <mergeCell ref="F20:H20"/>
    <mergeCell ref="F22:H22"/>
    <mergeCell ref="F24:H24"/>
    <mergeCell ref="F26:H26"/>
    <mergeCell ref="F21:G21"/>
    <mergeCell ref="F23:G23"/>
    <mergeCell ref="F25:G25"/>
    <mergeCell ref="F14:H14"/>
    <mergeCell ref="F15:H15"/>
    <mergeCell ref="F16:H16"/>
    <mergeCell ref="F17:H17"/>
    <mergeCell ref="F18:H18"/>
    <mergeCell ref="B3:F3"/>
    <mergeCell ref="F7:H7"/>
    <mergeCell ref="F8:H8"/>
    <mergeCell ref="F12:H12"/>
    <mergeCell ref="F13:H13"/>
    <mergeCell ref="F11:G11"/>
  </mergeCells>
  <hyperlinks>
    <hyperlink ref="A4" location="$B$5" tooltip="Go to Top of Sheet" display="$B$5"/>
    <hyperlink ref="B4" location="HL_Sheet_Main_57" tooltip="Go to Previous Sheet" display="HL_Sheet_Main_57"/>
    <hyperlink ref="C4" location="HL_Sheet_Main_58" tooltip="Go to Next Sheet" display="HL_Sheet_Main_58"/>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7030A0"/>
    <pageSetUpPr autoPageBreaks="0" fitToPage="1"/>
  </sheetPr>
  <dimension ref="A1:G20"/>
  <sheetViews>
    <sheetView showGridLines="0" zoomScaleNormal="100" workbookViewId="0">
      <selection activeCell="K4" sqref="K4:N7"/>
    </sheetView>
  </sheetViews>
  <sheetFormatPr defaultColWidth="11.7109375" defaultRowHeight="12.75" x14ac:dyDescent="0.2"/>
  <cols>
    <col min="3" max="6" width="3.7109375" customWidth="1"/>
  </cols>
  <sheetData>
    <row r="1" spans="1:7" x14ac:dyDescent="0.2">
      <c r="A1" s="420"/>
    </row>
    <row r="9" spans="1:7" ht="23.25" x14ac:dyDescent="0.2">
      <c r="C9" s="32" t="s">
        <v>463</v>
      </c>
    </row>
    <row r="10" spans="1:7" ht="21" x14ac:dyDescent="0.2">
      <c r="C10" s="35" t="s">
        <v>1994</v>
      </c>
    </row>
    <row r="11" spans="1:7" ht="18.75" x14ac:dyDescent="0.2">
      <c r="C11" s="36" t="str">
        <f>Model_Name</f>
        <v>Zambia C4P* - Screening &amp; Treatment Tool</v>
      </c>
    </row>
    <row r="12" spans="1:7" x14ac:dyDescent="0.2">
      <c r="C12" s="702" t="s">
        <v>2</v>
      </c>
      <c r="D12" s="702"/>
      <c r="E12" s="702"/>
      <c r="F12" s="702"/>
      <c r="G12" s="702"/>
    </row>
    <row r="13" spans="1:7" x14ac:dyDescent="0.2">
      <c r="C13" s="50" t="s">
        <v>6</v>
      </c>
      <c r="D13" s="46" t="s">
        <v>7</v>
      </c>
    </row>
    <row r="17" spans="3:3" ht="15" x14ac:dyDescent="0.2">
      <c r="C17" s="54" t="s">
        <v>10</v>
      </c>
    </row>
    <row r="18" spans="3:3" x14ac:dyDescent="0.2">
      <c r="C18" s="179" t="s">
        <v>683</v>
      </c>
    </row>
    <row r="19" spans="3:3" x14ac:dyDescent="0.2">
      <c r="C19" s="89"/>
    </row>
    <row r="20" spans="3:3" x14ac:dyDescent="0.2">
      <c r="C20" s="89"/>
    </row>
  </sheetData>
  <mergeCells count="1">
    <mergeCell ref="C12:G12"/>
  </mergeCells>
  <hyperlinks>
    <hyperlink ref="D13" location="HL_Sheet_Main_46" tooltip="Go to Next Sheet" display="HL_Sheet_Main_46"/>
    <hyperlink ref="C13" location="HL_Sheet_Main_59" tooltip="Go to Previous Sheet" display="HL_Sheet_Main_59"/>
    <hyperlink ref="C12" location="HL_Home" tooltip="Go to Table of Contents" display="HL_Home"/>
  </hyperlinks>
  <pageMargins left="0.39370078740157499" right="0.39370078740157499" top="0.59055118110236204" bottom="0.98425196850393704" header="0" footer="0.31496062992126"/>
  <pageSetup paperSize="9" orientation="landscape" horizontalDpi="0" verticalDpi="0" r:id="rId1"/>
  <headerFooter>
    <oddFooter>&amp;L&amp;F
&amp;A
Printed: &amp;T on &amp;D&amp;CPage &amp;P of &amp;N</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7030A0"/>
    <pageSetUpPr autoPageBreaks="0"/>
  </sheetPr>
  <dimension ref="A1:N137"/>
  <sheetViews>
    <sheetView showGridLines="0" zoomScaleNormal="100" workbookViewId="0">
      <pane xSplit="1" ySplit="4" topLeftCell="B8" activePane="bottomRight" state="frozen"/>
      <selection pane="topRight"/>
      <selection pane="bottomLeft"/>
      <selection pane="bottomRight" activeCell="F4" sqref="F4"/>
    </sheetView>
  </sheetViews>
  <sheetFormatPr defaultColWidth="11.7109375" defaultRowHeight="12.75" x14ac:dyDescent="0.2"/>
  <cols>
    <col min="1" max="5" width="3.7109375" style="49" customWidth="1"/>
    <col min="6" max="16384" width="11.7109375" style="49"/>
  </cols>
  <sheetData>
    <row r="1" spans="1:14" ht="23.25" x14ac:dyDescent="0.2">
      <c r="A1" s="422"/>
      <c r="B1" s="100" t="s">
        <v>463</v>
      </c>
    </row>
    <row r="2" spans="1:14" ht="18.75" x14ac:dyDescent="0.2">
      <c r="B2" s="101" t="str">
        <f>Model_Name</f>
        <v>Zambia C4P* - Screening &amp; Treatment Tool</v>
      </c>
    </row>
    <row r="3" spans="1:14" x14ac:dyDescent="0.2">
      <c r="B3" s="716" t="s">
        <v>2</v>
      </c>
      <c r="C3" s="716"/>
      <c r="D3" s="716"/>
      <c r="E3" s="716"/>
      <c r="F3" s="716"/>
    </row>
    <row r="4" spans="1:14" x14ac:dyDescent="0.2">
      <c r="A4" s="102" t="s">
        <v>4</v>
      </c>
      <c r="B4" s="343" t="s">
        <v>6</v>
      </c>
      <c r="C4" s="344"/>
      <c r="D4" s="345" t="s">
        <v>27</v>
      </c>
      <c r="E4" s="346" t="s">
        <v>28</v>
      </c>
      <c r="F4" s="347" t="s">
        <v>29</v>
      </c>
    </row>
    <row r="5" spans="1:14" s="327" customFormat="1" x14ac:dyDescent="0.2"/>
    <row r="6" spans="1:14" s="327" customFormat="1" x14ac:dyDescent="0.2"/>
    <row r="7" spans="1:14" s="327" customFormat="1" ht="18.75" x14ac:dyDescent="0.2">
      <c r="B7" s="423" t="s">
        <v>425</v>
      </c>
    </row>
    <row r="8" spans="1:14" s="327" customFormat="1" x14ac:dyDescent="0.2"/>
    <row r="9" spans="1:14" s="327" customFormat="1" ht="15.75" x14ac:dyDescent="0.2">
      <c r="C9" s="6"/>
      <c r="D9" s="165" t="s">
        <v>426</v>
      </c>
      <c r="E9" s="6"/>
      <c r="F9" s="6"/>
      <c r="G9" s="6"/>
      <c r="H9" s="165" t="s">
        <v>427</v>
      </c>
      <c r="I9" s="6"/>
      <c r="J9" s="6"/>
      <c r="K9" s="6"/>
      <c r="L9" s="6"/>
      <c r="M9" s="983" t="s">
        <v>428</v>
      </c>
      <c r="N9" s="983"/>
    </row>
    <row r="10" spans="1:14" s="327" customFormat="1" ht="5.0999999999999996" customHeight="1" x14ac:dyDescent="0.2"/>
    <row r="11" spans="1:14" s="327" customFormat="1" ht="15" x14ac:dyDescent="0.2">
      <c r="D11" s="166" t="s">
        <v>429</v>
      </c>
    </row>
    <row r="12" spans="1:14" s="327" customFormat="1" ht="5.0999999999999996" customHeight="1" x14ac:dyDescent="0.2"/>
    <row r="13" spans="1:14" s="327" customFormat="1" ht="15" x14ac:dyDescent="0.2">
      <c r="D13" s="980" t="s">
        <v>430</v>
      </c>
      <c r="E13" s="980"/>
      <c r="F13" s="980"/>
      <c r="G13" s="980"/>
      <c r="H13" s="980" t="s">
        <v>431</v>
      </c>
      <c r="I13" s="980"/>
      <c r="J13" s="980"/>
      <c r="K13" s="980"/>
      <c r="L13" s="980"/>
      <c r="M13" s="984" t="s">
        <v>430</v>
      </c>
      <c r="N13" s="984"/>
    </row>
    <row r="14" spans="1:14" s="327" customFormat="1" ht="5.0999999999999996" customHeight="1" x14ac:dyDescent="0.2"/>
    <row r="15" spans="1:14" s="327" customFormat="1" ht="15" x14ac:dyDescent="0.2">
      <c r="D15" s="980" t="s">
        <v>432</v>
      </c>
      <c r="E15" s="980"/>
      <c r="F15" s="980"/>
      <c r="G15" s="980"/>
      <c r="H15" s="980" t="s">
        <v>433</v>
      </c>
      <c r="I15" s="980"/>
      <c r="J15" s="980"/>
      <c r="K15" s="980"/>
      <c r="L15" s="980"/>
      <c r="M15" s="981" t="s">
        <v>432</v>
      </c>
      <c r="N15" s="981"/>
    </row>
    <row r="16" spans="1:14" s="327" customFormat="1" ht="5.0999999999999996" customHeight="1" x14ac:dyDescent="0.2"/>
    <row r="17" spans="4:14" s="327" customFormat="1" ht="15" x14ac:dyDescent="0.2">
      <c r="D17" s="980" t="s">
        <v>434</v>
      </c>
      <c r="E17" s="980"/>
      <c r="F17" s="980"/>
      <c r="G17" s="980"/>
      <c r="H17" s="980" t="s">
        <v>435</v>
      </c>
      <c r="I17" s="980"/>
      <c r="J17" s="980"/>
      <c r="K17" s="980"/>
      <c r="L17" s="980"/>
      <c r="M17" s="982" t="s">
        <v>434</v>
      </c>
      <c r="N17" s="982"/>
    </row>
    <row r="18" spans="4:14" s="327" customFormat="1" x14ac:dyDescent="0.2">
      <c r="D18" s="980"/>
      <c r="E18" s="980"/>
      <c r="F18" s="980"/>
      <c r="G18" s="980"/>
      <c r="H18" s="980"/>
      <c r="I18" s="980"/>
      <c r="J18" s="980"/>
      <c r="K18" s="980"/>
      <c r="L18" s="980"/>
    </row>
    <row r="19" spans="4:14" s="327" customFormat="1" ht="5.0999999999999996" customHeight="1" x14ac:dyDescent="0.2"/>
    <row r="20" spans="4:14" s="327" customFormat="1" ht="15" x14ac:dyDescent="0.2">
      <c r="D20" s="980" t="s">
        <v>14</v>
      </c>
      <c r="E20" s="980"/>
      <c r="F20" s="980"/>
      <c r="G20" s="980"/>
      <c r="H20" s="980" t="s">
        <v>436</v>
      </c>
      <c r="I20" s="980"/>
      <c r="J20" s="980"/>
      <c r="K20" s="980"/>
      <c r="L20" s="980"/>
      <c r="M20" s="987" t="s">
        <v>14</v>
      </c>
      <c r="N20" s="987"/>
    </row>
    <row r="21" spans="4:14" s="327" customFormat="1" ht="5.0999999999999996" customHeight="1" x14ac:dyDescent="0.2"/>
    <row r="22" spans="4:14" s="327" customFormat="1" ht="5.0999999999999996" customHeight="1" x14ac:dyDescent="0.2"/>
    <row r="23" spans="4:14" s="327" customFormat="1" x14ac:dyDescent="0.2">
      <c r="D23" s="980" t="s">
        <v>437</v>
      </c>
      <c r="E23" s="980"/>
      <c r="F23" s="980"/>
      <c r="G23" s="980"/>
      <c r="H23" s="980" t="s">
        <v>438</v>
      </c>
      <c r="I23" s="980"/>
      <c r="J23" s="980"/>
      <c r="K23" s="980"/>
      <c r="L23" s="980"/>
      <c r="M23" s="988" t="s">
        <v>437</v>
      </c>
      <c r="N23" s="988"/>
    </row>
    <row r="24" spans="4:14" s="327" customFormat="1" x14ac:dyDescent="0.2">
      <c r="D24" s="980"/>
      <c r="E24" s="980"/>
      <c r="F24" s="980"/>
      <c r="G24" s="980"/>
      <c r="H24" s="980"/>
      <c r="I24" s="980"/>
      <c r="J24" s="980"/>
      <c r="K24" s="980"/>
      <c r="L24" s="980"/>
    </row>
    <row r="25" spans="4:14" s="327" customFormat="1" ht="5.0999999999999996" customHeight="1" x14ac:dyDescent="0.2"/>
    <row r="26" spans="4:14" s="327" customFormat="1" ht="15" x14ac:dyDescent="0.2">
      <c r="D26" s="166" t="s">
        <v>439</v>
      </c>
    </row>
    <row r="27" spans="4:14" s="327" customFormat="1" ht="5.0999999999999996" customHeight="1" x14ac:dyDescent="0.2"/>
    <row r="28" spans="4:14" s="327" customFormat="1" x14ac:dyDescent="0.2">
      <c r="D28" s="980" t="s">
        <v>440</v>
      </c>
      <c r="E28" s="980"/>
      <c r="F28" s="980"/>
      <c r="G28" s="980"/>
      <c r="H28" s="980" t="s">
        <v>441</v>
      </c>
      <c r="I28" s="980"/>
      <c r="J28" s="980"/>
      <c r="K28" s="980"/>
      <c r="L28" s="980"/>
      <c r="M28" s="985"/>
      <c r="N28" s="986"/>
    </row>
    <row r="29" spans="4:14" s="327" customFormat="1" ht="5.0999999999999996" customHeight="1" x14ac:dyDescent="0.2"/>
    <row r="30" spans="4:14" s="327" customFormat="1" x14ac:dyDescent="0.2">
      <c r="D30" s="980" t="s">
        <v>442</v>
      </c>
      <c r="E30" s="980"/>
      <c r="F30" s="980"/>
      <c r="G30" s="980"/>
      <c r="H30" s="980" t="s">
        <v>443</v>
      </c>
      <c r="I30" s="980"/>
      <c r="J30" s="980"/>
      <c r="K30" s="980"/>
      <c r="L30" s="980"/>
      <c r="M30" s="985"/>
      <c r="N30" s="986"/>
    </row>
    <row r="31" spans="4:14" s="327" customFormat="1" x14ac:dyDescent="0.2">
      <c r="D31" s="980"/>
      <c r="E31" s="980"/>
      <c r="F31" s="980"/>
      <c r="G31" s="980"/>
      <c r="H31" s="980"/>
      <c r="I31" s="980"/>
      <c r="J31" s="980"/>
      <c r="K31" s="980"/>
      <c r="L31" s="980"/>
    </row>
    <row r="32" spans="4:14" s="327" customFormat="1" ht="5.0999999999999996" customHeight="1" x14ac:dyDescent="0.2"/>
    <row r="33" spans="3:14" s="327" customFormat="1" x14ac:dyDescent="0.2">
      <c r="D33" s="980" t="s">
        <v>444</v>
      </c>
      <c r="E33" s="980"/>
      <c r="F33" s="980"/>
      <c r="G33" s="980"/>
      <c r="H33" s="980" t="s">
        <v>445</v>
      </c>
      <c r="I33" s="980"/>
      <c r="J33" s="980"/>
      <c r="K33" s="980"/>
      <c r="L33" s="980"/>
      <c r="M33" s="985"/>
      <c r="N33" s="986"/>
    </row>
    <row r="34" spans="3:14" s="327" customFormat="1" x14ac:dyDescent="0.2">
      <c r="D34" s="980"/>
      <c r="E34" s="980"/>
      <c r="F34" s="980"/>
      <c r="G34" s="980"/>
      <c r="H34" s="980"/>
      <c r="I34" s="980"/>
      <c r="J34" s="980"/>
      <c r="K34" s="980"/>
      <c r="L34" s="980"/>
    </row>
    <row r="35" spans="3:14" s="327" customFormat="1" ht="5.0999999999999996" customHeight="1" x14ac:dyDescent="0.2">
      <c r="C35" s="6"/>
      <c r="D35" s="6"/>
      <c r="E35" s="6"/>
      <c r="F35" s="6"/>
      <c r="G35" s="6"/>
      <c r="H35" s="6"/>
      <c r="I35" s="6"/>
      <c r="J35" s="6"/>
      <c r="K35" s="6"/>
      <c r="L35" s="6"/>
      <c r="M35" s="6"/>
      <c r="N35" s="6"/>
    </row>
    <row r="36" spans="3:14" s="327" customFormat="1" x14ac:dyDescent="0.2"/>
    <row r="37" spans="3:14" s="327" customFormat="1" x14ac:dyDescent="0.2"/>
    <row r="38" spans="3:14" s="327" customFormat="1" ht="15.75" x14ac:dyDescent="0.2">
      <c r="C38" s="6"/>
      <c r="D38" s="165" t="s">
        <v>446</v>
      </c>
      <c r="E38" s="6"/>
      <c r="F38" s="6"/>
      <c r="G38" s="6"/>
      <c r="H38" s="165" t="s">
        <v>447</v>
      </c>
      <c r="I38" s="6"/>
      <c r="J38" s="6"/>
      <c r="K38" s="6"/>
      <c r="L38" s="6"/>
      <c r="M38" s="983" t="s">
        <v>428</v>
      </c>
      <c r="N38" s="983"/>
    </row>
    <row r="39" spans="3:14" s="327" customFormat="1" ht="5.0999999999999996" customHeight="1" x14ac:dyDescent="0.2"/>
    <row r="40" spans="3:14" s="327" customFormat="1" x14ac:dyDescent="0.2">
      <c r="D40" s="980" t="s">
        <v>448</v>
      </c>
      <c r="E40" s="980"/>
      <c r="F40" s="980"/>
      <c r="G40" s="980"/>
      <c r="H40" s="980" t="s">
        <v>449</v>
      </c>
      <c r="I40" s="980"/>
      <c r="J40" s="980"/>
      <c r="K40" s="980"/>
      <c r="L40" s="980"/>
      <c r="M40" s="988" t="s">
        <v>450</v>
      </c>
      <c r="N40" s="988"/>
    </row>
    <row r="41" spans="3:14" s="327" customFormat="1" ht="5.0999999999999996" customHeight="1" x14ac:dyDescent="0.2"/>
    <row r="42" spans="3:14" s="327" customFormat="1" x14ac:dyDescent="0.2">
      <c r="D42" s="980" t="s">
        <v>451</v>
      </c>
      <c r="E42" s="980"/>
      <c r="F42" s="980"/>
      <c r="G42" s="980"/>
      <c r="H42" s="980" t="s">
        <v>452</v>
      </c>
      <c r="I42" s="980"/>
      <c r="J42" s="980"/>
      <c r="K42" s="980"/>
      <c r="L42" s="980"/>
      <c r="M42" s="988" t="s">
        <v>453</v>
      </c>
      <c r="N42" s="988"/>
    </row>
    <row r="43" spans="3:14" s="327" customFormat="1" ht="5.0999999999999996" customHeight="1" x14ac:dyDescent="0.2"/>
    <row r="44" spans="3:14" s="327" customFormat="1" x14ac:dyDescent="0.2">
      <c r="D44" s="980" t="s">
        <v>454</v>
      </c>
      <c r="E44" s="980"/>
      <c r="F44" s="980"/>
      <c r="G44" s="980"/>
      <c r="H44" s="980" t="s">
        <v>455</v>
      </c>
      <c r="I44" s="980"/>
      <c r="J44" s="980"/>
      <c r="K44" s="980"/>
      <c r="L44" s="980"/>
      <c r="M44" s="988" t="s">
        <v>456</v>
      </c>
      <c r="N44" s="988"/>
    </row>
    <row r="45" spans="3:14" s="327" customFormat="1" ht="5.0999999999999996" customHeight="1" x14ac:dyDescent="0.2"/>
    <row r="46" spans="3:14" s="327" customFormat="1" x14ac:dyDescent="0.2">
      <c r="D46" s="980" t="s">
        <v>457</v>
      </c>
      <c r="E46" s="980"/>
      <c r="F46" s="980"/>
      <c r="G46" s="980"/>
      <c r="H46" s="980" t="s">
        <v>458</v>
      </c>
      <c r="I46" s="980"/>
      <c r="J46" s="980"/>
      <c r="K46" s="980"/>
      <c r="L46" s="980"/>
      <c r="M46" s="989" t="s">
        <v>4</v>
      </c>
      <c r="N46" s="989"/>
    </row>
    <row r="47" spans="3:14" s="327" customFormat="1" ht="5.0999999999999996" customHeight="1" x14ac:dyDescent="0.2"/>
    <row r="48" spans="3:14" s="327" customFormat="1" x14ac:dyDescent="0.2">
      <c r="D48" s="980" t="s">
        <v>459</v>
      </c>
      <c r="E48" s="980"/>
      <c r="F48" s="980"/>
      <c r="G48" s="980"/>
      <c r="H48" s="980" t="s">
        <v>460</v>
      </c>
      <c r="I48" s="980"/>
      <c r="J48" s="980"/>
      <c r="K48" s="980"/>
      <c r="L48" s="980"/>
      <c r="M48" s="989" t="s">
        <v>6</v>
      </c>
      <c r="N48" s="989"/>
    </row>
    <row r="49" spans="2:14" s="327" customFormat="1" ht="5.0999999999999996" customHeight="1" x14ac:dyDescent="0.2"/>
    <row r="50" spans="2:14" s="327" customFormat="1" x14ac:dyDescent="0.2">
      <c r="D50" s="980" t="s">
        <v>461</v>
      </c>
      <c r="E50" s="980"/>
      <c r="F50" s="980"/>
      <c r="G50" s="980"/>
      <c r="H50" s="980" t="s">
        <v>462</v>
      </c>
      <c r="I50" s="980"/>
      <c r="J50" s="980"/>
      <c r="K50" s="980"/>
      <c r="L50" s="980"/>
      <c r="M50" s="989" t="s">
        <v>7</v>
      </c>
      <c r="N50" s="989"/>
    </row>
    <row r="51" spans="2:14" s="327" customFormat="1" ht="5.0999999999999996" customHeight="1" x14ac:dyDescent="0.2">
      <c r="C51" s="6"/>
      <c r="D51" s="6"/>
      <c r="E51" s="6"/>
      <c r="F51" s="6"/>
      <c r="G51" s="6"/>
      <c r="H51" s="6"/>
      <c r="I51" s="6"/>
      <c r="J51" s="6"/>
      <c r="K51" s="6"/>
      <c r="L51" s="6"/>
      <c r="M51" s="6"/>
      <c r="N51" s="6"/>
    </row>
    <row r="54" spans="2:14" ht="18.75" x14ac:dyDescent="0.2">
      <c r="B54" s="423" t="s">
        <v>464</v>
      </c>
    </row>
    <row r="56" spans="2:14" ht="15.75" x14ac:dyDescent="0.2">
      <c r="C56" s="6"/>
      <c r="D56" s="165" t="s">
        <v>465</v>
      </c>
      <c r="E56" s="6"/>
      <c r="F56" s="6"/>
      <c r="G56" s="6"/>
      <c r="H56" s="165" t="s">
        <v>466</v>
      </c>
      <c r="I56" s="6"/>
      <c r="J56" s="6"/>
      <c r="K56" s="6"/>
      <c r="L56" s="6"/>
      <c r="M56" s="983" t="s">
        <v>467</v>
      </c>
      <c r="N56" s="983"/>
    </row>
    <row r="57" spans="2:14" ht="5.0999999999999996" customHeight="1" x14ac:dyDescent="0.2"/>
    <row r="58" spans="2:14" x14ac:dyDescent="0.2">
      <c r="D58" s="980" t="s">
        <v>468</v>
      </c>
      <c r="E58" s="980"/>
      <c r="F58" s="980"/>
      <c r="G58" s="980"/>
      <c r="H58" s="980" t="s">
        <v>469</v>
      </c>
      <c r="I58" s="980"/>
      <c r="J58" s="980"/>
      <c r="K58" s="980"/>
      <c r="L58" s="980"/>
      <c r="M58" s="990" t="s">
        <v>470</v>
      </c>
      <c r="N58" s="990"/>
    </row>
    <row r="59" spans="2:14" ht="5.0999999999999996" customHeight="1" x14ac:dyDescent="0.2"/>
    <row r="60" spans="2:14" x14ac:dyDescent="0.2">
      <c r="D60" s="980" t="s">
        <v>471</v>
      </c>
      <c r="E60" s="980"/>
      <c r="F60" s="980"/>
      <c r="G60" s="980"/>
      <c r="H60" s="980" t="s">
        <v>472</v>
      </c>
      <c r="I60" s="980"/>
      <c r="J60" s="980"/>
      <c r="K60" s="980"/>
      <c r="L60" s="980"/>
      <c r="M60" s="990" t="s">
        <v>473</v>
      </c>
      <c r="N60" s="990"/>
    </row>
    <row r="61" spans="2:14" ht="5.0999999999999996" customHeight="1" x14ac:dyDescent="0.2">
      <c r="C61" s="167"/>
      <c r="D61" s="167"/>
      <c r="E61" s="167"/>
      <c r="F61" s="167"/>
      <c r="G61" s="167"/>
      <c r="H61" s="167"/>
      <c r="I61" s="167"/>
      <c r="J61" s="167"/>
      <c r="K61" s="167"/>
      <c r="L61" s="167"/>
      <c r="M61" s="167"/>
      <c r="N61" s="167"/>
    </row>
    <row r="62" spans="2:14" ht="5.0999999999999996" customHeight="1" x14ac:dyDescent="0.2"/>
    <row r="63" spans="2:14" x14ac:dyDescent="0.2">
      <c r="D63" s="980" t="s">
        <v>474</v>
      </c>
      <c r="E63" s="980"/>
      <c r="F63" s="980"/>
      <c r="G63" s="980"/>
      <c r="H63" s="980" t="s">
        <v>475</v>
      </c>
      <c r="I63" s="980"/>
      <c r="J63" s="980"/>
      <c r="K63" s="980"/>
      <c r="L63" s="980"/>
      <c r="M63" s="990" t="s">
        <v>476</v>
      </c>
      <c r="N63" s="990"/>
    </row>
    <row r="64" spans="2:14" ht="5.0999999999999996" customHeight="1" x14ac:dyDescent="0.2"/>
    <row r="65" spans="3:14" x14ac:dyDescent="0.2">
      <c r="D65" s="980" t="s">
        <v>477</v>
      </c>
      <c r="E65" s="980"/>
      <c r="F65" s="980"/>
      <c r="G65" s="980"/>
      <c r="H65" s="980" t="s">
        <v>478</v>
      </c>
      <c r="I65" s="980"/>
      <c r="J65" s="980"/>
      <c r="K65" s="980"/>
      <c r="L65" s="980"/>
      <c r="M65" s="990" t="s">
        <v>479</v>
      </c>
      <c r="N65" s="990"/>
    </row>
    <row r="66" spans="3:14" ht="5.0999999999999996" customHeight="1" x14ac:dyDescent="0.2">
      <c r="C66" s="167"/>
      <c r="D66" s="167"/>
      <c r="E66" s="167"/>
      <c r="F66" s="167"/>
      <c r="G66" s="167"/>
      <c r="H66" s="167"/>
      <c r="I66" s="167"/>
      <c r="J66" s="167"/>
      <c r="K66" s="167"/>
      <c r="L66" s="167"/>
      <c r="M66" s="167"/>
      <c r="N66" s="167"/>
    </row>
    <row r="67" spans="3:14" ht="5.0999999999999996" customHeight="1" x14ac:dyDescent="0.2"/>
    <row r="68" spans="3:14" x14ac:dyDescent="0.2">
      <c r="D68" s="980" t="s">
        <v>480</v>
      </c>
      <c r="E68" s="980"/>
      <c r="F68" s="980"/>
      <c r="G68" s="980"/>
      <c r="H68" s="980" t="s">
        <v>481</v>
      </c>
      <c r="I68" s="980"/>
      <c r="J68" s="980"/>
      <c r="K68" s="980"/>
      <c r="L68" s="980"/>
      <c r="M68" s="990" t="s">
        <v>482</v>
      </c>
      <c r="N68" s="990"/>
    </row>
    <row r="69" spans="3:14" ht="5.0999999999999996" customHeight="1" x14ac:dyDescent="0.2"/>
    <row r="70" spans="3:14" x14ac:dyDescent="0.2">
      <c r="D70" s="980" t="s">
        <v>483</v>
      </c>
      <c r="E70" s="980"/>
      <c r="F70" s="980"/>
      <c r="G70" s="980"/>
      <c r="H70" s="980" t="s">
        <v>484</v>
      </c>
      <c r="I70" s="980"/>
      <c r="J70" s="980"/>
      <c r="K70" s="980"/>
      <c r="L70" s="980"/>
      <c r="M70" s="990" t="s">
        <v>485</v>
      </c>
      <c r="N70" s="990"/>
    </row>
    <row r="71" spans="3:14" x14ac:dyDescent="0.2">
      <c r="D71" s="980"/>
      <c r="E71" s="980"/>
      <c r="F71" s="980"/>
      <c r="G71" s="980"/>
      <c r="H71" s="980"/>
      <c r="I71" s="980"/>
      <c r="J71" s="980"/>
      <c r="K71" s="980"/>
      <c r="L71" s="980"/>
    </row>
    <row r="72" spans="3:14" ht="5.0999999999999996" customHeight="1" x14ac:dyDescent="0.2">
      <c r="C72" s="167"/>
      <c r="D72" s="167"/>
      <c r="E72" s="167"/>
      <c r="F72" s="167"/>
      <c r="G72" s="167"/>
      <c r="H72" s="167"/>
      <c r="I72" s="167"/>
      <c r="J72" s="167"/>
      <c r="K72" s="167"/>
      <c r="L72" s="167"/>
      <c r="M72" s="167"/>
      <c r="N72" s="167"/>
    </row>
    <row r="73" spans="3:14" ht="5.0999999999999996" customHeight="1" x14ac:dyDescent="0.2"/>
    <row r="74" spans="3:14" x14ac:dyDescent="0.2">
      <c r="D74" s="980" t="s">
        <v>486</v>
      </c>
      <c r="E74" s="980"/>
      <c r="F74" s="980"/>
      <c r="G74" s="980"/>
      <c r="H74" s="980" t="s">
        <v>487</v>
      </c>
      <c r="I74" s="980"/>
      <c r="J74" s="980"/>
      <c r="K74" s="980"/>
      <c r="L74" s="980"/>
      <c r="M74" s="990" t="s">
        <v>488</v>
      </c>
      <c r="N74" s="990"/>
    </row>
    <row r="75" spans="3:14" ht="5.0999999999999996" customHeight="1" x14ac:dyDescent="0.2"/>
    <row r="76" spans="3:14" x14ac:dyDescent="0.2">
      <c r="D76" s="980" t="s">
        <v>489</v>
      </c>
      <c r="E76" s="980"/>
      <c r="F76" s="980"/>
      <c r="G76" s="980"/>
      <c r="H76" s="980" t="s">
        <v>490</v>
      </c>
      <c r="I76" s="980"/>
      <c r="J76" s="980"/>
      <c r="K76" s="980"/>
      <c r="L76" s="980"/>
      <c r="M76" s="990" t="s">
        <v>491</v>
      </c>
      <c r="N76" s="990"/>
    </row>
    <row r="77" spans="3:14" x14ac:dyDescent="0.2">
      <c r="D77" s="980"/>
      <c r="E77" s="980"/>
      <c r="F77" s="980"/>
      <c r="G77" s="980"/>
      <c r="H77" s="980"/>
      <c r="I77" s="980"/>
      <c r="J77" s="980"/>
      <c r="K77" s="980"/>
      <c r="L77" s="980"/>
    </row>
    <row r="78" spans="3:14" ht="5.0999999999999996" customHeight="1" x14ac:dyDescent="0.2">
      <c r="C78" s="167"/>
      <c r="D78" s="167"/>
      <c r="E78" s="167"/>
      <c r="F78" s="167"/>
      <c r="G78" s="167"/>
      <c r="H78" s="167"/>
      <c r="I78" s="167"/>
      <c r="J78" s="167"/>
      <c r="K78" s="167"/>
      <c r="L78" s="167"/>
      <c r="M78" s="167"/>
      <c r="N78" s="167"/>
    </row>
    <row r="79" spans="3:14" ht="5.0999999999999996" customHeight="1" x14ac:dyDescent="0.2"/>
    <row r="80" spans="3:14" x14ac:dyDescent="0.2">
      <c r="D80" s="980" t="s">
        <v>492</v>
      </c>
      <c r="E80" s="980"/>
      <c r="F80" s="980"/>
      <c r="G80" s="980"/>
      <c r="H80" s="980" t="s">
        <v>493</v>
      </c>
      <c r="I80" s="980"/>
      <c r="J80" s="980"/>
      <c r="K80" s="980"/>
      <c r="L80" s="980"/>
      <c r="M80" s="990" t="s">
        <v>494</v>
      </c>
      <c r="N80" s="990"/>
    </row>
    <row r="81" spans="3:14" x14ac:dyDescent="0.2">
      <c r="D81" s="980"/>
      <c r="E81" s="980"/>
      <c r="F81" s="980"/>
      <c r="G81" s="980"/>
      <c r="H81" s="980"/>
      <c r="I81" s="980"/>
      <c r="J81" s="980"/>
      <c r="K81" s="980"/>
      <c r="L81" s="980"/>
    </row>
    <row r="82" spans="3:14" ht="5.0999999999999996" customHeight="1" x14ac:dyDescent="0.2">
      <c r="C82" s="167"/>
      <c r="D82" s="167"/>
      <c r="E82" s="167"/>
      <c r="F82" s="167"/>
      <c r="G82" s="167"/>
      <c r="H82" s="167"/>
      <c r="I82" s="167"/>
      <c r="J82" s="167"/>
      <c r="K82" s="167"/>
      <c r="L82" s="167"/>
      <c r="M82" s="167"/>
      <c r="N82" s="167"/>
    </row>
    <row r="83" spans="3:14" ht="5.0999999999999996" customHeight="1" x14ac:dyDescent="0.2"/>
    <row r="84" spans="3:14" x14ac:dyDescent="0.2">
      <c r="D84" s="980" t="s">
        <v>495</v>
      </c>
      <c r="E84" s="980"/>
      <c r="F84" s="980"/>
      <c r="G84" s="980"/>
      <c r="H84" s="980" t="s">
        <v>496</v>
      </c>
      <c r="I84" s="980"/>
      <c r="J84" s="980"/>
      <c r="K84" s="980"/>
      <c r="L84" s="980"/>
      <c r="M84" s="990" t="s">
        <v>497</v>
      </c>
      <c r="N84" s="990"/>
    </row>
    <row r="85" spans="3:14" ht="5.0999999999999996" customHeight="1" x14ac:dyDescent="0.2">
      <c r="C85" s="167"/>
      <c r="D85" s="167"/>
      <c r="E85" s="167"/>
      <c r="F85" s="167"/>
      <c r="G85" s="167"/>
      <c r="H85" s="167"/>
      <c r="I85" s="167"/>
      <c r="J85" s="167"/>
      <c r="K85" s="167"/>
      <c r="L85" s="167"/>
      <c r="M85" s="167"/>
      <c r="N85" s="167"/>
    </row>
    <row r="86" spans="3:14" ht="5.0999999999999996" customHeight="1" x14ac:dyDescent="0.2"/>
    <row r="87" spans="3:14" x14ac:dyDescent="0.2">
      <c r="D87" s="980" t="s">
        <v>498</v>
      </c>
      <c r="E87" s="980"/>
      <c r="F87" s="980"/>
      <c r="G87" s="980"/>
      <c r="H87" s="980" t="s">
        <v>499</v>
      </c>
      <c r="I87" s="980"/>
      <c r="J87" s="980"/>
      <c r="K87" s="980"/>
      <c r="L87" s="980"/>
      <c r="M87" s="990" t="s">
        <v>500</v>
      </c>
      <c r="N87" s="990"/>
    </row>
    <row r="88" spans="3:14" ht="5.0999999999999996" customHeight="1" x14ac:dyDescent="0.2">
      <c r="C88" s="6"/>
      <c r="D88" s="6"/>
      <c r="E88" s="6"/>
      <c r="F88" s="6"/>
      <c r="G88" s="6"/>
      <c r="H88" s="6"/>
      <c r="I88" s="6"/>
      <c r="J88" s="6"/>
      <c r="K88" s="6"/>
      <c r="L88" s="6"/>
      <c r="M88" s="6"/>
      <c r="N88" s="6"/>
    </row>
    <row r="89" spans="3:14" ht="5.0999999999999996" customHeight="1" x14ac:dyDescent="0.2"/>
    <row r="90" spans="3:14" x14ac:dyDescent="0.2">
      <c r="D90" s="980" t="s">
        <v>501</v>
      </c>
      <c r="E90" s="980"/>
      <c r="F90" s="980"/>
      <c r="G90" s="980"/>
      <c r="H90" s="980" t="s">
        <v>502</v>
      </c>
      <c r="I90" s="980"/>
      <c r="J90" s="980"/>
      <c r="K90" s="980"/>
      <c r="L90" s="980"/>
      <c r="M90" s="990" t="s">
        <v>503</v>
      </c>
      <c r="N90" s="990"/>
    </row>
    <row r="91" spans="3:14" x14ac:dyDescent="0.2">
      <c r="D91" s="980"/>
      <c r="E91" s="980"/>
      <c r="F91" s="980"/>
      <c r="G91" s="980"/>
      <c r="H91" s="980"/>
      <c r="I91" s="980"/>
      <c r="J91" s="980"/>
      <c r="K91" s="980"/>
      <c r="L91" s="980"/>
    </row>
    <row r="92" spans="3:14" ht="5.0999999999999996" customHeight="1" x14ac:dyDescent="0.2"/>
    <row r="93" spans="3:14" x14ac:dyDescent="0.2">
      <c r="D93" s="980" t="s">
        <v>504</v>
      </c>
      <c r="E93" s="980"/>
      <c r="F93" s="980"/>
      <c r="G93" s="980"/>
      <c r="H93" s="980" t="s">
        <v>505</v>
      </c>
      <c r="I93" s="980"/>
      <c r="J93" s="980"/>
      <c r="K93" s="980"/>
      <c r="L93" s="980"/>
      <c r="M93" s="990" t="s">
        <v>506</v>
      </c>
      <c r="N93" s="990"/>
    </row>
    <row r="94" spans="3:14" x14ac:dyDescent="0.2">
      <c r="D94" s="980"/>
      <c r="E94" s="980"/>
      <c r="F94" s="980"/>
      <c r="G94" s="980"/>
      <c r="H94" s="980"/>
      <c r="I94" s="980"/>
      <c r="J94" s="980"/>
      <c r="K94" s="980"/>
      <c r="L94" s="980"/>
    </row>
    <row r="95" spans="3:14" ht="5.0999999999999996" customHeight="1" x14ac:dyDescent="0.2">
      <c r="C95" s="167"/>
      <c r="D95" s="167"/>
      <c r="E95" s="167"/>
      <c r="F95" s="167"/>
      <c r="G95" s="167"/>
      <c r="H95" s="167"/>
      <c r="I95" s="167"/>
      <c r="J95" s="167"/>
      <c r="K95" s="167"/>
      <c r="L95" s="167"/>
      <c r="M95" s="167"/>
      <c r="N95" s="167"/>
    </row>
    <row r="96" spans="3:14" ht="5.0999999999999996" customHeight="1" x14ac:dyDescent="0.2"/>
    <row r="97" spans="2:14" x14ac:dyDescent="0.2">
      <c r="D97" s="980" t="s">
        <v>507</v>
      </c>
      <c r="E97" s="980"/>
      <c r="F97" s="980"/>
      <c r="G97" s="980"/>
      <c r="H97" s="980" t="s">
        <v>508</v>
      </c>
      <c r="I97" s="980"/>
      <c r="J97" s="980"/>
      <c r="K97" s="980"/>
      <c r="L97" s="980"/>
      <c r="M97" s="990" t="s">
        <v>509</v>
      </c>
      <c r="N97" s="990"/>
    </row>
    <row r="98" spans="2:14" x14ac:dyDescent="0.2">
      <c r="D98" s="980"/>
      <c r="E98" s="980"/>
      <c r="F98" s="980"/>
      <c r="G98" s="980"/>
      <c r="H98" s="980"/>
      <c r="I98" s="980"/>
      <c r="J98" s="980"/>
      <c r="K98" s="980"/>
      <c r="L98" s="980"/>
    </row>
    <row r="99" spans="2:14" ht="5.0999999999999996" customHeight="1" x14ac:dyDescent="0.2">
      <c r="C99" s="6"/>
      <c r="D99" s="6"/>
      <c r="E99" s="6"/>
      <c r="F99" s="6"/>
      <c r="G99" s="6"/>
      <c r="H99" s="6"/>
      <c r="I99" s="6"/>
      <c r="J99" s="6"/>
      <c r="K99" s="6"/>
      <c r="L99" s="6"/>
      <c r="M99" s="6"/>
      <c r="N99" s="6"/>
    </row>
    <row r="101" spans="2:14" ht="15" x14ac:dyDescent="0.2">
      <c r="C101" s="166" t="s">
        <v>424</v>
      </c>
    </row>
    <row r="102" spans="2:14" x14ac:dyDescent="0.2">
      <c r="C102" s="168" t="s">
        <v>510</v>
      </c>
    </row>
    <row r="103" spans="2:14" x14ac:dyDescent="0.2">
      <c r="C103" s="168" t="s">
        <v>511</v>
      </c>
    </row>
    <row r="106" spans="2:14" ht="18.75" x14ac:dyDescent="0.2">
      <c r="B106" s="423" t="s">
        <v>512</v>
      </c>
    </row>
    <row r="108" spans="2:14" ht="15.75" x14ac:dyDescent="0.2">
      <c r="C108" s="6"/>
      <c r="D108" s="165" t="s">
        <v>513</v>
      </c>
      <c r="E108" s="6"/>
      <c r="F108" s="6"/>
      <c r="G108" s="6"/>
      <c r="H108" s="165" t="s">
        <v>514</v>
      </c>
      <c r="I108" s="6"/>
      <c r="J108" s="6"/>
      <c r="K108" s="6"/>
      <c r="L108" s="6"/>
      <c r="M108" s="983" t="s">
        <v>515</v>
      </c>
      <c r="N108" s="983"/>
    </row>
    <row r="109" spans="2:14" ht="5.0999999999999996" customHeight="1" x14ac:dyDescent="0.2"/>
    <row r="110" spans="2:14" x14ac:dyDescent="0.2">
      <c r="D110" s="991" t="s">
        <v>516</v>
      </c>
      <c r="E110" s="991"/>
      <c r="F110" s="991"/>
      <c r="G110" s="991"/>
      <c r="H110" s="991" t="s">
        <v>517</v>
      </c>
      <c r="I110" s="991"/>
      <c r="J110" s="991"/>
      <c r="K110" s="991"/>
      <c r="L110" s="991"/>
      <c r="M110" s="992" t="s">
        <v>518</v>
      </c>
      <c r="N110" s="992"/>
    </row>
    <row r="111" spans="2:14" ht="5.0999999999999996" customHeight="1" x14ac:dyDescent="0.2"/>
    <row r="112" spans="2:14" x14ac:dyDescent="0.2">
      <c r="D112" s="991" t="s">
        <v>519</v>
      </c>
      <c r="E112" s="991"/>
      <c r="F112" s="991"/>
      <c r="G112" s="991"/>
      <c r="H112" s="991" t="s">
        <v>520</v>
      </c>
      <c r="I112" s="991"/>
      <c r="J112" s="991"/>
      <c r="K112" s="991"/>
      <c r="L112" s="991"/>
      <c r="M112" s="992" t="s">
        <v>521</v>
      </c>
      <c r="N112" s="992"/>
    </row>
    <row r="113" spans="4:14" ht="5.0999999999999996" customHeight="1" x14ac:dyDescent="0.2"/>
    <row r="114" spans="4:14" x14ac:dyDescent="0.2">
      <c r="D114" s="991" t="s">
        <v>522</v>
      </c>
      <c r="E114" s="991"/>
      <c r="F114" s="991"/>
      <c r="G114" s="991"/>
      <c r="H114" s="991" t="s">
        <v>523</v>
      </c>
      <c r="I114" s="991"/>
      <c r="J114" s="991"/>
      <c r="K114" s="991"/>
      <c r="L114" s="991"/>
      <c r="M114" s="992" t="s">
        <v>524</v>
      </c>
      <c r="N114" s="992"/>
    </row>
    <row r="115" spans="4:14" ht="5.0999999999999996" customHeight="1" x14ac:dyDescent="0.2"/>
    <row r="116" spans="4:14" x14ac:dyDescent="0.2">
      <c r="D116" s="991" t="s">
        <v>525</v>
      </c>
      <c r="E116" s="991"/>
      <c r="F116" s="991"/>
      <c r="G116" s="991"/>
      <c r="H116" s="991" t="s">
        <v>526</v>
      </c>
      <c r="I116" s="991"/>
      <c r="J116" s="991"/>
      <c r="K116" s="991"/>
      <c r="L116" s="991"/>
      <c r="M116" s="992" t="s">
        <v>527</v>
      </c>
      <c r="N116" s="992"/>
    </row>
    <row r="117" spans="4:14" ht="5.0999999999999996" customHeight="1" x14ac:dyDescent="0.2"/>
    <row r="118" spans="4:14" x14ac:dyDescent="0.2">
      <c r="D118" s="991" t="s">
        <v>528</v>
      </c>
      <c r="E118" s="991"/>
      <c r="F118" s="991"/>
      <c r="G118" s="991"/>
      <c r="H118" s="991" t="s">
        <v>529</v>
      </c>
      <c r="I118" s="991"/>
      <c r="J118" s="991"/>
      <c r="K118" s="991"/>
      <c r="L118" s="991"/>
      <c r="M118" s="992" t="s">
        <v>530</v>
      </c>
      <c r="N118" s="992"/>
    </row>
    <row r="119" spans="4:14" ht="5.0999999999999996" customHeight="1" x14ac:dyDescent="0.2"/>
    <row r="120" spans="4:14" x14ac:dyDescent="0.2">
      <c r="D120" s="991" t="s">
        <v>531</v>
      </c>
      <c r="E120" s="991"/>
      <c r="F120" s="991"/>
      <c r="G120" s="991"/>
      <c r="H120" s="991" t="s">
        <v>532</v>
      </c>
      <c r="I120" s="991"/>
      <c r="J120" s="991"/>
      <c r="K120" s="991"/>
      <c r="L120" s="991"/>
      <c r="M120" s="992" t="s">
        <v>533</v>
      </c>
      <c r="N120" s="992"/>
    </row>
    <row r="121" spans="4:14" ht="5.0999999999999996" customHeight="1" x14ac:dyDescent="0.2"/>
    <row r="122" spans="4:14" x14ac:dyDescent="0.2">
      <c r="D122" s="991" t="s">
        <v>437</v>
      </c>
      <c r="E122" s="991"/>
      <c r="F122" s="991"/>
      <c r="G122" s="991"/>
      <c r="H122" s="991" t="s">
        <v>534</v>
      </c>
      <c r="I122" s="991"/>
      <c r="J122" s="991"/>
      <c r="K122" s="991"/>
      <c r="L122" s="991"/>
      <c r="M122" s="992" t="s">
        <v>535</v>
      </c>
      <c r="N122" s="992"/>
    </row>
    <row r="123" spans="4:14" ht="5.0999999999999996" customHeight="1" x14ac:dyDescent="0.2"/>
    <row r="124" spans="4:14" x14ac:dyDescent="0.2">
      <c r="D124" s="991" t="s">
        <v>536</v>
      </c>
      <c r="E124" s="991"/>
      <c r="F124" s="991"/>
      <c r="G124" s="991"/>
      <c r="H124" s="991" t="s">
        <v>537</v>
      </c>
      <c r="I124" s="991"/>
      <c r="J124" s="991"/>
      <c r="K124" s="991"/>
      <c r="L124" s="991"/>
      <c r="M124" s="992" t="s">
        <v>538</v>
      </c>
      <c r="N124" s="992"/>
    </row>
    <row r="125" spans="4:14" ht="5.0999999999999996" customHeight="1" x14ac:dyDescent="0.2"/>
    <row r="126" spans="4:14" x14ac:dyDescent="0.2">
      <c r="D126" s="991" t="s">
        <v>539</v>
      </c>
      <c r="E126" s="991"/>
      <c r="F126" s="991"/>
      <c r="G126" s="991"/>
      <c r="H126" s="991" t="s">
        <v>540</v>
      </c>
      <c r="I126" s="991"/>
      <c r="J126" s="991"/>
      <c r="K126" s="991"/>
      <c r="L126" s="991"/>
      <c r="M126" s="992" t="s">
        <v>541</v>
      </c>
      <c r="N126" s="992"/>
    </row>
    <row r="127" spans="4:14" ht="5.0999999999999996" customHeight="1" x14ac:dyDescent="0.2"/>
    <row r="128" spans="4:14" x14ac:dyDescent="0.2">
      <c r="D128" s="991" t="s">
        <v>542</v>
      </c>
      <c r="E128" s="991"/>
      <c r="F128" s="991"/>
      <c r="G128" s="991"/>
      <c r="H128" s="991" t="s">
        <v>543</v>
      </c>
      <c r="I128" s="991"/>
      <c r="J128" s="991"/>
      <c r="K128" s="991"/>
      <c r="L128" s="991"/>
      <c r="M128" s="992" t="s">
        <v>544</v>
      </c>
      <c r="N128" s="992"/>
    </row>
    <row r="129" spans="3:14" ht="5.0999999999999996" customHeight="1" x14ac:dyDescent="0.2"/>
    <row r="130" spans="3:14" x14ac:dyDescent="0.2">
      <c r="D130" s="991" t="s">
        <v>545</v>
      </c>
      <c r="E130" s="991"/>
      <c r="F130" s="991"/>
      <c r="G130" s="991"/>
      <c r="H130" s="991" t="s">
        <v>546</v>
      </c>
      <c r="I130" s="991"/>
      <c r="J130" s="991"/>
      <c r="K130" s="991"/>
      <c r="L130" s="991"/>
      <c r="M130" s="992" t="s">
        <v>547</v>
      </c>
      <c r="N130" s="992"/>
    </row>
    <row r="131" spans="3:14" ht="5.0999999999999996" customHeight="1" x14ac:dyDescent="0.2"/>
    <row r="132" spans="3:14" x14ac:dyDescent="0.2">
      <c r="D132" s="991" t="s">
        <v>548</v>
      </c>
      <c r="E132" s="991"/>
      <c r="F132" s="991"/>
      <c r="G132" s="991"/>
      <c r="H132" s="991" t="s">
        <v>549</v>
      </c>
      <c r="I132" s="991"/>
      <c r="J132" s="991"/>
      <c r="K132" s="991"/>
      <c r="L132" s="991"/>
      <c r="M132" s="992" t="s">
        <v>550</v>
      </c>
      <c r="N132" s="992"/>
    </row>
    <row r="133" spans="3:14" ht="5.0999999999999996" customHeight="1" x14ac:dyDescent="0.2"/>
    <row r="134" spans="3:14" x14ac:dyDescent="0.2">
      <c r="D134" s="991" t="s">
        <v>551</v>
      </c>
      <c r="E134" s="991"/>
      <c r="F134" s="991"/>
      <c r="G134" s="991"/>
      <c r="H134" s="991" t="s">
        <v>552</v>
      </c>
      <c r="I134" s="991"/>
      <c r="J134" s="991"/>
      <c r="K134" s="991"/>
      <c r="L134" s="991"/>
      <c r="M134" s="992" t="s">
        <v>553</v>
      </c>
      <c r="N134" s="992"/>
    </row>
    <row r="135" spans="3:14" ht="5.0999999999999996" customHeight="1" x14ac:dyDescent="0.2"/>
    <row r="136" spans="3:14" x14ac:dyDescent="0.2">
      <c r="D136" s="991" t="s">
        <v>554</v>
      </c>
      <c r="E136" s="991"/>
      <c r="F136" s="991"/>
      <c r="G136" s="991"/>
      <c r="H136" s="991" t="s">
        <v>555</v>
      </c>
      <c r="I136" s="991"/>
      <c r="J136" s="991"/>
      <c r="K136" s="991"/>
      <c r="L136" s="991"/>
      <c r="M136" s="992" t="s">
        <v>556</v>
      </c>
      <c r="N136" s="992"/>
    </row>
    <row r="137" spans="3:14" ht="5.0999999999999996" customHeight="1" x14ac:dyDescent="0.2">
      <c r="C137" s="6"/>
      <c r="D137" s="6"/>
      <c r="E137" s="6"/>
      <c r="F137" s="6"/>
      <c r="G137" s="6"/>
      <c r="H137" s="6"/>
      <c r="I137" s="6"/>
      <c r="J137" s="6"/>
      <c r="K137" s="6"/>
      <c r="L137" s="6"/>
      <c r="M137" s="6"/>
      <c r="N137" s="6"/>
    </row>
  </sheetData>
  <sheetProtection password="F0F4" sheet="1" scenarios="1"/>
  <mergeCells count="131">
    <mergeCell ref="D134:G134"/>
    <mergeCell ref="H134:L134"/>
    <mergeCell ref="M134:N134"/>
    <mergeCell ref="D136:G136"/>
    <mergeCell ref="H136:L136"/>
    <mergeCell ref="M136:N136"/>
    <mergeCell ref="D130:G130"/>
    <mergeCell ref="H130:L130"/>
    <mergeCell ref="M130:N130"/>
    <mergeCell ref="D132:G132"/>
    <mergeCell ref="H132:L132"/>
    <mergeCell ref="M132:N132"/>
    <mergeCell ref="D126:G126"/>
    <mergeCell ref="H126:L126"/>
    <mergeCell ref="M126:N126"/>
    <mergeCell ref="D128:G128"/>
    <mergeCell ref="H128:L128"/>
    <mergeCell ref="M128:N128"/>
    <mergeCell ref="D122:G122"/>
    <mergeCell ref="H122:L122"/>
    <mergeCell ref="M122:N122"/>
    <mergeCell ref="D124:G124"/>
    <mergeCell ref="H124:L124"/>
    <mergeCell ref="M124:N124"/>
    <mergeCell ref="D118:G118"/>
    <mergeCell ref="H118:L118"/>
    <mergeCell ref="M118:N118"/>
    <mergeCell ref="D120:G120"/>
    <mergeCell ref="H120:L120"/>
    <mergeCell ref="M120:N120"/>
    <mergeCell ref="D114:G114"/>
    <mergeCell ref="H114:L114"/>
    <mergeCell ref="M114:N114"/>
    <mergeCell ref="D116:G116"/>
    <mergeCell ref="H116:L116"/>
    <mergeCell ref="M116:N116"/>
    <mergeCell ref="M108:N108"/>
    <mergeCell ref="D110:G110"/>
    <mergeCell ref="H110:L110"/>
    <mergeCell ref="M110:N110"/>
    <mergeCell ref="D112:G112"/>
    <mergeCell ref="H112:L112"/>
    <mergeCell ref="M112:N112"/>
    <mergeCell ref="M93:N93"/>
    <mergeCell ref="D93:G94"/>
    <mergeCell ref="H93:L94"/>
    <mergeCell ref="M97:N97"/>
    <mergeCell ref="D97:G98"/>
    <mergeCell ref="H97:L98"/>
    <mergeCell ref="D87:G87"/>
    <mergeCell ref="H87:L87"/>
    <mergeCell ref="M87:N87"/>
    <mergeCell ref="M90:N90"/>
    <mergeCell ref="D90:G91"/>
    <mergeCell ref="H90:L91"/>
    <mergeCell ref="M80:N80"/>
    <mergeCell ref="D80:G81"/>
    <mergeCell ref="H80:L81"/>
    <mergeCell ref="D84:G84"/>
    <mergeCell ref="H84:L84"/>
    <mergeCell ref="M84:N84"/>
    <mergeCell ref="D74:G74"/>
    <mergeCell ref="H74:L74"/>
    <mergeCell ref="M74:N74"/>
    <mergeCell ref="M76:N76"/>
    <mergeCell ref="D76:G77"/>
    <mergeCell ref="H76:L77"/>
    <mergeCell ref="D68:G68"/>
    <mergeCell ref="H68:L68"/>
    <mergeCell ref="M68:N68"/>
    <mergeCell ref="M70:N70"/>
    <mergeCell ref="D70:G71"/>
    <mergeCell ref="H70:L71"/>
    <mergeCell ref="D63:G63"/>
    <mergeCell ref="H63:L63"/>
    <mergeCell ref="M63:N63"/>
    <mergeCell ref="D65:G65"/>
    <mergeCell ref="H65:L65"/>
    <mergeCell ref="M65:N65"/>
    <mergeCell ref="M56:N56"/>
    <mergeCell ref="D58:G58"/>
    <mergeCell ref="H58:L58"/>
    <mergeCell ref="M58:N58"/>
    <mergeCell ref="D60:G60"/>
    <mergeCell ref="H60:L60"/>
    <mergeCell ref="M60:N60"/>
    <mergeCell ref="D48:G48"/>
    <mergeCell ref="H48:L48"/>
    <mergeCell ref="M48:N48"/>
    <mergeCell ref="D50:G50"/>
    <mergeCell ref="H50:L50"/>
    <mergeCell ref="M50:N50"/>
    <mergeCell ref="D44:G44"/>
    <mergeCell ref="H44:L44"/>
    <mergeCell ref="M44:N44"/>
    <mergeCell ref="D46:G46"/>
    <mergeCell ref="H46:L46"/>
    <mergeCell ref="M46:N46"/>
    <mergeCell ref="D40:G40"/>
    <mergeCell ref="H40:L40"/>
    <mergeCell ref="M40:N40"/>
    <mergeCell ref="D42:G42"/>
    <mergeCell ref="H42:L42"/>
    <mergeCell ref="M42:N42"/>
    <mergeCell ref="M33:N33"/>
    <mergeCell ref="D33:G34"/>
    <mergeCell ref="H33:L34"/>
    <mergeCell ref="M38:N38"/>
    <mergeCell ref="D28:G28"/>
    <mergeCell ref="H28:L28"/>
    <mergeCell ref="M28:N28"/>
    <mergeCell ref="M30:N30"/>
    <mergeCell ref="D30:G31"/>
    <mergeCell ref="H30:L31"/>
    <mergeCell ref="D20:G20"/>
    <mergeCell ref="H20:L20"/>
    <mergeCell ref="M20:N20"/>
    <mergeCell ref="M23:N23"/>
    <mergeCell ref="D23:G24"/>
    <mergeCell ref="H23:L24"/>
    <mergeCell ref="D15:G15"/>
    <mergeCell ref="H15:L15"/>
    <mergeCell ref="M15:N15"/>
    <mergeCell ref="M17:N17"/>
    <mergeCell ref="D17:G18"/>
    <mergeCell ref="H17:L18"/>
    <mergeCell ref="B3:F3"/>
    <mergeCell ref="M9:N9"/>
    <mergeCell ref="D13:G13"/>
    <mergeCell ref="H13:L13"/>
    <mergeCell ref="M13:N13"/>
  </mergeCells>
  <hyperlinks>
    <hyperlink ref="A4" location="$B$5" tooltip="Go to Top of Sheet" display="$B$5"/>
    <hyperlink ref="B4" location="HL_Sheet_Main_58" tooltip="Go to Previous Sheet" display="HL_Sheet_Main_58"/>
    <hyperlink ref="B3" location="HL_Home" tooltip="Go to Table of Contents" display="HL_Home"/>
    <hyperlink ref="D4" location="HL_Err_Chk" tooltip="Go to Error Checks" display="HL_Err_Chk"/>
    <hyperlink ref="E4" location="HL_Sens_Chk" tooltip="Go to Sensitivity Checks" display="HL_Sens_Chk"/>
    <hyperlink ref="F4" location="HL_Alt_Chk" tooltip="Go to Alert Checks" display="HL_Alt_Chk"/>
  </hyperlinks>
  <pageMargins left="0.39370078740157499" right="0.39370078740157499" top="0.59055118110236204" bottom="0.98425196850393704" header="0" footer="0.31496062992126"/>
  <pageSetup paperSize="9" orientation="landscape" horizontalDpi="4294967292" verticalDpi="0" r:id="rId1"/>
  <headerFooter>
    <oddFooter>&amp;L&amp;F
&amp;A
Printed: &amp;T on &amp;D&amp;CPage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77</vt:i4>
      </vt:variant>
      <vt:variant>
        <vt:lpstr>Named Ranges</vt:lpstr>
      </vt:variant>
      <vt:variant>
        <vt:i4>484</vt:i4>
      </vt:variant>
    </vt:vector>
  </HeadingPairs>
  <TitlesOfParts>
    <vt:vector size="561" baseType="lpstr">
      <vt:lpstr>Cover</vt:lpstr>
      <vt:lpstr>Contents</vt:lpstr>
      <vt:lpstr>Sheet_SC</vt:lpstr>
      <vt:lpstr>Out_Ann_TO</vt:lpstr>
      <vt:lpstr>Screen_Sum_Ann_TO</vt:lpstr>
      <vt:lpstr>Screen_Sum_1_Ann_TO</vt:lpstr>
      <vt:lpstr>Diag_Sum_Ann_TO</vt:lpstr>
      <vt:lpstr>Diag_Sum_1_Ann_TO</vt:lpstr>
      <vt:lpstr>Intv_Sum_Ann_TO</vt:lpstr>
      <vt:lpstr>Intv_Sum_1_Ann_TO</vt:lpstr>
      <vt:lpstr>Intv_2_Sum_Ann_TO</vt:lpstr>
      <vt:lpstr>Intv_2_Sum_1_Ann_TO</vt:lpstr>
      <vt:lpstr>Intv_5_Sum_Ann_TO</vt:lpstr>
      <vt:lpstr>Intv_5_Sum_1_Ann_TO</vt:lpstr>
      <vt:lpstr>Intv_3_Sum_Ann_TO</vt:lpstr>
      <vt:lpstr>Intv_3_Sum_1_Ann_TO</vt:lpstr>
      <vt:lpstr>Intv_4_Sum_Ann_TO</vt:lpstr>
      <vt:lpstr>Intv_4_Sum_1_Ann_TO</vt:lpstr>
      <vt:lpstr>Intv_6_Sum_Ann_TO</vt:lpstr>
      <vt:lpstr>Intv_6_Sum_1_Ann_TO</vt:lpstr>
      <vt:lpstr>Cust_SC</vt:lpstr>
      <vt:lpstr>Team_BA</vt:lpstr>
      <vt:lpstr>Labels_BA</vt:lpstr>
      <vt:lpstr>TS_BA</vt:lpstr>
      <vt:lpstr>Assumptions_SC</vt:lpstr>
      <vt:lpstr>Gen_Assump_SSC</vt:lpstr>
      <vt:lpstr>Plac_Start_Facs_BA</vt:lpstr>
      <vt:lpstr>Reg_Pop_Ann_TA</vt:lpstr>
      <vt:lpstr>Econ_Ann_TA</vt:lpstr>
      <vt:lpstr>Price_List_BA</vt:lpstr>
      <vt:lpstr>Svc_Assump_SSC</vt:lpstr>
      <vt:lpstr>Screen_BA</vt:lpstr>
      <vt:lpstr>Screen_Ann_TA</vt:lpstr>
      <vt:lpstr>Diag_BA</vt:lpstr>
      <vt:lpstr>Diag_Ann_TA</vt:lpstr>
      <vt:lpstr>Intv_BA</vt:lpstr>
      <vt:lpstr>Intv_Ann_TA</vt:lpstr>
      <vt:lpstr>Ann_Ass_SSC</vt:lpstr>
      <vt:lpstr>Oth_Ann_TA</vt:lpstr>
      <vt:lpstr>Outputs_SC</vt:lpstr>
      <vt:lpstr>Raw_Outputs_SSC</vt:lpstr>
      <vt:lpstr>Reg_Pop_Ann_TO</vt:lpstr>
      <vt:lpstr>Screen_Ann_TO</vt:lpstr>
      <vt:lpstr>Diag_Ann_TO</vt:lpstr>
      <vt:lpstr>Intv_Ann_TO</vt:lpstr>
      <vt:lpstr>Oth_Ann_TO</vt:lpstr>
      <vt:lpstr>PLUG_INS_SC</vt:lpstr>
      <vt:lpstr>PLUG_IN_1_P_MS</vt:lpstr>
      <vt:lpstr>PLUG_IN_2_P_MS</vt:lpstr>
      <vt:lpstr>PLUG_IN_3_TRAIN_BA</vt:lpstr>
      <vt:lpstr>PLUG_IN_4_MEET_BA</vt:lpstr>
      <vt:lpstr>PLUG-IN_4_MEET_BO</vt:lpstr>
      <vt:lpstr>App_SC</vt:lpstr>
      <vt:lpstr>LU_SSC</vt:lpstr>
      <vt:lpstr>TS_LU</vt:lpstr>
      <vt:lpstr>Price_LU</vt:lpstr>
      <vt:lpstr>Oth_LU</vt:lpstr>
      <vt:lpstr>Reg_Pop_LU</vt:lpstr>
      <vt:lpstr>Plug_Train_LU</vt:lpstr>
      <vt:lpstr>PLUG_2_LU</vt:lpstr>
      <vt:lpstr>PLUG_3_LU</vt:lpstr>
      <vt:lpstr>PLUG_4_LU</vt:lpstr>
      <vt:lpstr>PLUG_5_LU</vt:lpstr>
      <vt:lpstr>PLUG_7_LU</vt:lpstr>
      <vt:lpstr>PLUG_6_LU</vt:lpstr>
      <vt:lpstr>Screen_LU</vt:lpstr>
      <vt:lpstr>Diag_LU</vt:lpstr>
      <vt:lpstr>Intv_LU</vt:lpstr>
      <vt:lpstr>Out_LU</vt:lpstr>
      <vt:lpstr>Chks_SSC</vt:lpstr>
      <vt:lpstr>Chks_BO</vt:lpstr>
      <vt:lpstr>Overview_SC</vt:lpstr>
      <vt:lpstr>Notes_SSC</vt:lpstr>
      <vt:lpstr>Notes_BO</vt:lpstr>
      <vt:lpstr>Glossary_P_BO</vt:lpstr>
      <vt:lpstr>Keys_SSC</vt:lpstr>
      <vt:lpstr>Keys_BO</vt:lpstr>
      <vt:lpstr>Alt_Chks_Msg</vt:lpstr>
      <vt:lpstr>Alt_Chks_Ttl_Areas</vt:lpstr>
      <vt:lpstr>Ass_Min_per_Screening_Hr</vt:lpstr>
      <vt:lpstr>CA_Alt_Chks</vt:lpstr>
      <vt:lpstr>CA_Alt_Chks_Area_Names</vt:lpstr>
      <vt:lpstr>CA_Alt_Chks_Flags</vt:lpstr>
      <vt:lpstr>CA_Alt_Chks_Inc</vt:lpstr>
      <vt:lpstr>CA_Err_Chks</vt:lpstr>
      <vt:lpstr>CA_Err_Chks_Area_Names</vt:lpstr>
      <vt:lpstr>CA_Err_Chks_Flags</vt:lpstr>
      <vt:lpstr>CA_Err_Chks_Inc</vt:lpstr>
      <vt:lpstr>CA_Sens_Chks</vt:lpstr>
      <vt:lpstr>CA_Sens_Chks_Area_Names</vt:lpstr>
      <vt:lpstr>CA_Sens_Chks_Flags</vt:lpstr>
      <vt:lpstr>CA_Sens_Chks_Inc</vt:lpstr>
      <vt:lpstr>CB_Alt_Chks_Show_Msg</vt:lpstr>
      <vt:lpstr>CB_Err_Chks_Show_Msg</vt:lpstr>
      <vt:lpstr>CB_Sens_Chks_Show_Msg</vt:lpstr>
      <vt:lpstr>Country</vt:lpstr>
      <vt:lpstr>DD_Comm_Curr</vt:lpstr>
      <vt:lpstr>DD_Init_Inv_Curr</vt:lpstr>
      <vt:lpstr>DD_Intro_Costs_Curr</vt:lpstr>
      <vt:lpstr>DD_Micro_Curr</vt:lpstr>
      <vt:lpstr>DD_Oth_Curr</vt:lpstr>
      <vt:lpstr>DD_PLUG_2_Train1_Curr</vt:lpstr>
      <vt:lpstr>DD_PLUG_3_Train1_Curr</vt:lpstr>
      <vt:lpstr>DD_PLUG_4_Train1_Curr</vt:lpstr>
      <vt:lpstr>DD_PLUG_5_Meet1_Curr</vt:lpstr>
      <vt:lpstr>DD_PLUG_6_Meet1_Curr</vt:lpstr>
      <vt:lpstr>DD_PLUG_7_Meet1_Curr</vt:lpstr>
      <vt:lpstr>DD_PLUG_Train1_Curr</vt:lpstr>
      <vt:lpstr>DD_Recur_Cost_Curr</vt:lpstr>
      <vt:lpstr>DD_Serv_Curr</vt:lpstr>
      <vt:lpstr>DD_SME_Curr</vt:lpstr>
      <vt:lpstr>DD_Sum_Tbls_Curr</vt:lpstr>
      <vt:lpstr>DD_Total_Costs_Curr</vt:lpstr>
      <vt:lpstr>DD_Train_Curr</vt:lpstr>
      <vt:lpstr>DD_TS_Denom</vt:lpstr>
      <vt:lpstr>DD_TS_Fin_Yr_End_Mth</vt:lpstr>
      <vt:lpstr>Diag_Short_Code</vt:lpstr>
      <vt:lpstr>Err_Chks_Msg</vt:lpstr>
      <vt:lpstr>Err_Chks_Ttl_Areas</vt:lpstr>
      <vt:lpstr>File_Name</vt:lpstr>
      <vt:lpstr>HL_Alt_Chk</vt:lpstr>
      <vt:lpstr>HL_Comm_Ass</vt:lpstr>
      <vt:lpstr>HL_Comm_Out</vt:lpstr>
      <vt:lpstr>HL_Comm_Out_Sum</vt:lpstr>
      <vt:lpstr>HL_Cost_Price_List</vt:lpstr>
      <vt:lpstr>HL_Diag_Ann_Ass</vt:lpstr>
      <vt:lpstr>HL_Diag_Ass</vt:lpstr>
      <vt:lpstr>HL_Diag_Biopsy_and_Histopathology</vt:lpstr>
      <vt:lpstr>HL_Diag_Out</vt:lpstr>
      <vt:lpstr>HL_Diag_Out_Sum</vt:lpstr>
      <vt:lpstr>HL_Diag_Out_Sum_A</vt:lpstr>
      <vt:lpstr>HL_Eco_Costs</vt:lpstr>
      <vt:lpstr>HL_Epi_Assump</vt:lpstr>
      <vt:lpstr>HL_Equip_CRYP</vt:lpstr>
      <vt:lpstr>HL_EquipBIOPH</vt:lpstr>
      <vt:lpstr>HL_Equipment_VIA</vt:lpstr>
      <vt:lpstr>HL_Err_Chk</vt:lpstr>
      <vt:lpstr>HL_Fin_Costs</vt:lpstr>
      <vt:lpstr>HL_First_Admin_Div</vt:lpstr>
      <vt:lpstr>HL_Home</vt:lpstr>
      <vt:lpstr>HL_Intv_2_Ann_Ass</vt:lpstr>
      <vt:lpstr>HL_Intv_2_Ass</vt:lpstr>
      <vt:lpstr>HL_Intv_2_Out</vt:lpstr>
      <vt:lpstr>HL_Intv_2_Out_Sum</vt:lpstr>
      <vt:lpstr>HL_Intv_2_Out_Sum_A</vt:lpstr>
      <vt:lpstr>HL_Intv_3_Ann_Ass</vt:lpstr>
      <vt:lpstr>HL_Intv_3_Ass</vt:lpstr>
      <vt:lpstr>HL_Intv_3_Out</vt:lpstr>
      <vt:lpstr>HL_Intv_3_Out_Sum</vt:lpstr>
      <vt:lpstr>HL_Intv_3_Out_Sum_A</vt:lpstr>
      <vt:lpstr>HL_Intv_4_Ann_Ass</vt:lpstr>
      <vt:lpstr>HL_Intv_4_Ass</vt:lpstr>
      <vt:lpstr>HL_Intv_4_Out</vt:lpstr>
      <vt:lpstr>HL_Intv_4_Out_Sum</vt:lpstr>
      <vt:lpstr>HL_Intv_4_Out_Sum_A</vt:lpstr>
      <vt:lpstr>HL_Intv_5_Ann_Ass</vt:lpstr>
      <vt:lpstr>HL_Intv_5_Ass</vt:lpstr>
      <vt:lpstr>HL_Intv_5_Out</vt:lpstr>
      <vt:lpstr>HL_Intv_5_Out_Sum</vt:lpstr>
      <vt:lpstr>HL_Intv_5_Out_Sum_A</vt:lpstr>
      <vt:lpstr>HL_Intv_6_Ann_Ass</vt:lpstr>
      <vt:lpstr>HL_Intv_6_Ass</vt:lpstr>
      <vt:lpstr>HL_Intv_6_Out</vt:lpstr>
      <vt:lpstr>HL_Intv_6_Out_Sum</vt:lpstr>
      <vt:lpstr>HL_Intv_6_Out_Sum_A</vt:lpstr>
      <vt:lpstr>HL_Intv_Ann_Ass</vt:lpstr>
      <vt:lpstr>HL_Intv_Ass</vt:lpstr>
      <vt:lpstr>HL_Intv_Out</vt:lpstr>
      <vt:lpstr>HL_Intv_Out_Sum</vt:lpstr>
      <vt:lpstr>HL_Intv_Out_Sum_A</vt:lpstr>
      <vt:lpstr>HL_LEEP_Equipment</vt:lpstr>
      <vt:lpstr>HL_Micro_Ass</vt:lpstr>
      <vt:lpstr>HL_Micro_Out</vt:lpstr>
      <vt:lpstr>HL_ODC_BIOPH</vt:lpstr>
      <vt:lpstr>HL_ODC_CHEMO</vt:lpstr>
      <vt:lpstr>HL_ODC_CRYO</vt:lpstr>
      <vt:lpstr>HL_ODC_LEEP</vt:lpstr>
      <vt:lpstr>HL_ODC_PALL</vt:lpstr>
      <vt:lpstr>HL_ODC_RADIO</vt:lpstr>
      <vt:lpstr>HL_ODC_SURG</vt:lpstr>
      <vt:lpstr>HL_Oth_Ass</vt:lpstr>
      <vt:lpstr>HL_Oth_Out</vt:lpstr>
      <vt:lpstr>HL_Oth_Out_Sum</vt:lpstr>
      <vt:lpstr>HL_Pers_CRYO</vt:lpstr>
      <vt:lpstr>HL_Personnel_BIOPH</vt:lpstr>
      <vt:lpstr>HL_Personnel_CHEMO</vt:lpstr>
      <vt:lpstr>HL_Personnel_CRYO</vt:lpstr>
      <vt:lpstr>HL_Personnel_LEEP</vt:lpstr>
      <vt:lpstr>HL_Personnel_PALL</vt:lpstr>
      <vt:lpstr>HL_Personnel_RADIO</vt:lpstr>
      <vt:lpstr>HL_Personnel_SURG</vt:lpstr>
      <vt:lpstr>HL_Personnel_VIA</vt:lpstr>
      <vt:lpstr>HL_Plan_Ann_Cap_CRYO</vt:lpstr>
      <vt:lpstr>HL_Plan_Ann_Cap_FAC_LEEP</vt:lpstr>
      <vt:lpstr>HL_Plan_Attr_Rate_RADIO</vt:lpstr>
      <vt:lpstr>HL_Plan_Attrition_Rate_SURG</vt:lpstr>
      <vt:lpstr>HL_Plan_Demand_Assumptions</vt:lpstr>
      <vt:lpstr>HL_Plan_Demand_Screening_Inactive</vt:lpstr>
      <vt:lpstr>HL_Plan_Population_Assumptions</vt:lpstr>
      <vt:lpstr>HL_Plan_Prog_Start_Year</vt:lpstr>
      <vt:lpstr>HL_Plan_Prop_Referred_for_BIOPH</vt:lpstr>
      <vt:lpstr>HL_Plan_Prop_Screened_Elig_CRYO</vt:lpstr>
      <vt:lpstr>HL_Plan_Ref_Attri_PALL</vt:lpstr>
      <vt:lpstr>HL_Plan_Ref_Attrition_BIOPH</vt:lpstr>
      <vt:lpstr>HL_Plan_Ref_Attrition_Rate_CHEMO</vt:lpstr>
      <vt:lpstr>HL_PLAN_Referral_Attr_CRYO</vt:lpstr>
      <vt:lpstr>HL_Plan_Referral_Attr_for_LEEP</vt:lpstr>
      <vt:lpstr>HL_Price_Ass</vt:lpstr>
      <vt:lpstr>HL_Price_Curr_Options</vt:lpstr>
      <vt:lpstr>HL_Reg_Pop_Pop_Out</vt:lpstr>
      <vt:lpstr>HL_Reg_Pop_Reg_Ass</vt:lpstr>
      <vt:lpstr>HL_Reg_Pop_Reg_Out</vt:lpstr>
      <vt:lpstr>HL_Screen_Ann_Ass</vt:lpstr>
      <vt:lpstr>HL_Screen_Ass</vt:lpstr>
      <vt:lpstr>HL_Screen_Distribute1</vt:lpstr>
      <vt:lpstr>HL_Screen_Out</vt:lpstr>
      <vt:lpstr>HL_Screen_Out_Sum_A</vt:lpstr>
      <vt:lpstr>HL_Sens_Chk</vt:lpstr>
      <vt:lpstr>HL_Serv_Fin_Costs_Total_Includes_Capex</vt:lpstr>
      <vt:lpstr>HL_Serv_Total_SD_Econ_Incl_Capex_Annualized</vt:lpstr>
      <vt:lpstr>HL_Serv_Total_Service_Delivery_Outputs_and_Costs</vt:lpstr>
      <vt:lpstr>HL_SME_Ass</vt:lpstr>
      <vt:lpstr>HL_SME_Out</vt:lpstr>
      <vt:lpstr>HL_SME_Out_Sum</vt:lpstr>
      <vt:lpstr>HL_Sum_Tbls_Non_Serv_Del_Econ</vt:lpstr>
      <vt:lpstr>HL_Sum_Tbls_Total_Fin_NonService</vt:lpstr>
      <vt:lpstr>HL_Supplies_BA</vt:lpstr>
      <vt:lpstr>HL_Supplies_BIOPH</vt:lpstr>
      <vt:lpstr>HL_Supplies_CHEMO</vt:lpstr>
      <vt:lpstr>HL_Supplies_CRYO</vt:lpstr>
      <vt:lpstr>HL_Supplies_LEEP</vt:lpstr>
      <vt:lpstr>HL_Supplies_PALL</vt:lpstr>
      <vt:lpstr>HL_Supplies_RADIO</vt:lpstr>
      <vt:lpstr>HL_Supplies_SURG</vt:lpstr>
      <vt:lpstr>HL_Total_Costs_Currency</vt:lpstr>
      <vt:lpstr>HL_Total_Costs_Fin_Econ</vt:lpstr>
      <vt:lpstr>HL_Total_Costs_Fin_Ex_ServiceDlvry_CapEx</vt:lpstr>
      <vt:lpstr>HL_Total_Costs_Total_Economic_Costs</vt:lpstr>
      <vt:lpstr>HL_Total_Costs_Total_Financial_Costs</vt:lpstr>
      <vt:lpstr>HL_Train_Ass</vt:lpstr>
      <vt:lpstr>HL_Train_Out</vt:lpstr>
      <vt:lpstr>HL_VIA_Service_Costs</vt:lpstr>
      <vt:lpstr>Intv_2_Name</vt:lpstr>
      <vt:lpstr>Intv_2_Short_Code</vt:lpstr>
      <vt:lpstr>Intv_3_Name</vt:lpstr>
      <vt:lpstr>Intv_3_Short_Code</vt:lpstr>
      <vt:lpstr>Intv_4_Name</vt:lpstr>
      <vt:lpstr>Intv_4_Short_Code</vt:lpstr>
      <vt:lpstr>Intv_5_Name</vt:lpstr>
      <vt:lpstr>Intv_5_Short_Code</vt:lpstr>
      <vt:lpstr>Intv_6_Name</vt:lpstr>
      <vt:lpstr>Intv_6_Short_Code</vt:lpstr>
      <vt:lpstr>Intv_Name</vt:lpstr>
      <vt:lpstr>Intv_Short_Code</vt:lpstr>
      <vt:lpstr>Last_Opened</vt:lpstr>
      <vt:lpstr>Lbl_Country</vt:lpstr>
      <vt:lpstr>Lbl_Facility_1</vt:lpstr>
      <vt:lpstr>Lbl_First_Admin_Div</vt:lpstr>
      <vt:lpstr>Lbl_Hospital_Facilities</vt:lpstr>
      <vt:lpstr>Lbl_Non_Hospital_Health_Facilities</vt:lpstr>
      <vt:lpstr>Lbl_Pop_Segment_1</vt:lpstr>
      <vt:lpstr>Lbl_Pop_Segment_1A</vt:lpstr>
      <vt:lpstr>Lbl_Pop_Segment_1B</vt:lpstr>
      <vt:lpstr>Lbl_Pop_Segment_2_A</vt:lpstr>
      <vt:lpstr>Lbl_Pop_Segment_2_B</vt:lpstr>
      <vt:lpstr>Lbl_Pop_Seqment_2</vt:lpstr>
      <vt:lpstr>Lbl_Second_Admin_Div</vt:lpstr>
      <vt:lpstr>Lbl_Third_Admin_Div</vt:lpstr>
      <vt:lpstr>LU_Comm_Curr</vt:lpstr>
      <vt:lpstr>LU_Comm_Denom</vt:lpstr>
      <vt:lpstr>LU_Comm_Num_Act</vt:lpstr>
      <vt:lpstr>LU_Diag_Curr</vt:lpstr>
      <vt:lpstr>LU_Diag_Denom</vt:lpstr>
      <vt:lpstr>LU_Diag_Equip</vt:lpstr>
      <vt:lpstr>LU_Diag_Lab_Oth</vt:lpstr>
      <vt:lpstr>LU_Diag_Pers_Hosp</vt:lpstr>
      <vt:lpstr>LU_Diag_Pers_Oth</vt:lpstr>
      <vt:lpstr>LU_Diag_Region</vt:lpstr>
      <vt:lpstr>LU_Diag_Start_Year</vt:lpstr>
      <vt:lpstr>LU_Diag_Supplies</vt:lpstr>
      <vt:lpstr>LU_Init_Inv_Curr</vt:lpstr>
      <vt:lpstr>LU_Init_Inv_Denom</vt:lpstr>
      <vt:lpstr>LU_Intro_Costs_Curr</vt:lpstr>
      <vt:lpstr>LU_Intro_Costs_Denom</vt:lpstr>
      <vt:lpstr>LU_Intv_2_Curr</vt:lpstr>
      <vt:lpstr>LU_Intv_2_Denom</vt:lpstr>
      <vt:lpstr>LU_Intv_2_Equip</vt:lpstr>
      <vt:lpstr>LU_Intv_2_Lab_Oth</vt:lpstr>
      <vt:lpstr>LU_Intv_2_Pers_Hosp</vt:lpstr>
      <vt:lpstr>LU_Intv_2_Pers_Oth</vt:lpstr>
      <vt:lpstr>LU_Intv_2_Region</vt:lpstr>
      <vt:lpstr>LU_Intv_2_Start_Year</vt:lpstr>
      <vt:lpstr>LU_Intv_2_Supplies</vt:lpstr>
      <vt:lpstr>LU_Intv_3_Curr</vt:lpstr>
      <vt:lpstr>LU_Intv_3_Denom</vt:lpstr>
      <vt:lpstr>LU_Intv_3_Equip</vt:lpstr>
      <vt:lpstr>LU_Intv_3_Lab_Oth</vt:lpstr>
      <vt:lpstr>LU_Intv_3_Pers_Hosp</vt:lpstr>
      <vt:lpstr>LU_Intv_3_Pers_Oth</vt:lpstr>
      <vt:lpstr>LU_Intv_3_Region</vt:lpstr>
      <vt:lpstr>LU_Intv_3_Start_Year</vt:lpstr>
      <vt:lpstr>LU_Intv_3_Supplies</vt:lpstr>
      <vt:lpstr>LU_Intv_4_Curr</vt:lpstr>
      <vt:lpstr>LU_Intv_4_Denom</vt:lpstr>
      <vt:lpstr>LU_Intv_4_Equip</vt:lpstr>
      <vt:lpstr>LU_Intv_4_Lab_Oth</vt:lpstr>
      <vt:lpstr>LU_Intv_4_Pers_Hosp</vt:lpstr>
      <vt:lpstr>LU_Intv_4_Pers_Oth</vt:lpstr>
      <vt:lpstr>LU_Intv_4_Region</vt:lpstr>
      <vt:lpstr>LU_Intv_4_Start_Year</vt:lpstr>
      <vt:lpstr>LU_Intv_4_Supplies</vt:lpstr>
      <vt:lpstr>LU_Intv_5_Curr</vt:lpstr>
      <vt:lpstr>LU_Intv_5_Denom</vt:lpstr>
      <vt:lpstr>LU_Intv_5_Equip</vt:lpstr>
      <vt:lpstr>LU_Intv_5_Lab_Oth</vt:lpstr>
      <vt:lpstr>LU_Intv_5_Pers_Hosp</vt:lpstr>
      <vt:lpstr>LU_Intv_5_Pers_Oth</vt:lpstr>
      <vt:lpstr>LU_Intv_5_Region</vt:lpstr>
      <vt:lpstr>LU_Intv_5_Start_Year</vt:lpstr>
      <vt:lpstr>LU_Intv_5_Supplies</vt:lpstr>
      <vt:lpstr>LU_Intv_6_Curr</vt:lpstr>
      <vt:lpstr>LU_Intv_6_Denom</vt:lpstr>
      <vt:lpstr>LU_Intv_6_Equip</vt:lpstr>
      <vt:lpstr>LU_Intv_6_Lab_Oth</vt:lpstr>
      <vt:lpstr>LU_Intv_6_Pers_Hosp</vt:lpstr>
      <vt:lpstr>LU_Intv_6_Pers_Oth</vt:lpstr>
      <vt:lpstr>LU_Intv_6_Region</vt:lpstr>
      <vt:lpstr>LU_Intv_6_Start_Year</vt:lpstr>
      <vt:lpstr>LU_Intv_6_Supplies</vt:lpstr>
      <vt:lpstr>LU_Intv_Curr</vt:lpstr>
      <vt:lpstr>LU_Intv_Denom</vt:lpstr>
      <vt:lpstr>LU_Intv_Equip</vt:lpstr>
      <vt:lpstr>LU_Intv_Lab_Oth</vt:lpstr>
      <vt:lpstr>LU_Intv_Pers_Hosp</vt:lpstr>
      <vt:lpstr>LU_Intv_Pers_Oth</vt:lpstr>
      <vt:lpstr>LU_Intv_Region</vt:lpstr>
      <vt:lpstr>LU_Intv_Start_Year</vt:lpstr>
      <vt:lpstr>LU_Intv_Supplies</vt:lpstr>
      <vt:lpstr>LU_Micro_Curr</vt:lpstr>
      <vt:lpstr>LU_Micro_Denom</vt:lpstr>
      <vt:lpstr>LU_Micro_Num_Act</vt:lpstr>
      <vt:lpstr>LU_Oth_Curr</vt:lpstr>
      <vt:lpstr>LU_Oth_Denom</vt:lpstr>
      <vt:lpstr>LU_PLUG_2_Train_Curr</vt:lpstr>
      <vt:lpstr>LU_PLUG_3_Train_Curr</vt:lpstr>
      <vt:lpstr>LU_PLUG_4_Train_Curr</vt:lpstr>
      <vt:lpstr>LU_PLUG_5_Meet_Curr</vt:lpstr>
      <vt:lpstr>LU_PLUG_6_Meet_Curr</vt:lpstr>
      <vt:lpstr>LU_PLUG_7_Meet_Curr</vt:lpstr>
      <vt:lpstr>LU_PLUG_Train_Curr</vt:lpstr>
      <vt:lpstr>LU_Price_Curr</vt:lpstr>
      <vt:lpstr>LU_Recur_Cost_Curr</vt:lpstr>
      <vt:lpstr>LU_Recur_Cost_Denom</vt:lpstr>
      <vt:lpstr>LU_Reg_Pop_Start_Year</vt:lpstr>
      <vt:lpstr>LU_Screen_Curr</vt:lpstr>
      <vt:lpstr>LU_Screen_Denom</vt:lpstr>
      <vt:lpstr>LU_Screen_Equip</vt:lpstr>
      <vt:lpstr>LU_Screen_Pers_Hosp</vt:lpstr>
      <vt:lpstr>LU_Screen_Pers_Oth</vt:lpstr>
      <vt:lpstr>LU_Screen_Region</vt:lpstr>
      <vt:lpstr>LU_Screen_Start_Year</vt:lpstr>
      <vt:lpstr>LU_Screen_Supplies</vt:lpstr>
      <vt:lpstr>LU_Serv_Curr</vt:lpstr>
      <vt:lpstr>LU_Serv_Denom</vt:lpstr>
      <vt:lpstr>LU_SME_Curr</vt:lpstr>
      <vt:lpstr>LU_SME_Denom</vt:lpstr>
      <vt:lpstr>LU_SME_Num_Act</vt:lpstr>
      <vt:lpstr>LU_Sum_Tbls_Curr</vt:lpstr>
      <vt:lpstr>LU_Sum_Tbls_Denom</vt:lpstr>
      <vt:lpstr>LU_Total_Costs_Curr</vt:lpstr>
      <vt:lpstr>LU_Total_Costs_Denom</vt:lpstr>
      <vt:lpstr>LU_Train_Curr</vt:lpstr>
      <vt:lpstr>LU_Train_Denom</vt:lpstr>
      <vt:lpstr>LU_Train_Num_Act</vt:lpstr>
      <vt:lpstr>LU_Train_Participants</vt:lpstr>
      <vt:lpstr>LU_TS_Denom</vt:lpstr>
      <vt:lpstr>LU_TS_Denom_Conv</vt:lpstr>
      <vt:lpstr>LU_TS_Mth_Days</vt:lpstr>
      <vt:lpstr>LU_TS_Mth_Names</vt:lpstr>
      <vt:lpstr>Model_Name</vt:lpstr>
      <vt:lpstr>PLUGIN1</vt:lpstr>
      <vt:lpstr>Price_Appl_Currency</vt:lpstr>
      <vt:lpstr>Ann_Ass_SSC!Print_Area</vt:lpstr>
      <vt:lpstr>App_SC!Print_Area</vt:lpstr>
      <vt:lpstr>Assumptions_SC!Print_Area</vt:lpstr>
      <vt:lpstr>Chks_BO!Print_Area</vt:lpstr>
      <vt:lpstr>Chks_SSC!Print_Area</vt:lpstr>
      <vt:lpstr>Contents!Print_Area</vt:lpstr>
      <vt:lpstr>Cover!Print_Area</vt:lpstr>
      <vt:lpstr>Cust_SC!Print_Area</vt:lpstr>
      <vt:lpstr>Diag_Ann_TA!Print_Area</vt:lpstr>
      <vt:lpstr>Diag_Ann_TO!Print_Area</vt:lpstr>
      <vt:lpstr>Diag_BA!Print_Area</vt:lpstr>
      <vt:lpstr>Diag_LU!Print_Area</vt:lpstr>
      <vt:lpstr>Diag_Sum_1_Ann_TO!Print_Area</vt:lpstr>
      <vt:lpstr>Diag_Sum_Ann_TO!Print_Area</vt:lpstr>
      <vt:lpstr>Econ_Ann_TA!Print_Area</vt:lpstr>
      <vt:lpstr>Gen_Assump_SSC!Print_Area</vt:lpstr>
      <vt:lpstr>Glossary_P_BO!Print_Area</vt:lpstr>
      <vt:lpstr>Intv_2_Sum_1_Ann_TO!Print_Area</vt:lpstr>
      <vt:lpstr>Intv_2_Sum_Ann_TO!Print_Area</vt:lpstr>
      <vt:lpstr>Intv_3_Sum_1_Ann_TO!Print_Area</vt:lpstr>
      <vt:lpstr>Intv_3_Sum_Ann_TO!Print_Area</vt:lpstr>
      <vt:lpstr>Intv_4_Sum_1_Ann_TO!Print_Area</vt:lpstr>
      <vt:lpstr>Intv_4_Sum_Ann_TO!Print_Area</vt:lpstr>
      <vt:lpstr>Intv_5_Sum_1_Ann_TO!Print_Area</vt:lpstr>
      <vt:lpstr>Intv_5_Sum_Ann_TO!Print_Area</vt:lpstr>
      <vt:lpstr>Intv_6_Sum_1_Ann_TO!Print_Area</vt:lpstr>
      <vt:lpstr>Intv_6_Sum_Ann_TO!Print_Area</vt:lpstr>
      <vt:lpstr>Intv_Ann_TA!Print_Area</vt:lpstr>
      <vt:lpstr>Intv_Ann_TO!Print_Area</vt:lpstr>
      <vt:lpstr>Intv_BA!Print_Area</vt:lpstr>
      <vt:lpstr>Intv_LU!Print_Area</vt:lpstr>
      <vt:lpstr>Intv_Sum_1_Ann_TO!Print_Area</vt:lpstr>
      <vt:lpstr>Intv_Sum_Ann_TO!Print_Area</vt:lpstr>
      <vt:lpstr>Keys_BO!Print_Area</vt:lpstr>
      <vt:lpstr>Keys_SSC!Print_Area</vt:lpstr>
      <vt:lpstr>Labels_BA!Print_Area</vt:lpstr>
      <vt:lpstr>LU_SSC!Print_Area</vt:lpstr>
      <vt:lpstr>Notes_BO!Print_Area</vt:lpstr>
      <vt:lpstr>Notes_SSC!Print_Area</vt:lpstr>
      <vt:lpstr>Oth_Ann_TA!Print_Area</vt:lpstr>
      <vt:lpstr>Oth_Ann_TO!Print_Area</vt:lpstr>
      <vt:lpstr>Oth_LU!Print_Area</vt:lpstr>
      <vt:lpstr>Out_Ann_TO!Print_Area</vt:lpstr>
      <vt:lpstr>Out_LU!Print_Area</vt:lpstr>
      <vt:lpstr>Outputs_SC!Print_Area</vt:lpstr>
      <vt:lpstr>Overview_SC!Print_Area</vt:lpstr>
      <vt:lpstr>Plac_Start_Facs_BA!Print_Area</vt:lpstr>
      <vt:lpstr>PLUG_2_LU!Print_Area</vt:lpstr>
      <vt:lpstr>PLUG_3_LU!Print_Area</vt:lpstr>
      <vt:lpstr>PLUG_4_LU!Print_Area</vt:lpstr>
      <vt:lpstr>PLUG_5_LU!Print_Area</vt:lpstr>
      <vt:lpstr>PLUG_6_LU!Print_Area</vt:lpstr>
      <vt:lpstr>PLUG_7_LU!Print_Area</vt:lpstr>
      <vt:lpstr>PLUG_IN_1_P_MS!Print_Area</vt:lpstr>
      <vt:lpstr>PLUG_IN_2_P_MS!Print_Area</vt:lpstr>
      <vt:lpstr>PLUG_IN_3_TRAIN_BA!Print_Area</vt:lpstr>
      <vt:lpstr>PLUG_IN_4_MEET_BA!Print_Area</vt:lpstr>
      <vt:lpstr>PLUG_INS_SC!Print_Area</vt:lpstr>
      <vt:lpstr>Plug_Train_LU!Print_Area</vt:lpstr>
      <vt:lpstr>'PLUG-IN_4_MEET_BO'!Print_Area</vt:lpstr>
      <vt:lpstr>Price_List_BA!Print_Area</vt:lpstr>
      <vt:lpstr>Price_LU!Print_Area</vt:lpstr>
      <vt:lpstr>Raw_Outputs_SSC!Print_Area</vt:lpstr>
      <vt:lpstr>Reg_Pop_Ann_TA!Print_Area</vt:lpstr>
      <vt:lpstr>Reg_Pop_Ann_TO!Print_Area</vt:lpstr>
      <vt:lpstr>Reg_Pop_LU!Print_Area</vt:lpstr>
      <vt:lpstr>Screen_Ann_TA!Print_Area</vt:lpstr>
      <vt:lpstr>Screen_Ann_TO!Print_Area</vt:lpstr>
      <vt:lpstr>Screen_BA!Print_Area</vt:lpstr>
      <vt:lpstr>Screen_LU!Print_Area</vt:lpstr>
      <vt:lpstr>Screen_Sum_1_Ann_TO!Print_Area</vt:lpstr>
      <vt:lpstr>Screen_Sum_Ann_TO!Print_Area</vt:lpstr>
      <vt:lpstr>Sheet_SC!Print_Area</vt:lpstr>
      <vt:lpstr>Svc_Assump_SSC!Print_Area</vt:lpstr>
      <vt:lpstr>Team_BA!Print_Area</vt:lpstr>
      <vt:lpstr>TS_BA!Print_Area</vt:lpstr>
      <vt:lpstr>TS_LU!Print_Area</vt:lpstr>
      <vt:lpstr>Chks_BO!Print_Titles</vt:lpstr>
      <vt:lpstr>Contents!Print_Titles</vt:lpstr>
      <vt:lpstr>Diag_Ann_TA!Print_Titles</vt:lpstr>
      <vt:lpstr>Diag_Ann_TO!Print_Titles</vt:lpstr>
      <vt:lpstr>Diag_BA!Print_Titles</vt:lpstr>
      <vt:lpstr>Diag_LU!Print_Titles</vt:lpstr>
      <vt:lpstr>Diag_Sum_1_Ann_TO!Print_Titles</vt:lpstr>
      <vt:lpstr>Diag_Sum_Ann_TO!Print_Titles</vt:lpstr>
      <vt:lpstr>Econ_Ann_TA!Print_Titles</vt:lpstr>
      <vt:lpstr>Glossary_P_BO!Print_Titles</vt:lpstr>
      <vt:lpstr>Intv_2_Sum_1_Ann_TO!Print_Titles</vt:lpstr>
      <vt:lpstr>Intv_2_Sum_Ann_TO!Print_Titles</vt:lpstr>
      <vt:lpstr>Intv_3_Sum_1_Ann_TO!Print_Titles</vt:lpstr>
      <vt:lpstr>Intv_3_Sum_Ann_TO!Print_Titles</vt:lpstr>
      <vt:lpstr>Intv_4_Sum_1_Ann_TO!Print_Titles</vt:lpstr>
      <vt:lpstr>Intv_4_Sum_Ann_TO!Print_Titles</vt:lpstr>
      <vt:lpstr>Intv_5_Sum_1_Ann_TO!Print_Titles</vt:lpstr>
      <vt:lpstr>Intv_5_Sum_Ann_TO!Print_Titles</vt:lpstr>
      <vt:lpstr>Intv_6_Sum_1_Ann_TO!Print_Titles</vt:lpstr>
      <vt:lpstr>Intv_6_Sum_Ann_TO!Print_Titles</vt:lpstr>
      <vt:lpstr>Intv_Ann_TA!Print_Titles</vt:lpstr>
      <vt:lpstr>Intv_Ann_TO!Print_Titles</vt:lpstr>
      <vt:lpstr>Intv_BA!Print_Titles</vt:lpstr>
      <vt:lpstr>Intv_LU!Print_Titles</vt:lpstr>
      <vt:lpstr>Intv_Sum_1_Ann_TO!Print_Titles</vt:lpstr>
      <vt:lpstr>Intv_Sum_Ann_TO!Print_Titles</vt:lpstr>
      <vt:lpstr>Keys_BO!Print_Titles</vt:lpstr>
      <vt:lpstr>Labels_BA!Print_Titles</vt:lpstr>
      <vt:lpstr>Notes_BO!Print_Titles</vt:lpstr>
      <vt:lpstr>Oth_Ann_TA!Print_Titles</vt:lpstr>
      <vt:lpstr>Oth_Ann_TO!Print_Titles</vt:lpstr>
      <vt:lpstr>Out_Ann_TO!Print_Titles</vt:lpstr>
      <vt:lpstr>Out_LU!Print_Titles</vt:lpstr>
      <vt:lpstr>Plac_Start_Facs_BA!Print_Titles</vt:lpstr>
      <vt:lpstr>PLUG_2_LU!Print_Titles</vt:lpstr>
      <vt:lpstr>PLUG_3_LU!Print_Titles</vt:lpstr>
      <vt:lpstr>PLUG_4_LU!Print_Titles</vt:lpstr>
      <vt:lpstr>PLUG_6_LU!Print_Titles</vt:lpstr>
      <vt:lpstr>PLUG_7_LU!Print_Titles</vt:lpstr>
      <vt:lpstr>PLUG_IN_3_TRAIN_BA!Print_Titles</vt:lpstr>
      <vt:lpstr>PLUG_IN_4_MEET_BA!Print_Titles</vt:lpstr>
      <vt:lpstr>Plug_Train_LU!Print_Titles</vt:lpstr>
      <vt:lpstr>'PLUG-IN_4_MEET_BO'!Print_Titles</vt:lpstr>
      <vt:lpstr>Price_List_BA!Print_Titles</vt:lpstr>
      <vt:lpstr>Price_LU!Print_Titles</vt:lpstr>
      <vt:lpstr>Reg_Pop_Ann_TA!Print_Titles</vt:lpstr>
      <vt:lpstr>Reg_Pop_Ann_TO!Print_Titles</vt:lpstr>
      <vt:lpstr>Reg_Pop_LU!Print_Titles</vt:lpstr>
      <vt:lpstr>Screen_Ann_TA!Print_Titles</vt:lpstr>
      <vt:lpstr>Screen_Ann_TO!Print_Titles</vt:lpstr>
      <vt:lpstr>Screen_BA!Print_Titles</vt:lpstr>
      <vt:lpstr>Screen_LU!Print_Titles</vt:lpstr>
      <vt:lpstr>Screen_Sum_1_Ann_TO!Print_Titles</vt:lpstr>
      <vt:lpstr>Screen_Sum_Ann_TO!Print_Titles</vt:lpstr>
      <vt:lpstr>Team_BA!Print_Titles</vt:lpstr>
      <vt:lpstr>TS_BA!Print_Titles</vt:lpstr>
      <vt:lpstr>TS_LU!Print_Titles</vt:lpstr>
      <vt:lpstr>RA_Reg_Pop_Demand_Inactive_Proportions</vt:lpstr>
      <vt:lpstr>RA_Reg_Pop_Demand_Prop_Active_Areas</vt:lpstr>
      <vt:lpstr>S_FTE_Mins_per_Hr</vt:lpstr>
      <vt:lpstr>S_SP_Percent_Allocated_To_SU</vt:lpstr>
      <vt:lpstr>S_SP_Working_Days_Per_Month</vt:lpstr>
      <vt:lpstr>S_SP_Working_Hrs_Per_Day</vt:lpstr>
      <vt:lpstr>SB_Adj_Hrs_Screening_Avail_per_Day</vt:lpstr>
      <vt:lpstr>SB_Adj_Min_per_Screening</vt:lpstr>
      <vt:lpstr>SB_Adj_Screen_Days_per_Month</vt:lpstr>
      <vt:lpstr>SB_Adj_Screen_Days_per_Year</vt:lpstr>
      <vt:lpstr>SB_WKSHT_PROP_ELIG_SEEK_SCREEN</vt:lpstr>
      <vt:lpstr>Screen_Code1</vt:lpstr>
      <vt:lpstr>Screen_Method_1</vt:lpstr>
      <vt:lpstr>Screenings_Avail_per_Day</vt:lpstr>
      <vt:lpstr>Sens_Chks_Msg</vt:lpstr>
      <vt:lpstr>Sens_Chks_Ttl_Areas</vt:lpstr>
      <vt:lpstr>Serv_Tot_Nmbr_Svcs_1</vt:lpstr>
      <vt:lpstr>Serv_Tot_Nmbr_Svcs_2</vt:lpstr>
      <vt:lpstr>Serv_Tot_Nmbr_Svcs_3</vt:lpstr>
      <vt:lpstr>Serv_Tot_Nmbr_Svcs_4</vt:lpstr>
      <vt:lpstr>Serv_Total_Nmbr_Svcs_1</vt:lpstr>
      <vt:lpstr>Serv_Total_Nmbr_Svcs_2</vt:lpstr>
      <vt:lpstr>Serv_Total_Nmbr_Svcs_3</vt:lpstr>
      <vt:lpstr>Serv_Total_Nmbr_Svcs_4</vt:lpstr>
      <vt:lpstr>Service_Unit_Max_Capacity_per_Month</vt:lpstr>
      <vt:lpstr>Total_Costs_Econ_Ex_ServiceDlvry_CapEx</vt:lpstr>
      <vt:lpstr>TS_Billion</vt:lpstr>
      <vt:lpstr>TS_Currency</vt:lpstr>
      <vt:lpstr>TS_Days_In_Wk</vt:lpstr>
      <vt:lpstr>TS_Denom_Conv_Fact</vt:lpstr>
      <vt:lpstr>TS_End_Date</vt:lpstr>
      <vt:lpstr>TS_First_Fin_Yr</vt:lpstr>
      <vt:lpstr>TS_Halves_In_Yr</vt:lpstr>
      <vt:lpstr>TS_Hrs_In_Day</vt:lpstr>
      <vt:lpstr>TS_Million</vt:lpstr>
      <vt:lpstr>TS_Mins_In_Hr</vt:lpstr>
      <vt:lpstr>TS_Mths_In_Half</vt:lpstr>
      <vt:lpstr>TS_Mths_In_Qtr</vt:lpstr>
      <vt:lpstr>TS_Mths_In_Yr</vt:lpstr>
      <vt:lpstr>TS_Qtrs_In_Half</vt:lpstr>
      <vt:lpstr>TS_Qtrs_In_Yr</vt:lpstr>
      <vt:lpstr>TS_Secs_In_Min</vt:lpstr>
      <vt:lpstr>TS_Start_Date</vt:lpstr>
      <vt:lpstr>TS_Term</vt:lpstr>
      <vt:lpstr>TS_Thousand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Baseline Version</dc:title>
  <dc:creator>Andrew Ringenbergs;Winthrop Morgan</dc:creator>
  <cp:keywords>Zambia, C4P</cp:keywords>
  <cp:lastModifiedBy>Winthrop Morgan, MPH</cp:lastModifiedBy>
  <cp:lastPrinted>2016-01-03T22:55:17Z</cp:lastPrinted>
  <dcterms:created xsi:type="dcterms:W3CDTF">2014-10-07T22:36:22Z</dcterms:created>
  <dcterms:modified xsi:type="dcterms:W3CDTF">2016-01-16T17:40:18Z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XRCK">
    <vt:lpwstr>53|11757824,1|0,52|6780672,51|4204747,49|6697881,55|7929855,11|12632256,56|16777215</vt:lpwstr>
  </property>
  <property fmtid="{D5CDD505-2E9C-101B-9397-08002B2CF9AE}" pid="3" name="TBXBSCK">
    <vt:lpwstr>CO-4142|-4142/COC-4142|-4142/CS1-4142|-4142/S1S2-4142|-4142/S2BA15|-4142/BATA15|-4142/TABO-4142|-4142/BOTO-4142|-4142/TOLU-4142|-4142/LUMS-4142|-4142/MSCH-4142|-4142/CH</vt:lpwstr>
  </property>
  <property fmtid="{D5CDD505-2E9C-101B-9397-08002B2CF9AE}" pid="4" name="MODULESRESCUE">
    <vt:lpwstr>IeFHbH0UtwXB3Qt54Z3iRQ==</vt:lpwstr>
  </property>
  <property fmtid="{D5CDD505-2E9C-101B-9397-08002B2CF9AE}" pid="5" name="TimeMachineEnabled">
    <vt:bool>true</vt:bool>
  </property>
  <property fmtid="{D5CDD505-2E9C-101B-9397-08002B2CF9AE}" pid="6" name="CommitOnSave">
    <vt:bool>true</vt:bool>
  </property>
  <property fmtid="{D5CDD505-2E9C-101B-9397-08002B2CF9AE}" pid="7" name="ModulesDataOLE">
    <vt:lpwstr>Out_Ann_TO/ModProjDataOLEBPP</vt:lpwstr>
  </property>
</Properties>
</file>